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9705" yWindow="-15" windowWidth="9540" windowHeight="8745" tabRatio="565" activeTab="3"/>
  </bookViews>
  <sheets>
    <sheet name="Inputs &amp; Results" sheetId="1" r:id="rId1"/>
    <sheet name="All Equity Partnership Flip" sheetId="8" r:id="rId2"/>
    <sheet name="NPV" sheetId="11" r:id="rId3"/>
    <sheet name="Leveraged Partnership Flip" sheetId="2" r:id="rId4"/>
    <sheet name="Sale Leaseback" sheetId="10" r:id="rId5"/>
    <sheet name="Single Owner" sheetId="7" r:id="rId6"/>
    <sheet name="Depreciation Schedules" sheetId="4" r:id="rId7"/>
    <sheet name="Changes to v1" sheetId="5" r:id="rId8"/>
    <sheet name="Changes to v2" sheetId="6" r:id="rId9"/>
    <sheet name="Notes" sheetId="3" r:id="rId10"/>
  </sheets>
  <definedNames>
    <definedName name="AEPFFlipTarget">'Inputs &amp; Results'!$B$206</definedName>
    <definedName name="AEPFFlipTargetYear">'Inputs &amp; Results'!$B$207</definedName>
    <definedName name="AEPFInstalledCostTotal">'Inputs &amp; Results'!$B$155</definedName>
    <definedName name="AEPFPPAPrice">'Inputs &amp; Results'!$B$74</definedName>
    <definedName name="AEPFPPAPriceEsc">'Inputs &amp; Results'!$B$75</definedName>
    <definedName name="AEPFTEInvestment">'Inputs &amp; Results'!$B$176</definedName>
    <definedName name="AEPFTEPostFlipCash">'Inputs &amp; Results'!$B$188</definedName>
    <definedName name="AEPFTEPostFlipTax">'Inputs &amp; Results'!$B$195</definedName>
    <definedName name="AEPFTEPreFlipCash">'Inputs &amp; Results'!$B$187</definedName>
    <definedName name="AEPFTEPreFlipTax">'Inputs &amp; Results'!$B$194</definedName>
    <definedName name="AnalysisPeriod">'Inputs &amp; Results'!$F$12</definedName>
    <definedName name="BOP">'Inputs &amp; Results'!$B$5</definedName>
    <definedName name="CapacityAC">'Inputs &amp; Results'!$F$9</definedName>
    <definedName name="CapacityConversion">'Inputs &amp; Results'!$F$8</definedName>
    <definedName name="CapacityDC">'Inputs &amp; Results'!$F$7</definedName>
    <definedName name="CapitalRecoveryDuration">'Inputs &amp; Results'!$B$183</definedName>
    <definedName name="CapitalRecoveryMethod">'Inputs &amp; Results'!$B$182</definedName>
    <definedName name="CBIFed">'Inputs &amp; Results'!$B$60</definedName>
    <definedName name="CBIFedFedDeprec">'Inputs &amp; Results'!$M$60</definedName>
    <definedName name="CBIFedFedITC">'Inputs &amp; Results'!$K$60</definedName>
    <definedName name="CBIFedFedTax">'Inputs &amp; Results'!$I$60</definedName>
    <definedName name="CBIFedStateDeprec">'Inputs &amp; Results'!$N$60</definedName>
    <definedName name="CBIFedStateITC">'Inputs &amp; Results'!$L$60</definedName>
    <definedName name="CBIFedStateTax">'Inputs &amp; Results'!$J$60</definedName>
    <definedName name="CBIOther">'Inputs &amp; Results'!$B$63</definedName>
    <definedName name="CBIOtherFedDeprec">'Inputs &amp; Results'!$M$63</definedName>
    <definedName name="CBIOtherFedITC">'Inputs &amp; Results'!$K$63</definedName>
    <definedName name="CBIOtherFedTax">'Inputs &amp; Results'!$I$63</definedName>
    <definedName name="CBIOtherStateDeprec">'Inputs &amp; Results'!$N$63</definedName>
    <definedName name="CBIOtherStateITC">'Inputs &amp; Results'!$L$63</definedName>
    <definedName name="CBIOtherStateTax">'Inputs &amp; Results'!$J$63</definedName>
    <definedName name="CBIState">'Inputs &amp; Results'!$B$61</definedName>
    <definedName name="CBIStateFedDeprec">'Inputs &amp; Results'!$M$61</definedName>
    <definedName name="CBIStateFedITC">'Inputs &amp; Results'!$K$61</definedName>
    <definedName name="CBIStateFedTax">'Inputs &amp; Results'!$I$61</definedName>
    <definedName name="CBIStateStateDeprec">'Inputs &amp; Results'!$N$61</definedName>
    <definedName name="CBIStateStateITC">'Inputs &amp; Results'!$L$61</definedName>
    <definedName name="CBIStateStateTax">'Inputs &amp; Results'!$J$61</definedName>
    <definedName name="CBIUtility">'Inputs &amp; Results'!$B$62</definedName>
    <definedName name="CBIUtilityFedDeprec">'Inputs &amp; Results'!$M$62</definedName>
    <definedName name="CBIUtilityFedITC">'Inputs &amp; Results'!$K$62</definedName>
    <definedName name="CBIUtilityFedTax">'Inputs &amp; Results'!$I$62</definedName>
    <definedName name="CBIUtilityStateDeprec">'Inputs &amp; Results'!$N$62</definedName>
    <definedName name="CBIUtilityStateITC">'Inputs &amp; Results'!$L$62</definedName>
    <definedName name="CBIUtilityStateTax">'Inputs &amp; Results'!$J$62</definedName>
    <definedName name="ContingencyCost">'Inputs &amp; Results'!$B$10</definedName>
    <definedName name="DevCost">'Inputs &amp; Results'!$B$13</definedName>
    <definedName name="DiscountRate">'Inputs &amp; Results'!$F$14</definedName>
    <definedName name="FedBonusDeprec">'Inputs &amp; Results'!$B$240</definedName>
    <definedName name="FedPTCAmount">'Inputs &amp; Results'!$B$42</definedName>
    <definedName name="FedPTCTerm">'Inputs &amp; Results'!$C$42</definedName>
    <definedName name="FedTax">'Inputs &amp; Results'!$J$3</definedName>
    <definedName name="GenerationEquipment">'Inputs &amp; Results'!$B$4</definedName>
    <definedName name="IBIFedFixed">'Inputs &amp; Results'!$B$50</definedName>
    <definedName name="IBIFedFixedFedDeprec">'Inputs &amp; Results'!$M$50</definedName>
    <definedName name="IBIFedFixedFedITC">'Inputs &amp; Results'!$K$50</definedName>
    <definedName name="IBIFedFixedFedTax">'Inputs &amp; Results'!$I$50</definedName>
    <definedName name="IBIFedFixedStateDeprec">'Inputs &amp; Results'!$N$50</definedName>
    <definedName name="IBIFedFixedStateITC">'Inputs &amp; Results'!$L$50</definedName>
    <definedName name="IBIFedFixedStateTax">'Inputs &amp; Results'!$J$50</definedName>
    <definedName name="IBIFedPercent">'Inputs &amp; Results'!$B$55</definedName>
    <definedName name="IBIFedPercentFedDeprec">'Inputs &amp; Results'!$M$55</definedName>
    <definedName name="IBIFedPercentFedITC">'Inputs &amp; Results'!$K$55</definedName>
    <definedName name="IBIFedPercentFedTax">'Inputs &amp; Results'!$I$55</definedName>
    <definedName name="IBIFedPercentStateDeprec">'Inputs &amp; Results'!$N$55</definedName>
    <definedName name="IBIFedPercentStateITC">'Inputs &amp; Results'!$L$55</definedName>
    <definedName name="IBIFedPercentStateTax">'Inputs &amp; Results'!$J$55</definedName>
    <definedName name="IBIOtherFixed">'Inputs &amp; Results'!$B$53</definedName>
    <definedName name="IBIOtherFixedFedDeprec">'Inputs &amp; Results'!$M$53</definedName>
    <definedName name="IBIOtherFixedFedITC">'Inputs &amp; Results'!$K$53</definedName>
    <definedName name="IBIOtherFixedFedTax">'Inputs &amp; Results'!$I$53</definedName>
    <definedName name="IBIOtherFixedStateDeprec">'Inputs &amp; Results'!$N$53</definedName>
    <definedName name="IBIOtherFixedStateITC">'Inputs &amp; Results'!$L$53</definedName>
    <definedName name="IBIOtherFixedStateTax">'Inputs &amp; Results'!$J$53</definedName>
    <definedName name="IBIOtherPercent">'Inputs &amp; Results'!$B$58</definedName>
    <definedName name="IBIOtherPercentFedDeprec">'Inputs &amp; Results'!$M$58</definedName>
    <definedName name="IBIOtherPercentFedITC">'Inputs &amp; Results'!$K$58</definedName>
    <definedName name="IBIOtherPercentFedTax">'Inputs &amp; Results'!$I$58</definedName>
    <definedName name="IBIOtherPercentStateDeprec">'Inputs &amp; Results'!$N$58</definedName>
    <definedName name="IBIOtherPercentStateITC">'Inputs &amp; Results'!$L$58</definedName>
    <definedName name="IBIOtherPercentStateTax">'Inputs &amp; Results'!$J$58</definedName>
    <definedName name="IBIStateFixed">'Inputs &amp; Results'!$B$51</definedName>
    <definedName name="IBIStateFixedFedDeprec">'Inputs &amp; Results'!$M$51</definedName>
    <definedName name="IBIStateFixedFedITC">'Inputs &amp; Results'!$K$51</definedName>
    <definedName name="IBIStateFixedFedTax">'Inputs &amp; Results'!$I$51</definedName>
    <definedName name="IBIStateFixedStateDeprec">'Inputs &amp; Results'!$N$51</definedName>
    <definedName name="IBIStateFixedStateITC">'Inputs &amp; Results'!$L$51</definedName>
    <definedName name="IBIStateFixedStateTax">'Inputs &amp; Results'!$J$51</definedName>
    <definedName name="IBIStatePercent">'Inputs &amp; Results'!$B$56</definedName>
    <definedName name="IBIStatePercentFedDeprec">'Inputs &amp; Results'!$M$56</definedName>
    <definedName name="IBIStatePercentFedITC">'Inputs &amp; Results'!$K$56</definedName>
    <definedName name="IBIStatePercentFedTax">'Inputs &amp; Results'!$I$56</definedName>
    <definedName name="IBIStatePercentStateDeprec">'Inputs &amp; Results'!$N$56</definedName>
    <definedName name="IBIStatePercentStateITC">'Inputs &amp; Results'!$L$56</definedName>
    <definedName name="IBIStatePercentStateTax">'Inputs &amp; Results'!$J$56</definedName>
    <definedName name="IBIUtilityFixed">'Inputs &amp; Results'!$B$52</definedName>
    <definedName name="IBIUtilityFixedFedDeprec">'Inputs &amp; Results'!$M$52</definedName>
    <definedName name="IBIUtilityFixedFedITC">'Inputs &amp; Results'!$K$52</definedName>
    <definedName name="IBIUtilityFixedFedTax">'Inputs &amp; Results'!$I$52</definedName>
    <definedName name="IBIUtilityFixedStateDeprec">'Inputs &amp; Results'!$N$52</definedName>
    <definedName name="IBIUtilityFixedStateITC">'Inputs &amp; Results'!$L$52</definedName>
    <definedName name="IBIUtilityFixedStateTax">'Inputs &amp; Results'!$J$52</definedName>
    <definedName name="IBIUtilityPercent">'Inputs &amp; Results'!$B$57</definedName>
    <definedName name="IBIUtilityPercentFedDeprec">'Inputs &amp; Results'!$M$57</definedName>
    <definedName name="IBIUtilityPercentFedITC">'Inputs &amp; Results'!$K$57</definedName>
    <definedName name="IBIUtilityPercentFedTax">'Inputs &amp; Results'!$I$57</definedName>
    <definedName name="IBIUtilityPercentStateDeprec">'Inputs &amp; Results'!$N$57</definedName>
    <definedName name="IBIUtilityPercentStateITC">'Inputs &amp; Results'!$L$57</definedName>
    <definedName name="IBIUtilityPercentStateTax">'Inputs &amp; Results'!$J$57</definedName>
    <definedName name="Inflation">'Inputs &amp; Results'!$F$13</definedName>
    <definedName name="InterestOnReserves">'Inputs &amp; Results'!$F$15</definedName>
    <definedName name="ITCFedFixed">'Inputs &amp; Results'!$B$34</definedName>
    <definedName name="ITCFedFixedFedDeprec">'Inputs &amp; Results'!$D$34</definedName>
    <definedName name="ITCFedFixedStateDeprec">'Inputs &amp; Results'!$E$34</definedName>
    <definedName name="ITCFedMax">'Inputs &amp; Results'!$C$38</definedName>
    <definedName name="ITCFedPercent">'Inputs &amp; Results'!$B$38</definedName>
    <definedName name="ITCFedPercentFedDeprec">'Inputs &amp; Results'!$D$38</definedName>
    <definedName name="ITCFedPercentStateDeprec">'Inputs &amp; Results'!$E$38</definedName>
    <definedName name="ITCStateFixed">'Inputs &amp; Results'!$B$35</definedName>
    <definedName name="ITCStateFixedFedDeprec">'Inputs &amp; Results'!$D$35</definedName>
    <definedName name="ITCStateFixedStateDeprec">'Inputs &amp; Results'!$E$35</definedName>
    <definedName name="ITCStateMax">'Inputs &amp; Results'!$C$39</definedName>
    <definedName name="ITCStatePercent">'Inputs &amp; Results'!$B$39</definedName>
    <definedName name="ITCStatePercentFedDeprec">'Inputs &amp; Results'!$D$39</definedName>
    <definedName name="ITCStatePercentStateDeprec">'Inputs &amp; Results'!$E$39</definedName>
    <definedName name="LandImprovements">'Inputs &amp; Results'!$B$14</definedName>
    <definedName name="LeaseReserveMonths">'Inputs &amp; Results'!$D$204</definedName>
    <definedName name="LeveragedFlipPPAPrice">'Inputs &amp; Results'!$C$74</definedName>
    <definedName name="LeveragedFlipPPAPriceEsc">'Inputs &amp; Results'!$C$75</definedName>
    <definedName name="LPFDebtAmount">'Inputs &amp; Results'!$C$131</definedName>
    <definedName name="LPFDebtRate">'Inputs &amp; Results'!$C$134</definedName>
    <definedName name="LPFDebtTerm">'Inputs &amp; Results'!$C$133</definedName>
    <definedName name="LPFDSCR">'Inputs &amp; Results'!$C$135</definedName>
    <definedName name="LPFDSRASize">'Inputs &amp; Results'!$C$136</definedName>
    <definedName name="LPFFlipTarget">'Inputs &amp; Results'!$C$206</definedName>
    <definedName name="LPFFlipTargetYear">'Inputs &amp; Results'!$C$207</definedName>
    <definedName name="LPFInstalledCostTotal">'Inputs &amp; Results'!$C$155</definedName>
    <definedName name="LPFTEInvestment">'Inputs &amp; Results'!$C$176</definedName>
    <definedName name="LPFTEPostFlipCash">'Inputs &amp; Results'!$C$188</definedName>
    <definedName name="LPFTEPostFlipTax">'Inputs &amp; Results'!$C$195</definedName>
    <definedName name="LPFTEPreFlipCash">'Inputs &amp; Results'!$C$187</definedName>
    <definedName name="LPFTEPreFlipTax">'Inputs &amp; Results'!$C$194</definedName>
    <definedName name="MMCost">'Inputs &amp; Results'!$J$16</definedName>
    <definedName name="MMCost2">'Inputs &amp; Results'!$J$20</definedName>
    <definedName name="MMCost3">'Inputs &amp; Results'!$J$24</definedName>
    <definedName name="MMFedTaxTreatment">'Inputs &amp; Results'!$J$29</definedName>
    <definedName name="MMFrequency">'Inputs &amp; Results'!$J$18</definedName>
    <definedName name="MMFrequency2">'Inputs &amp; Results'!$J$22</definedName>
    <definedName name="MMFrequency3">'Inputs &amp; Results'!$J$26</definedName>
    <definedName name="MMStateTaxTreatment">'Inputs &amp; Results'!$J$28</definedName>
    <definedName name="NetworkUpgrades">'Inputs &amp; Results'!$B$6</definedName>
    <definedName name="OMCapacity">'Inputs &amp; Results'!$F$22</definedName>
    <definedName name="OMCapacityRealEsc">'Inputs &amp; Results'!$F$23</definedName>
    <definedName name="OMFixedAnnual">'Inputs &amp; Results'!$F$19</definedName>
    <definedName name="OMFixedAnnualRealEsc">'Inputs &amp; Results'!$F$20</definedName>
    <definedName name="OMVariable">'Inputs &amp; Results'!$F$25</definedName>
    <definedName name="OMVariableRealEsc">'Inputs &amp; Results'!$F$26</definedName>
    <definedName name="Other">'Inputs &amp; Results'!$B$15</definedName>
    <definedName name="PBIFed">'Inputs &amp; Results'!$D$65</definedName>
    <definedName name="PBIFedDebtSwitch">'Inputs &amp; Results'!$O$65</definedName>
    <definedName name="PBIFedEsc">'Inputs &amp; Results'!$H$65</definedName>
    <definedName name="PBIFedFedTax">'Inputs &amp; Results'!$I$65</definedName>
    <definedName name="PBIFedStateTax">'Inputs &amp; Results'!$J$65</definedName>
    <definedName name="PBIFedTerm">'Inputs &amp; Results'!$G$65</definedName>
    <definedName name="PBIOther">'Inputs &amp; Results'!$D$68</definedName>
    <definedName name="PBIOtherDebtSwitch">'Inputs &amp; Results'!$O$68</definedName>
    <definedName name="PBIOtherEsc">'Inputs &amp; Results'!$H$68</definedName>
    <definedName name="PBIOtherFedTax">'Inputs &amp; Results'!$I$68</definedName>
    <definedName name="PBIOtherStateTax">'Inputs &amp; Results'!$J$68</definedName>
    <definedName name="PBIOtherTerm">'Inputs &amp; Results'!$G$68</definedName>
    <definedName name="PBIState">'Inputs &amp; Results'!$D$66</definedName>
    <definedName name="PBIStateDebtSwitch">'Inputs &amp; Results'!$O$66</definedName>
    <definedName name="PBIStateEsc">'Inputs &amp; Results'!$H$66</definedName>
    <definedName name="PBIStateFedTax">'Inputs &amp; Results'!$I$66</definedName>
    <definedName name="PBIStateStateTax">'Inputs &amp; Results'!$J$66</definedName>
    <definedName name="PBIStateTerm">'Inputs &amp; Results'!$G$66</definedName>
    <definedName name="PBIUtility">'Inputs &amp; Results'!$D$67</definedName>
    <definedName name="PBIUtilityDebtSwitch">'Inputs &amp; Results'!$O$67</definedName>
    <definedName name="PBIUtilityEsc">'Inputs &amp; Results'!$H$67</definedName>
    <definedName name="PBIUtilityFedTax">'Inputs &amp; Results'!$I$67</definedName>
    <definedName name="PBIUtilityStateTax">'Inputs &amp; Results'!$J$67</definedName>
    <definedName name="PBIUtilityTerm">'Inputs &amp; Results'!$G$67</definedName>
    <definedName name="PreFinancingInstalledCostTotal">'Inputs &amp; Results'!$B$21</definedName>
    <definedName name="_xlnm.Print_Area" localSheetId="7">'Changes to v1'!$A$1:$C$18</definedName>
    <definedName name="_xlnm.Print_Area" localSheetId="8">'Changes to v2'!$A$1:$C$16</definedName>
    <definedName name="_xlnm.Print_Area" localSheetId="0">'Inputs &amp; Results'!$A$1:$O$68,'Inputs &amp; Results'!$A$70:$E$264</definedName>
    <definedName name="_xlnm.Print_Area" localSheetId="9">Notes!$A$1:$B$39</definedName>
    <definedName name="_xlnm.Print_Titles" localSheetId="1">'All Equity Partnership Flip'!$A:$A,'All Equity Partnership Flip'!$1:$2</definedName>
    <definedName name="_xlnm.Print_Titles" localSheetId="3">'Leveraged Partnership Flip'!$A:$A,'Leveraged Partnership Flip'!$1:$2</definedName>
    <definedName name="_xlnm.Print_Titles" localSheetId="4">'Sale Leaseback'!$A:$A,'Sale Leaseback'!$1:$2</definedName>
    <definedName name="_xlnm.Print_Titles" localSheetId="5">'Single Owner'!$A:$A,'Single Owner'!$1:$2</definedName>
    <definedName name="PropertyTaxRate">'Inputs &amp; Results'!$J$10</definedName>
    <definedName name="SalesTaxQualification">'Inputs &amp; Results'!$B$18</definedName>
    <definedName name="SalesTaxRate">'Inputs &amp; Results'!$J$11</definedName>
    <definedName name="SalesTaxTotal">'Inputs &amp; Results'!$B$19</definedName>
    <definedName name="SalvageValue">'Inputs &amp; Results'!$J$32</definedName>
    <definedName name="SLDevMargin">'Inputs &amp; Results'!$D$202</definedName>
    <definedName name="SLDevMarginEsc">'Inputs &amp; Results'!$D$203</definedName>
    <definedName name="SLInstalledCostTotal">'Inputs &amp; Results'!$D$155</definedName>
    <definedName name="SLPPAPrice">'Inputs &amp; Results'!$D$74</definedName>
    <definedName name="SLPPAPriceEsc">'Inputs &amp; Results'!$D$75</definedName>
    <definedName name="SLReturnTarget">'Inputs &amp; Results'!$D$206</definedName>
    <definedName name="SLReturnTargetYear">'Inputs &amp; Results'!$D$207</definedName>
    <definedName name="SLTEInvestment">'Inputs &amp; Results'!$D$176</definedName>
    <definedName name="SODebtAmount">'Inputs &amp; Results'!$E$131</definedName>
    <definedName name="SODebtRate">'Inputs &amp; Results'!$E$134</definedName>
    <definedName name="SODebtTerm">'Inputs &amp; Results'!$E$133</definedName>
    <definedName name="SODSCR">'Inputs &amp; Results'!$E$135</definedName>
    <definedName name="SODSRASize">'Inputs &amp; Results'!$E$136</definedName>
    <definedName name="SOInstalledCostTotal">'Inputs &amp; Results'!$E$155</definedName>
    <definedName name="solver_adj" localSheetId="0" hidden="1">'Inputs &amp; Results'!$C$74</definedName>
    <definedName name="solver_cvg" localSheetId="0" hidden="1">0.0001</definedName>
    <definedName name="solver_drv" localSheetId="0" hidden="1">1</definedName>
    <definedName name="solver_est" localSheetId="0" hidden="1">1</definedName>
    <definedName name="solver_itr" localSheetId="0" hidden="1">100</definedName>
    <definedName name="solver_lin" localSheetId="0" hidden="1">2</definedName>
    <definedName name="solver_neg" localSheetId="0" hidden="1">2</definedName>
    <definedName name="solver_num" localSheetId="0" hidden="1">0</definedName>
    <definedName name="solver_nwt" localSheetId="0" hidden="1">1</definedName>
    <definedName name="solver_opt" localSheetId="0" hidden="1">'Inputs &amp; Results'!$C$80</definedName>
    <definedName name="solver_pre" localSheetId="0" hidden="1">0.000001</definedName>
    <definedName name="solver_scl" localSheetId="0" hidden="1">2</definedName>
    <definedName name="solver_sho" localSheetId="0" hidden="1">2</definedName>
    <definedName name="solver_tim" localSheetId="0" hidden="1">100</definedName>
    <definedName name="solver_tol" localSheetId="0" hidden="1">0.05</definedName>
    <definedName name="solver_typ" localSheetId="0" hidden="1">3</definedName>
    <definedName name="solver_val" localSheetId="0" hidden="1">0.1</definedName>
    <definedName name="SOPPAPrice">'Inputs &amp; Results'!$E$74</definedName>
    <definedName name="SOPPAPriceEsc">'Inputs &amp; Results'!$E$75</definedName>
    <definedName name="SOReturnTarget">'Inputs &amp; Results'!$E$206</definedName>
    <definedName name="SOReturnTargetYear">'Inputs &amp; Results'!$E$207</definedName>
    <definedName name="StateBonusDeprec">'Inputs &amp; Results'!$B$231</definedName>
    <definedName name="StatePTCAmount">'Inputs &amp; Results'!$B$43</definedName>
    <definedName name="StatePTCTerm">'Inputs &amp; Results'!$C$43</definedName>
    <definedName name="StateTax">'Inputs &amp; Results'!$J$4</definedName>
    <definedName name="TotalHardCosts">'Inputs &amp; Results'!$B$11</definedName>
    <definedName name="TotalSoftCosts">'Inputs &amp; Results'!$B$20</definedName>
  </definedNames>
  <calcPr calcId="125725" iterateCount="200" iterateDelta="1.0000000000000001E-5"/>
</workbook>
</file>

<file path=xl/calcChain.xml><?xml version="1.0" encoding="utf-8"?>
<calcChain xmlns="http://schemas.openxmlformats.org/spreadsheetml/2006/main">
  <c r="C158" i="2"/>
  <c r="AP598" i="7"/>
  <c r="AO598"/>
  <c r="AN598"/>
  <c r="AM598"/>
  <c r="AL598"/>
  <c r="AK598"/>
  <c r="AJ598"/>
  <c r="AI598"/>
  <c r="AH598"/>
  <c r="AG598"/>
  <c r="AF598"/>
  <c r="AE598"/>
  <c r="AD598"/>
  <c r="AC598"/>
  <c r="AB598"/>
  <c r="AA598"/>
  <c r="Z598"/>
  <c r="Y598"/>
  <c r="X598"/>
  <c r="W598"/>
  <c r="V598"/>
  <c r="U598"/>
  <c r="T598"/>
  <c r="S598"/>
  <c r="R598"/>
  <c r="Q598"/>
  <c r="P598"/>
  <c r="O598"/>
  <c r="N598"/>
  <c r="M598"/>
  <c r="L598"/>
  <c r="K598"/>
  <c r="J598"/>
  <c r="I598"/>
  <c r="H598"/>
  <c r="G598"/>
  <c r="F598"/>
  <c r="E598"/>
  <c r="D598"/>
  <c r="C598"/>
  <c r="AP672" i="2"/>
  <c r="AO672"/>
  <c r="AN672"/>
  <c r="AM672"/>
  <c r="AL672"/>
  <c r="AK672"/>
  <c r="AJ672"/>
  <c r="AI672"/>
  <c r="AH672"/>
  <c r="AG672"/>
  <c r="AF672"/>
  <c r="AE672"/>
  <c r="AD672"/>
  <c r="AC672"/>
  <c r="AB672"/>
  <c r="AA672"/>
  <c r="Z672"/>
  <c r="Y672"/>
  <c r="X672"/>
  <c r="W672"/>
  <c r="V672"/>
  <c r="U672"/>
  <c r="T672"/>
  <c r="S672"/>
  <c r="R672"/>
  <c r="Q672"/>
  <c r="P672"/>
  <c r="O672"/>
  <c r="N672"/>
  <c r="M672"/>
  <c r="B597"/>
  <c r="B598"/>
  <c r="G14" i="1"/>
  <c r="D202"/>
  <c r="B199" i="10"/>
  <c r="B182"/>
  <c r="AP819"/>
  <c r="AP182" s="1"/>
  <c r="AP199" s="1"/>
  <c r="AO819"/>
  <c r="AO182" s="1"/>
  <c r="AO199" s="1"/>
  <c r="AN819"/>
  <c r="AN182" s="1"/>
  <c r="AN199" s="1"/>
  <c r="AM819"/>
  <c r="AM182" s="1"/>
  <c r="AM199" s="1"/>
  <c r="AL819"/>
  <c r="AL182" s="1"/>
  <c r="AL199" s="1"/>
  <c r="AK819"/>
  <c r="AK182" s="1"/>
  <c r="AK199" s="1"/>
  <c r="AJ819"/>
  <c r="AJ182" s="1"/>
  <c r="AJ199" s="1"/>
  <c r="AI819"/>
  <c r="AI182" s="1"/>
  <c r="AI199" s="1"/>
  <c r="AH819"/>
  <c r="AH182" s="1"/>
  <c r="AH199" s="1"/>
  <c r="AG819"/>
  <c r="AG182" s="1"/>
  <c r="AG199" s="1"/>
  <c r="AO276" l="1"/>
  <c r="AO294" s="1"/>
  <c r="AM276"/>
  <c r="AM294" s="1"/>
  <c r="AK276"/>
  <c r="AK294" s="1"/>
  <c r="AI276"/>
  <c r="AI294" s="1"/>
  <c r="AG276"/>
  <c r="AG294" s="1"/>
  <c r="AP276"/>
  <c r="AP294" s="1"/>
  <c r="AN276"/>
  <c r="AN294" s="1"/>
  <c r="AL276"/>
  <c r="AL294" s="1"/>
  <c r="AJ276"/>
  <c r="AJ294" s="1"/>
  <c r="AH276"/>
  <c r="AH294" s="1"/>
  <c r="B56"/>
  <c r="AP588" i="7" l="1"/>
  <c r="AO588"/>
  <c r="AN588"/>
  <c r="AM588"/>
  <c r="AL588"/>
  <c r="AK588"/>
  <c r="AJ588"/>
  <c r="AI588"/>
  <c r="AH588"/>
  <c r="AG588"/>
  <c r="AF588"/>
  <c r="AE588"/>
  <c r="AD588"/>
  <c r="AC588"/>
  <c r="AB588"/>
  <c r="AA588"/>
  <c r="Z588"/>
  <c r="Y588"/>
  <c r="X588"/>
  <c r="W588"/>
  <c r="V588"/>
  <c r="U588"/>
  <c r="T588"/>
  <c r="S588"/>
  <c r="R588"/>
  <c r="Q588"/>
  <c r="P588"/>
  <c r="O588"/>
  <c r="N588"/>
  <c r="M588"/>
  <c r="L588"/>
  <c r="K588"/>
  <c r="J588"/>
  <c r="I588"/>
  <c r="H588"/>
  <c r="G588"/>
  <c r="F588"/>
  <c r="E588"/>
  <c r="D588"/>
  <c r="C588"/>
  <c r="AP662" i="2"/>
  <c r="AO662"/>
  <c r="AN662"/>
  <c r="AM662"/>
  <c r="AL662"/>
  <c r="AK662"/>
  <c r="AJ662"/>
  <c r="AI662"/>
  <c r="AH662"/>
  <c r="AG662"/>
  <c r="AF662"/>
  <c r="AE662"/>
  <c r="AD662"/>
  <c r="AC662"/>
  <c r="AB662"/>
  <c r="AA662"/>
  <c r="Z662"/>
  <c r="Y662"/>
  <c r="X662"/>
  <c r="W662"/>
  <c r="V662"/>
  <c r="U662"/>
  <c r="T662"/>
  <c r="S662"/>
  <c r="R662"/>
  <c r="Q662"/>
  <c r="P662"/>
  <c r="O662"/>
  <c r="N662"/>
  <c r="M662"/>
  <c r="L662"/>
  <c r="K662"/>
  <c r="J662"/>
  <c r="I662"/>
  <c r="H662"/>
  <c r="G662"/>
  <c r="F662"/>
  <c r="E662"/>
  <c r="D662"/>
  <c r="C662"/>
  <c r="AP584" i="7"/>
  <c r="AO584"/>
  <c r="AN584"/>
  <c r="AM584"/>
  <c r="AL584"/>
  <c r="AK584"/>
  <c r="AJ584"/>
  <c r="AI584"/>
  <c r="AH584"/>
  <c r="AG584"/>
  <c r="AF584"/>
  <c r="AE584"/>
  <c r="AD584"/>
  <c r="AC584"/>
  <c r="AB584"/>
  <c r="AA584"/>
  <c r="Z584"/>
  <c r="Y584"/>
  <c r="X584"/>
  <c r="W584"/>
  <c r="V584"/>
  <c r="U584"/>
  <c r="T584"/>
  <c r="S584"/>
  <c r="R584"/>
  <c r="Q584"/>
  <c r="P584"/>
  <c r="O584"/>
  <c r="N584"/>
  <c r="M584"/>
  <c r="L584"/>
  <c r="K584"/>
  <c r="J584"/>
  <c r="I584"/>
  <c r="H584"/>
  <c r="G584"/>
  <c r="F584"/>
  <c r="E584"/>
  <c r="D584"/>
  <c r="C584"/>
  <c r="AP658" i="2"/>
  <c r="AO658"/>
  <c r="AN658"/>
  <c r="AM658"/>
  <c r="AL658"/>
  <c r="AK658"/>
  <c r="AJ658"/>
  <c r="AI658"/>
  <c r="AH658"/>
  <c r="AG658"/>
  <c r="AF658"/>
  <c r="AE658"/>
  <c r="AD658"/>
  <c r="AC658"/>
  <c r="AB658"/>
  <c r="AA658"/>
  <c r="Z658"/>
  <c r="Y658"/>
  <c r="X658"/>
  <c r="W658"/>
  <c r="V658"/>
  <c r="U658"/>
  <c r="T658"/>
  <c r="S658"/>
  <c r="R658"/>
  <c r="Q658"/>
  <c r="P658"/>
  <c r="O658"/>
  <c r="N658"/>
  <c r="M658"/>
  <c r="L658"/>
  <c r="K658"/>
  <c r="J658"/>
  <c r="I658"/>
  <c r="H658"/>
  <c r="G658"/>
  <c r="F658"/>
  <c r="E658"/>
  <c r="D658"/>
  <c r="C658"/>
  <c r="AP580" i="7"/>
  <c r="AO580"/>
  <c r="AN580"/>
  <c r="AM580"/>
  <c r="AL580"/>
  <c r="AK580"/>
  <c r="AJ580"/>
  <c r="AI580"/>
  <c r="AH580"/>
  <c r="AG580"/>
  <c r="AF580"/>
  <c r="AE580"/>
  <c r="AD580"/>
  <c r="AC580"/>
  <c r="AB580"/>
  <c r="AA580"/>
  <c r="Z580"/>
  <c r="Y580"/>
  <c r="X580"/>
  <c r="W580"/>
  <c r="V580"/>
  <c r="U580"/>
  <c r="T580"/>
  <c r="S580"/>
  <c r="R580"/>
  <c r="Q580"/>
  <c r="P580"/>
  <c r="O580"/>
  <c r="N580"/>
  <c r="M580"/>
  <c r="L580"/>
  <c r="K580"/>
  <c r="J580"/>
  <c r="I580"/>
  <c r="H580"/>
  <c r="G580"/>
  <c r="F580"/>
  <c r="E580"/>
  <c r="D580"/>
  <c r="C580"/>
  <c r="AP654" i="2"/>
  <c r="AO654"/>
  <c r="AN654"/>
  <c r="AM654"/>
  <c r="AL654"/>
  <c r="AK654"/>
  <c r="AJ654"/>
  <c r="AI654"/>
  <c r="AH654"/>
  <c r="AG654"/>
  <c r="AF654"/>
  <c r="AE654"/>
  <c r="AD654"/>
  <c r="AC654"/>
  <c r="AB654"/>
  <c r="AA654"/>
  <c r="Z654"/>
  <c r="Y654"/>
  <c r="X654"/>
  <c r="W654"/>
  <c r="V654"/>
  <c r="U654"/>
  <c r="T654"/>
  <c r="S654"/>
  <c r="R654"/>
  <c r="Q654"/>
  <c r="P654"/>
  <c r="O654"/>
  <c r="N654"/>
  <c r="M654"/>
  <c r="L654"/>
  <c r="K654"/>
  <c r="J654"/>
  <c r="I654"/>
  <c r="H654"/>
  <c r="G654"/>
  <c r="F654"/>
  <c r="E654"/>
  <c r="D654"/>
  <c r="C654"/>
  <c r="AP576" i="7"/>
  <c r="AO576"/>
  <c r="AN576"/>
  <c r="AM576"/>
  <c r="AL576"/>
  <c r="AK576"/>
  <c r="AJ576"/>
  <c r="AI576"/>
  <c r="AH576"/>
  <c r="AG576"/>
  <c r="AF576"/>
  <c r="AE576"/>
  <c r="AD576"/>
  <c r="AC576"/>
  <c r="AB576"/>
  <c r="AA576"/>
  <c r="Z576"/>
  <c r="Y576"/>
  <c r="X576"/>
  <c r="W576"/>
  <c r="V576"/>
  <c r="U576"/>
  <c r="T576"/>
  <c r="S576"/>
  <c r="R576"/>
  <c r="Q576"/>
  <c r="P576"/>
  <c r="O576"/>
  <c r="N576"/>
  <c r="M576"/>
  <c r="L576"/>
  <c r="K576"/>
  <c r="J576"/>
  <c r="I576"/>
  <c r="H576"/>
  <c r="G576"/>
  <c r="F576"/>
  <c r="E576"/>
  <c r="D576"/>
  <c r="C576"/>
  <c r="AP650" i="2"/>
  <c r="AO650"/>
  <c r="AN650"/>
  <c r="AM650"/>
  <c r="AL650"/>
  <c r="AK650"/>
  <c r="AJ650"/>
  <c r="AI650"/>
  <c r="AH650"/>
  <c r="AG650"/>
  <c r="AF650"/>
  <c r="AE650"/>
  <c r="AD650"/>
  <c r="AC650"/>
  <c r="AB650"/>
  <c r="AA650"/>
  <c r="Z650"/>
  <c r="Y650"/>
  <c r="X650"/>
  <c r="W650"/>
  <c r="V650"/>
  <c r="U650"/>
  <c r="T650"/>
  <c r="S650"/>
  <c r="R650"/>
  <c r="Q650"/>
  <c r="P650"/>
  <c r="O650"/>
  <c r="N650"/>
  <c r="M650"/>
  <c r="L650"/>
  <c r="K650"/>
  <c r="J650"/>
  <c r="I650"/>
  <c r="H650"/>
  <c r="G650"/>
  <c r="F650"/>
  <c r="E650"/>
  <c r="D650"/>
  <c r="C650"/>
  <c r="D78" i="1"/>
  <c r="B203" i="10"/>
  <c r="B204"/>
  <c r="B183"/>
  <c r="B200" s="1"/>
  <c r="B177"/>
  <c r="B194" s="1"/>
  <c r="B162"/>
  <c r="B161"/>
  <c r="AP268"/>
  <c r="AO268"/>
  <c r="AN268"/>
  <c r="AM268"/>
  <c r="AL268"/>
  <c r="AK268"/>
  <c r="AJ268"/>
  <c r="AI268"/>
  <c r="AH268"/>
  <c r="AG268"/>
  <c r="AF268"/>
  <c r="AE268"/>
  <c r="AD268"/>
  <c r="AC268"/>
  <c r="AB268"/>
  <c r="AA268"/>
  <c r="Z268"/>
  <c r="Y268"/>
  <c r="X268"/>
  <c r="W268"/>
  <c r="V268"/>
  <c r="U268"/>
  <c r="T268"/>
  <c r="S268"/>
  <c r="R268"/>
  <c r="Q268"/>
  <c r="P268"/>
  <c r="O268"/>
  <c r="N268"/>
  <c r="M268"/>
  <c r="L268"/>
  <c r="K268"/>
  <c r="J268"/>
  <c r="I268"/>
  <c r="H268"/>
  <c r="G268"/>
  <c r="F268"/>
  <c r="E268"/>
  <c r="D268"/>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P265" i="8"/>
  <c r="AO265"/>
  <c r="AN265"/>
  <c r="AM265"/>
  <c r="AL265"/>
  <c r="AK265"/>
  <c r="AJ265"/>
  <c r="AI265"/>
  <c r="AH265"/>
  <c r="AG265"/>
  <c r="AF265"/>
  <c r="AE265"/>
  <c r="AD265"/>
  <c r="AC265"/>
  <c r="AB265"/>
  <c r="AA265"/>
  <c r="Z265"/>
  <c r="Y265"/>
  <c r="X265"/>
  <c r="W265"/>
  <c r="V265"/>
  <c r="U265"/>
  <c r="T265"/>
  <c r="S265"/>
  <c r="R265"/>
  <c r="Q265"/>
  <c r="P265"/>
  <c r="O265"/>
  <c r="N265"/>
  <c r="M265"/>
  <c r="L265"/>
  <c r="K265"/>
  <c r="J265"/>
  <c r="I265"/>
  <c r="H265"/>
  <c r="G265"/>
  <c r="F265"/>
  <c r="E265"/>
  <c r="D265"/>
  <c r="AP264"/>
  <c r="AO264"/>
  <c r="AN264"/>
  <c r="AM264"/>
  <c r="AL264"/>
  <c r="AK264"/>
  <c r="AJ264"/>
  <c r="AI264"/>
  <c r="AH264"/>
  <c r="AG264"/>
  <c r="AF264"/>
  <c r="AE264"/>
  <c r="AD264"/>
  <c r="AC264"/>
  <c r="AB264"/>
  <c r="AA264"/>
  <c r="Z264"/>
  <c r="Y264"/>
  <c r="X264"/>
  <c r="W264"/>
  <c r="V264"/>
  <c r="U264"/>
  <c r="T264"/>
  <c r="S264"/>
  <c r="R264"/>
  <c r="Q264"/>
  <c r="P264"/>
  <c r="O264"/>
  <c r="N264"/>
  <c r="M264"/>
  <c r="L264"/>
  <c r="K264"/>
  <c r="J264"/>
  <c r="I264"/>
  <c r="H264"/>
  <c r="G264"/>
  <c r="F264"/>
  <c r="E264"/>
  <c r="D264"/>
  <c r="AP263"/>
  <c r="AO263"/>
  <c r="AN263"/>
  <c r="AM263"/>
  <c r="AL263"/>
  <c r="AK263"/>
  <c r="AJ263"/>
  <c r="AI263"/>
  <c r="AH263"/>
  <c r="AG263"/>
  <c r="AF263"/>
  <c r="AE263"/>
  <c r="AD263"/>
  <c r="AC263"/>
  <c r="AB263"/>
  <c r="AA263"/>
  <c r="Z263"/>
  <c r="Y263"/>
  <c r="X263"/>
  <c r="W263"/>
  <c r="V263"/>
  <c r="U263"/>
  <c r="T263"/>
  <c r="S263"/>
  <c r="R263"/>
  <c r="Q263"/>
  <c r="P263"/>
  <c r="O263"/>
  <c r="N263"/>
  <c r="M263"/>
  <c r="L263"/>
  <c r="K263"/>
  <c r="J263"/>
  <c r="I263"/>
  <c r="H263"/>
  <c r="G263"/>
  <c r="F263"/>
  <c r="E263"/>
  <c r="D263"/>
  <c r="AP262"/>
  <c r="AO262"/>
  <c r="AN262"/>
  <c r="AM262"/>
  <c r="AL262"/>
  <c r="AK262"/>
  <c r="AJ262"/>
  <c r="AI262"/>
  <c r="AH262"/>
  <c r="AG262"/>
  <c r="AF262"/>
  <c r="AE262"/>
  <c r="AD262"/>
  <c r="AC262"/>
  <c r="AB262"/>
  <c r="AA262"/>
  <c r="Z262"/>
  <c r="Y262"/>
  <c r="X262"/>
  <c r="W262"/>
  <c r="V262"/>
  <c r="U262"/>
  <c r="T262"/>
  <c r="S262"/>
  <c r="R262"/>
  <c r="Q262"/>
  <c r="P262"/>
  <c r="O262"/>
  <c r="N262"/>
  <c r="M262"/>
  <c r="L262"/>
  <c r="K262"/>
  <c r="J262"/>
  <c r="I262"/>
  <c r="H262"/>
  <c r="G262"/>
  <c r="F262"/>
  <c r="E262"/>
  <c r="D262"/>
  <c r="C265"/>
  <c r="C264"/>
  <c r="C263"/>
  <c r="C262"/>
  <c r="AP229"/>
  <c r="AO229"/>
  <c r="AN229"/>
  <c r="AM229"/>
  <c r="AL229"/>
  <c r="AK229"/>
  <c r="AJ229"/>
  <c r="AI229"/>
  <c r="AH229"/>
  <c r="AG229"/>
  <c r="AF229"/>
  <c r="AE229"/>
  <c r="AD229"/>
  <c r="AC229"/>
  <c r="AB229"/>
  <c r="AA229"/>
  <c r="Z229"/>
  <c r="Y229"/>
  <c r="X229"/>
  <c r="W229"/>
  <c r="V229"/>
  <c r="U229"/>
  <c r="T229"/>
  <c r="S229"/>
  <c r="R229"/>
  <c r="Q229"/>
  <c r="P229"/>
  <c r="O229"/>
  <c r="N229"/>
  <c r="M229"/>
  <c r="L229"/>
  <c r="K229"/>
  <c r="J229"/>
  <c r="I229"/>
  <c r="H229"/>
  <c r="G229"/>
  <c r="F229"/>
  <c r="E229"/>
  <c r="D229"/>
  <c r="AP228"/>
  <c r="AO228"/>
  <c r="AN228"/>
  <c r="AM228"/>
  <c r="AL228"/>
  <c r="AK228"/>
  <c r="AJ228"/>
  <c r="AI228"/>
  <c r="AH228"/>
  <c r="AG228"/>
  <c r="AF228"/>
  <c r="AE228"/>
  <c r="AD228"/>
  <c r="AC228"/>
  <c r="AB228"/>
  <c r="AA228"/>
  <c r="Z228"/>
  <c r="Y228"/>
  <c r="X228"/>
  <c r="W228"/>
  <c r="V228"/>
  <c r="U228"/>
  <c r="T228"/>
  <c r="S228"/>
  <c r="R228"/>
  <c r="Q228"/>
  <c r="P228"/>
  <c r="O228"/>
  <c r="N228"/>
  <c r="M228"/>
  <c r="L228"/>
  <c r="K228"/>
  <c r="J228"/>
  <c r="I228"/>
  <c r="H228"/>
  <c r="G228"/>
  <c r="F228"/>
  <c r="E228"/>
  <c r="D228"/>
  <c r="AP227"/>
  <c r="AO227"/>
  <c r="AN227"/>
  <c r="AM227"/>
  <c r="AL227"/>
  <c r="AK227"/>
  <c r="AJ227"/>
  <c r="AI227"/>
  <c r="AH227"/>
  <c r="AG227"/>
  <c r="AF227"/>
  <c r="AE227"/>
  <c r="AD227"/>
  <c r="AC227"/>
  <c r="AB227"/>
  <c r="AA227"/>
  <c r="Z227"/>
  <c r="Y227"/>
  <c r="X227"/>
  <c r="W227"/>
  <c r="V227"/>
  <c r="U227"/>
  <c r="T227"/>
  <c r="S227"/>
  <c r="R227"/>
  <c r="Q227"/>
  <c r="P227"/>
  <c r="O227"/>
  <c r="N227"/>
  <c r="M227"/>
  <c r="L227"/>
  <c r="K227"/>
  <c r="J227"/>
  <c r="I227"/>
  <c r="H227"/>
  <c r="G227"/>
  <c r="F227"/>
  <c r="E227"/>
  <c r="D227"/>
  <c r="AP226"/>
  <c r="AO226"/>
  <c r="AN226"/>
  <c r="AM226"/>
  <c r="AL226"/>
  <c r="AK226"/>
  <c r="AJ226"/>
  <c r="AI226"/>
  <c r="AH226"/>
  <c r="AG226"/>
  <c r="AF226"/>
  <c r="AE226"/>
  <c r="AD226"/>
  <c r="AC226"/>
  <c r="AB226"/>
  <c r="AA226"/>
  <c r="Z226"/>
  <c r="Y226"/>
  <c r="X226"/>
  <c r="W226"/>
  <c r="V226"/>
  <c r="U226"/>
  <c r="T226"/>
  <c r="S226"/>
  <c r="R226"/>
  <c r="Q226"/>
  <c r="P226"/>
  <c r="O226"/>
  <c r="N226"/>
  <c r="M226"/>
  <c r="L226"/>
  <c r="K226"/>
  <c r="J226"/>
  <c r="I226"/>
  <c r="H226"/>
  <c r="G226"/>
  <c r="F226"/>
  <c r="E226"/>
  <c r="D226"/>
  <c r="C229"/>
  <c r="C228"/>
  <c r="C227"/>
  <c r="C226"/>
  <c r="A711" i="10"/>
  <c r="B669" i="8"/>
  <c r="B707" i="10"/>
  <c r="B709" s="1"/>
  <c r="C11"/>
  <c r="A802"/>
  <c r="A803" s="1"/>
  <c r="A804" s="1"/>
  <c r="A805" s="1"/>
  <c r="A806" s="1"/>
  <c r="A807" s="1"/>
  <c r="A808" s="1"/>
  <c r="A809" s="1"/>
  <c r="A810" s="1"/>
  <c r="A790"/>
  <c r="A791" s="1"/>
  <c r="A792" s="1"/>
  <c r="A793" s="1"/>
  <c r="A794" s="1"/>
  <c r="A795" s="1"/>
  <c r="A796" s="1"/>
  <c r="A797" s="1"/>
  <c r="A798" s="1"/>
  <c r="B785"/>
  <c r="C782" s="1"/>
  <c r="A770"/>
  <c r="A771" s="1"/>
  <c r="A772" s="1"/>
  <c r="A773" s="1"/>
  <c r="A774" s="1"/>
  <c r="A775" s="1"/>
  <c r="A776" s="1"/>
  <c r="A777" s="1"/>
  <c r="A778" s="1"/>
  <c r="A758"/>
  <c r="A759" s="1"/>
  <c r="A760" s="1"/>
  <c r="A761" s="1"/>
  <c r="A762" s="1"/>
  <c r="A763" s="1"/>
  <c r="A764" s="1"/>
  <c r="A765" s="1"/>
  <c r="A766" s="1"/>
  <c r="B753"/>
  <c r="C750" s="1"/>
  <c r="A738"/>
  <c r="A739" s="1"/>
  <c r="A740" s="1"/>
  <c r="A741" s="1"/>
  <c r="A742" s="1"/>
  <c r="A743" s="1"/>
  <c r="A744" s="1"/>
  <c r="A745" s="1"/>
  <c r="A746" s="1"/>
  <c r="A726"/>
  <c r="A727" s="1"/>
  <c r="A728" s="1"/>
  <c r="A729" s="1"/>
  <c r="A730" s="1"/>
  <c r="A731" s="1"/>
  <c r="A732" s="1"/>
  <c r="A733" s="1"/>
  <c r="A734" s="1"/>
  <c r="B721"/>
  <c r="C718" s="1"/>
  <c r="A705"/>
  <c r="A697"/>
  <c r="A693"/>
  <c r="A689"/>
  <c r="A685"/>
  <c r="A681"/>
  <c r="A680"/>
  <c r="A340" s="1"/>
  <c r="A610" s="1"/>
  <c r="A645" s="1"/>
  <c r="A679"/>
  <c r="A339" s="1"/>
  <c r="A609" s="1"/>
  <c r="A644" s="1"/>
  <c r="A678"/>
  <c r="A338" s="1"/>
  <c r="A608" s="1"/>
  <c r="A643" s="1"/>
  <c r="A675"/>
  <c r="A335" s="1"/>
  <c r="A674"/>
  <c r="A334" s="1"/>
  <c r="A673"/>
  <c r="A333" s="1"/>
  <c r="A672"/>
  <c r="A332" s="1"/>
  <c r="A671"/>
  <c r="A331" s="1"/>
  <c r="A601" s="1"/>
  <c r="A636" s="1"/>
  <c r="C669"/>
  <c r="C254" s="1"/>
  <c r="A669"/>
  <c r="A329" s="1"/>
  <c r="A599" s="1"/>
  <c r="A634" s="1"/>
  <c r="C668"/>
  <c r="C253" s="1"/>
  <c r="A668"/>
  <c r="A328" s="1"/>
  <c r="A598" s="1"/>
  <c r="A633" s="1"/>
  <c r="C667"/>
  <c r="C252" s="1"/>
  <c r="A667"/>
  <c r="A327" s="1"/>
  <c r="A597" s="1"/>
  <c r="A632" s="1"/>
  <c r="C666"/>
  <c r="A666"/>
  <c r="A326" s="1"/>
  <c r="A596" s="1"/>
  <c r="A631" s="1"/>
  <c r="A665"/>
  <c r="A325" s="1"/>
  <c r="A648"/>
  <c r="B646"/>
  <c r="B645"/>
  <c r="B644"/>
  <c r="B640"/>
  <c r="B639"/>
  <c r="B638"/>
  <c r="B637"/>
  <c r="B634"/>
  <c r="B633"/>
  <c r="B632"/>
  <c r="B631"/>
  <c r="J626"/>
  <c r="C624"/>
  <c r="C623"/>
  <c r="C622"/>
  <c r="C621"/>
  <c r="C620"/>
  <c r="B611"/>
  <c r="B610"/>
  <c r="B609"/>
  <c r="B608"/>
  <c r="B605"/>
  <c r="B604"/>
  <c r="B603"/>
  <c r="B602"/>
  <c r="B599"/>
  <c r="B598"/>
  <c r="B597"/>
  <c r="B596"/>
  <c r="J591"/>
  <c r="A590"/>
  <c r="A625" s="1"/>
  <c r="C589"/>
  <c r="C588"/>
  <c r="C587"/>
  <c r="C586"/>
  <c r="C585"/>
  <c r="A569"/>
  <c r="A570" s="1"/>
  <c r="A571" s="1"/>
  <c r="A572" s="1"/>
  <c r="A573" s="1"/>
  <c r="A574" s="1"/>
  <c r="A575" s="1"/>
  <c r="A576" s="1"/>
  <c r="A577" s="1"/>
  <c r="A557"/>
  <c r="A558" s="1"/>
  <c r="A559" s="1"/>
  <c r="A560" s="1"/>
  <c r="A561" s="1"/>
  <c r="A562" s="1"/>
  <c r="A563" s="1"/>
  <c r="A564" s="1"/>
  <c r="A565" s="1"/>
  <c r="A543"/>
  <c r="A544" s="1"/>
  <c r="A545" s="1"/>
  <c r="A546" s="1"/>
  <c r="A547" s="1"/>
  <c r="A548" s="1"/>
  <c r="A549" s="1"/>
  <c r="A550" s="1"/>
  <c r="A551" s="1"/>
  <c r="A531"/>
  <c r="A532" s="1"/>
  <c r="A533" s="1"/>
  <c r="A534" s="1"/>
  <c r="A535" s="1"/>
  <c r="A536" s="1"/>
  <c r="A537" s="1"/>
  <c r="A538" s="1"/>
  <c r="A539" s="1"/>
  <c r="A517"/>
  <c r="A518" s="1"/>
  <c r="A519" s="1"/>
  <c r="A520" s="1"/>
  <c r="A521" s="1"/>
  <c r="A522" s="1"/>
  <c r="A523" s="1"/>
  <c r="A524" s="1"/>
  <c r="A525" s="1"/>
  <c r="A505"/>
  <c r="A506" s="1"/>
  <c r="A507" s="1"/>
  <c r="A508" s="1"/>
  <c r="A509" s="1"/>
  <c r="A510" s="1"/>
  <c r="A511" s="1"/>
  <c r="A512" s="1"/>
  <c r="A513" s="1"/>
  <c r="B499"/>
  <c r="B498"/>
  <c r="A477"/>
  <c r="B475"/>
  <c r="B474"/>
  <c r="B473"/>
  <c r="B472"/>
  <c r="B469"/>
  <c r="B468"/>
  <c r="B467"/>
  <c r="B466"/>
  <c r="B463"/>
  <c r="B462"/>
  <c r="B461"/>
  <c r="B460"/>
  <c r="J453"/>
  <c r="G453"/>
  <c r="J452"/>
  <c r="G452"/>
  <c r="J451"/>
  <c r="G451"/>
  <c r="J450"/>
  <c r="G450"/>
  <c r="J449"/>
  <c r="G449"/>
  <c r="G448"/>
  <c r="A434"/>
  <c r="A435" s="1"/>
  <c r="A436" s="1"/>
  <c r="A437" s="1"/>
  <c r="A438" s="1"/>
  <c r="A439" s="1"/>
  <c r="A440" s="1"/>
  <c r="A441" s="1"/>
  <c r="A442" s="1"/>
  <c r="A422"/>
  <c r="A423" s="1"/>
  <c r="A424" s="1"/>
  <c r="A425" s="1"/>
  <c r="A426" s="1"/>
  <c r="A427" s="1"/>
  <c r="A428" s="1"/>
  <c r="A429" s="1"/>
  <c r="A430" s="1"/>
  <c r="A408"/>
  <c r="A409" s="1"/>
  <c r="A410" s="1"/>
  <c r="A411" s="1"/>
  <c r="A412" s="1"/>
  <c r="A413" s="1"/>
  <c r="A414" s="1"/>
  <c r="A415" s="1"/>
  <c r="A416" s="1"/>
  <c r="A396"/>
  <c r="A397" s="1"/>
  <c r="A398" s="1"/>
  <c r="A399" s="1"/>
  <c r="A400" s="1"/>
  <c r="A401" s="1"/>
  <c r="A402" s="1"/>
  <c r="A403" s="1"/>
  <c r="A404" s="1"/>
  <c r="A382"/>
  <c r="A383" s="1"/>
  <c r="A384" s="1"/>
  <c r="A385" s="1"/>
  <c r="A386" s="1"/>
  <c r="A387" s="1"/>
  <c r="A388" s="1"/>
  <c r="A389" s="1"/>
  <c r="A390" s="1"/>
  <c r="A371"/>
  <c r="A372" s="1"/>
  <c r="A373" s="1"/>
  <c r="A374" s="1"/>
  <c r="A375" s="1"/>
  <c r="A376" s="1"/>
  <c r="A377" s="1"/>
  <c r="A378" s="1"/>
  <c r="A379" s="1"/>
  <c r="B365"/>
  <c r="B364"/>
  <c r="A342"/>
  <c r="A612" s="1"/>
  <c r="A647" s="1"/>
  <c r="B341"/>
  <c r="A341"/>
  <c r="A611" s="1"/>
  <c r="A646" s="1"/>
  <c r="B340"/>
  <c r="B339"/>
  <c r="B338"/>
  <c r="A337"/>
  <c r="A336"/>
  <c r="B335"/>
  <c r="B334"/>
  <c r="B333"/>
  <c r="B332"/>
  <c r="A330"/>
  <c r="A600" s="1"/>
  <c r="A635" s="1"/>
  <c r="B329"/>
  <c r="B328"/>
  <c r="B327"/>
  <c r="B326"/>
  <c r="A324"/>
  <c r="A594" s="1"/>
  <c r="A629" s="1"/>
  <c r="J319"/>
  <c r="H319"/>
  <c r="A319"/>
  <c r="J318"/>
  <c r="H318"/>
  <c r="A318"/>
  <c r="A452" s="1"/>
  <c r="J317"/>
  <c r="H317"/>
  <c r="A317"/>
  <c r="J316"/>
  <c r="H316"/>
  <c r="A316"/>
  <c r="A450" s="1"/>
  <c r="J315"/>
  <c r="H315"/>
  <c r="A315"/>
  <c r="H314"/>
  <c r="A314"/>
  <c r="A448" s="1"/>
  <c r="A305"/>
  <c r="A304"/>
  <c r="A303"/>
  <c r="A302"/>
  <c r="A266"/>
  <c r="A265"/>
  <c r="A264"/>
  <c r="A263"/>
  <c r="A262"/>
  <c r="A260"/>
  <c r="A259"/>
  <c r="A258"/>
  <c r="A257"/>
  <c r="A256"/>
  <c r="A254"/>
  <c r="A253"/>
  <c r="A252"/>
  <c r="A251"/>
  <c r="A250"/>
  <c r="A286"/>
  <c r="A285"/>
  <c r="A284"/>
  <c r="A283"/>
  <c r="A237"/>
  <c r="A236"/>
  <c r="A235"/>
  <c r="A234"/>
  <c r="A231"/>
  <c r="A230"/>
  <c r="A229"/>
  <c r="A228"/>
  <c r="A227"/>
  <c r="A225"/>
  <c r="A224"/>
  <c r="A223"/>
  <c r="A222"/>
  <c r="A221"/>
  <c r="B167"/>
  <c r="B159"/>
  <c r="AP138"/>
  <c r="AO138"/>
  <c r="AN138"/>
  <c r="AM138"/>
  <c r="AL138"/>
  <c r="AK138"/>
  <c r="AJ138"/>
  <c r="AI138"/>
  <c r="AH138"/>
  <c r="AG138"/>
  <c r="AF138"/>
  <c r="AE138"/>
  <c r="AD138"/>
  <c r="AC138"/>
  <c r="AB138"/>
  <c r="AA138"/>
  <c r="Z138"/>
  <c r="Y138"/>
  <c r="X138"/>
  <c r="W138"/>
  <c r="V138"/>
  <c r="U138"/>
  <c r="T138"/>
  <c r="S138"/>
  <c r="R138"/>
  <c r="Q138"/>
  <c r="P138"/>
  <c r="O138"/>
  <c r="N138"/>
  <c r="M138"/>
  <c r="L138"/>
  <c r="K138"/>
  <c r="J138"/>
  <c r="I138"/>
  <c r="H138"/>
  <c r="G138"/>
  <c r="F138"/>
  <c r="E138"/>
  <c r="D138"/>
  <c r="C138"/>
  <c r="AP114"/>
  <c r="AO114"/>
  <c r="AN114"/>
  <c r="AM114"/>
  <c r="AL114"/>
  <c r="AK114"/>
  <c r="AJ114"/>
  <c r="AI114"/>
  <c r="AH114"/>
  <c r="AG114"/>
  <c r="AF114"/>
  <c r="AE114"/>
  <c r="AD114"/>
  <c r="AC114"/>
  <c r="AB114"/>
  <c r="AA114"/>
  <c r="Z114"/>
  <c r="Y114"/>
  <c r="X114"/>
  <c r="W114"/>
  <c r="V114"/>
  <c r="U114"/>
  <c r="T114"/>
  <c r="S114"/>
  <c r="R114"/>
  <c r="Q114"/>
  <c r="P114"/>
  <c r="O114"/>
  <c r="N114"/>
  <c r="M114"/>
  <c r="L114"/>
  <c r="K114"/>
  <c r="J114"/>
  <c r="I114"/>
  <c r="H114"/>
  <c r="G114"/>
  <c r="F114"/>
  <c r="E114"/>
  <c r="D114"/>
  <c r="B114"/>
  <c r="AO108"/>
  <c r="AM108"/>
  <c r="AK108"/>
  <c r="AI108"/>
  <c r="AG108"/>
  <c r="AE108"/>
  <c r="AC108"/>
  <c r="AA108"/>
  <c r="Y108"/>
  <c r="W108"/>
  <c r="U108"/>
  <c r="S108"/>
  <c r="Q108"/>
  <c r="O108"/>
  <c r="M108"/>
  <c r="K108"/>
  <c r="I108"/>
  <c r="G108"/>
  <c r="E108"/>
  <c r="C108"/>
  <c r="AP93"/>
  <c r="AO93"/>
  <c r="AN93"/>
  <c r="AM93"/>
  <c r="AL93"/>
  <c r="AK93"/>
  <c r="AJ93"/>
  <c r="AI93"/>
  <c r="AH93"/>
  <c r="AG93"/>
  <c r="AF93"/>
  <c r="AE93"/>
  <c r="AD93"/>
  <c r="AC93"/>
  <c r="AB93"/>
  <c r="AA93"/>
  <c r="Z93"/>
  <c r="Y93"/>
  <c r="X93"/>
  <c r="W93"/>
  <c r="V93"/>
  <c r="U93"/>
  <c r="T93"/>
  <c r="S93"/>
  <c r="R93"/>
  <c r="Q93"/>
  <c r="P93"/>
  <c r="O93"/>
  <c r="N93"/>
  <c r="M93"/>
  <c r="L93"/>
  <c r="K93"/>
  <c r="J93"/>
  <c r="I93"/>
  <c r="H93"/>
  <c r="G93"/>
  <c r="F93"/>
  <c r="E93"/>
  <c r="D93"/>
  <c r="C93"/>
  <c r="B67"/>
  <c r="B66"/>
  <c r="B65"/>
  <c r="B62"/>
  <c r="B61"/>
  <c r="B60"/>
  <c r="B50"/>
  <c r="AP38"/>
  <c r="AO38"/>
  <c r="AN38"/>
  <c r="AM38"/>
  <c r="AL38"/>
  <c r="AK38"/>
  <c r="AJ38"/>
  <c r="AI38"/>
  <c r="AH38"/>
  <c r="AG38"/>
  <c r="AF38"/>
  <c r="AE38"/>
  <c r="AD38"/>
  <c r="AC38"/>
  <c r="AB38"/>
  <c r="AA38"/>
  <c r="Z38"/>
  <c r="Y38"/>
  <c r="X38"/>
  <c r="W38"/>
  <c r="V38"/>
  <c r="U38"/>
  <c r="T38"/>
  <c r="S38"/>
  <c r="R38"/>
  <c r="Q38"/>
  <c r="P38"/>
  <c r="O38"/>
  <c r="N38"/>
  <c r="M38"/>
  <c r="L38"/>
  <c r="K38"/>
  <c r="J38"/>
  <c r="I38"/>
  <c r="H38"/>
  <c r="G38"/>
  <c r="F38"/>
  <c r="E38"/>
  <c r="D38"/>
  <c r="C38"/>
  <c r="D36"/>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P34"/>
  <c r="AO34"/>
  <c r="AN34"/>
  <c r="AM34"/>
  <c r="AL34"/>
  <c r="AK34"/>
  <c r="AJ34"/>
  <c r="AI34"/>
  <c r="AH34"/>
  <c r="AG34"/>
  <c r="AF34"/>
  <c r="AE34"/>
  <c r="AD34"/>
  <c r="AC34"/>
  <c r="AB34"/>
  <c r="AA34"/>
  <c r="Z34"/>
  <c r="Y34"/>
  <c r="X34"/>
  <c r="W34"/>
  <c r="V34"/>
  <c r="U34"/>
  <c r="T34"/>
  <c r="S34"/>
  <c r="R34"/>
  <c r="Q34"/>
  <c r="P34"/>
  <c r="O34"/>
  <c r="N34"/>
  <c r="M34"/>
  <c r="L34"/>
  <c r="K34"/>
  <c r="J34"/>
  <c r="I34"/>
  <c r="H34"/>
  <c r="G34"/>
  <c r="F34"/>
  <c r="E34"/>
  <c r="D34"/>
  <c r="A17"/>
  <c r="A16"/>
  <c r="A15"/>
  <c r="A14"/>
  <c r="C2"/>
  <c r="C41" s="1"/>
  <c r="C183" s="1"/>
  <c r="C200" s="1"/>
  <c r="B49" i="8"/>
  <c r="B78" i="1"/>
  <c r="B174" i="8"/>
  <c r="B173"/>
  <c r="C670" i="10" l="1"/>
  <c r="C73"/>
  <c r="C94"/>
  <c r="E73"/>
  <c r="E94"/>
  <c r="G73"/>
  <c r="G94"/>
  <c r="I73"/>
  <c r="I94"/>
  <c r="K73"/>
  <c r="K94"/>
  <c r="M73"/>
  <c r="M94"/>
  <c r="O73"/>
  <c r="O94"/>
  <c r="Q73"/>
  <c r="Q94"/>
  <c r="S73"/>
  <c r="S94"/>
  <c r="U73"/>
  <c r="U94"/>
  <c r="W73"/>
  <c r="W94"/>
  <c r="Y73"/>
  <c r="Y94"/>
  <c r="AA73"/>
  <c r="AA94"/>
  <c r="AC73"/>
  <c r="AC94"/>
  <c r="AE73"/>
  <c r="AE94"/>
  <c r="AG73"/>
  <c r="AG94"/>
  <c r="AI73"/>
  <c r="AI94"/>
  <c r="AK73"/>
  <c r="AK94"/>
  <c r="AM73"/>
  <c r="AM94"/>
  <c r="AO73"/>
  <c r="AO94"/>
  <c r="D73"/>
  <c r="D94"/>
  <c r="F73"/>
  <c r="F94"/>
  <c r="H73"/>
  <c r="H94"/>
  <c r="J73"/>
  <c r="J94"/>
  <c r="L73"/>
  <c r="L94"/>
  <c r="N73"/>
  <c r="N94"/>
  <c r="P73"/>
  <c r="P94"/>
  <c r="R73"/>
  <c r="R94"/>
  <c r="T73"/>
  <c r="T94"/>
  <c r="V73"/>
  <c r="V94"/>
  <c r="X73"/>
  <c r="X94"/>
  <c r="Z73"/>
  <c r="Z94"/>
  <c r="AB73"/>
  <c r="AB94"/>
  <c r="AD73"/>
  <c r="AD94"/>
  <c r="AF73"/>
  <c r="AF94"/>
  <c r="AH73"/>
  <c r="AH94"/>
  <c r="AJ73"/>
  <c r="AJ94"/>
  <c r="AL73"/>
  <c r="AL94"/>
  <c r="AN73"/>
  <c r="AN94"/>
  <c r="AP73"/>
  <c r="AP94"/>
  <c r="C686"/>
  <c r="C690"/>
  <c r="C694"/>
  <c r="C698"/>
  <c r="B814"/>
  <c r="B330"/>
  <c r="C224"/>
  <c r="C225"/>
  <c r="C222"/>
  <c r="C223"/>
  <c r="C714"/>
  <c r="C181" s="1"/>
  <c r="C198" s="1"/>
  <c r="B336"/>
  <c r="B342"/>
  <c r="E321" s="1"/>
  <c r="B58"/>
  <c r="C251"/>
  <c r="C255" s="1"/>
  <c r="D11"/>
  <c r="B68"/>
  <c r="B163"/>
  <c r="H321"/>
  <c r="B464"/>
  <c r="B470"/>
  <c r="B476"/>
  <c r="E455" s="1"/>
  <c r="B600"/>
  <c r="B606"/>
  <c r="B612"/>
  <c r="F591" s="1"/>
  <c r="B635"/>
  <c r="B641"/>
  <c r="A347"/>
  <c r="A354" s="1"/>
  <c r="G455"/>
  <c r="C810"/>
  <c r="C809"/>
  <c r="C808"/>
  <c r="C807"/>
  <c r="C806"/>
  <c r="C805"/>
  <c r="C804"/>
  <c r="C803"/>
  <c r="C798"/>
  <c r="C430" s="1"/>
  <c r="C797"/>
  <c r="C429" s="1"/>
  <c r="C796"/>
  <c r="C428" s="1"/>
  <c r="C795"/>
  <c r="C427" s="1"/>
  <c r="C794"/>
  <c r="C426" s="1"/>
  <c r="C793"/>
  <c r="C425" s="1"/>
  <c r="C792"/>
  <c r="C791"/>
  <c r="C423" s="1"/>
  <c r="C802"/>
  <c r="C790"/>
  <c r="C422" s="1"/>
  <c r="C766"/>
  <c r="C404" s="1"/>
  <c r="C765"/>
  <c r="C403" s="1"/>
  <c r="C764"/>
  <c r="C402" s="1"/>
  <c r="C763"/>
  <c r="C401" s="1"/>
  <c r="C762"/>
  <c r="C400" s="1"/>
  <c r="C761"/>
  <c r="C399" s="1"/>
  <c r="C760"/>
  <c r="C398" s="1"/>
  <c r="C789"/>
  <c r="C421" s="1"/>
  <c r="C778"/>
  <c r="C777"/>
  <c r="C776"/>
  <c r="C775"/>
  <c r="C774"/>
  <c r="C773"/>
  <c r="C772"/>
  <c r="C771"/>
  <c r="C770"/>
  <c r="C759"/>
  <c r="C397" s="1"/>
  <c r="C734"/>
  <c r="C379" s="1"/>
  <c r="C733"/>
  <c r="C378" s="1"/>
  <c r="C732"/>
  <c r="C377" s="1"/>
  <c r="C731"/>
  <c r="C376" s="1"/>
  <c r="C730"/>
  <c r="C375" s="1"/>
  <c r="C729"/>
  <c r="C374" s="1"/>
  <c r="C758"/>
  <c r="C396" s="1"/>
  <c r="C757"/>
  <c r="C395" s="1"/>
  <c r="C746"/>
  <c r="C745"/>
  <c r="C744"/>
  <c r="C743"/>
  <c r="C742"/>
  <c r="C741"/>
  <c r="C740"/>
  <c r="C739"/>
  <c r="C738"/>
  <c r="C728"/>
  <c r="C373" s="1"/>
  <c r="C726"/>
  <c r="C371" s="1"/>
  <c r="C725"/>
  <c r="C370" s="1"/>
  <c r="C659"/>
  <c r="C660" s="1"/>
  <c r="C653"/>
  <c r="C654" s="1"/>
  <c r="C727"/>
  <c r="C372" s="1"/>
  <c r="C708"/>
  <c r="C180" s="1"/>
  <c r="C197" s="1"/>
  <c r="C486"/>
  <c r="C485"/>
  <c r="C484"/>
  <c r="C483"/>
  <c r="C482"/>
  <c r="C481"/>
  <c r="C365"/>
  <c r="C499"/>
  <c r="C424"/>
  <c r="C352"/>
  <c r="C351"/>
  <c r="C350"/>
  <c r="C349"/>
  <c r="C348"/>
  <c r="C347"/>
  <c r="D2"/>
  <c r="C177"/>
  <c r="C194"/>
  <c r="E177"/>
  <c r="E194"/>
  <c r="G177"/>
  <c r="G194"/>
  <c r="I177"/>
  <c r="I194"/>
  <c r="K177"/>
  <c r="K194"/>
  <c r="M177"/>
  <c r="M194"/>
  <c r="O177"/>
  <c r="O194"/>
  <c r="Q177"/>
  <c r="Q194"/>
  <c r="S177"/>
  <c r="S194"/>
  <c r="U177"/>
  <c r="U194"/>
  <c r="W177"/>
  <c r="W194"/>
  <c r="Y177"/>
  <c r="Y194"/>
  <c r="AA177"/>
  <c r="AA194"/>
  <c r="AC177"/>
  <c r="AC194"/>
  <c r="AE177"/>
  <c r="AE194"/>
  <c r="AG177"/>
  <c r="AG194"/>
  <c r="AI177"/>
  <c r="AI194"/>
  <c r="AK177"/>
  <c r="AK194"/>
  <c r="AM177"/>
  <c r="AM194"/>
  <c r="AO177"/>
  <c r="AO194"/>
  <c r="C19"/>
  <c r="C23"/>
  <c r="C25"/>
  <c r="C26"/>
  <c r="C30"/>
  <c r="B205"/>
  <c r="A607"/>
  <c r="A642" s="1"/>
  <c r="A471"/>
  <c r="D108"/>
  <c r="F108"/>
  <c r="H108"/>
  <c r="J108"/>
  <c r="L108"/>
  <c r="N108"/>
  <c r="P108"/>
  <c r="R108"/>
  <c r="T108"/>
  <c r="V108"/>
  <c r="X108"/>
  <c r="Z108"/>
  <c r="AB108"/>
  <c r="AD108"/>
  <c r="AF108"/>
  <c r="AH108"/>
  <c r="AJ108"/>
  <c r="AL108"/>
  <c r="AN108"/>
  <c r="AP108"/>
  <c r="B118"/>
  <c r="A584"/>
  <c r="A619" s="1"/>
  <c r="A481"/>
  <c r="A488" s="1"/>
  <c r="A449"/>
  <c r="A348"/>
  <c r="A355" s="1"/>
  <c r="A586"/>
  <c r="A621" s="1"/>
  <c r="A483"/>
  <c r="A490" s="1"/>
  <c r="A451"/>
  <c r="A350"/>
  <c r="A357" s="1"/>
  <c r="A588"/>
  <c r="A623" s="1"/>
  <c r="A485"/>
  <c r="A492" s="1"/>
  <c r="A453"/>
  <c r="A352"/>
  <c r="A359" s="1"/>
  <c r="A595"/>
  <c r="A630" s="1"/>
  <c r="A459"/>
  <c r="A602"/>
  <c r="A637" s="1"/>
  <c r="A466"/>
  <c r="A603"/>
  <c r="A638" s="1"/>
  <c r="A467"/>
  <c r="A604"/>
  <c r="A639" s="1"/>
  <c r="A468"/>
  <c r="A605"/>
  <c r="A640" s="1"/>
  <c r="A469"/>
  <c r="A606"/>
  <c r="A641" s="1"/>
  <c r="A470"/>
  <c r="B122"/>
  <c r="A349"/>
  <c r="A356" s="1"/>
  <c r="A351"/>
  <c r="A358" s="1"/>
  <c r="A458"/>
  <c r="A460"/>
  <c r="A461"/>
  <c r="A462"/>
  <c r="A463"/>
  <c r="A464"/>
  <c r="A465"/>
  <c r="A472"/>
  <c r="A473"/>
  <c r="A474"/>
  <c r="A475"/>
  <c r="A476"/>
  <c r="C706"/>
  <c r="C11" i="8"/>
  <c r="C85" i="10" l="1"/>
  <c r="C86" s="1"/>
  <c r="C56"/>
  <c r="D41"/>
  <c r="D183" s="1"/>
  <c r="D200" s="1"/>
  <c r="D698"/>
  <c r="D694"/>
  <c r="D690"/>
  <c r="D686"/>
  <c r="B75"/>
  <c r="B179"/>
  <c r="B196" s="1"/>
  <c r="C141"/>
  <c r="C153" s="1"/>
  <c r="C245"/>
  <c r="C217"/>
  <c r="E591"/>
  <c r="D321"/>
  <c r="C58"/>
  <c r="B477"/>
  <c r="C59"/>
  <c r="B343"/>
  <c r="C226"/>
  <c r="C709"/>
  <c r="D706" s="1"/>
  <c r="C27"/>
  <c r="E626"/>
  <c r="D455"/>
  <c r="E11"/>
  <c r="D714"/>
  <c r="D181" s="1"/>
  <c r="D198" s="1"/>
  <c r="B613"/>
  <c r="C366"/>
  <c r="A589"/>
  <c r="A624" s="1"/>
  <c r="A486"/>
  <c r="A493" s="1"/>
  <c r="A587"/>
  <c r="A622" s="1"/>
  <c r="A484"/>
  <c r="A491" s="1"/>
  <c r="A585"/>
  <c r="A620" s="1"/>
  <c r="A482"/>
  <c r="A489" s="1"/>
  <c r="AP194"/>
  <c r="AP177"/>
  <c r="AL194"/>
  <c r="AL177"/>
  <c r="AH194"/>
  <c r="AH177"/>
  <c r="AD194"/>
  <c r="AD177"/>
  <c r="Z194"/>
  <c r="Z177"/>
  <c r="V194"/>
  <c r="V177"/>
  <c r="R194"/>
  <c r="R177"/>
  <c r="N194"/>
  <c r="N177"/>
  <c r="J194"/>
  <c r="J177"/>
  <c r="F194"/>
  <c r="F177"/>
  <c r="C507"/>
  <c r="C511"/>
  <c r="C531"/>
  <c r="C535"/>
  <c r="C539"/>
  <c r="C559"/>
  <c r="C563"/>
  <c r="C504"/>
  <c r="C508"/>
  <c r="C512"/>
  <c r="C532"/>
  <c r="C536"/>
  <c r="C556"/>
  <c r="C560"/>
  <c r="C564"/>
  <c r="C767"/>
  <c r="C752" s="1"/>
  <c r="C66" s="1"/>
  <c r="AN194"/>
  <c r="AN177"/>
  <c r="AJ194"/>
  <c r="AJ177"/>
  <c r="AF194"/>
  <c r="AF177"/>
  <c r="AB194"/>
  <c r="AB177"/>
  <c r="X194"/>
  <c r="X177"/>
  <c r="T194"/>
  <c r="T177"/>
  <c r="P194"/>
  <c r="P177"/>
  <c r="L194"/>
  <c r="L177"/>
  <c r="H194"/>
  <c r="H177"/>
  <c r="D194"/>
  <c r="D177"/>
  <c r="D810"/>
  <c r="D809"/>
  <c r="D808"/>
  <c r="D807"/>
  <c r="D806"/>
  <c r="D805"/>
  <c r="D804"/>
  <c r="D803"/>
  <c r="D802"/>
  <c r="D798"/>
  <c r="D797"/>
  <c r="D429" s="1"/>
  <c r="D796"/>
  <c r="D428" s="1"/>
  <c r="D795"/>
  <c r="D427" s="1"/>
  <c r="D794"/>
  <c r="D426" s="1"/>
  <c r="D793"/>
  <c r="D425" s="1"/>
  <c r="D792"/>
  <c r="D424" s="1"/>
  <c r="D791"/>
  <c r="D423" s="1"/>
  <c r="D790"/>
  <c r="D422" s="1"/>
  <c r="D789"/>
  <c r="D421" s="1"/>
  <c r="D778"/>
  <c r="D777"/>
  <c r="D776"/>
  <c r="D775"/>
  <c r="D774"/>
  <c r="D773"/>
  <c r="D772"/>
  <c r="D771"/>
  <c r="D770"/>
  <c r="D766"/>
  <c r="D404" s="1"/>
  <c r="D765"/>
  <c r="D403" s="1"/>
  <c r="D764"/>
  <c r="D763"/>
  <c r="D401" s="1"/>
  <c r="D762"/>
  <c r="D400" s="1"/>
  <c r="D761"/>
  <c r="D399" s="1"/>
  <c r="D760"/>
  <c r="D398" s="1"/>
  <c r="D759"/>
  <c r="D397" s="1"/>
  <c r="D758"/>
  <c r="D396" s="1"/>
  <c r="D757"/>
  <c r="D395" s="1"/>
  <c r="D746"/>
  <c r="D745"/>
  <c r="D744"/>
  <c r="D743"/>
  <c r="D742"/>
  <c r="D741"/>
  <c r="D740"/>
  <c r="D739"/>
  <c r="D738"/>
  <c r="D734"/>
  <c r="D379" s="1"/>
  <c r="D733"/>
  <c r="D378" s="1"/>
  <c r="D732"/>
  <c r="D377" s="1"/>
  <c r="D731"/>
  <c r="D376" s="1"/>
  <c r="D730"/>
  <c r="D375" s="1"/>
  <c r="D729"/>
  <c r="D374" s="1"/>
  <c r="D728"/>
  <c r="D373" s="1"/>
  <c r="D727"/>
  <c r="D372" s="1"/>
  <c r="D726"/>
  <c r="D371" s="1"/>
  <c r="D708"/>
  <c r="D725"/>
  <c r="D659"/>
  <c r="D660" s="1"/>
  <c r="D653"/>
  <c r="D654" s="1"/>
  <c r="D499"/>
  <c r="D430"/>
  <c r="D402"/>
  <c r="D352"/>
  <c r="D351"/>
  <c r="D350"/>
  <c r="D349"/>
  <c r="D348"/>
  <c r="D347"/>
  <c r="D486"/>
  <c r="D485"/>
  <c r="D484"/>
  <c r="D483"/>
  <c r="D482"/>
  <c r="D481"/>
  <c r="D365"/>
  <c r="C34"/>
  <c r="E2"/>
  <c r="D30"/>
  <c r="D26"/>
  <c r="D25"/>
  <c r="D23"/>
  <c r="D19"/>
  <c r="C505"/>
  <c r="C509"/>
  <c r="C513"/>
  <c r="C533"/>
  <c r="C537"/>
  <c r="C557"/>
  <c r="C561"/>
  <c r="C565"/>
  <c r="C506"/>
  <c r="C510"/>
  <c r="C530"/>
  <c r="C534"/>
  <c r="C538"/>
  <c r="C558"/>
  <c r="C562"/>
  <c r="C735"/>
  <c r="C720" s="1"/>
  <c r="C799"/>
  <c r="C784" s="1"/>
  <c r="C67" s="1"/>
  <c r="A758" i="8"/>
  <c r="A759" s="1"/>
  <c r="A760" s="1"/>
  <c r="A761" s="1"/>
  <c r="A762" s="1"/>
  <c r="A763" s="1"/>
  <c r="A764" s="1"/>
  <c r="A765" s="1"/>
  <c r="A766" s="1"/>
  <c r="A746"/>
  <c r="A747" s="1"/>
  <c r="A748" s="1"/>
  <c r="A749" s="1"/>
  <c r="A750" s="1"/>
  <c r="A751" s="1"/>
  <c r="A752" s="1"/>
  <c r="A753" s="1"/>
  <c r="A754" s="1"/>
  <c r="B741"/>
  <c r="C738" s="1"/>
  <c r="A726"/>
  <c r="A727" s="1"/>
  <c r="A728" s="1"/>
  <c r="A729" s="1"/>
  <c r="A730" s="1"/>
  <c r="A731" s="1"/>
  <c r="A732" s="1"/>
  <c r="A733" s="1"/>
  <c r="A734" s="1"/>
  <c r="A714"/>
  <c r="A715" s="1"/>
  <c r="A716" s="1"/>
  <c r="A717" s="1"/>
  <c r="A718" s="1"/>
  <c r="A719" s="1"/>
  <c r="A720" s="1"/>
  <c r="A721" s="1"/>
  <c r="A722" s="1"/>
  <c r="B709"/>
  <c r="C706" s="1"/>
  <c r="A694"/>
  <c r="A695" s="1"/>
  <c r="A696" s="1"/>
  <c r="A697" s="1"/>
  <c r="A698" s="1"/>
  <c r="A699" s="1"/>
  <c r="A700" s="1"/>
  <c r="A701" s="1"/>
  <c r="A702" s="1"/>
  <c r="A682"/>
  <c r="A683" s="1"/>
  <c r="A684" s="1"/>
  <c r="A685" s="1"/>
  <c r="A686" s="1"/>
  <c r="A687" s="1"/>
  <c r="A688" s="1"/>
  <c r="A689" s="1"/>
  <c r="A690" s="1"/>
  <c r="B677"/>
  <c r="C674" s="1"/>
  <c r="B671"/>
  <c r="A667"/>
  <c r="A659"/>
  <c r="A655"/>
  <c r="A651"/>
  <c r="A647"/>
  <c r="A643"/>
  <c r="A642"/>
  <c r="A302" s="1"/>
  <c r="A641"/>
  <c r="A640"/>
  <c r="A300" s="1"/>
  <c r="A637"/>
  <c r="A636"/>
  <c r="A296" s="1"/>
  <c r="A635"/>
  <c r="A634"/>
  <c r="A294" s="1"/>
  <c r="A633"/>
  <c r="A293" s="1"/>
  <c r="C631"/>
  <c r="C211" s="1"/>
  <c r="A631"/>
  <c r="C630"/>
  <c r="C210" s="1"/>
  <c r="A630"/>
  <c r="C629"/>
  <c r="C209" s="1"/>
  <c r="A629"/>
  <c r="C628"/>
  <c r="A628"/>
  <c r="A627"/>
  <c r="A287" s="1"/>
  <c r="A610"/>
  <c r="B608"/>
  <c r="B607"/>
  <c r="B606"/>
  <c r="B602"/>
  <c r="B601"/>
  <c r="B600"/>
  <c r="B599"/>
  <c r="B596"/>
  <c r="B595"/>
  <c r="B594"/>
  <c r="B593"/>
  <c r="J588"/>
  <c r="C586"/>
  <c r="C585"/>
  <c r="C584"/>
  <c r="C583"/>
  <c r="C582"/>
  <c r="B573"/>
  <c r="B572"/>
  <c r="B571"/>
  <c r="B570"/>
  <c r="B567"/>
  <c r="B566"/>
  <c r="B565"/>
  <c r="B564"/>
  <c r="B561"/>
  <c r="B560"/>
  <c r="B559"/>
  <c r="B558"/>
  <c r="J553"/>
  <c r="A552"/>
  <c r="A587" s="1"/>
  <c r="C551"/>
  <c r="C550"/>
  <c r="C549"/>
  <c r="C548"/>
  <c r="C547"/>
  <c r="A531"/>
  <c r="A532" s="1"/>
  <c r="A533" s="1"/>
  <c r="A534" s="1"/>
  <c r="A535" s="1"/>
  <c r="A536" s="1"/>
  <c r="A537" s="1"/>
  <c r="A538" s="1"/>
  <c r="A539" s="1"/>
  <c r="A519"/>
  <c r="A520" s="1"/>
  <c r="A521" s="1"/>
  <c r="A522" s="1"/>
  <c r="A523" s="1"/>
  <c r="A524" s="1"/>
  <c r="A525" s="1"/>
  <c r="A526" s="1"/>
  <c r="A527" s="1"/>
  <c r="A505"/>
  <c r="A506" s="1"/>
  <c r="A507" s="1"/>
  <c r="A508" s="1"/>
  <c r="A509" s="1"/>
  <c r="A510" s="1"/>
  <c r="A511" s="1"/>
  <c r="A512" s="1"/>
  <c r="A513" s="1"/>
  <c r="A493"/>
  <c r="A494" s="1"/>
  <c r="A495" s="1"/>
  <c r="A496" s="1"/>
  <c r="A497" s="1"/>
  <c r="A498" s="1"/>
  <c r="A499" s="1"/>
  <c r="A500" s="1"/>
  <c r="A501" s="1"/>
  <c r="A479"/>
  <c r="A480" s="1"/>
  <c r="A481" s="1"/>
  <c r="A482" s="1"/>
  <c r="A483" s="1"/>
  <c r="A484" s="1"/>
  <c r="A485" s="1"/>
  <c r="A486" s="1"/>
  <c r="A487" s="1"/>
  <c r="A467"/>
  <c r="A468" s="1"/>
  <c r="A469" s="1"/>
  <c r="A470" s="1"/>
  <c r="A471" s="1"/>
  <c r="A472" s="1"/>
  <c r="A473" s="1"/>
  <c r="A474" s="1"/>
  <c r="A475" s="1"/>
  <c r="B461"/>
  <c r="B460"/>
  <c r="A439"/>
  <c r="B437"/>
  <c r="B436"/>
  <c r="B435"/>
  <c r="B434"/>
  <c r="B431"/>
  <c r="B430"/>
  <c r="B429"/>
  <c r="B428"/>
  <c r="B425"/>
  <c r="B424"/>
  <c r="B423"/>
  <c r="B422"/>
  <c r="J415"/>
  <c r="G415"/>
  <c r="J414"/>
  <c r="G414"/>
  <c r="J413"/>
  <c r="G413"/>
  <c r="J412"/>
  <c r="G412"/>
  <c r="J411"/>
  <c r="G411"/>
  <c r="G410"/>
  <c r="A396"/>
  <c r="A397" s="1"/>
  <c r="A398" s="1"/>
  <c r="A399" s="1"/>
  <c r="A400" s="1"/>
  <c r="A401" s="1"/>
  <c r="A402" s="1"/>
  <c r="A403" s="1"/>
  <c r="A404" s="1"/>
  <c r="A384"/>
  <c r="A385" s="1"/>
  <c r="A386" s="1"/>
  <c r="A387" s="1"/>
  <c r="A388" s="1"/>
  <c r="A389" s="1"/>
  <c r="A390" s="1"/>
  <c r="A391" s="1"/>
  <c r="A392" s="1"/>
  <c r="A370"/>
  <c r="A371" s="1"/>
  <c r="A372" s="1"/>
  <c r="A373" s="1"/>
  <c r="A374" s="1"/>
  <c r="A375" s="1"/>
  <c r="A376" s="1"/>
  <c r="A377" s="1"/>
  <c r="A378" s="1"/>
  <c r="A358"/>
  <c r="A359" s="1"/>
  <c r="A360" s="1"/>
  <c r="A361" s="1"/>
  <c r="A362" s="1"/>
  <c r="A363" s="1"/>
  <c r="A364" s="1"/>
  <c r="A365" s="1"/>
  <c r="A366" s="1"/>
  <c r="A344"/>
  <c r="A345" s="1"/>
  <c r="A346" s="1"/>
  <c r="A347" s="1"/>
  <c r="A348" s="1"/>
  <c r="A349" s="1"/>
  <c r="A350" s="1"/>
  <c r="A351" s="1"/>
  <c r="A352" s="1"/>
  <c r="A333"/>
  <c r="A334" s="1"/>
  <c r="A335" s="1"/>
  <c r="A336" s="1"/>
  <c r="A337" s="1"/>
  <c r="A338" s="1"/>
  <c r="A339" s="1"/>
  <c r="A340" s="1"/>
  <c r="A341" s="1"/>
  <c r="B327"/>
  <c r="B326"/>
  <c r="A304"/>
  <c r="B303"/>
  <c r="A303"/>
  <c r="B302"/>
  <c r="B301"/>
  <c r="A301"/>
  <c r="B300"/>
  <c r="A299"/>
  <c r="A298"/>
  <c r="B297"/>
  <c r="A297"/>
  <c r="B296"/>
  <c r="B295"/>
  <c r="A295"/>
  <c r="B294"/>
  <c r="A292"/>
  <c r="B291"/>
  <c r="A291"/>
  <c r="B290"/>
  <c r="A290"/>
  <c r="B289"/>
  <c r="A289"/>
  <c r="B288"/>
  <c r="B292" s="1"/>
  <c r="A288"/>
  <c r="A286"/>
  <c r="J281"/>
  <c r="H281"/>
  <c r="A281"/>
  <c r="A415" s="1"/>
  <c r="J280"/>
  <c r="H280"/>
  <c r="A280"/>
  <c r="A414" s="1"/>
  <c r="J279"/>
  <c r="H279"/>
  <c r="A279"/>
  <c r="A413" s="1"/>
  <c r="J278"/>
  <c r="H278"/>
  <c r="A278"/>
  <c r="A412" s="1"/>
  <c r="J277"/>
  <c r="H277"/>
  <c r="A277"/>
  <c r="A411" s="1"/>
  <c r="H276"/>
  <c r="A276"/>
  <c r="A410" s="1"/>
  <c r="A265"/>
  <c r="A264"/>
  <c r="A263"/>
  <c r="A262"/>
  <c r="A261"/>
  <c r="A259"/>
  <c r="A258"/>
  <c r="A257"/>
  <c r="A256"/>
  <c r="A255"/>
  <c r="A253"/>
  <c r="A252"/>
  <c r="A251"/>
  <c r="A250"/>
  <c r="A249"/>
  <c r="C247"/>
  <c r="A247"/>
  <c r="C246"/>
  <c r="A246"/>
  <c r="C245"/>
  <c r="A245"/>
  <c r="C244"/>
  <c r="A244"/>
  <c r="A243"/>
  <c r="A242"/>
  <c r="A229"/>
  <c r="A228"/>
  <c r="A227"/>
  <c r="A226"/>
  <c r="A225"/>
  <c r="A223"/>
  <c r="A222"/>
  <c r="A221"/>
  <c r="A220"/>
  <c r="A219"/>
  <c r="A217"/>
  <c r="A216"/>
  <c r="A215"/>
  <c r="A214"/>
  <c r="A213"/>
  <c r="A211"/>
  <c r="A210"/>
  <c r="A209"/>
  <c r="A208"/>
  <c r="A207"/>
  <c r="A206"/>
  <c r="AP187"/>
  <c r="AO187"/>
  <c r="AN187"/>
  <c r="AM187"/>
  <c r="AL187"/>
  <c r="AK187"/>
  <c r="AJ187"/>
  <c r="AI187"/>
  <c r="AH187"/>
  <c r="AG187"/>
  <c r="AF187"/>
  <c r="AE187"/>
  <c r="AD187"/>
  <c r="AC187"/>
  <c r="AB187"/>
  <c r="AA187"/>
  <c r="Z187"/>
  <c r="Y187"/>
  <c r="X187"/>
  <c r="W187"/>
  <c r="V187"/>
  <c r="U187"/>
  <c r="T187"/>
  <c r="S187"/>
  <c r="R187"/>
  <c r="Q187"/>
  <c r="P187"/>
  <c r="O187"/>
  <c r="N187"/>
  <c r="M187"/>
  <c r="L187"/>
  <c r="K187"/>
  <c r="J187"/>
  <c r="I187"/>
  <c r="H187"/>
  <c r="G187"/>
  <c r="F187"/>
  <c r="E187"/>
  <c r="D187"/>
  <c r="C187"/>
  <c r="B178"/>
  <c r="B177"/>
  <c r="B139"/>
  <c r="B134"/>
  <c r="B133"/>
  <c r="B131"/>
  <c r="B117"/>
  <c r="AP116"/>
  <c r="AO116"/>
  <c r="AN116"/>
  <c r="AM116"/>
  <c r="AL116"/>
  <c r="AK116"/>
  <c r="AJ116"/>
  <c r="AI116"/>
  <c r="AH116"/>
  <c r="AG116"/>
  <c r="AF116"/>
  <c r="AE116"/>
  <c r="AD116"/>
  <c r="AC116"/>
  <c r="AB116"/>
  <c r="AA116"/>
  <c r="Z116"/>
  <c r="Y116"/>
  <c r="X116"/>
  <c r="W116"/>
  <c r="V116"/>
  <c r="U116"/>
  <c r="T116"/>
  <c r="S116"/>
  <c r="R116"/>
  <c r="Q116"/>
  <c r="P116"/>
  <c r="O116"/>
  <c r="N116"/>
  <c r="M116"/>
  <c r="L116"/>
  <c r="K116"/>
  <c r="J116"/>
  <c r="I116"/>
  <c r="H116"/>
  <c r="G116"/>
  <c r="F116"/>
  <c r="E116"/>
  <c r="D116"/>
  <c r="C116"/>
  <c r="B99"/>
  <c r="B190" s="1"/>
  <c r="B98"/>
  <c r="B189" s="1"/>
  <c r="B95"/>
  <c r="B182" s="1"/>
  <c r="B94"/>
  <c r="B181" s="1"/>
  <c r="AP92"/>
  <c r="AO92"/>
  <c r="AN92"/>
  <c r="AM92"/>
  <c r="AL92"/>
  <c r="AK92"/>
  <c r="AJ92"/>
  <c r="AI92"/>
  <c r="AH92"/>
  <c r="AG92"/>
  <c r="AF92"/>
  <c r="AE92"/>
  <c r="AD92"/>
  <c r="AC92"/>
  <c r="AB92"/>
  <c r="AA92"/>
  <c r="Z92"/>
  <c r="Y92"/>
  <c r="X92"/>
  <c r="W92"/>
  <c r="V92"/>
  <c r="U92"/>
  <c r="T92"/>
  <c r="S92"/>
  <c r="R92"/>
  <c r="Q92"/>
  <c r="P92"/>
  <c r="O92"/>
  <c r="N92"/>
  <c r="M92"/>
  <c r="L92"/>
  <c r="K92"/>
  <c r="J92"/>
  <c r="I92"/>
  <c r="H92"/>
  <c r="G92"/>
  <c r="F92"/>
  <c r="E92"/>
  <c r="D92"/>
  <c r="B92"/>
  <c r="AP77"/>
  <c r="AP86" s="1"/>
  <c r="AO77"/>
  <c r="AN77"/>
  <c r="AN86" s="1"/>
  <c r="AM77"/>
  <c r="AL77"/>
  <c r="AL86" s="1"/>
  <c r="AK77"/>
  <c r="AJ77"/>
  <c r="AJ86" s="1"/>
  <c r="AI77"/>
  <c r="AH77"/>
  <c r="AG77"/>
  <c r="AF77"/>
  <c r="AE77"/>
  <c r="AD77"/>
  <c r="AC77"/>
  <c r="AB77"/>
  <c r="AA77"/>
  <c r="Z77"/>
  <c r="Y77"/>
  <c r="X77"/>
  <c r="W77"/>
  <c r="V77"/>
  <c r="U77"/>
  <c r="T77"/>
  <c r="S77"/>
  <c r="R77"/>
  <c r="Q77"/>
  <c r="P77"/>
  <c r="O77"/>
  <c r="N77"/>
  <c r="M77"/>
  <c r="L77"/>
  <c r="K77"/>
  <c r="J77"/>
  <c r="I77"/>
  <c r="H77"/>
  <c r="G77"/>
  <c r="F77"/>
  <c r="E77"/>
  <c r="D77"/>
  <c r="C77"/>
  <c r="AP70"/>
  <c r="AO70"/>
  <c r="AN70"/>
  <c r="AM70"/>
  <c r="AL70"/>
  <c r="AK70"/>
  <c r="AJ70"/>
  <c r="AI70"/>
  <c r="AH70"/>
  <c r="AG70"/>
  <c r="AF70"/>
  <c r="AE70"/>
  <c r="AD70"/>
  <c r="AC70"/>
  <c r="AB70"/>
  <c r="AA70"/>
  <c r="Z70"/>
  <c r="Y70"/>
  <c r="X70"/>
  <c r="W70"/>
  <c r="V70"/>
  <c r="U70"/>
  <c r="T70"/>
  <c r="S70"/>
  <c r="R70"/>
  <c r="Q70"/>
  <c r="P70"/>
  <c r="O70"/>
  <c r="N70"/>
  <c r="M70"/>
  <c r="L70"/>
  <c r="K70"/>
  <c r="J70"/>
  <c r="I70"/>
  <c r="H70"/>
  <c r="G70"/>
  <c r="F70"/>
  <c r="E70"/>
  <c r="D70"/>
  <c r="C70"/>
  <c r="B62"/>
  <c r="B61"/>
  <c r="B60"/>
  <c r="B57"/>
  <c r="B56"/>
  <c r="B55"/>
  <c r="B54"/>
  <c r="AP38"/>
  <c r="AO38"/>
  <c r="AN38"/>
  <c r="AM38"/>
  <c r="AL38"/>
  <c r="AK38"/>
  <c r="AJ38"/>
  <c r="AI38"/>
  <c r="AH38"/>
  <c r="AG38"/>
  <c r="AF38"/>
  <c r="AE38"/>
  <c r="AD38"/>
  <c r="AC38"/>
  <c r="AB38"/>
  <c r="AA38"/>
  <c r="Z38"/>
  <c r="Y38"/>
  <c r="X38"/>
  <c r="W38"/>
  <c r="V38"/>
  <c r="U38"/>
  <c r="T38"/>
  <c r="S38"/>
  <c r="R38"/>
  <c r="Q38"/>
  <c r="P38"/>
  <c r="O38"/>
  <c r="N38"/>
  <c r="M38"/>
  <c r="L38"/>
  <c r="K38"/>
  <c r="J38"/>
  <c r="I38"/>
  <c r="H38"/>
  <c r="G38"/>
  <c r="F38"/>
  <c r="E38"/>
  <c r="D38"/>
  <c r="C38"/>
  <c r="D36"/>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P34"/>
  <c r="AO34"/>
  <c r="AN34"/>
  <c r="AM34"/>
  <c r="AL34"/>
  <c r="AK34"/>
  <c r="AJ34"/>
  <c r="AI34"/>
  <c r="AH34"/>
  <c r="AG34"/>
  <c r="AF34"/>
  <c r="AE34"/>
  <c r="AD34"/>
  <c r="AC34"/>
  <c r="AB34"/>
  <c r="AA34"/>
  <c r="Z34"/>
  <c r="Y34"/>
  <c r="X34"/>
  <c r="W34"/>
  <c r="V34"/>
  <c r="U34"/>
  <c r="T34"/>
  <c r="S34"/>
  <c r="R34"/>
  <c r="Q34"/>
  <c r="P34"/>
  <c r="O34"/>
  <c r="N34"/>
  <c r="M34"/>
  <c r="L34"/>
  <c r="K34"/>
  <c r="J34"/>
  <c r="I34"/>
  <c r="H34"/>
  <c r="G34"/>
  <c r="F34"/>
  <c r="E34"/>
  <c r="D34"/>
  <c r="A17"/>
  <c r="A16"/>
  <c r="A15"/>
  <c r="A14"/>
  <c r="C2"/>
  <c r="B629" i="7"/>
  <c r="B631" s="1"/>
  <c r="C628" s="1"/>
  <c r="AP625"/>
  <c r="AO625"/>
  <c r="AN625"/>
  <c r="AM625"/>
  <c r="AL625"/>
  <c r="AK625"/>
  <c r="AJ625"/>
  <c r="AI625"/>
  <c r="AH625"/>
  <c r="AG625"/>
  <c r="AF625"/>
  <c r="AE625"/>
  <c r="AD625"/>
  <c r="AC625"/>
  <c r="AB625"/>
  <c r="AA625"/>
  <c r="Z625"/>
  <c r="Y625"/>
  <c r="X625"/>
  <c r="W625"/>
  <c r="AP624"/>
  <c r="AO624"/>
  <c r="AN624"/>
  <c r="AM624"/>
  <c r="AL624"/>
  <c r="AK624"/>
  <c r="AJ624"/>
  <c r="AI624"/>
  <c r="AH624"/>
  <c r="AG624"/>
  <c r="AF624"/>
  <c r="AE624"/>
  <c r="AD624"/>
  <c r="AC624"/>
  <c r="AB624"/>
  <c r="AA624"/>
  <c r="Z624"/>
  <c r="Y624"/>
  <c r="X624"/>
  <c r="W624"/>
  <c r="U624"/>
  <c r="T624"/>
  <c r="S624"/>
  <c r="R624"/>
  <c r="Q624"/>
  <c r="P624"/>
  <c r="O624"/>
  <c r="M624"/>
  <c r="L624"/>
  <c r="K624"/>
  <c r="J624"/>
  <c r="I624"/>
  <c r="H624"/>
  <c r="G624"/>
  <c r="F624"/>
  <c r="E624"/>
  <c r="D624"/>
  <c r="C624"/>
  <c r="V623"/>
  <c r="W623"/>
  <c r="X623"/>
  <c r="Y623"/>
  <c r="Z623"/>
  <c r="AA623"/>
  <c r="AB623"/>
  <c r="AC623"/>
  <c r="AD623"/>
  <c r="AE623"/>
  <c r="AF623"/>
  <c r="AG623"/>
  <c r="AH623"/>
  <c r="AI623"/>
  <c r="AJ623"/>
  <c r="AK623"/>
  <c r="AL623"/>
  <c r="AM623"/>
  <c r="AN623"/>
  <c r="AO623"/>
  <c r="AP623"/>
  <c r="E78" i="1"/>
  <c r="A3" i="6"/>
  <c r="A4" s="1"/>
  <c r="A5" s="1"/>
  <c r="C11" i="7"/>
  <c r="A718"/>
  <c r="A719" s="1"/>
  <c r="A720" s="1"/>
  <c r="A721" s="1"/>
  <c r="A722" s="1"/>
  <c r="A723" s="1"/>
  <c r="A724" s="1"/>
  <c r="A725" s="1"/>
  <c r="A726" s="1"/>
  <c r="A706"/>
  <c r="A707" s="1"/>
  <c r="A708" s="1"/>
  <c r="A709" s="1"/>
  <c r="A710" s="1"/>
  <c r="A711" s="1"/>
  <c r="A712" s="1"/>
  <c r="A713" s="1"/>
  <c r="A714" s="1"/>
  <c r="B701"/>
  <c r="C698" s="1"/>
  <c r="A686"/>
  <c r="A687" s="1"/>
  <c r="A688" s="1"/>
  <c r="A689" s="1"/>
  <c r="A690" s="1"/>
  <c r="A691" s="1"/>
  <c r="A692" s="1"/>
  <c r="A693" s="1"/>
  <c r="A694" s="1"/>
  <c r="A674"/>
  <c r="A675" s="1"/>
  <c r="A676" s="1"/>
  <c r="A677" s="1"/>
  <c r="A678" s="1"/>
  <c r="A679" s="1"/>
  <c r="A680" s="1"/>
  <c r="A681" s="1"/>
  <c r="A682" s="1"/>
  <c r="B669"/>
  <c r="C666" s="1"/>
  <c r="A654"/>
  <c r="A655" s="1"/>
  <c r="A656" s="1"/>
  <c r="A657" s="1"/>
  <c r="A658" s="1"/>
  <c r="A659" s="1"/>
  <c r="A660" s="1"/>
  <c r="A661" s="1"/>
  <c r="A662" s="1"/>
  <c r="A642"/>
  <c r="A643" s="1"/>
  <c r="A644" s="1"/>
  <c r="A645" s="1"/>
  <c r="A646" s="1"/>
  <c r="A647" s="1"/>
  <c r="A648" s="1"/>
  <c r="A649" s="1"/>
  <c r="A650" s="1"/>
  <c r="B637"/>
  <c r="C634" s="1"/>
  <c r="A627"/>
  <c r="A587"/>
  <c r="A583"/>
  <c r="A579"/>
  <c r="A575"/>
  <c r="A571"/>
  <c r="A570"/>
  <c r="A230" s="1"/>
  <c r="A569"/>
  <c r="A229" s="1"/>
  <c r="A568"/>
  <c r="A228" s="1"/>
  <c r="A565"/>
  <c r="A225" s="1"/>
  <c r="A564"/>
  <c r="A224" s="1"/>
  <c r="A563"/>
  <c r="A223" s="1"/>
  <c r="A562"/>
  <c r="A222" s="1"/>
  <c r="A561"/>
  <c r="A221" s="1"/>
  <c r="C559"/>
  <c r="C138" s="1"/>
  <c r="A559"/>
  <c r="A219" s="1"/>
  <c r="C558"/>
  <c r="C137" s="1"/>
  <c r="A558"/>
  <c r="A218" s="1"/>
  <c r="C557"/>
  <c r="C136" s="1"/>
  <c r="A557"/>
  <c r="A217" s="1"/>
  <c r="C556"/>
  <c r="A556"/>
  <c r="A216" s="1"/>
  <c r="A555"/>
  <c r="A215" s="1"/>
  <c r="A538"/>
  <c r="B536"/>
  <c r="B535"/>
  <c r="B534"/>
  <c r="B530"/>
  <c r="B529"/>
  <c r="B528"/>
  <c r="B527"/>
  <c r="B524"/>
  <c r="B523"/>
  <c r="B522"/>
  <c r="B521"/>
  <c r="J516"/>
  <c r="C514"/>
  <c r="C513"/>
  <c r="C512"/>
  <c r="C511"/>
  <c r="C510"/>
  <c r="B501"/>
  <c r="B500"/>
  <c r="B499"/>
  <c r="B498"/>
  <c r="B495"/>
  <c r="B494"/>
  <c r="B493"/>
  <c r="B492"/>
  <c r="B489"/>
  <c r="B488"/>
  <c r="B487"/>
  <c r="B486"/>
  <c r="J481"/>
  <c r="A480"/>
  <c r="A515" s="1"/>
  <c r="C479"/>
  <c r="C478"/>
  <c r="C477"/>
  <c r="C476"/>
  <c r="C475"/>
  <c r="A459"/>
  <c r="A460" s="1"/>
  <c r="A461" s="1"/>
  <c r="A462" s="1"/>
  <c r="A463" s="1"/>
  <c r="A464" s="1"/>
  <c r="A465" s="1"/>
  <c r="A466" s="1"/>
  <c r="A467" s="1"/>
  <c r="A447"/>
  <c r="A448" s="1"/>
  <c r="A449" s="1"/>
  <c r="A450" s="1"/>
  <c r="A451" s="1"/>
  <c r="A452" s="1"/>
  <c r="A453" s="1"/>
  <c r="A454" s="1"/>
  <c r="A455" s="1"/>
  <c r="A433"/>
  <c r="A434" s="1"/>
  <c r="A435" s="1"/>
  <c r="A436" s="1"/>
  <c r="A437" s="1"/>
  <c r="A438" s="1"/>
  <c r="A439" s="1"/>
  <c r="A440" s="1"/>
  <c r="A441" s="1"/>
  <c r="A421"/>
  <c r="A422" s="1"/>
  <c r="A423" s="1"/>
  <c r="A424" s="1"/>
  <c r="A425" s="1"/>
  <c r="A426" s="1"/>
  <c r="A427" s="1"/>
  <c r="A428" s="1"/>
  <c r="A429" s="1"/>
  <c r="A407"/>
  <c r="A408" s="1"/>
  <c r="A409" s="1"/>
  <c r="A410" s="1"/>
  <c r="A411" s="1"/>
  <c r="A412" s="1"/>
  <c r="A413" s="1"/>
  <c r="A414" s="1"/>
  <c r="A415" s="1"/>
  <c r="A395"/>
  <c r="A396" s="1"/>
  <c r="A397" s="1"/>
  <c r="A398" s="1"/>
  <c r="A399" s="1"/>
  <c r="A400" s="1"/>
  <c r="A401" s="1"/>
  <c r="A402" s="1"/>
  <c r="A403" s="1"/>
  <c r="B389"/>
  <c r="B388"/>
  <c r="A367"/>
  <c r="B365"/>
  <c r="B364"/>
  <c r="B363"/>
  <c r="B362"/>
  <c r="B359"/>
  <c r="B358"/>
  <c r="B357"/>
  <c r="B356"/>
  <c r="B353"/>
  <c r="B352"/>
  <c r="B351"/>
  <c r="B350"/>
  <c r="J343"/>
  <c r="G343"/>
  <c r="J342"/>
  <c r="G342"/>
  <c r="J341"/>
  <c r="G341"/>
  <c r="J340"/>
  <c r="G340"/>
  <c r="J339"/>
  <c r="G339"/>
  <c r="G338"/>
  <c r="A324"/>
  <c r="A325" s="1"/>
  <c r="A326" s="1"/>
  <c r="A327" s="1"/>
  <c r="A328" s="1"/>
  <c r="A329" s="1"/>
  <c r="A330" s="1"/>
  <c r="A331" s="1"/>
  <c r="A332" s="1"/>
  <c r="A312"/>
  <c r="A313" s="1"/>
  <c r="A314" s="1"/>
  <c r="A315" s="1"/>
  <c r="A316" s="1"/>
  <c r="A317" s="1"/>
  <c r="A318" s="1"/>
  <c r="A319" s="1"/>
  <c r="A320" s="1"/>
  <c r="A298"/>
  <c r="A299" s="1"/>
  <c r="A300" s="1"/>
  <c r="A301" s="1"/>
  <c r="A302" s="1"/>
  <c r="A303" s="1"/>
  <c r="A304" s="1"/>
  <c r="A305" s="1"/>
  <c r="A306" s="1"/>
  <c r="A286"/>
  <c r="A287" s="1"/>
  <c r="A288" s="1"/>
  <c r="A289" s="1"/>
  <c r="A290" s="1"/>
  <c r="A291" s="1"/>
  <c r="A292" s="1"/>
  <c r="A293" s="1"/>
  <c r="A294" s="1"/>
  <c r="A272"/>
  <c r="A273" s="1"/>
  <c r="A274" s="1"/>
  <c r="A275" s="1"/>
  <c r="A276" s="1"/>
  <c r="A277" s="1"/>
  <c r="A278" s="1"/>
  <c r="A279" s="1"/>
  <c r="A280" s="1"/>
  <c r="A261"/>
  <c r="A262" s="1"/>
  <c r="A263" s="1"/>
  <c r="A264" s="1"/>
  <c r="A265" s="1"/>
  <c r="A266" s="1"/>
  <c r="A267" s="1"/>
  <c r="A268" s="1"/>
  <c r="A269" s="1"/>
  <c r="B255"/>
  <c r="B254"/>
  <c r="A232"/>
  <c r="B231"/>
  <c r="A231"/>
  <c r="B230"/>
  <c r="B229"/>
  <c r="B228"/>
  <c r="A227"/>
  <c r="A226"/>
  <c r="B225"/>
  <c r="B224"/>
  <c r="B223"/>
  <c r="B222"/>
  <c r="A220"/>
  <c r="B219"/>
  <c r="B218"/>
  <c r="B217"/>
  <c r="B216"/>
  <c r="A214"/>
  <c r="J209"/>
  <c r="H209"/>
  <c r="A209"/>
  <c r="A343" s="1"/>
  <c r="J208"/>
  <c r="H208"/>
  <c r="A208"/>
  <c r="A342" s="1"/>
  <c r="J207"/>
  <c r="H207"/>
  <c r="A207"/>
  <c r="A341" s="1"/>
  <c r="J206"/>
  <c r="H206"/>
  <c r="A206"/>
  <c r="A340" s="1"/>
  <c r="J205"/>
  <c r="H205"/>
  <c r="A205"/>
  <c r="A339" s="1"/>
  <c r="H204"/>
  <c r="A204"/>
  <c r="A338" s="1"/>
  <c r="A193"/>
  <c r="A192"/>
  <c r="A191"/>
  <c r="A190"/>
  <c r="A189"/>
  <c r="A187"/>
  <c r="A186"/>
  <c r="A185"/>
  <c r="A184"/>
  <c r="A183"/>
  <c r="A181"/>
  <c r="A180"/>
  <c r="A179"/>
  <c r="A178"/>
  <c r="A177"/>
  <c r="A175"/>
  <c r="A174"/>
  <c r="A173"/>
  <c r="A172"/>
  <c r="A171"/>
  <c r="A170"/>
  <c r="A156"/>
  <c r="A155"/>
  <c r="A154"/>
  <c r="A153"/>
  <c r="A152"/>
  <c r="A150"/>
  <c r="A149"/>
  <c r="A148"/>
  <c r="A147"/>
  <c r="A146"/>
  <c r="A144"/>
  <c r="A143"/>
  <c r="A142"/>
  <c r="A141"/>
  <c r="A140"/>
  <c r="A138"/>
  <c r="A137"/>
  <c r="A136"/>
  <c r="A135"/>
  <c r="A134"/>
  <c r="A133"/>
  <c r="B108"/>
  <c r="B107"/>
  <c r="B104"/>
  <c r="B103"/>
  <c r="AP101"/>
  <c r="AO101"/>
  <c r="AN101"/>
  <c r="AM101"/>
  <c r="AL101"/>
  <c r="AK101"/>
  <c r="AJ101"/>
  <c r="AI101"/>
  <c r="AH101"/>
  <c r="AG101"/>
  <c r="AF101"/>
  <c r="AE101"/>
  <c r="AD101"/>
  <c r="AC101"/>
  <c r="AB101"/>
  <c r="AA101"/>
  <c r="Z101"/>
  <c r="Y101"/>
  <c r="X101"/>
  <c r="W101"/>
  <c r="V101"/>
  <c r="U101"/>
  <c r="T101"/>
  <c r="S101"/>
  <c r="R101"/>
  <c r="Q101"/>
  <c r="P101"/>
  <c r="O101"/>
  <c r="N101"/>
  <c r="M101"/>
  <c r="L101"/>
  <c r="K101"/>
  <c r="J101"/>
  <c r="I101"/>
  <c r="H101"/>
  <c r="G101"/>
  <c r="F101"/>
  <c r="E101"/>
  <c r="D101"/>
  <c r="B101"/>
  <c r="AP86"/>
  <c r="AP95" s="1"/>
  <c r="AO86"/>
  <c r="AN86"/>
  <c r="AN95" s="1"/>
  <c r="AM86"/>
  <c r="AL86"/>
  <c r="AL95" s="1"/>
  <c r="AK86"/>
  <c r="AJ86"/>
  <c r="AJ95" s="1"/>
  <c r="AI86"/>
  <c r="AH86"/>
  <c r="AH95" s="1"/>
  <c r="AG86"/>
  <c r="AF86"/>
  <c r="AF95" s="1"/>
  <c r="AE86"/>
  <c r="AD86"/>
  <c r="AD95" s="1"/>
  <c r="AC86"/>
  <c r="AB86"/>
  <c r="AB95" s="1"/>
  <c r="AA86"/>
  <c r="Z86"/>
  <c r="Z95" s="1"/>
  <c r="Y86"/>
  <c r="X86"/>
  <c r="X95" s="1"/>
  <c r="W86"/>
  <c r="V86"/>
  <c r="V95" s="1"/>
  <c r="U86"/>
  <c r="T86"/>
  <c r="T95" s="1"/>
  <c r="S86"/>
  <c r="R86"/>
  <c r="R95" s="1"/>
  <c r="Q86"/>
  <c r="P86"/>
  <c r="P95" s="1"/>
  <c r="O86"/>
  <c r="N86"/>
  <c r="N95" s="1"/>
  <c r="M86"/>
  <c r="L86"/>
  <c r="L95" s="1"/>
  <c r="K86"/>
  <c r="J86"/>
  <c r="J95" s="1"/>
  <c r="I86"/>
  <c r="H86"/>
  <c r="H95" s="1"/>
  <c r="G86"/>
  <c r="F86"/>
  <c r="F95" s="1"/>
  <c r="E86"/>
  <c r="D86"/>
  <c r="D95" s="1"/>
  <c r="C86"/>
  <c r="AP78"/>
  <c r="AO78"/>
  <c r="AN78"/>
  <c r="AM78"/>
  <c r="AL78"/>
  <c r="AK78"/>
  <c r="AJ78"/>
  <c r="AI78"/>
  <c r="AH78"/>
  <c r="AG78"/>
  <c r="AF78"/>
  <c r="AE78"/>
  <c r="AD78"/>
  <c r="AC78"/>
  <c r="AB78"/>
  <c r="AA78"/>
  <c r="Z78"/>
  <c r="Y78"/>
  <c r="X78"/>
  <c r="W78"/>
  <c r="V78"/>
  <c r="U78"/>
  <c r="T78"/>
  <c r="S78"/>
  <c r="R78"/>
  <c r="Q78"/>
  <c r="P78"/>
  <c r="O78"/>
  <c r="N78"/>
  <c r="M78"/>
  <c r="L78"/>
  <c r="K78"/>
  <c r="J78"/>
  <c r="I78"/>
  <c r="H78"/>
  <c r="G78"/>
  <c r="F78"/>
  <c r="E78"/>
  <c r="D78"/>
  <c r="C78"/>
  <c r="B70"/>
  <c r="B69"/>
  <c r="B68"/>
  <c r="B65"/>
  <c r="B64"/>
  <c r="B63"/>
  <c r="B62"/>
  <c r="B53"/>
  <c r="B56" s="1"/>
  <c r="AP38"/>
  <c r="AO38"/>
  <c r="AN38"/>
  <c r="AM38"/>
  <c r="AL38"/>
  <c r="AK38"/>
  <c r="AJ38"/>
  <c r="AI38"/>
  <c r="AH38"/>
  <c r="AG38"/>
  <c r="AF38"/>
  <c r="AE38"/>
  <c r="AD38"/>
  <c r="AC38"/>
  <c r="AB38"/>
  <c r="AA38"/>
  <c r="Z38"/>
  <c r="Y38"/>
  <c r="X38"/>
  <c r="W38"/>
  <c r="V38"/>
  <c r="U38"/>
  <c r="T38"/>
  <c r="S38"/>
  <c r="R38"/>
  <c r="Q38"/>
  <c r="P38"/>
  <c r="O38"/>
  <c r="N38"/>
  <c r="M38"/>
  <c r="L38"/>
  <c r="K38"/>
  <c r="J38"/>
  <c r="I38"/>
  <c r="H38"/>
  <c r="G38"/>
  <c r="F38"/>
  <c r="E38"/>
  <c r="D38"/>
  <c r="C38"/>
  <c r="D36"/>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P34"/>
  <c r="AO34"/>
  <c r="AN34"/>
  <c r="AM34"/>
  <c r="AL34"/>
  <c r="AK34"/>
  <c r="AJ34"/>
  <c r="AI34"/>
  <c r="AH34"/>
  <c r="AG34"/>
  <c r="AF34"/>
  <c r="AE34"/>
  <c r="AD34"/>
  <c r="AC34"/>
  <c r="AB34"/>
  <c r="AA34"/>
  <c r="Z34"/>
  <c r="Y34"/>
  <c r="X34"/>
  <c r="W34"/>
  <c r="V34"/>
  <c r="U34"/>
  <c r="T34"/>
  <c r="S34"/>
  <c r="R34"/>
  <c r="Q34"/>
  <c r="P34"/>
  <c r="O34"/>
  <c r="N34"/>
  <c r="M34"/>
  <c r="L34"/>
  <c r="K34"/>
  <c r="J34"/>
  <c r="I34"/>
  <c r="H34"/>
  <c r="G34"/>
  <c r="F34"/>
  <c r="E34"/>
  <c r="D34"/>
  <c r="AP17"/>
  <c r="AO17"/>
  <c r="AN17"/>
  <c r="AM17"/>
  <c r="AL17"/>
  <c r="AK17"/>
  <c r="AJ17"/>
  <c r="AI17"/>
  <c r="AH17"/>
  <c r="AG17"/>
  <c r="AF17"/>
  <c r="AE17"/>
  <c r="AD17"/>
  <c r="AC17"/>
  <c r="AB17"/>
  <c r="AA17"/>
  <c r="Z17"/>
  <c r="Y17"/>
  <c r="X17"/>
  <c r="W17"/>
  <c r="V17"/>
  <c r="U17"/>
  <c r="T17"/>
  <c r="S17"/>
  <c r="R17"/>
  <c r="Q17"/>
  <c r="P17"/>
  <c r="O17"/>
  <c r="N17"/>
  <c r="M17"/>
  <c r="L17"/>
  <c r="K17"/>
  <c r="J17"/>
  <c r="I17"/>
  <c r="H17"/>
  <c r="G17"/>
  <c r="F17"/>
  <c r="E17"/>
  <c r="D17"/>
  <c r="C17"/>
  <c r="A17"/>
  <c r="A52" s="1"/>
  <c r="AP16"/>
  <c r="AO16"/>
  <c r="AN16"/>
  <c r="AM16"/>
  <c r="AL16"/>
  <c r="AK16"/>
  <c r="AJ16"/>
  <c r="AI16"/>
  <c r="AH16"/>
  <c r="AG16"/>
  <c r="AF16"/>
  <c r="AE16"/>
  <c r="AD16"/>
  <c r="AC16"/>
  <c r="AB16"/>
  <c r="AA16"/>
  <c r="Z16"/>
  <c r="Y16"/>
  <c r="X16"/>
  <c r="W16"/>
  <c r="V16"/>
  <c r="U16"/>
  <c r="T16"/>
  <c r="S16"/>
  <c r="R16"/>
  <c r="Q16"/>
  <c r="P16"/>
  <c r="O16"/>
  <c r="N16"/>
  <c r="M16"/>
  <c r="L16"/>
  <c r="K16"/>
  <c r="J16"/>
  <c r="I16"/>
  <c r="H16"/>
  <c r="G16"/>
  <c r="F16"/>
  <c r="E16"/>
  <c r="D16"/>
  <c r="C16"/>
  <c r="A16"/>
  <c r="A51" s="1"/>
  <c r="AP15"/>
  <c r="AO15"/>
  <c r="AN15"/>
  <c r="AM15"/>
  <c r="AL15"/>
  <c r="AK15"/>
  <c r="AJ15"/>
  <c r="AI15"/>
  <c r="AH15"/>
  <c r="AG15"/>
  <c r="AF15"/>
  <c r="AE15"/>
  <c r="AD15"/>
  <c r="AC15"/>
  <c r="AB15"/>
  <c r="AA15"/>
  <c r="Z15"/>
  <c r="Y15"/>
  <c r="X15"/>
  <c r="W15"/>
  <c r="V15"/>
  <c r="U15"/>
  <c r="T15"/>
  <c r="S15"/>
  <c r="R15"/>
  <c r="Q15"/>
  <c r="P15"/>
  <c r="O15"/>
  <c r="N15"/>
  <c r="M15"/>
  <c r="L15"/>
  <c r="K15"/>
  <c r="J15"/>
  <c r="I15"/>
  <c r="H15"/>
  <c r="G15"/>
  <c r="F15"/>
  <c r="E15"/>
  <c r="D15"/>
  <c r="C15"/>
  <c r="A15"/>
  <c r="A50" s="1"/>
  <c r="A14"/>
  <c r="A49" s="1"/>
  <c r="D2"/>
  <c r="E11" s="1"/>
  <c r="C2"/>
  <c r="C600" s="1"/>
  <c r="AP187" i="2"/>
  <c r="AO187"/>
  <c r="AN187"/>
  <c r="AM187"/>
  <c r="AL187"/>
  <c r="AK187"/>
  <c r="AJ187"/>
  <c r="AI187"/>
  <c r="AH187"/>
  <c r="AG187"/>
  <c r="AF187"/>
  <c r="AE187"/>
  <c r="AD187"/>
  <c r="AC187"/>
  <c r="AB187"/>
  <c r="AA187"/>
  <c r="Z187"/>
  <c r="Y187"/>
  <c r="X187"/>
  <c r="W187"/>
  <c r="V187"/>
  <c r="U187"/>
  <c r="T187"/>
  <c r="S187"/>
  <c r="R187"/>
  <c r="Q187"/>
  <c r="P187"/>
  <c r="O187"/>
  <c r="N187"/>
  <c r="M187"/>
  <c r="L187"/>
  <c r="K187"/>
  <c r="J187"/>
  <c r="I187"/>
  <c r="H187"/>
  <c r="G187"/>
  <c r="F187"/>
  <c r="E187"/>
  <c r="D187"/>
  <c r="C187"/>
  <c r="M5" i="1"/>
  <c r="M6" s="1"/>
  <c r="M7" s="1"/>
  <c r="M8" s="1"/>
  <c r="M9" s="1"/>
  <c r="M10" s="1"/>
  <c r="M11" s="1"/>
  <c r="M12" s="1"/>
  <c r="M13" s="1"/>
  <c r="M14" s="1"/>
  <c r="M15" s="1"/>
  <c r="M16" s="1"/>
  <c r="M17" s="1"/>
  <c r="M18" s="1"/>
  <c r="M19" s="1"/>
  <c r="M20" s="1"/>
  <c r="M21" s="1"/>
  <c r="M22" s="1"/>
  <c r="M23" s="1"/>
  <c r="M24" s="1"/>
  <c r="M25" s="1"/>
  <c r="M26" s="1"/>
  <c r="M27" s="1"/>
  <c r="M28" s="1"/>
  <c r="M29" s="1"/>
  <c r="M30" s="1"/>
  <c r="M31" s="1"/>
  <c r="M32" s="1"/>
  <c r="M33" s="1"/>
  <c r="M34" s="1"/>
  <c r="M35" s="1"/>
  <c r="M36" s="1"/>
  <c r="M37" s="1"/>
  <c r="M38" s="1"/>
  <c r="M39" s="1"/>
  <c r="M40" s="1"/>
  <c r="M41" s="1"/>
  <c r="M42" s="1"/>
  <c r="M43" s="1"/>
  <c r="B614" i="10" l="1"/>
  <c r="C560" i="7"/>
  <c r="C248" i="8"/>
  <c r="C632"/>
  <c r="D56" i="10"/>
  <c r="D85"/>
  <c r="D86" s="1"/>
  <c r="E698"/>
  <c r="E694"/>
  <c r="E690"/>
  <c r="E686"/>
  <c r="C660" i="8"/>
  <c r="C656"/>
  <c r="C652"/>
  <c r="C648"/>
  <c r="C65" i="10"/>
  <c r="D58"/>
  <c r="D180"/>
  <c r="D197" s="1"/>
  <c r="D141"/>
  <c r="D153" s="1"/>
  <c r="D245"/>
  <c r="D217"/>
  <c r="D59"/>
  <c r="F11"/>
  <c r="E714"/>
  <c r="E181" s="1"/>
  <c r="E198" s="1"/>
  <c r="E41"/>
  <c r="E183" s="1"/>
  <c r="E200" s="1"/>
  <c r="D27"/>
  <c r="C172" i="7"/>
  <c r="C173"/>
  <c r="C174"/>
  <c r="C175"/>
  <c r="D735" i="10"/>
  <c r="D720" s="1"/>
  <c r="D709"/>
  <c r="E706" s="1"/>
  <c r="D507"/>
  <c r="D511"/>
  <c r="D559"/>
  <c r="D563"/>
  <c r="D531"/>
  <c r="D535"/>
  <c r="D539"/>
  <c r="E810"/>
  <c r="E809"/>
  <c r="E808"/>
  <c r="E807"/>
  <c r="E806"/>
  <c r="E805"/>
  <c r="E804"/>
  <c r="E802"/>
  <c r="E798"/>
  <c r="E797"/>
  <c r="E429" s="1"/>
  <c r="E796"/>
  <c r="E795"/>
  <c r="E427" s="1"/>
  <c r="E794"/>
  <c r="E793"/>
  <c r="E425" s="1"/>
  <c r="E792"/>
  <c r="E791"/>
  <c r="E423" s="1"/>
  <c r="E790"/>
  <c r="E803"/>
  <c r="E766"/>
  <c r="E765"/>
  <c r="E403" s="1"/>
  <c r="E764"/>
  <c r="E763"/>
  <c r="E401" s="1"/>
  <c r="E762"/>
  <c r="E761"/>
  <c r="E399" s="1"/>
  <c r="E760"/>
  <c r="E789"/>
  <c r="E421" s="1"/>
  <c r="E778"/>
  <c r="E777"/>
  <c r="E776"/>
  <c r="E775"/>
  <c r="E774"/>
  <c r="E773"/>
  <c r="E772"/>
  <c r="E771"/>
  <c r="E770"/>
  <c r="E734"/>
  <c r="E379" s="1"/>
  <c r="E733"/>
  <c r="E732"/>
  <c r="E377" s="1"/>
  <c r="E731"/>
  <c r="E376" s="1"/>
  <c r="E730"/>
  <c r="E375" s="1"/>
  <c r="E729"/>
  <c r="E759"/>
  <c r="E397" s="1"/>
  <c r="E758"/>
  <c r="E396" s="1"/>
  <c r="E757"/>
  <c r="E395" s="1"/>
  <c r="E746"/>
  <c r="E745"/>
  <c r="E744"/>
  <c r="E743"/>
  <c r="E742"/>
  <c r="E741"/>
  <c r="E740"/>
  <c r="E739"/>
  <c r="E738"/>
  <c r="E727"/>
  <c r="E372" s="1"/>
  <c r="E725"/>
  <c r="E370" s="1"/>
  <c r="E659"/>
  <c r="E660" s="1"/>
  <c r="E653"/>
  <c r="E654" s="1"/>
  <c r="E728"/>
  <c r="E373" s="1"/>
  <c r="E726"/>
  <c r="E708"/>
  <c r="E486"/>
  <c r="E485"/>
  <c r="E484"/>
  <c r="E483"/>
  <c r="E482"/>
  <c r="E481"/>
  <c r="E378"/>
  <c r="E374"/>
  <c r="E365"/>
  <c r="E499"/>
  <c r="E430"/>
  <c r="E428"/>
  <c r="E426"/>
  <c r="E424"/>
  <c r="E422"/>
  <c r="E404"/>
  <c r="E402"/>
  <c r="E400"/>
  <c r="E398"/>
  <c r="E371"/>
  <c r="E352"/>
  <c r="E351"/>
  <c r="E350"/>
  <c r="E349"/>
  <c r="E348"/>
  <c r="E347"/>
  <c r="E30"/>
  <c r="E26"/>
  <c r="E25"/>
  <c r="E23"/>
  <c r="E19"/>
  <c r="F2"/>
  <c r="D506"/>
  <c r="D510"/>
  <c r="D530"/>
  <c r="D534"/>
  <c r="D538"/>
  <c r="D558"/>
  <c r="D562"/>
  <c r="D500"/>
  <c r="D366"/>
  <c r="D505"/>
  <c r="D509"/>
  <c r="D513"/>
  <c r="D533"/>
  <c r="D537"/>
  <c r="D557"/>
  <c r="D561"/>
  <c r="D565"/>
  <c r="D508"/>
  <c r="D512"/>
  <c r="D532"/>
  <c r="D536"/>
  <c r="D556"/>
  <c r="D560"/>
  <c r="D564"/>
  <c r="C68"/>
  <c r="C75" s="1"/>
  <c r="D370"/>
  <c r="D767"/>
  <c r="D752" s="1"/>
  <c r="D66" s="1"/>
  <c r="D799"/>
  <c r="D784" s="1"/>
  <c r="D67" s="1"/>
  <c r="C500"/>
  <c r="C208" i="8"/>
  <c r="C212" s="1"/>
  <c r="B226" i="7"/>
  <c r="B298" i="8"/>
  <c r="B304"/>
  <c r="E283" s="1"/>
  <c r="D11"/>
  <c r="C668"/>
  <c r="B770"/>
  <c r="B426"/>
  <c r="B432"/>
  <c r="D417" s="1"/>
  <c r="B438"/>
  <c r="E417" s="1"/>
  <c r="B135"/>
  <c r="H283"/>
  <c r="B63"/>
  <c r="B179"/>
  <c r="G417"/>
  <c r="B562"/>
  <c r="B568"/>
  <c r="E553" s="1"/>
  <c r="B574"/>
  <c r="F553" s="1"/>
  <c r="B597"/>
  <c r="B603"/>
  <c r="C86"/>
  <c r="E86"/>
  <c r="G86"/>
  <c r="I86"/>
  <c r="K86"/>
  <c r="M86"/>
  <c r="O86"/>
  <c r="Q86"/>
  <c r="S86"/>
  <c r="U86"/>
  <c r="W86"/>
  <c r="Y86"/>
  <c r="AA86"/>
  <c r="AC86"/>
  <c r="AE86"/>
  <c r="AG86"/>
  <c r="AI86"/>
  <c r="AK86"/>
  <c r="AM86"/>
  <c r="AO86"/>
  <c r="D2"/>
  <c r="B183"/>
  <c r="B191"/>
  <c r="C766"/>
  <c r="C765"/>
  <c r="C764"/>
  <c r="C763"/>
  <c r="C762"/>
  <c r="C761"/>
  <c r="C760"/>
  <c r="C759"/>
  <c r="C758"/>
  <c r="C754"/>
  <c r="C753"/>
  <c r="C391" s="1"/>
  <c r="C752"/>
  <c r="C390" s="1"/>
  <c r="C751"/>
  <c r="C389" s="1"/>
  <c r="C750"/>
  <c r="C749"/>
  <c r="C748"/>
  <c r="C386" s="1"/>
  <c r="C747"/>
  <c r="C385" s="1"/>
  <c r="C746"/>
  <c r="C745"/>
  <c r="C383" s="1"/>
  <c r="C733"/>
  <c r="C731"/>
  <c r="C729"/>
  <c r="C722"/>
  <c r="C366" s="1"/>
  <c r="C721"/>
  <c r="C365" s="1"/>
  <c r="C720"/>
  <c r="C719"/>
  <c r="C718"/>
  <c r="C362" s="1"/>
  <c r="C717"/>
  <c r="C361" s="1"/>
  <c r="C716"/>
  <c r="C360" s="1"/>
  <c r="C715"/>
  <c r="C714"/>
  <c r="C358" s="1"/>
  <c r="C713"/>
  <c r="C357" s="1"/>
  <c r="C734"/>
  <c r="C732"/>
  <c r="C730"/>
  <c r="C728"/>
  <c r="C727"/>
  <c r="C726"/>
  <c r="C690"/>
  <c r="C341" s="1"/>
  <c r="C689"/>
  <c r="C688"/>
  <c r="C339" s="1"/>
  <c r="C687"/>
  <c r="C686"/>
  <c r="C337" s="1"/>
  <c r="C685"/>
  <c r="C684"/>
  <c r="C335" s="1"/>
  <c r="C683"/>
  <c r="C682"/>
  <c r="C333" s="1"/>
  <c r="C681"/>
  <c r="C702"/>
  <c r="C701"/>
  <c r="C700"/>
  <c r="C699"/>
  <c r="C698"/>
  <c r="C697"/>
  <c r="C696"/>
  <c r="C695"/>
  <c r="C694"/>
  <c r="C670"/>
  <c r="C54" s="1"/>
  <c r="C621"/>
  <c r="C622" s="1"/>
  <c r="C615"/>
  <c r="C616" s="1"/>
  <c r="C448"/>
  <c r="C447"/>
  <c r="C446"/>
  <c r="C445"/>
  <c r="C444"/>
  <c r="C443"/>
  <c r="C387"/>
  <c r="C363"/>
  <c r="C359"/>
  <c r="C340"/>
  <c r="C338"/>
  <c r="C336"/>
  <c r="C461"/>
  <c r="C392"/>
  <c r="C388"/>
  <c r="C384"/>
  <c r="C364"/>
  <c r="C332"/>
  <c r="C327"/>
  <c r="C334"/>
  <c r="C314"/>
  <c r="C313"/>
  <c r="C312"/>
  <c r="C311"/>
  <c r="C310"/>
  <c r="C309"/>
  <c r="D86"/>
  <c r="F86"/>
  <c r="H86"/>
  <c r="J86"/>
  <c r="L86"/>
  <c r="N86"/>
  <c r="P86"/>
  <c r="R86"/>
  <c r="T86"/>
  <c r="V86"/>
  <c r="X86"/>
  <c r="Z86"/>
  <c r="AB86"/>
  <c r="AD86"/>
  <c r="AF86"/>
  <c r="AH86"/>
  <c r="AJ171"/>
  <c r="AJ156"/>
  <c r="AL171"/>
  <c r="AL156"/>
  <c r="AN171"/>
  <c r="AN156"/>
  <c r="AP171"/>
  <c r="AP156"/>
  <c r="D283"/>
  <c r="C19"/>
  <c r="C23"/>
  <c r="C25"/>
  <c r="C26"/>
  <c r="C30"/>
  <c r="A547"/>
  <c r="A582" s="1"/>
  <c r="A444"/>
  <c r="A451" s="1"/>
  <c r="A549"/>
  <c r="A584" s="1"/>
  <c r="A446"/>
  <c r="A453" s="1"/>
  <c r="A551"/>
  <c r="A586" s="1"/>
  <c r="A448"/>
  <c r="A455" s="1"/>
  <c r="A557"/>
  <c r="A592" s="1"/>
  <c r="A421"/>
  <c r="A564"/>
  <c r="A599" s="1"/>
  <c r="A428"/>
  <c r="A565"/>
  <c r="A600" s="1"/>
  <c r="A429"/>
  <c r="A566"/>
  <c r="A601" s="1"/>
  <c r="A430"/>
  <c r="A567"/>
  <c r="A602" s="1"/>
  <c r="A431"/>
  <c r="A568"/>
  <c r="A603" s="1"/>
  <c r="A432"/>
  <c r="A569"/>
  <c r="A604" s="1"/>
  <c r="A433"/>
  <c r="B100"/>
  <c r="A309"/>
  <c r="A316" s="1"/>
  <c r="A310"/>
  <c r="A317" s="1"/>
  <c r="A311"/>
  <c r="A318" s="1"/>
  <c r="A312"/>
  <c r="A319" s="1"/>
  <c r="A313"/>
  <c r="A320" s="1"/>
  <c r="A314"/>
  <c r="A321" s="1"/>
  <c r="A546"/>
  <c r="A581" s="1"/>
  <c r="A443"/>
  <c r="A450" s="1"/>
  <c r="A548"/>
  <c r="A583" s="1"/>
  <c r="A445"/>
  <c r="A452" s="1"/>
  <c r="A550"/>
  <c r="A585" s="1"/>
  <c r="A447"/>
  <c r="A454" s="1"/>
  <c r="A556"/>
  <c r="A591" s="1"/>
  <c r="A420"/>
  <c r="A558"/>
  <c r="A593" s="1"/>
  <c r="A422"/>
  <c r="A559"/>
  <c r="A594" s="1"/>
  <c r="A423"/>
  <c r="A560"/>
  <c r="A595" s="1"/>
  <c r="A424"/>
  <c r="A561"/>
  <c r="A596" s="1"/>
  <c r="A425"/>
  <c r="A562"/>
  <c r="A597" s="1"/>
  <c r="A426"/>
  <c r="A563"/>
  <c r="A598" s="1"/>
  <c r="A427"/>
  <c r="A570"/>
  <c r="A605" s="1"/>
  <c r="A434"/>
  <c r="A571"/>
  <c r="A606" s="1"/>
  <c r="A435"/>
  <c r="A572"/>
  <c r="A607" s="1"/>
  <c r="A436"/>
  <c r="A573"/>
  <c r="A608" s="1"/>
  <c r="A437"/>
  <c r="A574"/>
  <c r="A609" s="1"/>
  <c r="A438"/>
  <c r="B96"/>
  <c r="C671"/>
  <c r="B220" i="7"/>
  <c r="B232"/>
  <c r="E211" s="1"/>
  <c r="B71"/>
  <c r="C135"/>
  <c r="C139" s="1"/>
  <c r="B354"/>
  <c r="B360"/>
  <c r="B366"/>
  <c r="E345" s="1"/>
  <c r="B490"/>
  <c r="B496"/>
  <c r="B502"/>
  <c r="F481" s="1"/>
  <c r="D11"/>
  <c r="D596"/>
  <c r="D600"/>
  <c r="C596"/>
  <c r="C597" s="1"/>
  <c r="D597" s="1"/>
  <c r="G345"/>
  <c r="B525"/>
  <c r="B531"/>
  <c r="H211"/>
  <c r="D726"/>
  <c r="D725"/>
  <c r="D724"/>
  <c r="D723"/>
  <c r="D722"/>
  <c r="D721"/>
  <c r="D720"/>
  <c r="D719"/>
  <c r="D718"/>
  <c r="D714"/>
  <c r="D713"/>
  <c r="D712"/>
  <c r="D711"/>
  <c r="D710"/>
  <c r="D709"/>
  <c r="D708"/>
  <c r="D707"/>
  <c r="D706"/>
  <c r="D705"/>
  <c r="D694"/>
  <c r="D693"/>
  <c r="D692"/>
  <c r="D691"/>
  <c r="D690"/>
  <c r="D689"/>
  <c r="D688"/>
  <c r="D687"/>
  <c r="D686"/>
  <c r="D682"/>
  <c r="D681"/>
  <c r="D680"/>
  <c r="D679"/>
  <c r="D678"/>
  <c r="D677"/>
  <c r="D676"/>
  <c r="D675"/>
  <c r="D674"/>
  <c r="D673"/>
  <c r="D662"/>
  <c r="D661"/>
  <c r="D660"/>
  <c r="D659"/>
  <c r="D658"/>
  <c r="D657"/>
  <c r="D656"/>
  <c r="D655"/>
  <c r="D654"/>
  <c r="D650"/>
  <c r="D649"/>
  <c r="D648"/>
  <c r="D647"/>
  <c r="D646"/>
  <c r="D645"/>
  <c r="D644"/>
  <c r="D643"/>
  <c r="D642"/>
  <c r="D641"/>
  <c r="D549"/>
  <c r="D550" s="1"/>
  <c r="D543"/>
  <c r="D544" s="1"/>
  <c r="D630"/>
  <c r="D62" s="1"/>
  <c r="D389"/>
  <c r="D376"/>
  <c r="D375"/>
  <c r="D374"/>
  <c r="D373"/>
  <c r="D372"/>
  <c r="D371"/>
  <c r="D242"/>
  <c r="D241"/>
  <c r="D240"/>
  <c r="D239"/>
  <c r="D238"/>
  <c r="D237"/>
  <c r="D255"/>
  <c r="C726"/>
  <c r="C725"/>
  <c r="C724"/>
  <c r="C723"/>
  <c r="C722"/>
  <c r="C721"/>
  <c r="C720"/>
  <c r="C719"/>
  <c r="C714"/>
  <c r="C320" s="1"/>
  <c r="C713"/>
  <c r="C319" s="1"/>
  <c r="C712"/>
  <c r="C711"/>
  <c r="C317" s="1"/>
  <c r="C710"/>
  <c r="C316" s="1"/>
  <c r="C709"/>
  <c r="C708"/>
  <c r="C314" s="1"/>
  <c r="C718"/>
  <c r="C707"/>
  <c r="C313" s="1"/>
  <c r="C682"/>
  <c r="C681"/>
  <c r="C293" s="1"/>
  <c r="C680"/>
  <c r="C292" s="1"/>
  <c r="C679"/>
  <c r="C291" s="1"/>
  <c r="C678"/>
  <c r="C677"/>
  <c r="C289" s="1"/>
  <c r="C706"/>
  <c r="C312" s="1"/>
  <c r="C705"/>
  <c r="C311" s="1"/>
  <c r="C694"/>
  <c r="C693"/>
  <c r="C692"/>
  <c r="C691"/>
  <c r="C690"/>
  <c r="C689"/>
  <c r="C688"/>
  <c r="C687"/>
  <c r="C686"/>
  <c r="C676"/>
  <c r="C288" s="1"/>
  <c r="C650"/>
  <c r="C269" s="1"/>
  <c r="C649"/>
  <c r="C268" s="1"/>
  <c r="C648"/>
  <c r="C267" s="1"/>
  <c r="C647"/>
  <c r="C266" s="1"/>
  <c r="C646"/>
  <c r="C265" s="1"/>
  <c r="C675"/>
  <c r="C287" s="1"/>
  <c r="C674"/>
  <c r="C286" s="1"/>
  <c r="C673"/>
  <c r="C662"/>
  <c r="C661"/>
  <c r="C660"/>
  <c r="C659"/>
  <c r="C658"/>
  <c r="C657"/>
  <c r="C656"/>
  <c r="C655"/>
  <c r="C654"/>
  <c r="C645"/>
  <c r="C264" s="1"/>
  <c r="C630"/>
  <c r="C62" s="1"/>
  <c r="C644"/>
  <c r="C263" s="1"/>
  <c r="C643"/>
  <c r="C262" s="1"/>
  <c r="C642"/>
  <c r="C641"/>
  <c r="C260" s="1"/>
  <c r="C549"/>
  <c r="C550" s="1"/>
  <c r="C543"/>
  <c r="C544" s="1"/>
  <c r="C376"/>
  <c r="C375"/>
  <c r="C374"/>
  <c r="C373"/>
  <c r="C372"/>
  <c r="C371"/>
  <c r="C389"/>
  <c r="C294"/>
  <c r="C255"/>
  <c r="C242"/>
  <c r="C241"/>
  <c r="C240"/>
  <c r="C239"/>
  <c r="C238"/>
  <c r="C237"/>
  <c r="B109"/>
  <c r="E2"/>
  <c r="C19"/>
  <c r="C23"/>
  <c r="C25"/>
  <c r="C26"/>
  <c r="C30"/>
  <c r="C34"/>
  <c r="C95"/>
  <c r="E95"/>
  <c r="G95"/>
  <c r="I95"/>
  <c r="K95"/>
  <c r="M95"/>
  <c r="O95"/>
  <c r="Q95"/>
  <c r="S95"/>
  <c r="U95"/>
  <c r="W95"/>
  <c r="Y95"/>
  <c r="AA95"/>
  <c r="AC95"/>
  <c r="AE95"/>
  <c r="AG95"/>
  <c r="AI95"/>
  <c r="AK95"/>
  <c r="AM95"/>
  <c r="AO95"/>
  <c r="D211"/>
  <c r="D19"/>
  <c r="D23"/>
  <c r="D25"/>
  <c r="D26"/>
  <c r="D30"/>
  <c r="B105"/>
  <c r="A475"/>
  <c r="A510" s="1"/>
  <c r="A372"/>
  <c r="A379" s="1"/>
  <c r="A477"/>
  <c r="A512" s="1"/>
  <c r="A374"/>
  <c r="A381" s="1"/>
  <c r="A479"/>
  <c r="A514" s="1"/>
  <c r="A376"/>
  <c r="A383" s="1"/>
  <c r="A485"/>
  <c r="A520" s="1"/>
  <c r="A349"/>
  <c r="A492"/>
  <c r="A527" s="1"/>
  <c r="A356"/>
  <c r="A493"/>
  <c r="A528" s="1"/>
  <c r="A357"/>
  <c r="A494"/>
  <c r="A529" s="1"/>
  <c r="A358"/>
  <c r="A495"/>
  <c r="A530" s="1"/>
  <c r="A359"/>
  <c r="A496"/>
  <c r="A531" s="1"/>
  <c r="A360"/>
  <c r="A497"/>
  <c r="A532" s="1"/>
  <c r="A361"/>
  <c r="A237"/>
  <c r="A244" s="1"/>
  <c r="A238"/>
  <c r="A245" s="1"/>
  <c r="A239"/>
  <c r="A246" s="1"/>
  <c r="A240"/>
  <c r="A247" s="1"/>
  <c r="A241"/>
  <c r="A248" s="1"/>
  <c r="A242"/>
  <c r="A249" s="1"/>
  <c r="A474"/>
  <c r="A509" s="1"/>
  <c r="A371"/>
  <c r="A378" s="1"/>
  <c r="A476"/>
  <c r="A511" s="1"/>
  <c r="A373"/>
  <c r="A380" s="1"/>
  <c r="A478"/>
  <c r="A513" s="1"/>
  <c r="A375"/>
  <c r="A382" s="1"/>
  <c r="A484"/>
  <c r="A519" s="1"/>
  <c r="A348"/>
  <c r="A486"/>
  <c r="A521" s="1"/>
  <c r="A350"/>
  <c r="A487"/>
  <c r="A522" s="1"/>
  <c r="A351"/>
  <c r="A488"/>
  <c r="A523" s="1"/>
  <c r="A352"/>
  <c r="A489"/>
  <c r="A524" s="1"/>
  <c r="A353"/>
  <c r="A490"/>
  <c r="A525" s="1"/>
  <c r="A354"/>
  <c r="A491"/>
  <c r="A526" s="1"/>
  <c r="A355"/>
  <c r="A498"/>
  <c r="A533" s="1"/>
  <c r="A362"/>
  <c r="A499"/>
  <c r="A534" s="1"/>
  <c r="A363"/>
  <c r="A500"/>
  <c r="A535" s="1"/>
  <c r="A364"/>
  <c r="A501"/>
  <c r="A536" s="1"/>
  <c r="A365"/>
  <c r="A502"/>
  <c r="A537" s="1"/>
  <c r="A366"/>
  <c r="AG241" i="2"/>
  <c r="AH241"/>
  <c r="AI241"/>
  <c r="AJ241"/>
  <c r="AK241"/>
  <c r="AL241"/>
  <c r="AM241"/>
  <c r="AN241"/>
  <c r="AO241"/>
  <c r="AP241"/>
  <c r="A533"/>
  <c r="A534" s="1"/>
  <c r="A535" s="1"/>
  <c r="A536" s="1"/>
  <c r="A537" s="1"/>
  <c r="A538" s="1"/>
  <c r="A539" s="1"/>
  <c r="A540" s="1"/>
  <c r="A541" s="1"/>
  <c r="A521"/>
  <c r="A522" s="1"/>
  <c r="A523" s="1"/>
  <c r="A524" s="1"/>
  <c r="A525" s="1"/>
  <c r="A526" s="1"/>
  <c r="A527" s="1"/>
  <c r="A528" s="1"/>
  <c r="A529" s="1"/>
  <c r="A507"/>
  <c r="A508" s="1"/>
  <c r="A509" s="1"/>
  <c r="A510" s="1"/>
  <c r="A511" s="1"/>
  <c r="A512" s="1"/>
  <c r="A513" s="1"/>
  <c r="A514" s="1"/>
  <c r="A515" s="1"/>
  <c r="A495"/>
  <c r="A496" s="1"/>
  <c r="A497" s="1"/>
  <c r="A498" s="1"/>
  <c r="A499" s="1"/>
  <c r="A500" s="1"/>
  <c r="A501" s="1"/>
  <c r="A502" s="1"/>
  <c r="A503" s="1"/>
  <c r="A398"/>
  <c r="A399" s="1"/>
  <c r="A400" s="1"/>
  <c r="A401" s="1"/>
  <c r="A402" s="1"/>
  <c r="A403" s="1"/>
  <c r="A404" s="1"/>
  <c r="A405" s="1"/>
  <c r="A406" s="1"/>
  <c r="A386"/>
  <c r="A387" s="1"/>
  <c r="A388" s="1"/>
  <c r="A389" s="1"/>
  <c r="A390" s="1"/>
  <c r="A391" s="1"/>
  <c r="A392" s="1"/>
  <c r="A393" s="1"/>
  <c r="A394" s="1"/>
  <c r="A372"/>
  <c r="A373" s="1"/>
  <c r="A374" s="1"/>
  <c r="A375" s="1"/>
  <c r="A376" s="1"/>
  <c r="A377" s="1"/>
  <c r="A378" s="1"/>
  <c r="A379" s="1"/>
  <c r="A380" s="1"/>
  <c r="A360"/>
  <c r="A361" s="1"/>
  <c r="A362" s="1"/>
  <c r="A363" s="1"/>
  <c r="A364" s="1"/>
  <c r="A365" s="1"/>
  <c r="A366" s="1"/>
  <c r="A367" s="1"/>
  <c r="A368" s="1"/>
  <c r="B70"/>
  <c r="B69"/>
  <c r="B65"/>
  <c r="B64"/>
  <c r="A3" i="5"/>
  <c r="A4" s="1"/>
  <c r="A5" s="1"/>
  <c r="A6" s="1"/>
  <c r="A7" s="1"/>
  <c r="A8" s="1"/>
  <c r="A9" s="1"/>
  <c r="A10" s="1"/>
  <c r="A11" s="1"/>
  <c r="A12" s="1"/>
  <c r="A13" s="1"/>
  <c r="A14" s="1"/>
  <c r="A15" s="1"/>
  <c r="A16" s="1"/>
  <c r="A17" s="1"/>
  <c r="A18" s="1"/>
  <c r="A792" i="2"/>
  <c r="A793" s="1"/>
  <c r="A794" s="1"/>
  <c r="A795" s="1"/>
  <c r="A796" s="1"/>
  <c r="A797" s="1"/>
  <c r="A798" s="1"/>
  <c r="A799" s="1"/>
  <c r="A800" s="1"/>
  <c r="A780"/>
  <c r="B775"/>
  <c r="C772" s="1"/>
  <c r="J25" i="1"/>
  <c r="J21"/>
  <c r="J17"/>
  <c r="A760" i="2"/>
  <c r="A761" s="1"/>
  <c r="A762" s="1"/>
  <c r="A763" s="1"/>
  <c r="A764" s="1"/>
  <c r="A765" s="1"/>
  <c r="A766" s="1"/>
  <c r="A767" s="1"/>
  <c r="A768" s="1"/>
  <c r="A748"/>
  <c r="B743"/>
  <c r="C740" s="1"/>
  <c r="E56" i="10" l="1"/>
  <c r="E85"/>
  <c r="E86" s="1"/>
  <c r="F698"/>
  <c r="F694"/>
  <c r="F690"/>
  <c r="F686"/>
  <c r="D648" i="8"/>
  <c r="D660"/>
  <c r="D656"/>
  <c r="D652"/>
  <c r="D65" i="10"/>
  <c r="D68" s="1"/>
  <c r="D75" s="1"/>
  <c r="C179"/>
  <c r="C196" s="1"/>
  <c r="E58"/>
  <c r="E180"/>
  <c r="E197" s="1"/>
  <c r="E141"/>
  <c r="E153" s="1"/>
  <c r="E245"/>
  <c r="E217"/>
  <c r="E59"/>
  <c r="G11"/>
  <c r="F714"/>
  <c r="F181" s="1"/>
  <c r="F198" s="1"/>
  <c r="F41"/>
  <c r="F183" s="1"/>
  <c r="F200" s="1"/>
  <c r="E709"/>
  <c r="F706" s="1"/>
  <c r="C176" i="7"/>
  <c r="E588" i="8"/>
  <c r="E27" i="10"/>
  <c r="E507"/>
  <c r="D504"/>
  <c r="F810"/>
  <c r="F809"/>
  <c r="F808"/>
  <c r="F807"/>
  <c r="F806"/>
  <c r="F805"/>
  <c r="F804"/>
  <c r="F803"/>
  <c r="F798"/>
  <c r="F797"/>
  <c r="F429" s="1"/>
  <c r="F796"/>
  <c r="F428" s="1"/>
  <c r="F795"/>
  <c r="F427" s="1"/>
  <c r="F794"/>
  <c r="F426" s="1"/>
  <c r="F793"/>
  <c r="F792"/>
  <c r="F424" s="1"/>
  <c r="F791"/>
  <c r="F423" s="1"/>
  <c r="F790"/>
  <c r="F422" s="1"/>
  <c r="F789"/>
  <c r="F421" s="1"/>
  <c r="F778"/>
  <c r="F777"/>
  <c r="F776"/>
  <c r="F775"/>
  <c r="F774"/>
  <c r="F773"/>
  <c r="F772"/>
  <c r="F771"/>
  <c r="F770"/>
  <c r="F766"/>
  <c r="F404" s="1"/>
  <c r="F765"/>
  <c r="F764"/>
  <c r="F402" s="1"/>
  <c r="F763"/>
  <c r="F401" s="1"/>
  <c r="F762"/>
  <c r="F400" s="1"/>
  <c r="F761"/>
  <c r="F399" s="1"/>
  <c r="F760"/>
  <c r="F759"/>
  <c r="F397" s="1"/>
  <c r="F758"/>
  <c r="F396" s="1"/>
  <c r="F757"/>
  <c r="F395" s="1"/>
  <c r="F746"/>
  <c r="F745"/>
  <c r="F744"/>
  <c r="F743"/>
  <c r="F742"/>
  <c r="F741"/>
  <c r="F740"/>
  <c r="F739"/>
  <c r="F738"/>
  <c r="F734"/>
  <c r="F379" s="1"/>
  <c r="F733"/>
  <c r="F378" s="1"/>
  <c r="F732"/>
  <c r="F377" s="1"/>
  <c r="F731"/>
  <c r="F730"/>
  <c r="F375" s="1"/>
  <c r="F729"/>
  <c r="F374" s="1"/>
  <c r="F728"/>
  <c r="F373" s="1"/>
  <c r="F727"/>
  <c r="F372" s="1"/>
  <c r="F726"/>
  <c r="F708"/>
  <c r="F725"/>
  <c r="F370" s="1"/>
  <c r="F659"/>
  <c r="F660" s="1"/>
  <c r="F653"/>
  <c r="F654" s="1"/>
  <c r="F499"/>
  <c r="F430"/>
  <c r="F398"/>
  <c r="F371"/>
  <c r="F352"/>
  <c r="F351"/>
  <c r="F350"/>
  <c r="F349"/>
  <c r="F348"/>
  <c r="F347"/>
  <c r="F486"/>
  <c r="F485"/>
  <c r="F484"/>
  <c r="F483"/>
  <c r="F482"/>
  <c r="F481"/>
  <c r="F425"/>
  <c r="F403"/>
  <c r="F376"/>
  <c r="F365"/>
  <c r="F30"/>
  <c r="F26"/>
  <c r="F25"/>
  <c r="F23"/>
  <c r="F19"/>
  <c r="G2"/>
  <c r="E511"/>
  <c r="E531"/>
  <c r="E535"/>
  <c r="E539"/>
  <c r="E559"/>
  <c r="E563"/>
  <c r="E504"/>
  <c r="E508"/>
  <c r="E512"/>
  <c r="E532"/>
  <c r="E536"/>
  <c r="E556"/>
  <c r="E560"/>
  <c r="E564"/>
  <c r="C631" i="7"/>
  <c r="D628" s="1"/>
  <c r="D631" s="1"/>
  <c r="E628" s="1"/>
  <c r="D261"/>
  <c r="D285"/>
  <c r="D314"/>
  <c r="D318"/>
  <c r="E735" i="10"/>
  <c r="E720" s="1"/>
  <c r="E767"/>
  <c r="E752" s="1"/>
  <c r="E66" s="1"/>
  <c r="E366"/>
  <c r="E505"/>
  <c r="E509"/>
  <c r="E513"/>
  <c r="E533"/>
  <c r="E537"/>
  <c r="E557"/>
  <c r="E561"/>
  <c r="E565"/>
  <c r="E506"/>
  <c r="E510"/>
  <c r="E530"/>
  <c r="E534"/>
  <c r="E538"/>
  <c r="E558"/>
  <c r="E562"/>
  <c r="E500"/>
  <c r="E799"/>
  <c r="E784" s="1"/>
  <c r="E67" s="1"/>
  <c r="B575" i="8"/>
  <c r="B576" s="1"/>
  <c r="B439"/>
  <c r="B305"/>
  <c r="B367" i="7"/>
  <c r="B233"/>
  <c r="E11" i="8"/>
  <c r="D668"/>
  <c r="C462"/>
  <c r="C390" i="7"/>
  <c r="D651"/>
  <c r="D636" s="1"/>
  <c r="D68" s="1"/>
  <c r="D715"/>
  <c r="D700" s="1"/>
  <c r="D70" s="1"/>
  <c r="D345"/>
  <c r="C469" i="8"/>
  <c r="C473"/>
  <c r="C520"/>
  <c r="C524"/>
  <c r="C492"/>
  <c r="C496"/>
  <c r="C500"/>
  <c r="C468"/>
  <c r="C466"/>
  <c r="C493"/>
  <c r="C497"/>
  <c r="C501"/>
  <c r="C521"/>
  <c r="C525"/>
  <c r="C472"/>
  <c r="C691"/>
  <c r="C676" s="1"/>
  <c r="C60" s="1"/>
  <c r="D766"/>
  <c r="D765"/>
  <c r="D764"/>
  <c r="D763"/>
  <c r="D762"/>
  <c r="D761"/>
  <c r="D760"/>
  <c r="D759"/>
  <c r="D758"/>
  <c r="D754"/>
  <c r="D392" s="1"/>
  <c r="D753"/>
  <c r="D752"/>
  <c r="D390" s="1"/>
  <c r="D751"/>
  <c r="D389" s="1"/>
  <c r="D750"/>
  <c r="D388" s="1"/>
  <c r="D749"/>
  <c r="D387" s="1"/>
  <c r="D748"/>
  <c r="D747"/>
  <c r="D385" s="1"/>
  <c r="D746"/>
  <c r="D384" s="1"/>
  <c r="D745"/>
  <c r="D734"/>
  <c r="D733"/>
  <c r="D732"/>
  <c r="D731"/>
  <c r="D730"/>
  <c r="D729"/>
  <c r="D728"/>
  <c r="D727"/>
  <c r="D726"/>
  <c r="D722"/>
  <c r="D721"/>
  <c r="D365" s="1"/>
  <c r="D720"/>
  <c r="D364" s="1"/>
  <c r="D719"/>
  <c r="D718"/>
  <c r="D362" s="1"/>
  <c r="D717"/>
  <c r="D361" s="1"/>
  <c r="D716"/>
  <c r="D360" s="1"/>
  <c r="D715"/>
  <c r="D359" s="1"/>
  <c r="D714"/>
  <c r="D358" s="1"/>
  <c r="D713"/>
  <c r="D357" s="1"/>
  <c r="D702"/>
  <c r="D701"/>
  <c r="D700"/>
  <c r="D699"/>
  <c r="D698"/>
  <c r="D697"/>
  <c r="D696"/>
  <c r="D695"/>
  <c r="D694"/>
  <c r="D690"/>
  <c r="D341" s="1"/>
  <c r="D689"/>
  <c r="D688"/>
  <c r="D339" s="1"/>
  <c r="D687"/>
  <c r="D338" s="1"/>
  <c r="D686"/>
  <c r="D337" s="1"/>
  <c r="D685"/>
  <c r="D336" s="1"/>
  <c r="D684"/>
  <c r="D335" s="1"/>
  <c r="D683"/>
  <c r="D334" s="1"/>
  <c r="D682"/>
  <c r="D333" s="1"/>
  <c r="D681"/>
  <c r="D332" s="1"/>
  <c r="D621"/>
  <c r="D622" s="1"/>
  <c r="D615"/>
  <c r="D616" s="1"/>
  <c r="D670"/>
  <c r="D54" s="1"/>
  <c r="D461"/>
  <c r="D386"/>
  <c r="D366"/>
  <c r="D448"/>
  <c r="D447"/>
  <c r="D446"/>
  <c r="D445"/>
  <c r="D444"/>
  <c r="D443"/>
  <c r="D391"/>
  <c r="D383"/>
  <c r="D363"/>
  <c r="D340"/>
  <c r="D327"/>
  <c r="D314"/>
  <c r="D313"/>
  <c r="D312"/>
  <c r="D311"/>
  <c r="D310"/>
  <c r="D309"/>
  <c r="C34"/>
  <c r="E2"/>
  <c r="D30"/>
  <c r="D26"/>
  <c r="D25"/>
  <c r="D23"/>
  <c r="D19"/>
  <c r="C318" i="7"/>
  <c r="C328" i="8"/>
  <c r="C27"/>
  <c r="AH171"/>
  <c r="AH156"/>
  <c r="AF171"/>
  <c r="AF156"/>
  <c r="AD171"/>
  <c r="AD156"/>
  <c r="AB171"/>
  <c r="AB156"/>
  <c r="Z171"/>
  <c r="Z156"/>
  <c r="X171"/>
  <c r="X156"/>
  <c r="V171"/>
  <c r="V156"/>
  <c r="T171"/>
  <c r="T156"/>
  <c r="R171"/>
  <c r="R156"/>
  <c r="P171"/>
  <c r="P156"/>
  <c r="N171"/>
  <c r="N156"/>
  <c r="L171"/>
  <c r="L156"/>
  <c r="J171"/>
  <c r="J156"/>
  <c r="H171"/>
  <c r="H156"/>
  <c r="F171"/>
  <c r="F156"/>
  <c r="D171"/>
  <c r="D156"/>
  <c r="C467"/>
  <c r="C471"/>
  <c r="C475"/>
  <c r="C495"/>
  <c r="C499"/>
  <c r="C519"/>
  <c r="C523"/>
  <c r="C527"/>
  <c r="C470"/>
  <c r="C474"/>
  <c r="C494"/>
  <c r="C498"/>
  <c r="C518"/>
  <c r="C522"/>
  <c r="C526"/>
  <c r="C723"/>
  <c r="C708" s="1"/>
  <c r="C61" s="1"/>
  <c r="C755"/>
  <c r="C740" s="1"/>
  <c r="C62" s="1"/>
  <c r="AO171"/>
  <c r="AO156"/>
  <c r="AM171"/>
  <c r="AM156"/>
  <c r="AK171"/>
  <c r="AK156"/>
  <c r="AI171"/>
  <c r="AI156"/>
  <c r="AG171"/>
  <c r="AG156"/>
  <c r="AE171"/>
  <c r="AE156"/>
  <c r="AC171"/>
  <c r="AC156"/>
  <c r="AA171"/>
  <c r="AA156"/>
  <c r="Y171"/>
  <c r="Y156"/>
  <c r="W171"/>
  <c r="W156"/>
  <c r="U171"/>
  <c r="U156"/>
  <c r="S171"/>
  <c r="S156"/>
  <c r="Q171"/>
  <c r="Q156"/>
  <c r="O171"/>
  <c r="O156"/>
  <c r="M171"/>
  <c r="M156"/>
  <c r="K171"/>
  <c r="K156"/>
  <c r="I171"/>
  <c r="I156"/>
  <c r="G171"/>
  <c r="G156"/>
  <c r="E171"/>
  <c r="E156"/>
  <c r="C171"/>
  <c r="C156"/>
  <c r="B503" i="7"/>
  <c r="E516"/>
  <c r="E481"/>
  <c r="C256"/>
  <c r="C285"/>
  <c r="C420" s="1"/>
  <c r="D290"/>
  <c r="D425" s="1"/>
  <c r="D294"/>
  <c r="D429" s="1"/>
  <c r="D315"/>
  <c r="D450" s="1"/>
  <c r="D319"/>
  <c r="D454" s="1"/>
  <c r="D390"/>
  <c r="D27"/>
  <c r="C27"/>
  <c r="C290"/>
  <c r="C425" s="1"/>
  <c r="C315"/>
  <c r="D266"/>
  <c r="D400" s="1"/>
  <c r="D683"/>
  <c r="D668" s="1"/>
  <c r="D69" s="1"/>
  <c r="E600"/>
  <c r="E596"/>
  <c r="E597" s="1"/>
  <c r="F11"/>
  <c r="D395"/>
  <c r="D420"/>
  <c r="D449"/>
  <c r="D453"/>
  <c r="E726"/>
  <c r="E725"/>
  <c r="E724"/>
  <c r="E723"/>
  <c r="E722"/>
  <c r="E721"/>
  <c r="E720"/>
  <c r="E718"/>
  <c r="E714"/>
  <c r="E320" s="1"/>
  <c r="E713"/>
  <c r="E319" s="1"/>
  <c r="E712"/>
  <c r="E711"/>
  <c r="E317" s="1"/>
  <c r="E710"/>
  <c r="E316" s="1"/>
  <c r="E709"/>
  <c r="E315" s="1"/>
  <c r="E708"/>
  <c r="E314" s="1"/>
  <c r="E707"/>
  <c r="E313" s="1"/>
  <c r="E719"/>
  <c r="E706"/>
  <c r="E312" s="1"/>
  <c r="E682"/>
  <c r="E294" s="1"/>
  <c r="E681"/>
  <c r="E293" s="1"/>
  <c r="E680"/>
  <c r="E292" s="1"/>
  <c r="E679"/>
  <c r="E291" s="1"/>
  <c r="E678"/>
  <c r="E290" s="1"/>
  <c r="E677"/>
  <c r="E289" s="1"/>
  <c r="E705"/>
  <c r="E694"/>
  <c r="E693"/>
  <c r="E692"/>
  <c r="E691"/>
  <c r="E690"/>
  <c r="E689"/>
  <c r="E688"/>
  <c r="E687"/>
  <c r="E686"/>
  <c r="E650"/>
  <c r="E269" s="1"/>
  <c r="E649"/>
  <c r="E268" s="1"/>
  <c r="E648"/>
  <c r="E267" s="1"/>
  <c r="E647"/>
  <c r="E266" s="1"/>
  <c r="E646"/>
  <c r="E265" s="1"/>
  <c r="E676"/>
  <c r="E288" s="1"/>
  <c r="E675"/>
  <c r="E287" s="1"/>
  <c r="E674"/>
  <c r="E286" s="1"/>
  <c r="E673"/>
  <c r="E285" s="1"/>
  <c r="E662"/>
  <c r="E661"/>
  <c r="E660"/>
  <c r="E659"/>
  <c r="E658"/>
  <c r="E657"/>
  <c r="E656"/>
  <c r="E655"/>
  <c r="E654"/>
  <c r="E644"/>
  <c r="E263" s="1"/>
  <c r="E630"/>
  <c r="E62" s="1"/>
  <c r="E645"/>
  <c r="E264" s="1"/>
  <c r="E643"/>
  <c r="E262" s="1"/>
  <c r="E642"/>
  <c r="E261" s="1"/>
  <c r="E641"/>
  <c r="E260" s="1"/>
  <c r="E549"/>
  <c r="E550" s="1"/>
  <c r="E543"/>
  <c r="E544" s="1"/>
  <c r="E376"/>
  <c r="E375"/>
  <c r="E374"/>
  <c r="E373"/>
  <c r="E372"/>
  <c r="E371"/>
  <c r="E389"/>
  <c r="E318"/>
  <c r="E255"/>
  <c r="E242"/>
  <c r="E241"/>
  <c r="E240"/>
  <c r="E239"/>
  <c r="E238"/>
  <c r="E237"/>
  <c r="F2"/>
  <c r="E30"/>
  <c r="E26"/>
  <c r="E25"/>
  <c r="E23"/>
  <c r="E19"/>
  <c r="C396"/>
  <c r="C398"/>
  <c r="C399"/>
  <c r="C403"/>
  <c r="C423"/>
  <c r="C427"/>
  <c r="C447"/>
  <c r="C451"/>
  <c r="C455"/>
  <c r="C424"/>
  <c r="C428"/>
  <c r="C448"/>
  <c r="C452"/>
  <c r="C651"/>
  <c r="C636" s="1"/>
  <c r="C68" s="1"/>
  <c r="C715"/>
  <c r="C700" s="1"/>
  <c r="C70" s="1"/>
  <c r="D256"/>
  <c r="C261"/>
  <c r="D269"/>
  <c r="D267"/>
  <c r="D262"/>
  <c r="D289"/>
  <c r="D293"/>
  <c r="D313"/>
  <c r="D317"/>
  <c r="D286"/>
  <c r="C400"/>
  <c r="C394"/>
  <c r="C402"/>
  <c r="C397"/>
  <c r="C401"/>
  <c r="C421"/>
  <c r="C429"/>
  <c r="C449"/>
  <c r="C453"/>
  <c r="C422"/>
  <c r="C426"/>
  <c r="C446"/>
  <c r="C450"/>
  <c r="C454"/>
  <c r="C683"/>
  <c r="C668" s="1"/>
  <c r="C69" s="1"/>
  <c r="D265"/>
  <c r="D263"/>
  <c r="D260"/>
  <c r="D264"/>
  <c r="D268"/>
  <c r="D287"/>
  <c r="D291"/>
  <c r="D311"/>
  <c r="E311" s="1"/>
  <c r="D288"/>
  <c r="D292"/>
  <c r="D312"/>
  <c r="D316"/>
  <c r="D320"/>
  <c r="A781" i="2"/>
  <c r="A749"/>
  <c r="E121" i="1"/>
  <c r="D121"/>
  <c r="C121"/>
  <c r="B121"/>
  <c r="C172"/>
  <c r="D172"/>
  <c r="E172"/>
  <c r="B172"/>
  <c r="F56" i="10" l="1"/>
  <c r="F85"/>
  <c r="F86" s="1"/>
  <c r="G698"/>
  <c r="G694"/>
  <c r="G690"/>
  <c r="G686"/>
  <c r="E660" i="8"/>
  <c r="E656"/>
  <c r="E652"/>
  <c r="E648"/>
  <c r="E65" i="10"/>
  <c r="E68" s="1"/>
  <c r="E75" s="1"/>
  <c r="D179"/>
  <c r="D196" s="1"/>
  <c r="F58"/>
  <c r="F180"/>
  <c r="F197" s="1"/>
  <c r="F141"/>
  <c r="F153" s="1"/>
  <c r="F245"/>
  <c r="F217"/>
  <c r="F59"/>
  <c r="H11"/>
  <c r="G714"/>
  <c r="G181" s="1"/>
  <c r="G198" s="1"/>
  <c r="G41"/>
  <c r="G183" s="1"/>
  <c r="G200" s="1"/>
  <c r="F709"/>
  <c r="G706" s="1"/>
  <c r="F799"/>
  <c r="F784" s="1"/>
  <c r="F67" s="1"/>
  <c r="G810"/>
  <c r="G809"/>
  <c r="G808"/>
  <c r="G807"/>
  <c r="G806"/>
  <c r="G805"/>
  <c r="G804"/>
  <c r="G803"/>
  <c r="G798"/>
  <c r="G430" s="1"/>
  <c r="G797"/>
  <c r="G429" s="1"/>
  <c r="G796"/>
  <c r="G428" s="1"/>
  <c r="G795"/>
  <c r="G427" s="1"/>
  <c r="G794"/>
  <c r="G426" s="1"/>
  <c r="G793"/>
  <c r="G425" s="1"/>
  <c r="G792"/>
  <c r="G424" s="1"/>
  <c r="G791"/>
  <c r="G790"/>
  <c r="G422" s="1"/>
  <c r="G766"/>
  <c r="G404" s="1"/>
  <c r="G765"/>
  <c r="G403" s="1"/>
  <c r="G764"/>
  <c r="G402" s="1"/>
  <c r="G763"/>
  <c r="G401" s="1"/>
  <c r="G762"/>
  <c r="G400" s="1"/>
  <c r="G761"/>
  <c r="G760"/>
  <c r="G398" s="1"/>
  <c r="G789"/>
  <c r="G421" s="1"/>
  <c r="G778"/>
  <c r="G777"/>
  <c r="G776"/>
  <c r="G775"/>
  <c r="G774"/>
  <c r="G773"/>
  <c r="G772"/>
  <c r="G771"/>
  <c r="G770"/>
  <c r="G759"/>
  <c r="G397" s="1"/>
  <c r="G734"/>
  <c r="G379" s="1"/>
  <c r="G733"/>
  <c r="G378" s="1"/>
  <c r="G732"/>
  <c r="G377" s="1"/>
  <c r="G731"/>
  <c r="G376" s="1"/>
  <c r="G730"/>
  <c r="G375" s="1"/>
  <c r="G729"/>
  <c r="G374" s="1"/>
  <c r="G758"/>
  <c r="G396" s="1"/>
  <c r="G757"/>
  <c r="G395" s="1"/>
  <c r="G746"/>
  <c r="G745"/>
  <c r="G744"/>
  <c r="G743"/>
  <c r="G742"/>
  <c r="G741"/>
  <c r="G740"/>
  <c r="G739"/>
  <c r="G738"/>
  <c r="G728"/>
  <c r="G373" s="1"/>
  <c r="G726"/>
  <c r="G371" s="1"/>
  <c r="G725"/>
  <c r="G370" s="1"/>
  <c r="G659"/>
  <c r="G660" s="1"/>
  <c r="G653"/>
  <c r="G654" s="1"/>
  <c r="G727"/>
  <c r="G372" s="1"/>
  <c r="G708"/>
  <c r="G486"/>
  <c r="G485"/>
  <c r="G484"/>
  <c r="G483"/>
  <c r="G482"/>
  <c r="G481"/>
  <c r="G423"/>
  <c r="G399"/>
  <c r="G365"/>
  <c r="G499"/>
  <c r="G352"/>
  <c r="G351"/>
  <c r="G350"/>
  <c r="G349"/>
  <c r="G348"/>
  <c r="G347"/>
  <c r="G30"/>
  <c r="G26"/>
  <c r="G25"/>
  <c r="G23"/>
  <c r="G19"/>
  <c r="H2"/>
  <c r="F506"/>
  <c r="F510"/>
  <c r="F530"/>
  <c r="F534"/>
  <c r="F538"/>
  <c r="F558"/>
  <c r="F562"/>
  <c r="F500"/>
  <c r="F366"/>
  <c r="F505"/>
  <c r="F509"/>
  <c r="F513"/>
  <c r="F533"/>
  <c r="F537"/>
  <c r="F557"/>
  <c r="F561"/>
  <c r="F565"/>
  <c r="F735"/>
  <c r="F720" s="1"/>
  <c r="F27"/>
  <c r="F504"/>
  <c r="F508"/>
  <c r="F512"/>
  <c r="F532"/>
  <c r="F536"/>
  <c r="F556"/>
  <c r="F560"/>
  <c r="F564"/>
  <c r="F507"/>
  <c r="F511"/>
  <c r="F531"/>
  <c r="F535"/>
  <c r="F539"/>
  <c r="F559"/>
  <c r="F563"/>
  <c r="F767"/>
  <c r="F752" s="1"/>
  <c r="F66" s="1"/>
  <c r="D71" i="7"/>
  <c r="F11" i="8"/>
  <c r="D671"/>
  <c r="E766"/>
  <c r="E765"/>
  <c r="E764"/>
  <c r="E763"/>
  <c r="E762"/>
  <c r="E761"/>
  <c r="E760"/>
  <c r="E759"/>
  <c r="E758"/>
  <c r="E754"/>
  <c r="E392" s="1"/>
  <c r="E753"/>
  <c r="E391" s="1"/>
  <c r="E752"/>
  <c r="E751"/>
  <c r="E389" s="1"/>
  <c r="E750"/>
  <c r="E388" s="1"/>
  <c r="E749"/>
  <c r="E387" s="1"/>
  <c r="E748"/>
  <c r="E747"/>
  <c r="E746"/>
  <c r="E384" s="1"/>
  <c r="E745"/>
  <c r="E383" s="1"/>
  <c r="E734"/>
  <c r="E732"/>
  <c r="E730"/>
  <c r="E722"/>
  <c r="E366" s="1"/>
  <c r="E721"/>
  <c r="E720"/>
  <c r="E364" s="1"/>
  <c r="E719"/>
  <c r="E363" s="1"/>
  <c r="E718"/>
  <c r="E362" s="1"/>
  <c r="E717"/>
  <c r="E716"/>
  <c r="E360" s="1"/>
  <c r="E715"/>
  <c r="E359" s="1"/>
  <c r="E714"/>
  <c r="E358" s="1"/>
  <c r="E713"/>
  <c r="E733"/>
  <c r="E731"/>
  <c r="E729"/>
  <c r="E728"/>
  <c r="E727"/>
  <c r="E726"/>
  <c r="E690"/>
  <c r="E341" s="1"/>
  <c r="E689"/>
  <c r="E340" s="1"/>
  <c r="E688"/>
  <c r="E339" s="1"/>
  <c r="E687"/>
  <c r="E686"/>
  <c r="E337" s="1"/>
  <c r="E685"/>
  <c r="E336" s="1"/>
  <c r="E684"/>
  <c r="E335" s="1"/>
  <c r="E683"/>
  <c r="E682"/>
  <c r="E333" s="1"/>
  <c r="E681"/>
  <c r="E332" s="1"/>
  <c r="E702"/>
  <c r="E701"/>
  <c r="E700"/>
  <c r="E699"/>
  <c r="E698"/>
  <c r="E697"/>
  <c r="E696"/>
  <c r="E695"/>
  <c r="E694"/>
  <c r="E670"/>
  <c r="E54" s="1"/>
  <c r="E621"/>
  <c r="E622" s="1"/>
  <c r="E615"/>
  <c r="E616" s="1"/>
  <c r="E448"/>
  <c r="E447"/>
  <c r="E446"/>
  <c r="E445"/>
  <c r="E444"/>
  <c r="E443"/>
  <c r="E385"/>
  <c r="E365"/>
  <c r="E361"/>
  <c r="E357"/>
  <c r="E338"/>
  <c r="E461"/>
  <c r="E390"/>
  <c r="E386"/>
  <c r="E334"/>
  <c r="E327"/>
  <c r="E314"/>
  <c r="E313"/>
  <c r="E312"/>
  <c r="E311"/>
  <c r="E310"/>
  <c r="E309"/>
  <c r="E30"/>
  <c r="E26"/>
  <c r="E25"/>
  <c r="E23"/>
  <c r="E19"/>
  <c r="F2"/>
  <c r="D467"/>
  <c r="D468"/>
  <c r="D472"/>
  <c r="D492"/>
  <c r="D496"/>
  <c r="D500"/>
  <c r="D520"/>
  <c r="D524"/>
  <c r="D462"/>
  <c r="D471"/>
  <c r="D475"/>
  <c r="D495"/>
  <c r="D499"/>
  <c r="D519"/>
  <c r="D523"/>
  <c r="D527"/>
  <c r="B504" i="7"/>
  <c r="D27" i="8"/>
  <c r="D691"/>
  <c r="D676" s="1"/>
  <c r="D60" s="1"/>
  <c r="D723"/>
  <c r="D708" s="1"/>
  <c r="D61" s="1"/>
  <c r="D755"/>
  <c r="D740" s="1"/>
  <c r="D62" s="1"/>
  <c r="C63"/>
  <c r="D328"/>
  <c r="D469"/>
  <c r="D466"/>
  <c r="D470"/>
  <c r="D474"/>
  <c r="D494"/>
  <c r="D498"/>
  <c r="D518"/>
  <c r="D522"/>
  <c r="D526"/>
  <c r="D473"/>
  <c r="D493"/>
  <c r="D497"/>
  <c r="D501"/>
  <c r="D521"/>
  <c r="D525"/>
  <c r="E631" i="7"/>
  <c r="F628" s="1"/>
  <c r="E27"/>
  <c r="E715"/>
  <c r="E700" s="1"/>
  <c r="E70" s="1"/>
  <c r="G11"/>
  <c r="F600"/>
  <c r="F596"/>
  <c r="F597" s="1"/>
  <c r="E651"/>
  <c r="E636" s="1"/>
  <c r="E68" s="1"/>
  <c r="D427"/>
  <c r="D426"/>
  <c r="D402"/>
  <c r="D455"/>
  <c r="D447"/>
  <c r="D423"/>
  <c r="D446"/>
  <c r="D422"/>
  <c r="D398"/>
  <c r="D397"/>
  <c r="D399"/>
  <c r="D448"/>
  <c r="D424"/>
  <c r="D401"/>
  <c r="D403"/>
  <c r="C395"/>
  <c r="E398"/>
  <c r="E400"/>
  <c r="E397"/>
  <c r="E401"/>
  <c r="E421"/>
  <c r="E425"/>
  <c r="E429"/>
  <c r="E449"/>
  <c r="E453"/>
  <c r="E422"/>
  <c r="E426"/>
  <c r="E446"/>
  <c r="E450"/>
  <c r="E454"/>
  <c r="C71"/>
  <c r="E683"/>
  <c r="E668" s="1"/>
  <c r="E69" s="1"/>
  <c r="D451"/>
  <c r="D394"/>
  <c r="D421"/>
  <c r="D452"/>
  <c r="D428"/>
  <c r="D396"/>
  <c r="F726"/>
  <c r="F725"/>
  <c r="F724"/>
  <c r="F723"/>
  <c r="F722"/>
  <c r="F721"/>
  <c r="F720"/>
  <c r="F719"/>
  <c r="F714"/>
  <c r="F713"/>
  <c r="F319" s="1"/>
  <c r="F712"/>
  <c r="F318" s="1"/>
  <c r="F711"/>
  <c r="F317" s="1"/>
  <c r="F710"/>
  <c r="F316" s="1"/>
  <c r="F709"/>
  <c r="F708"/>
  <c r="F314" s="1"/>
  <c r="F707"/>
  <c r="F313" s="1"/>
  <c r="F706"/>
  <c r="F312" s="1"/>
  <c r="F705"/>
  <c r="F311" s="1"/>
  <c r="F694"/>
  <c r="F693"/>
  <c r="F692"/>
  <c r="F691"/>
  <c r="F690"/>
  <c r="F689"/>
  <c r="F688"/>
  <c r="F687"/>
  <c r="F686"/>
  <c r="F682"/>
  <c r="F294" s="1"/>
  <c r="F681"/>
  <c r="F680"/>
  <c r="F292" s="1"/>
  <c r="F679"/>
  <c r="F291" s="1"/>
  <c r="F678"/>
  <c r="F290" s="1"/>
  <c r="F677"/>
  <c r="F289" s="1"/>
  <c r="F676"/>
  <c r="F288" s="1"/>
  <c r="F675"/>
  <c r="F287" s="1"/>
  <c r="F674"/>
  <c r="F286" s="1"/>
  <c r="F673"/>
  <c r="F285" s="1"/>
  <c r="F662"/>
  <c r="F661"/>
  <c r="F660"/>
  <c r="F659"/>
  <c r="F658"/>
  <c r="F657"/>
  <c r="F656"/>
  <c r="F655"/>
  <c r="F654"/>
  <c r="F650"/>
  <c r="F269" s="1"/>
  <c r="F649"/>
  <c r="F268" s="1"/>
  <c r="F648"/>
  <c r="F267" s="1"/>
  <c r="F647"/>
  <c r="F266" s="1"/>
  <c r="F646"/>
  <c r="F265" s="1"/>
  <c r="F645"/>
  <c r="F264" s="1"/>
  <c r="F644"/>
  <c r="F263" s="1"/>
  <c r="F643"/>
  <c r="F262" s="1"/>
  <c r="F642"/>
  <c r="F261" s="1"/>
  <c r="F641"/>
  <c r="F260" s="1"/>
  <c r="F549"/>
  <c r="F550" s="1"/>
  <c r="F543"/>
  <c r="F544" s="1"/>
  <c r="F630"/>
  <c r="F62" s="1"/>
  <c r="F389"/>
  <c r="F320"/>
  <c r="F376"/>
  <c r="F375"/>
  <c r="F374"/>
  <c r="F373"/>
  <c r="F372"/>
  <c r="F371"/>
  <c r="F315"/>
  <c r="F293"/>
  <c r="F242"/>
  <c r="F241"/>
  <c r="F240"/>
  <c r="F239"/>
  <c r="F238"/>
  <c r="F237"/>
  <c r="F255"/>
  <c r="F30"/>
  <c r="F26"/>
  <c r="F25"/>
  <c r="F23"/>
  <c r="F19"/>
  <c r="G2"/>
  <c r="E256"/>
  <c r="E394"/>
  <c r="E402"/>
  <c r="E396"/>
  <c r="E395"/>
  <c r="E399"/>
  <c r="E403"/>
  <c r="E423"/>
  <c r="E427"/>
  <c r="E447"/>
  <c r="E451"/>
  <c r="E455"/>
  <c r="E420"/>
  <c r="E424"/>
  <c r="E428"/>
  <c r="E448"/>
  <c r="E452"/>
  <c r="E390"/>
  <c r="E71"/>
  <c r="A782" i="2"/>
  <c r="A750"/>
  <c r="G56" i="10" l="1"/>
  <c r="G85"/>
  <c r="G86" s="1"/>
  <c r="H698"/>
  <c r="H694"/>
  <c r="H690"/>
  <c r="H686"/>
  <c r="F660" i="8"/>
  <c r="F656"/>
  <c r="F652"/>
  <c r="F648"/>
  <c r="F65" i="10"/>
  <c r="E179"/>
  <c r="E196" s="1"/>
  <c r="G58"/>
  <c r="G180"/>
  <c r="G197" s="1"/>
  <c r="G141"/>
  <c r="G153" s="1"/>
  <c r="G245"/>
  <c r="G217"/>
  <c r="G59"/>
  <c r="G709"/>
  <c r="H706" s="1"/>
  <c r="I11"/>
  <c r="H714"/>
  <c r="H181" s="1"/>
  <c r="H198" s="1"/>
  <c r="H41"/>
  <c r="H183" s="1"/>
  <c r="H200" s="1"/>
  <c r="G767"/>
  <c r="G752" s="1"/>
  <c r="G66" s="1"/>
  <c r="H810"/>
  <c r="H809"/>
  <c r="H808"/>
  <c r="H807"/>
  <c r="H806"/>
  <c r="H805"/>
  <c r="H804"/>
  <c r="H803"/>
  <c r="H798"/>
  <c r="H797"/>
  <c r="H796"/>
  <c r="H428" s="1"/>
  <c r="H795"/>
  <c r="H427" s="1"/>
  <c r="H794"/>
  <c r="H426" s="1"/>
  <c r="H793"/>
  <c r="H425" s="1"/>
  <c r="H792"/>
  <c r="H424" s="1"/>
  <c r="H791"/>
  <c r="H423" s="1"/>
  <c r="H790"/>
  <c r="H422" s="1"/>
  <c r="H789"/>
  <c r="H421" s="1"/>
  <c r="H778"/>
  <c r="H777"/>
  <c r="H776"/>
  <c r="H775"/>
  <c r="H774"/>
  <c r="H773"/>
  <c r="H772"/>
  <c r="H771"/>
  <c r="H770"/>
  <c r="H766"/>
  <c r="H765"/>
  <c r="H764"/>
  <c r="H402" s="1"/>
  <c r="H763"/>
  <c r="H401" s="1"/>
  <c r="H762"/>
  <c r="H400" s="1"/>
  <c r="H761"/>
  <c r="H399" s="1"/>
  <c r="H760"/>
  <c r="H398" s="1"/>
  <c r="H759"/>
  <c r="H397" s="1"/>
  <c r="H758"/>
  <c r="H396" s="1"/>
  <c r="H757"/>
  <c r="H395" s="1"/>
  <c r="H746"/>
  <c r="H745"/>
  <c r="H744"/>
  <c r="H743"/>
  <c r="H742"/>
  <c r="H741"/>
  <c r="H740"/>
  <c r="H739"/>
  <c r="H738"/>
  <c r="H734"/>
  <c r="H379" s="1"/>
  <c r="H733"/>
  <c r="H378" s="1"/>
  <c r="H732"/>
  <c r="H377" s="1"/>
  <c r="H731"/>
  <c r="H376" s="1"/>
  <c r="H730"/>
  <c r="H375" s="1"/>
  <c r="H729"/>
  <c r="H374" s="1"/>
  <c r="H728"/>
  <c r="H373" s="1"/>
  <c r="H727"/>
  <c r="H372" s="1"/>
  <c r="H726"/>
  <c r="H371" s="1"/>
  <c r="H708"/>
  <c r="H725"/>
  <c r="H370" s="1"/>
  <c r="H659"/>
  <c r="H660" s="1"/>
  <c r="H653"/>
  <c r="H654" s="1"/>
  <c r="H499"/>
  <c r="H430"/>
  <c r="H404"/>
  <c r="H352"/>
  <c r="H351"/>
  <c r="H350"/>
  <c r="H349"/>
  <c r="H348"/>
  <c r="H347"/>
  <c r="H486"/>
  <c r="H485"/>
  <c r="H484"/>
  <c r="H483"/>
  <c r="H482"/>
  <c r="H481"/>
  <c r="H429"/>
  <c r="H403"/>
  <c r="H365"/>
  <c r="H30"/>
  <c r="H26"/>
  <c r="H25"/>
  <c r="H23"/>
  <c r="H19"/>
  <c r="I2"/>
  <c r="G366"/>
  <c r="G505"/>
  <c r="G509"/>
  <c r="G513"/>
  <c r="G533"/>
  <c r="G537"/>
  <c r="G557"/>
  <c r="G561"/>
  <c r="G565"/>
  <c r="G506"/>
  <c r="G510"/>
  <c r="G530"/>
  <c r="G534"/>
  <c r="G538"/>
  <c r="G558"/>
  <c r="G562"/>
  <c r="G500"/>
  <c r="G799"/>
  <c r="G784" s="1"/>
  <c r="G67" s="1"/>
  <c r="F68"/>
  <c r="F75" s="1"/>
  <c r="G27"/>
  <c r="G735"/>
  <c r="G720" s="1"/>
  <c r="G507"/>
  <c r="G511"/>
  <c r="G531"/>
  <c r="G535"/>
  <c r="G539"/>
  <c r="G559"/>
  <c r="G563"/>
  <c r="G504"/>
  <c r="G508"/>
  <c r="G512"/>
  <c r="G532"/>
  <c r="G536"/>
  <c r="G556"/>
  <c r="G560"/>
  <c r="G564"/>
  <c r="G11" i="8"/>
  <c r="E668"/>
  <c r="E671" s="1"/>
  <c r="E27"/>
  <c r="E691"/>
  <c r="E676" s="1"/>
  <c r="E60" s="1"/>
  <c r="E466"/>
  <c r="E467"/>
  <c r="E471"/>
  <c r="E475"/>
  <c r="E495"/>
  <c r="E499"/>
  <c r="E519"/>
  <c r="E523"/>
  <c r="E527"/>
  <c r="E470"/>
  <c r="E474"/>
  <c r="E494"/>
  <c r="E498"/>
  <c r="E518"/>
  <c r="E522"/>
  <c r="E526"/>
  <c r="E723"/>
  <c r="E708" s="1"/>
  <c r="E61" s="1"/>
  <c r="E755"/>
  <c r="E740" s="1"/>
  <c r="E62" s="1"/>
  <c r="F766"/>
  <c r="F765"/>
  <c r="F764"/>
  <c r="F763"/>
  <c r="F762"/>
  <c r="F761"/>
  <c r="F760"/>
  <c r="F759"/>
  <c r="F754"/>
  <c r="F753"/>
  <c r="F391" s="1"/>
  <c r="F752"/>
  <c r="F390" s="1"/>
  <c r="F751"/>
  <c r="F389" s="1"/>
  <c r="F750"/>
  <c r="F749"/>
  <c r="F387" s="1"/>
  <c r="F748"/>
  <c r="F386" s="1"/>
  <c r="F747"/>
  <c r="F385" s="1"/>
  <c r="F746"/>
  <c r="F745"/>
  <c r="F734"/>
  <c r="F733"/>
  <c r="F732"/>
  <c r="F731"/>
  <c r="F730"/>
  <c r="F729"/>
  <c r="F728"/>
  <c r="F727"/>
  <c r="F726"/>
  <c r="F722"/>
  <c r="F366" s="1"/>
  <c r="F721"/>
  <c r="F365" s="1"/>
  <c r="F720"/>
  <c r="F364" s="1"/>
  <c r="F719"/>
  <c r="F363" s="1"/>
  <c r="F718"/>
  <c r="F362" s="1"/>
  <c r="F717"/>
  <c r="F361" s="1"/>
  <c r="F716"/>
  <c r="F715"/>
  <c r="F359" s="1"/>
  <c r="F714"/>
  <c r="F358" s="1"/>
  <c r="F713"/>
  <c r="F702"/>
  <c r="F701"/>
  <c r="F700"/>
  <c r="F699"/>
  <c r="F698"/>
  <c r="F697"/>
  <c r="F696"/>
  <c r="F695"/>
  <c r="F694"/>
  <c r="F690"/>
  <c r="F689"/>
  <c r="F340" s="1"/>
  <c r="F688"/>
  <c r="F339" s="1"/>
  <c r="F687"/>
  <c r="F338" s="1"/>
  <c r="F686"/>
  <c r="F337" s="1"/>
  <c r="F685"/>
  <c r="F336" s="1"/>
  <c r="F684"/>
  <c r="F335" s="1"/>
  <c r="F683"/>
  <c r="F334" s="1"/>
  <c r="F682"/>
  <c r="F681"/>
  <c r="F332" s="1"/>
  <c r="F621"/>
  <c r="F622" s="1"/>
  <c r="F615"/>
  <c r="F616" s="1"/>
  <c r="F670"/>
  <c r="F54" s="1"/>
  <c r="F461"/>
  <c r="F392"/>
  <c r="F388"/>
  <c r="F384"/>
  <c r="F360"/>
  <c r="F341"/>
  <c r="F448"/>
  <c r="F447"/>
  <c r="F446"/>
  <c r="F445"/>
  <c r="F444"/>
  <c r="F443"/>
  <c r="F357"/>
  <c r="F327"/>
  <c r="F333"/>
  <c r="F314"/>
  <c r="F313"/>
  <c r="F312"/>
  <c r="F311"/>
  <c r="F310"/>
  <c r="F309"/>
  <c r="G2"/>
  <c r="F30"/>
  <c r="F26"/>
  <c r="F25"/>
  <c r="F23"/>
  <c r="F19"/>
  <c r="E328"/>
  <c r="E468"/>
  <c r="E469"/>
  <c r="E473"/>
  <c r="E493"/>
  <c r="E497"/>
  <c r="E501"/>
  <c r="E521"/>
  <c r="E525"/>
  <c r="E472"/>
  <c r="E492"/>
  <c r="E496"/>
  <c r="E500"/>
  <c r="E520"/>
  <c r="E524"/>
  <c r="E462"/>
  <c r="D63"/>
  <c r="F27" i="7"/>
  <c r="G600"/>
  <c r="G596"/>
  <c r="G597" s="1"/>
  <c r="H11"/>
  <c r="F401"/>
  <c r="F399"/>
  <c r="F394"/>
  <c r="F398"/>
  <c r="F402"/>
  <c r="F422"/>
  <c r="F426"/>
  <c r="F446"/>
  <c r="F450"/>
  <c r="F454"/>
  <c r="F423"/>
  <c r="F427"/>
  <c r="F447"/>
  <c r="F451"/>
  <c r="F455"/>
  <c r="F651"/>
  <c r="F636" s="1"/>
  <c r="F68" s="1"/>
  <c r="F683"/>
  <c r="F668" s="1"/>
  <c r="F69" s="1"/>
  <c r="F715"/>
  <c r="F700" s="1"/>
  <c r="F70" s="1"/>
  <c r="F631"/>
  <c r="G628" s="1"/>
  <c r="G726"/>
  <c r="G725"/>
  <c r="G724"/>
  <c r="G723"/>
  <c r="G722"/>
  <c r="G721"/>
  <c r="G720"/>
  <c r="G719"/>
  <c r="G714"/>
  <c r="G320" s="1"/>
  <c r="G713"/>
  <c r="G319" s="1"/>
  <c r="G712"/>
  <c r="G711"/>
  <c r="G317" s="1"/>
  <c r="G710"/>
  <c r="G316" s="1"/>
  <c r="G709"/>
  <c r="G315" s="1"/>
  <c r="G708"/>
  <c r="G707"/>
  <c r="G313" s="1"/>
  <c r="G682"/>
  <c r="G294" s="1"/>
  <c r="G681"/>
  <c r="G293" s="1"/>
  <c r="G680"/>
  <c r="G292" s="1"/>
  <c r="G679"/>
  <c r="G678"/>
  <c r="G290" s="1"/>
  <c r="G677"/>
  <c r="G289" s="1"/>
  <c r="G706"/>
  <c r="G312" s="1"/>
  <c r="G705"/>
  <c r="G694"/>
  <c r="G693"/>
  <c r="G692"/>
  <c r="G691"/>
  <c r="G690"/>
  <c r="G689"/>
  <c r="G688"/>
  <c r="G687"/>
  <c r="G686"/>
  <c r="G676"/>
  <c r="G288" s="1"/>
  <c r="G650"/>
  <c r="G269" s="1"/>
  <c r="G649"/>
  <c r="G268" s="1"/>
  <c r="G648"/>
  <c r="G267" s="1"/>
  <c r="G647"/>
  <c r="G266" s="1"/>
  <c r="G646"/>
  <c r="G265" s="1"/>
  <c r="G675"/>
  <c r="G674"/>
  <c r="G286" s="1"/>
  <c r="G673"/>
  <c r="G285" s="1"/>
  <c r="G662"/>
  <c r="G661"/>
  <c r="G660"/>
  <c r="G659"/>
  <c r="G658"/>
  <c r="G657"/>
  <c r="G656"/>
  <c r="G655"/>
  <c r="G654"/>
  <c r="G645"/>
  <c r="G264" s="1"/>
  <c r="G630"/>
  <c r="G62" s="1"/>
  <c r="G644"/>
  <c r="G643"/>
  <c r="G262" s="1"/>
  <c r="G642"/>
  <c r="G261" s="1"/>
  <c r="G641"/>
  <c r="G260" s="1"/>
  <c r="G549"/>
  <c r="G550" s="1"/>
  <c r="G543"/>
  <c r="G544" s="1"/>
  <c r="G376"/>
  <c r="G375"/>
  <c r="G374"/>
  <c r="G373"/>
  <c r="G372"/>
  <c r="G371"/>
  <c r="G311"/>
  <c r="G291"/>
  <c r="G287"/>
  <c r="G389"/>
  <c r="G318"/>
  <c r="G314"/>
  <c r="G263"/>
  <c r="G255"/>
  <c r="G242"/>
  <c r="G241"/>
  <c r="G240"/>
  <c r="G239"/>
  <c r="G238"/>
  <c r="G237"/>
  <c r="G30"/>
  <c r="G26"/>
  <c r="G25"/>
  <c r="G23"/>
  <c r="G19"/>
  <c r="H2"/>
  <c r="F397"/>
  <c r="F256"/>
  <c r="F395"/>
  <c r="F403"/>
  <c r="F396"/>
  <c r="F400"/>
  <c r="F420"/>
  <c r="F424"/>
  <c r="F428"/>
  <c r="F448"/>
  <c r="F452"/>
  <c r="F390"/>
  <c r="F421"/>
  <c r="F425"/>
  <c r="F429"/>
  <c r="F449"/>
  <c r="F453"/>
  <c r="A783" i="2"/>
  <c r="A751"/>
  <c r="H56" i="10" l="1"/>
  <c r="H85"/>
  <c r="H86" s="1"/>
  <c r="I698"/>
  <c r="I694"/>
  <c r="I690"/>
  <c r="I686"/>
  <c r="G660" i="8"/>
  <c r="G656"/>
  <c r="G652"/>
  <c r="G648"/>
  <c r="G65" i="10"/>
  <c r="G68" s="1"/>
  <c r="G75" s="1"/>
  <c r="F179"/>
  <c r="F196" s="1"/>
  <c r="H58"/>
  <c r="H180"/>
  <c r="H197" s="1"/>
  <c r="H141"/>
  <c r="H153" s="1"/>
  <c r="H245"/>
  <c r="H217"/>
  <c r="H59"/>
  <c r="J11"/>
  <c r="I714"/>
  <c r="I181" s="1"/>
  <c r="I198" s="1"/>
  <c r="I41"/>
  <c r="I183" s="1"/>
  <c r="I200" s="1"/>
  <c r="E63" i="8"/>
  <c r="H27" i="10"/>
  <c r="I810"/>
  <c r="I809"/>
  <c r="I808"/>
  <c r="I807"/>
  <c r="I806"/>
  <c r="I805"/>
  <c r="I804"/>
  <c r="I802"/>
  <c r="I798"/>
  <c r="I430" s="1"/>
  <c r="I797"/>
  <c r="I796"/>
  <c r="I428" s="1"/>
  <c r="I795"/>
  <c r="I427" s="1"/>
  <c r="I794"/>
  <c r="I426" s="1"/>
  <c r="I793"/>
  <c r="I425" s="1"/>
  <c r="I792"/>
  <c r="I424" s="1"/>
  <c r="I791"/>
  <c r="I423" s="1"/>
  <c r="I790"/>
  <c r="I422" s="1"/>
  <c r="I789"/>
  <c r="I421" s="1"/>
  <c r="I766"/>
  <c r="I404" s="1"/>
  <c r="I765"/>
  <c r="I403" s="1"/>
  <c r="I764"/>
  <c r="I402" s="1"/>
  <c r="I763"/>
  <c r="I401" s="1"/>
  <c r="I762"/>
  <c r="I400" s="1"/>
  <c r="I761"/>
  <c r="I399" s="1"/>
  <c r="I760"/>
  <c r="I398" s="1"/>
  <c r="I778"/>
  <c r="I777"/>
  <c r="I776"/>
  <c r="I775"/>
  <c r="I774"/>
  <c r="I773"/>
  <c r="I772"/>
  <c r="I771"/>
  <c r="I770"/>
  <c r="I734"/>
  <c r="I379" s="1"/>
  <c r="I733"/>
  <c r="I378" s="1"/>
  <c r="I732"/>
  <c r="I377" s="1"/>
  <c r="I731"/>
  <c r="I376" s="1"/>
  <c r="I730"/>
  <c r="I375" s="1"/>
  <c r="I729"/>
  <c r="I374" s="1"/>
  <c r="I759"/>
  <c r="I397" s="1"/>
  <c r="I758"/>
  <c r="I396" s="1"/>
  <c r="I757"/>
  <c r="I395" s="1"/>
  <c r="I746"/>
  <c r="I745"/>
  <c r="I744"/>
  <c r="I743"/>
  <c r="I742"/>
  <c r="I741"/>
  <c r="I740"/>
  <c r="I739"/>
  <c r="I738"/>
  <c r="I727"/>
  <c r="I725"/>
  <c r="I370" s="1"/>
  <c r="I659"/>
  <c r="I660" s="1"/>
  <c r="I653"/>
  <c r="I654" s="1"/>
  <c r="I728"/>
  <c r="I373" s="1"/>
  <c r="I726"/>
  <c r="I371" s="1"/>
  <c r="I708"/>
  <c r="I486"/>
  <c r="I485"/>
  <c r="I484"/>
  <c r="I483"/>
  <c r="I482"/>
  <c r="I481"/>
  <c r="I429"/>
  <c r="I372"/>
  <c r="I365"/>
  <c r="I499"/>
  <c r="I352"/>
  <c r="I351"/>
  <c r="I350"/>
  <c r="I349"/>
  <c r="I348"/>
  <c r="I347"/>
  <c r="I30"/>
  <c r="I26"/>
  <c r="I25"/>
  <c r="I23"/>
  <c r="I19"/>
  <c r="J2"/>
  <c r="H506"/>
  <c r="H510"/>
  <c r="H530"/>
  <c r="H534"/>
  <c r="H538"/>
  <c r="H558"/>
  <c r="H562"/>
  <c r="H500"/>
  <c r="H366"/>
  <c r="H505"/>
  <c r="H509"/>
  <c r="H513"/>
  <c r="H533"/>
  <c r="H537"/>
  <c r="H557"/>
  <c r="H561"/>
  <c r="H565"/>
  <c r="H735"/>
  <c r="H720" s="1"/>
  <c r="H709"/>
  <c r="H504"/>
  <c r="H508"/>
  <c r="H512"/>
  <c r="H532"/>
  <c r="H536"/>
  <c r="H556"/>
  <c r="H560"/>
  <c r="H564"/>
  <c r="H507"/>
  <c r="H511"/>
  <c r="H531"/>
  <c r="H535"/>
  <c r="H539"/>
  <c r="H559"/>
  <c r="H563"/>
  <c r="H767"/>
  <c r="H752" s="1"/>
  <c r="H66" s="1"/>
  <c r="H799"/>
  <c r="H784" s="1"/>
  <c r="H67" s="1"/>
  <c r="H11" i="8"/>
  <c r="F668"/>
  <c r="F671" s="1"/>
  <c r="F755"/>
  <c r="F740" s="1"/>
  <c r="F62" s="1"/>
  <c r="F383"/>
  <c r="F723"/>
  <c r="F708" s="1"/>
  <c r="F61" s="1"/>
  <c r="G766"/>
  <c r="G765"/>
  <c r="G764"/>
  <c r="G763"/>
  <c r="G762"/>
  <c r="G761"/>
  <c r="G760"/>
  <c r="G759"/>
  <c r="G754"/>
  <c r="G392" s="1"/>
  <c r="G753"/>
  <c r="G752"/>
  <c r="G390" s="1"/>
  <c r="G751"/>
  <c r="G389" s="1"/>
  <c r="G750"/>
  <c r="G388" s="1"/>
  <c r="G749"/>
  <c r="G387" s="1"/>
  <c r="G748"/>
  <c r="G747"/>
  <c r="G385" s="1"/>
  <c r="G746"/>
  <c r="G384" s="1"/>
  <c r="G745"/>
  <c r="G733"/>
  <c r="G731"/>
  <c r="G729"/>
  <c r="G722"/>
  <c r="G721"/>
  <c r="G365" s="1"/>
  <c r="G720"/>
  <c r="G364" s="1"/>
  <c r="G719"/>
  <c r="G363" s="1"/>
  <c r="G718"/>
  <c r="G717"/>
  <c r="G361" s="1"/>
  <c r="G716"/>
  <c r="G360" s="1"/>
  <c r="G715"/>
  <c r="G359" s="1"/>
  <c r="G714"/>
  <c r="G713"/>
  <c r="G734"/>
  <c r="G732"/>
  <c r="G730"/>
  <c r="G728"/>
  <c r="G727"/>
  <c r="G726"/>
  <c r="G690"/>
  <c r="G341" s="1"/>
  <c r="G689"/>
  <c r="G340" s="1"/>
  <c r="G688"/>
  <c r="G339" s="1"/>
  <c r="G687"/>
  <c r="G338" s="1"/>
  <c r="G686"/>
  <c r="G685"/>
  <c r="G336" s="1"/>
  <c r="G684"/>
  <c r="G335" s="1"/>
  <c r="G683"/>
  <c r="G334" s="1"/>
  <c r="G682"/>
  <c r="G333" s="1"/>
  <c r="G681"/>
  <c r="G332" s="1"/>
  <c r="G702"/>
  <c r="G701"/>
  <c r="G700"/>
  <c r="G699"/>
  <c r="G698"/>
  <c r="G697"/>
  <c r="G696"/>
  <c r="G695"/>
  <c r="G694"/>
  <c r="G670"/>
  <c r="G54" s="1"/>
  <c r="G621"/>
  <c r="G622" s="1"/>
  <c r="G615"/>
  <c r="G616" s="1"/>
  <c r="G448"/>
  <c r="G447"/>
  <c r="G446"/>
  <c r="G445"/>
  <c r="G444"/>
  <c r="G443"/>
  <c r="G391"/>
  <c r="G383"/>
  <c r="G461"/>
  <c r="G386"/>
  <c r="G366"/>
  <c r="G362"/>
  <c r="G358"/>
  <c r="G337"/>
  <c r="G327"/>
  <c r="G314"/>
  <c r="G313"/>
  <c r="G312"/>
  <c r="G311"/>
  <c r="G310"/>
  <c r="G309"/>
  <c r="G30"/>
  <c r="G26"/>
  <c r="G25"/>
  <c r="G23"/>
  <c r="G19"/>
  <c r="H2"/>
  <c r="F328"/>
  <c r="F467"/>
  <c r="F466"/>
  <c r="F470"/>
  <c r="F474"/>
  <c r="F494"/>
  <c r="F498"/>
  <c r="F518"/>
  <c r="F522"/>
  <c r="F526"/>
  <c r="F473"/>
  <c r="F493"/>
  <c r="F497"/>
  <c r="F501"/>
  <c r="F521"/>
  <c r="F525"/>
  <c r="F27"/>
  <c r="F469"/>
  <c r="F468"/>
  <c r="F472"/>
  <c r="F492"/>
  <c r="F496"/>
  <c r="F500"/>
  <c r="F520"/>
  <c r="F524"/>
  <c r="F462"/>
  <c r="F471"/>
  <c r="F475"/>
  <c r="F495"/>
  <c r="F499"/>
  <c r="F519"/>
  <c r="F523"/>
  <c r="F527"/>
  <c r="F691"/>
  <c r="F676" s="1"/>
  <c r="F60" s="1"/>
  <c r="G683" i="7"/>
  <c r="G668" s="1"/>
  <c r="G69" s="1"/>
  <c r="I11"/>
  <c r="H600"/>
  <c r="H596"/>
  <c r="H597" s="1"/>
  <c r="G27"/>
  <c r="G400"/>
  <c r="G394"/>
  <c r="G402"/>
  <c r="G397"/>
  <c r="G401"/>
  <c r="G421"/>
  <c r="G425"/>
  <c r="G429"/>
  <c r="G449"/>
  <c r="G453"/>
  <c r="G422"/>
  <c r="G426"/>
  <c r="G446"/>
  <c r="G450"/>
  <c r="G454"/>
  <c r="G631"/>
  <c r="H628" s="1"/>
  <c r="F71"/>
  <c r="H726"/>
  <c r="H725"/>
  <c r="H724"/>
  <c r="H723"/>
  <c r="H722"/>
  <c r="H721"/>
  <c r="H720"/>
  <c r="H719"/>
  <c r="H714"/>
  <c r="H713"/>
  <c r="H319" s="1"/>
  <c r="H712"/>
  <c r="H318" s="1"/>
  <c r="H711"/>
  <c r="H317" s="1"/>
  <c r="H710"/>
  <c r="H709"/>
  <c r="H315" s="1"/>
  <c r="H708"/>
  <c r="H314" s="1"/>
  <c r="H707"/>
  <c r="H313" s="1"/>
  <c r="H706"/>
  <c r="H705"/>
  <c r="H311" s="1"/>
  <c r="H694"/>
  <c r="H693"/>
  <c r="H692"/>
  <c r="H691"/>
  <c r="H690"/>
  <c r="H689"/>
  <c r="H688"/>
  <c r="H687"/>
  <c r="H686"/>
  <c r="H682"/>
  <c r="H294" s="1"/>
  <c r="H681"/>
  <c r="H680"/>
  <c r="H679"/>
  <c r="H291" s="1"/>
  <c r="H678"/>
  <c r="H290" s="1"/>
  <c r="H677"/>
  <c r="H289" s="1"/>
  <c r="H676"/>
  <c r="H288" s="1"/>
  <c r="H675"/>
  <c r="H287" s="1"/>
  <c r="H674"/>
  <c r="H286" s="1"/>
  <c r="H673"/>
  <c r="H662"/>
  <c r="H661"/>
  <c r="H660"/>
  <c r="H659"/>
  <c r="H658"/>
  <c r="H657"/>
  <c r="H656"/>
  <c r="H655"/>
  <c r="H654"/>
  <c r="H650"/>
  <c r="H649"/>
  <c r="H268" s="1"/>
  <c r="H648"/>
  <c r="H267" s="1"/>
  <c r="H647"/>
  <c r="H266" s="1"/>
  <c r="H646"/>
  <c r="H265" s="1"/>
  <c r="H645"/>
  <c r="H264" s="1"/>
  <c r="H644"/>
  <c r="H263" s="1"/>
  <c r="H643"/>
  <c r="H262" s="1"/>
  <c r="H642"/>
  <c r="H261" s="1"/>
  <c r="H641"/>
  <c r="H260" s="1"/>
  <c r="H549"/>
  <c r="H550" s="1"/>
  <c r="H543"/>
  <c r="H544" s="1"/>
  <c r="H630"/>
  <c r="H62" s="1"/>
  <c r="H389"/>
  <c r="H320"/>
  <c r="H316"/>
  <c r="H312"/>
  <c r="H292"/>
  <c r="H376"/>
  <c r="H375"/>
  <c r="H374"/>
  <c r="H373"/>
  <c r="H372"/>
  <c r="H371"/>
  <c r="H293"/>
  <c r="H285"/>
  <c r="H242"/>
  <c r="H241"/>
  <c r="H240"/>
  <c r="H239"/>
  <c r="H238"/>
  <c r="H237"/>
  <c r="H269"/>
  <c r="H255"/>
  <c r="H30"/>
  <c r="H26"/>
  <c r="H25"/>
  <c r="H23"/>
  <c r="H19"/>
  <c r="I2"/>
  <c r="G256"/>
  <c r="G396"/>
  <c r="G398"/>
  <c r="G395"/>
  <c r="G399"/>
  <c r="G403"/>
  <c r="G423"/>
  <c r="G427"/>
  <c r="G447"/>
  <c r="G451"/>
  <c r="G455"/>
  <c r="G420"/>
  <c r="G424"/>
  <c r="G428"/>
  <c r="G448"/>
  <c r="G452"/>
  <c r="G390"/>
  <c r="G651"/>
  <c r="G636" s="1"/>
  <c r="G68" s="1"/>
  <c r="G715"/>
  <c r="G700" s="1"/>
  <c r="G70" s="1"/>
  <c r="A784" i="2"/>
  <c r="A752"/>
  <c r="I56" i="10" l="1"/>
  <c r="I85"/>
  <c r="I86" s="1"/>
  <c r="J698"/>
  <c r="J694"/>
  <c r="J690"/>
  <c r="J686"/>
  <c r="H660" i="8"/>
  <c r="H656"/>
  <c r="H652"/>
  <c r="H648"/>
  <c r="H65" i="10"/>
  <c r="H68" s="1"/>
  <c r="H75" s="1"/>
  <c r="G179"/>
  <c r="G196" s="1"/>
  <c r="I58"/>
  <c r="I180"/>
  <c r="I197" s="1"/>
  <c r="I141"/>
  <c r="I153" s="1"/>
  <c r="I245"/>
  <c r="I217"/>
  <c r="I59"/>
  <c r="K11"/>
  <c r="J714"/>
  <c r="J181" s="1"/>
  <c r="J198" s="1"/>
  <c r="J41"/>
  <c r="J183" s="1"/>
  <c r="J200" s="1"/>
  <c r="I767"/>
  <c r="I752" s="1"/>
  <c r="I66" s="1"/>
  <c r="I706"/>
  <c r="I366"/>
  <c r="I505"/>
  <c r="I509"/>
  <c r="I513"/>
  <c r="I533"/>
  <c r="I537"/>
  <c r="I557"/>
  <c r="I561"/>
  <c r="I565"/>
  <c r="I506"/>
  <c r="I510"/>
  <c r="I530"/>
  <c r="I534"/>
  <c r="I538"/>
  <c r="I558"/>
  <c r="I562"/>
  <c r="I500"/>
  <c r="I27"/>
  <c r="J810"/>
  <c r="J809"/>
  <c r="J808"/>
  <c r="J807"/>
  <c r="J806"/>
  <c r="J805"/>
  <c r="J804"/>
  <c r="J802"/>
  <c r="J798"/>
  <c r="J797"/>
  <c r="J429" s="1"/>
  <c r="J796"/>
  <c r="J428" s="1"/>
  <c r="J795"/>
  <c r="J427" s="1"/>
  <c r="J794"/>
  <c r="J426" s="1"/>
  <c r="J793"/>
  <c r="J425" s="1"/>
  <c r="J792"/>
  <c r="J424" s="1"/>
  <c r="J791"/>
  <c r="J423" s="1"/>
  <c r="J790"/>
  <c r="J422" s="1"/>
  <c r="J789"/>
  <c r="J778"/>
  <c r="J777"/>
  <c r="J776"/>
  <c r="J775"/>
  <c r="J774"/>
  <c r="J773"/>
  <c r="J772"/>
  <c r="J771"/>
  <c r="J770"/>
  <c r="J766"/>
  <c r="J404" s="1"/>
  <c r="J765"/>
  <c r="J764"/>
  <c r="J402" s="1"/>
  <c r="J763"/>
  <c r="J401" s="1"/>
  <c r="J762"/>
  <c r="J400" s="1"/>
  <c r="J761"/>
  <c r="J399" s="1"/>
  <c r="J760"/>
  <c r="J398" s="1"/>
  <c r="J759"/>
  <c r="J397" s="1"/>
  <c r="J758"/>
  <c r="J396" s="1"/>
  <c r="J757"/>
  <c r="J395" s="1"/>
  <c r="J746"/>
  <c r="J745"/>
  <c r="J744"/>
  <c r="J743"/>
  <c r="J742"/>
  <c r="J741"/>
  <c r="J740"/>
  <c r="J739"/>
  <c r="J738"/>
  <c r="J734"/>
  <c r="J379" s="1"/>
  <c r="J733"/>
  <c r="J378" s="1"/>
  <c r="J732"/>
  <c r="J377" s="1"/>
  <c r="J731"/>
  <c r="J376" s="1"/>
  <c r="J730"/>
  <c r="J375" s="1"/>
  <c r="J729"/>
  <c r="J374" s="1"/>
  <c r="J728"/>
  <c r="J373" s="1"/>
  <c r="J727"/>
  <c r="J372" s="1"/>
  <c r="J726"/>
  <c r="J371" s="1"/>
  <c r="J708"/>
  <c r="J725"/>
  <c r="J370" s="1"/>
  <c r="J659"/>
  <c r="J660" s="1"/>
  <c r="J653"/>
  <c r="J654" s="1"/>
  <c r="J499"/>
  <c r="J430"/>
  <c r="J352"/>
  <c r="J351"/>
  <c r="J350"/>
  <c r="J349"/>
  <c r="J348"/>
  <c r="J347"/>
  <c r="J486"/>
  <c r="J485"/>
  <c r="J484"/>
  <c r="J483"/>
  <c r="J482"/>
  <c r="J481"/>
  <c r="J421"/>
  <c r="J403"/>
  <c r="J365"/>
  <c r="K2"/>
  <c r="J30"/>
  <c r="J26"/>
  <c r="J25"/>
  <c r="J23"/>
  <c r="J19"/>
  <c r="I507"/>
  <c r="I511"/>
  <c r="I531"/>
  <c r="I535"/>
  <c r="I539"/>
  <c r="I559"/>
  <c r="I563"/>
  <c r="I504"/>
  <c r="I508"/>
  <c r="I512"/>
  <c r="I532"/>
  <c r="I536"/>
  <c r="I556"/>
  <c r="I560"/>
  <c r="I564"/>
  <c r="I799"/>
  <c r="I784" s="1"/>
  <c r="I67" s="1"/>
  <c r="I735"/>
  <c r="I720" s="1"/>
  <c r="F63" i="8"/>
  <c r="I11"/>
  <c r="G668"/>
  <c r="G755"/>
  <c r="G740" s="1"/>
  <c r="G62" s="1"/>
  <c r="G723"/>
  <c r="G708" s="1"/>
  <c r="G61" s="1"/>
  <c r="G496"/>
  <c r="G469"/>
  <c r="G473"/>
  <c r="G520"/>
  <c r="G524"/>
  <c r="G500"/>
  <c r="G467"/>
  <c r="G471"/>
  <c r="G475"/>
  <c r="G495"/>
  <c r="G499"/>
  <c r="G519"/>
  <c r="G523"/>
  <c r="G527"/>
  <c r="G470"/>
  <c r="G474"/>
  <c r="G494"/>
  <c r="G498"/>
  <c r="G518"/>
  <c r="G522"/>
  <c r="G526"/>
  <c r="H766"/>
  <c r="H765"/>
  <c r="H764"/>
  <c r="H763"/>
  <c r="H762"/>
  <c r="H761"/>
  <c r="H760"/>
  <c r="H759"/>
  <c r="H754"/>
  <c r="H753"/>
  <c r="H391" s="1"/>
  <c r="H752"/>
  <c r="H390" s="1"/>
  <c r="H751"/>
  <c r="H389" s="1"/>
  <c r="H750"/>
  <c r="H388" s="1"/>
  <c r="H749"/>
  <c r="H387" s="1"/>
  <c r="H748"/>
  <c r="H386" s="1"/>
  <c r="H747"/>
  <c r="H385" s="1"/>
  <c r="H746"/>
  <c r="H384" s="1"/>
  <c r="H745"/>
  <c r="H383" s="1"/>
  <c r="H734"/>
  <c r="H733"/>
  <c r="H732"/>
  <c r="H731"/>
  <c r="H730"/>
  <c r="H729"/>
  <c r="H728"/>
  <c r="H727"/>
  <c r="H726"/>
  <c r="H722"/>
  <c r="H366" s="1"/>
  <c r="H721"/>
  <c r="H720"/>
  <c r="H364" s="1"/>
  <c r="H719"/>
  <c r="H363" s="1"/>
  <c r="H718"/>
  <c r="H362" s="1"/>
  <c r="H717"/>
  <c r="H361" s="1"/>
  <c r="H716"/>
  <c r="H360" s="1"/>
  <c r="H715"/>
  <c r="H359" s="1"/>
  <c r="H714"/>
  <c r="H358" s="1"/>
  <c r="H713"/>
  <c r="H357" s="1"/>
  <c r="H702"/>
  <c r="H701"/>
  <c r="H700"/>
  <c r="H699"/>
  <c r="H698"/>
  <c r="H697"/>
  <c r="H696"/>
  <c r="H695"/>
  <c r="H694"/>
  <c r="H690"/>
  <c r="H341" s="1"/>
  <c r="H689"/>
  <c r="H340" s="1"/>
  <c r="H688"/>
  <c r="H339" s="1"/>
  <c r="H687"/>
  <c r="H338" s="1"/>
  <c r="H686"/>
  <c r="H337" s="1"/>
  <c r="H685"/>
  <c r="H336" s="1"/>
  <c r="H684"/>
  <c r="H335" s="1"/>
  <c r="H683"/>
  <c r="H334" s="1"/>
  <c r="H682"/>
  <c r="H333" s="1"/>
  <c r="H681"/>
  <c r="H332" s="1"/>
  <c r="H621"/>
  <c r="H622" s="1"/>
  <c r="H615"/>
  <c r="H616" s="1"/>
  <c r="H670"/>
  <c r="H54" s="1"/>
  <c r="H461"/>
  <c r="H392"/>
  <c r="H448"/>
  <c r="H447"/>
  <c r="H446"/>
  <c r="H445"/>
  <c r="H444"/>
  <c r="H443"/>
  <c r="H365"/>
  <c r="H327"/>
  <c r="H314"/>
  <c r="H313"/>
  <c r="H312"/>
  <c r="H311"/>
  <c r="H310"/>
  <c r="H309"/>
  <c r="I2"/>
  <c r="H30"/>
  <c r="H26"/>
  <c r="H25"/>
  <c r="H23"/>
  <c r="H19"/>
  <c r="G328"/>
  <c r="G468"/>
  <c r="G466"/>
  <c r="G493"/>
  <c r="G497"/>
  <c r="G501"/>
  <c r="G521"/>
  <c r="G525"/>
  <c r="G472"/>
  <c r="G462"/>
  <c r="G671"/>
  <c r="G27"/>
  <c r="G357"/>
  <c r="G691"/>
  <c r="G676" s="1"/>
  <c r="G60" s="1"/>
  <c r="H27" i="7"/>
  <c r="H683"/>
  <c r="H668" s="1"/>
  <c r="H69" s="1"/>
  <c r="I600"/>
  <c r="I596"/>
  <c r="I597" s="1"/>
  <c r="J11"/>
  <c r="H651"/>
  <c r="H636" s="1"/>
  <c r="H68" s="1"/>
  <c r="H715"/>
  <c r="H700" s="1"/>
  <c r="H70" s="1"/>
  <c r="H395"/>
  <c r="H403"/>
  <c r="H401"/>
  <c r="H396"/>
  <c r="H400"/>
  <c r="H420"/>
  <c r="H424"/>
  <c r="H428"/>
  <c r="H448"/>
  <c r="H452"/>
  <c r="H390"/>
  <c r="H421"/>
  <c r="H425"/>
  <c r="H429"/>
  <c r="H449"/>
  <c r="H453"/>
  <c r="G71"/>
  <c r="I726"/>
  <c r="I725"/>
  <c r="I724"/>
  <c r="I723"/>
  <c r="I722"/>
  <c r="I721"/>
  <c r="I720"/>
  <c r="I718"/>
  <c r="I714"/>
  <c r="I713"/>
  <c r="I319" s="1"/>
  <c r="I712"/>
  <c r="I318" s="1"/>
  <c r="I711"/>
  <c r="I710"/>
  <c r="I316" s="1"/>
  <c r="I709"/>
  <c r="I315" s="1"/>
  <c r="I708"/>
  <c r="I314" s="1"/>
  <c r="I707"/>
  <c r="I706"/>
  <c r="I312" s="1"/>
  <c r="I682"/>
  <c r="I294" s="1"/>
  <c r="I681"/>
  <c r="I293" s="1"/>
  <c r="I680"/>
  <c r="I292" s="1"/>
  <c r="I679"/>
  <c r="I291" s="1"/>
  <c r="I678"/>
  <c r="I290" s="1"/>
  <c r="I677"/>
  <c r="I289" s="1"/>
  <c r="I705"/>
  <c r="I311" s="1"/>
  <c r="I694"/>
  <c r="I693"/>
  <c r="I692"/>
  <c r="I691"/>
  <c r="I690"/>
  <c r="I689"/>
  <c r="I688"/>
  <c r="I687"/>
  <c r="I686"/>
  <c r="I650"/>
  <c r="I269" s="1"/>
  <c r="I649"/>
  <c r="I648"/>
  <c r="I267" s="1"/>
  <c r="I647"/>
  <c r="I266" s="1"/>
  <c r="I646"/>
  <c r="I265" s="1"/>
  <c r="I645"/>
  <c r="I264" s="1"/>
  <c r="I676"/>
  <c r="I288" s="1"/>
  <c r="I675"/>
  <c r="I674"/>
  <c r="I286" s="1"/>
  <c r="I673"/>
  <c r="I285" s="1"/>
  <c r="I662"/>
  <c r="I661"/>
  <c r="I660"/>
  <c r="I659"/>
  <c r="I658"/>
  <c r="I657"/>
  <c r="I656"/>
  <c r="I655"/>
  <c r="I654"/>
  <c r="I644"/>
  <c r="I263" s="1"/>
  <c r="I630"/>
  <c r="I62" s="1"/>
  <c r="I643"/>
  <c r="I642"/>
  <c r="I261" s="1"/>
  <c r="I641"/>
  <c r="I260" s="1"/>
  <c r="I549"/>
  <c r="I550" s="1"/>
  <c r="I543"/>
  <c r="I544" s="1"/>
  <c r="I376"/>
  <c r="I375"/>
  <c r="I374"/>
  <c r="I373"/>
  <c r="I372"/>
  <c r="I371"/>
  <c r="I317"/>
  <c r="I313"/>
  <c r="I287"/>
  <c r="I389"/>
  <c r="I320"/>
  <c r="I262"/>
  <c r="I255"/>
  <c r="I268"/>
  <c r="I242"/>
  <c r="I241"/>
  <c r="I240"/>
  <c r="I239"/>
  <c r="I238"/>
  <c r="I237"/>
  <c r="I30"/>
  <c r="I26"/>
  <c r="I25"/>
  <c r="I23"/>
  <c r="I19"/>
  <c r="J2"/>
  <c r="H399"/>
  <c r="H256"/>
  <c r="H397"/>
  <c r="H394"/>
  <c r="H398"/>
  <c r="H402"/>
  <c r="H422"/>
  <c r="H426"/>
  <c r="H446"/>
  <c r="H450"/>
  <c r="H454"/>
  <c r="H423"/>
  <c r="H427"/>
  <c r="H447"/>
  <c r="H451"/>
  <c r="H455"/>
  <c r="H631"/>
  <c r="I628" s="1"/>
  <c r="A785" i="2"/>
  <c r="A753"/>
  <c r="J56" i="10" l="1"/>
  <c r="J85"/>
  <c r="J86" s="1"/>
  <c r="K698"/>
  <c r="K694"/>
  <c r="K690"/>
  <c r="K686"/>
  <c r="I631" i="7"/>
  <c r="J628" s="1"/>
  <c r="I660" i="8"/>
  <c r="I656"/>
  <c r="I652"/>
  <c r="I648"/>
  <c r="I65" i="10"/>
  <c r="H179"/>
  <c r="H196" s="1"/>
  <c r="J58"/>
  <c r="J180"/>
  <c r="J197" s="1"/>
  <c r="J141"/>
  <c r="J153" s="1"/>
  <c r="J245"/>
  <c r="J217"/>
  <c r="I709"/>
  <c r="J706" s="1"/>
  <c r="J59"/>
  <c r="L11"/>
  <c r="K714"/>
  <c r="K181" s="1"/>
  <c r="K198" s="1"/>
  <c r="K41"/>
  <c r="K183" s="1"/>
  <c r="K200" s="1"/>
  <c r="J799"/>
  <c r="J784" s="1"/>
  <c r="J67" s="1"/>
  <c r="G63" i="8"/>
  <c r="J27" i="10"/>
  <c r="J506"/>
  <c r="J510"/>
  <c r="J530"/>
  <c r="J534"/>
  <c r="J538"/>
  <c r="J558"/>
  <c r="J562"/>
  <c r="J500"/>
  <c r="J366"/>
  <c r="J505"/>
  <c r="J509"/>
  <c r="J513"/>
  <c r="J533"/>
  <c r="J537"/>
  <c r="J557"/>
  <c r="J561"/>
  <c r="J565"/>
  <c r="J735"/>
  <c r="J720" s="1"/>
  <c r="I68"/>
  <c r="I75" s="1"/>
  <c r="K810"/>
  <c r="K809"/>
  <c r="K808"/>
  <c r="K807"/>
  <c r="K806"/>
  <c r="K805"/>
  <c r="K804"/>
  <c r="K798"/>
  <c r="K797"/>
  <c r="K429" s="1"/>
  <c r="K796"/>
  <c r="K428" s="1"/>
  <c r="K795"/>
  <c r="K427" s="1"/>
  <c r="K794"/>
  <c r="K426" s="1"/>
  <c r="K793"/>
  <c r="K425" s="1"/>
  <c r="K792"/>
  <c r="K424" s="1"/>
  <c r="K791"/>
  <c r="K423" s="1"/>
  <c r="K790"/>
  <c r="K802"/>
  <c r="K766"/>
  <c r="K404" s="1"/>
  <c r="K765"/>
  <c r="K403" s="1"/>
  <c r="K764"/>
  <c r="K402" s="1"/>
  <c r="K763"/>
  <c r="K401" s="1"/>
  <c r="K762"/>
  <c r="K400" s="1"/>
  <c r="K761"/>
  <c r="K399" s="1"/>
  <c r="K760"/>
  <c r="K789"/>
  <c r="K421" s="1"/>
  <c r="K778"/>
  <c r="K777"/>
  <c r="K776"/>
  <c r="K775"/>
  <c r="K774"/>
  <c r="K773"/>
  <c r="K772"/>
  <c r="K771"/>
  <c r="K770"/>
  <c r="K759"/>
  <c r="K397" s="1"/>
  <c r="K734"/>
  <c r="K379" s="1"/>
  <c r="K733"/>
  <c r="K378" s="1"/>
  <c r="K732"/>
  <c r="K377" s="1"/>
  <c r="K731"/>
  <c r="K376" s="1"/>
  <c r="K730"/>
  <c r="K729"/>
  <c r="K374" s="1"/>
  <c r="K758"/>
  <c r="K396" s="1"/>
  <c r="K757"/>
  <c r="K395" s="1"/>
  <c r="K746"/>
  <c r="K745"/>
  <c r="K744"/>
  <c r="K743"/>
  <c r="K742"/>
  <c r="K741"/>
  <c r="K740"/>
  <c r="K739"/>
  <c r="K738"/>
  <c r="K728"/>
  <c r="K373" s="1"/>
  <c r="K726"/>
  <c r="K371" s="1"/>
  <c r="K725"/>
  <c r="K370" s="1"/>
  <c r="K659"/>
  <c r="K660" s="1"/>
  <c r="K653"/>
  <c r="K654" s="1"/>
  <c r="K727"/>
  <c r="K372" s="1"/>
  <c r="K708"/>
  <c r="K486"/>
  <c r="K485"/>
  <c r="K484"/>
  <c r="K483"/>
  <c r="K482"/>
  <c r="K481"/>
  <c r="K365"/>
  <c r="K499"/>
  <c r="K430"/>
  <c r="K422"/>
  <c r="K398"/>
  <c r="K375"/>
  <c r="K352"/>
  <c r="K351"/>
  <c r="K350"/>
  <c r="K349"/>
  <c r="K348"/>
  <c r="K347"/>
  <c r="K30"/>
  <c r="K26"/>
  <c r="K25"/>
  <c r="K23"/>
  <c r="K19"/>
  <c r="L2"/>
  <c r="J504"/>
  <c r="J508"/>
  <c r="J512"/>
  <c r="J532"/>
  <c r="J536"/>
  <c r="J556"/>
  <c r="J560"/>
  <c r="J564"/>
  <c r="J507"/>
  <c r="J511"/>
  <c r="J531"/>
  <c r="J535"/>
  <c r="J539"/>
  <c r="J559"/>
  <c r="J563"/>
  <c r="J767"/>
  <c r="J752" s="1"/>
  <c r="J66" s="1"/>
  <c r="J11" i="8"/>
  <c r="H668"/>
  <c r="H671" s="1"/>
  <c r="H755"/>
  <c r="H740" s="1"/>
  <c r="H62" s="1"/>
  <c r="H466"/>
  <c r="H470"/>
  <c r="H474"/>
  <c r="H494"/>
  <c r="H498"/>
  <c r="G492"/>
  <c r="I766"/>
  <c r="I765"/>
  <c r="I764"/>
  <c r="I763"/>
  <c r="I762"/>
  <c r="I761"/>
  <c r="I760"/>
  <c r="I758"/>
  <c r="I754"/>
  <c r="I392" s="1"/>
  <c r="I753"/>
  <c r="I752"/>
  <c r="I390" s="1"/>
  <c r="I751"/>
  <c r="I389" s="1"/>
  <c r="I750"/>
  <c r="I388" s="1"/>
  <c r="I749"/>
  <c r="I387" s="1"/>
  <c r="I748"/>
  <c r="I386" s="1"/>
  <c r="I747"/>
  <c r="I385" s="1"/>
  <c r="I746"/>
  <c r="I384" s="1"/>
  <c r="I745"/>
  <c r="I734"/>
  <c r="I732"/>
  <c r="I730"/>
  <c r="I722"/>
  <c r="I721"/>
  <c r="I365" s="1"/>
  <c r="I720"/>
  <c r="I364" s="1"/>
  <c r="I719"/>
  <c r="I363" s="1"/>
  <c r="I718"/>
  <c r="I362" s="1"/>
  <c r="I717"/>
  <c r="I361" s="1"/>
  <c r="I716"/>
  <c r="I360" s="1"/>
  <c r="I715"/>
  <c r="I359" s="1"/>
  <c r="I714"/>
  <c r="I713"/>
  <c r="I357" s="1"/>
  <c r="I733"/>
  <c r="I731"/>
  <c r="I729"/>
  <c r="I728"/>
  <c r="I727"/>
  <c r="I726"/>
  <c r="I690"/>
  <c r="I341" s="1"/>
  <c r="I689"/>
  <c r="I340" s="1"/>
  <c r="I688"/>
  <c r="I339" s="1"/>
  <c r="I687"/>
  <c r="I338" s="1"/>
  <c r="I686"/>
  <c r="I337" s="1"/>
  <c r="I685"/>
  <c r="I336" s="1"/>
  <c r="I684"/>
  <c r="I683"/>
  <c r="I334" s="1"/>
  <c r="I682"/>
  <c r="I333" s="1"/>
  <c r="I681"/>
  <c r="I332" s="1"/>
  <c r="I702"/>
  <c r="I701"/>
  <c r="I700"/>
  <c r="I699"/>
  <c r="I698"/>
  <c r="I697"/>
  <c r="I696"/>
  <c r="I695"/>
  <c r="I694"/>
  <c r="I670"/>
  <c r="I54" s="1"/>
  <c r="I621"/>
  <c r="I622" s="1"/>
  <c r="I615"/>
  <c r="I616" s="1"/>
  <c r="I448"/>
  <c r="I447"/>
  <c r="I446"/>
  <c r="I445"/>
  <c r="I444"/>
  <c r="I443"/>
  <c r="I391"/>
  <c r="I383"/>
  <c r="I461"/>
  <c r="I366"/>
  <c r="I358"/>
  <c r="I335"/>
  <c r="I327"/>
  <c r="I314"/>
  <c r="I313"/>
  <c r="I312"/>
  <c r="I311"/>
  <c r="I310"/>
  <c r="I309"/>
  <c r="I30"/>
  <c r="I26"/>
  <c r="I25"/>
  <c r="I23"/>
  <c r="I19"/>
  <c r="J2"/>
  <c r="H328"/>
  <c r="H469"/>
  <c r="H518"/>
  <c r="H522"/>
  <c r="H526"/>
  <c r="H473"/>
  <c r="H493"/>
  <c r="H497"/>
  <c r="H501"/>
  <c r="H521"/>
  <c r="H525"/>
  <c r="H27"/>
  <c r="H467"/>
  <c r="H468"/>
  <c r="H472"/>
  <c r="H492"/>
  <c r="H496"/>
  <c r="H500"/>
  <c r="H520"/>
  <c r="H524"/>
  <c r="H462"/>
  <c r="H471"/>
  <c r="H475"/>
  <c r="H495"/>
  <c r="H499"/>
  <c r="H519"/>
  <c r="H523"/>
  <c r="H527"/>
  <c r="H691"/>
  <c r="H676" s="1"/>
  <c r="H60" s="1"/>
  <c r="H723"/>
  <c r="H708" s="1"/>
  <c r="H61" s="1"/>
  <c r="H71" i="7"/>
  <c r="K11"/>
  <c r="J600"/>
  <c r="J596"/>
  <c r="J597" s="1"/>
  <c r="I398"/>
  <c r="I400"/>
  <c r="I397"/>
  <c r="I401"/>
  <c r="I421"/>
  <c r="I425"/>
  <c r="I429"/>
  <c r="I449"/>
  <c r="I453"/>
  <c r="I422"/>
  <c r="I426"/>
  <c r="I446"/>
  <c r="I450"/>
  <c r="I454"/>
  <c r="I27"/>
  <c r="J726"/>
  <c r="J725"/>
  <c r="J724"/>
  <c r="J723"/>
  <c r="J722"/>
  <c r="J721"/>
  <c r="J720"/>
  <c r="J718"/>
  <c r="J714"/>
  <c r="J320" s="1"/>
  <c r="J713"/>
  <c r="J319" s="1"/>
  <c r="J712"/>
  <c r="J711"/>
  <c r="J317" s="1"/>
  <c r="J710"/>
  <c r="J316" s="1"/>
  <c r="J709"/>
  <c r="J708"/>
  <c r="J314" s="1"/>
  <c r="J707"/>
  <c r="J313" s="1"/>
  <c r="J706"/>
  <c r="J312" s="1"/>
  <c r="J705"/>
  <c r="J311" s="1"/>
  <c r="J694"/>
  <c r="J693"/>
  <c r="J692"/>
  <c r="J691"/>
  <c r="J690"/>
  <c r="J689"/>
  <c r="J688"/>
  <c r="J687"/>
  <c r="J686"/>
  <c r="J682"/>
  <c r="J294" s="1"/>
  <c r="J681"/>
  <c r="J293" s="1"/>
  <c r="J680"/>
  <c r="J292" s="1"/>
  <c r="J679"/>
  <c r="J291" s="1"/>
  <c r="J678"/>
  <c r="J290" s="1"/>
  <c r="J677"/>
  <c r="J289" s="1"/>
  <c r="J676"/>
  <c r="J675"/>
  <c r="J287" s="1"/>
  <c r="J674"/>
  <c r="J286" s="1"/>
  <c r="J673"/>
  <c r="J285" s="1"/>
  <c r="J662"/>
  <c r="J661"/>
  <c r="J660"/>
  <c r="J659"/>
  <c r="J658"/>
  <c r="J657"/>
  <c r="J656"/>
  <c r="J655"/>
  <c r="J654"/>
  <c r="J650"/>
  <c r="J269" s="1"/>
  <c r="J649"/>
  <c r="J268" s="1"/>
  <c r="J648"/>
  <c r="J267" s="1"/>
  <c r="J647"/>
  <c r="J266" s="1"/>
  <c r="J646"/>
  <c r="J265" s="1"/>
  <c r="J645"/>
  <c r="J644"/>
  <c r="J263" s="1"/>
  <c r="J643"/>
  <c r="J262" s="1"/>
  <c r="J642"/>
  <c r="J261" s="1"/>
  <c r="J641"/>
  <c r="J260" s="1"/>
  <c r="J549"/>
  <c r="J550" s="1"/>
  <c r="J543"/>
  <c r="J544" s="1"/>
  <c r="J630"/>
  <c r="J62" s="1"/>
  <c r="J389"/>
  <c r="J318"/>
  <c r="J288"/>
  <c r="J376"/>
  <c r="J375"/>
  <c r="J374"/>
  <c r="J373"/>
  <c r="J372"/>
  <c r="J371"/>
  <c r="J315"/>
  <c r="J264"/>
  <c r="J242"/>
  <c r="J241"/>
  <c r="J240"/>
  <c r="J239"/>
  <c r="J238"/>
  <c r="J237"/>
  <c r="J255"/>
  <c r="J30"/>
  <c r="J26"/>
  <c r="J25"/>
  <c r="J23"/>
  <c r="J19"/>
  <c r="K2"/>
  <c r="I256"/>
  <c r="I394"/>
  <c r="I402"/>
  <c r="I396"/>
  <c r="I395"/>
  <c r="I399"/>
  <c r="I403"/>
  <c r="I423"/>
  <c r="I427"/>
  <c r="I447"/>
  <c r="I451"/>
  <c r="I455"/>
  <c r="I420"/>
  <c r="I424"/>
  <c r="I428"/>
  <c r="I448"/>
  <c r="I452"/>
  <c r="I390"/>
  <c r="I651"/>
  <c r="I636" s="1"/>
  <c r="I68" s="1"/>
  <c r="I683"/>
  <c r="I668" s="1"/>
  <c r="I69" s="1"/>
  <c r="I715"/>
  <c r="I700" s="1"/>
  <c r="I70" s="1"/>
  <c r="A786" i="2"/>
  <c r="A754"/>
  <c r="K56" i="10" l="1"/>
  <c r="K85"/>
  <c r="K86" s="1"/>
  <c r="L698"/>
  <c r="L694"/>
  <c r="L690"/>
  <c r="L686"/>
  <c r="J648" i="8"/>
  <c r="J660"/>
  <c r="J656"/>
  <c r="J652"/>
  <c r="J65" i="10"/>
  <c r="J68" s="1"/>
  <c r="J75" s="1"/>
  <c r="I179"/>
  <c r="I196" s="1"/>
  <c r="K58"/>
  <c r="K180"/>
  <c r="K197" s="1"/>
  <c r="K141"/>
  <c r="K153" s="1"/>
  <c r="K245"/>
  <c r="K217"/>
  <c r="J709"/>
  <c r="K706" s="1"/>
  <c r="K59"/>
  <c r="M11"/>
  <c r="L714"/>
  <c r="L181" s="1"/>
  <c r="L198" s="1"/>
  <c r="L41"/>
  <c r="L183" s="1"/>
  <c r="L200" s="1"/>
  <c r="K767"/>
  <c r="K752" s="1"/>
  <c r="K66" s="1"/>
  <c r="K506"/>
  <c r="L810"/>
  <c r="L809"/>
  <c r="L808"/>
  <c r="L807"/>
  <c r="L806"/>
  <c r="L805"/>
  <c r="L803"/>
  <c r="L802"/>
  <c r="L798"/>
  <c r="L797"/>
  <c r="L429" s="1"/>
  <c r="L796"/>
  <c r="L428" s="1"/>
  <c r="L795"/>
  <c r="L427" s="1"/>
  <c r="L794"/>
  <c r="L426" s="1"/>
  <c r="L793"/>
  <c r="L425" s="1"/>
  <c r="L792"/>
  <c r="L424" s="1"/>
  <c r="L791"/>
  <c r="L790"/>
  <c r="L422" s="1"/>
  <c r="L789"/>
  <c r="L421" s="1"/>
  <c r="L778"/>
  <c r="L777"/>
  <c r="L776"/>
  <c r="L775"/>
  <c r="L774"/>
  <c r="L773"/>
  <c r="L772"/>
  <c r="L771"/>
  <c r="L770"/>
  <c r="L766"/>
  <c r="L765"/>
  <c r="L403" s="1"/>
  <c r="L764"/>
  <c r="L402" s="1"/>
  <c r="L763"/>
  <c r="L401" s="1"/>
  <c r="L762"/>
  <c r="L400" s="1"/>
  <c r="L761"/>
  <c r="L399" s="1"/>
  <c r="L760"/>
  <c r="L398" s="1"/>
  <c r="L759"/>
  <c r="L397" s="1"/>
  <c r="L758"/>
  <c r="L396" s="1"/>
  <c r="L757"/>
  <c r="L395" s="1"/>
  <c r="L746"/>
  <c r="L745"/>
  <c r="L744"/>
  <c r="L743"/>
  <c r="L742"/>
  <c r="L741"/>
  <c r="L740"/>
  <c r="L739"/>
  <c r="L738"/>
  <c r="L734"/>
  <c r="L379" s="1"/>
  <c r="L733"/>
  <c r="L378" s="1"/>
  <c r="L732"/>
  <c r="L377" s="1"/>
  <c r="L731"/>
  <c r="L376" s="1"/>
  <c r="L730"/>
  <c r="L375" s="1"/>
  <c r="L729"/>
  <c r="L374" s="1"/>
  <c r="L728"/>
  <c r="L373" s="1"/>
  <c r="L727"/>
  <c r="L372" s="1"/>
  <c r="L726"/>
  <c r="L371" s="1"/>
  <c r="L708"/>
  <c r="L725"/>
  <c r="L370" s="1"/>
  <c r="L659"/>
  <c r="L660" s="1"/>
  <c r="L653"/>
  <c r="L654" s="1"/>
  <c r="L499"/>
  <c r="L430"/>
  <c r="L404"/>
  <c r="L352"/>
  <c r="L351"/>
  <c r="L350"/>
  <c r="L349"/>
  <c r="L348"/>
  <c r="L347"/>
  <c r="L486"/>
  <c r="L485"/>
  <c r="L484"/>
  <c r="L483"/>
  <c r="L482"/>
  <c r="L481"/>
  <c r="L423"/>
  <c r="L365"/>
  <c r="L30"/>
  <c r="L26"/>
  <c r="L25"/>
  <c r="L23"/>
  <c r="L19"/>
  <c r="M2"/>
  <c r="K366"/>
  <c r="K505"/>
  <c r="K509"/>
  <c r="K513"/>
  <c r="K533"/>
  <c r="K537"/>
  <c r="K557"/>
  <c r="K561"/>
  <c r="K565"/>
  <c r="K510"/>
  <c r="K530"/>
  <c r="K534"/>
  <c r="K538"/>
  <c r="K558"/>
  <c r="K562"/>
  <c r="K500"/>
  <c r="K799"/>
  <c r="K784" s="1"/>
  <c r="K67" s="1"/>
  <c r="K27"/>
  <c r="K735"/>
  <c r="K720" s="1"/>
  <c r="K507"/>
  <c r="K511"/>
  <c r="K531"/>
  <c r="K535"/>
  <c r="K539"/>
  <c r="K559"/>
  <c r="K563"/>
  <c r="K504"/>
  <c r="K508"/>
  <c r="K512"/>
  <c r="K532"/>
  <c r="K536"/>
  <c r="K556"/>
  <c r="K560"/>
  <c r="K564"/>
  <c r="K11" i="8"/>
  <c r="I668"/>
  <c r="I671" s="1"/>
  <c r="I723"/>
  <c r="I708" s="1"/>
  <c r="I61" s="1"/>
  <c r="J766"/>
  <c r="J765"/>
  <c r="J764"/>
  <c r="J763"/>
  <c r="J762"/>
  <c r="J761"/>
  <c r="J760"/>
  <c r="J758"/>
  <c r="J754"/>
  <c r="J753"/>
  <c r="J391" s="1"/>
  <c r="J752"/>
  <c r="J390" s="1"/>
  <c r="J751"/>
  <c r="J389" s="1"/>
  <c r="J750"/>
  <c r="J749"/>
  <c r="J387" s="1"/>
  <c r="J748"/>
  <c r="J386" s="1"/>
  <c r="J747"/>
  <c r="J746"/>
  <c r="J745"/>
  <c r="J383" s="1"/>
  <c r="J734"/>
  <c r="J733"/>
  <c r="J732"/>
  <c r="J731"/>
  <c r="J730"/>
  <c r="J729"/>
  <c r="J728"/>
  <c r="J727"/>
  <c r="J726"/>
  <c r="J722"/>
  <c r="J721"/>
  <c r="J365" s="1"/>
  <c r="J720"/>
  <c r="J364" s="1"/>
  <c r="J719"/>
  <c r="J718"/>
  <c r="J362" s="1"/>
  <c r="J717"/>
  <c r="J361" s="1"/>
  <c r="J716"/>
  <c r="J360" s="1"/>
  <c r="J715"/>
  <c r="J714"/>
  <c r="J358" s="1"/>
  <c r="J713"/>
  <c r="J357" s="1"/>
  <c r="J702"/>
  <c r="J701"/>
  <c r="J700"/>
  <c r="J699"/>
  <c r="J698"/>
  <c r="J697"/>
  <c r="J696"/>
  <c r="J695"/>
  <c r="J694"/>
  <c r="J690"/>
  <c r="J341" s="1"/>
  <c r="J689"/>
  <c r="J340" s="1"/>
  <c r="J688"/>
  <c r="J339" s="1"/>
  <c r="J687"/>
  <c r="J338" s="1"/>
  <c r="J686"/>
  <c r="J337" s="1"/>
  <c r="J685"/>
  <c r="J336" s="1"/>
  <c r="J684"/>
  <c r="J683"/>
  <c r="J334" s="1"/>
  <c r="J682"/>
  <c r="J333" s="1"/>
  <c r="J681"/>
  <c r="J332" s="1"/>
  <c r="J621"/>
  <c r="J622" s="1"/>
  <c r="J615"/>
  <c r="J616" s="1"/>
  <c r="J670"/>
  <c r="J54" s="1"/>
  <c r="J461"/>
  <c r="J392"/>
  <c r="J388"/>
  <c r="J384"/>
  <c r="J366"/>
  <c r="J448"/>
  <c r="J447"/>
  <c r="J446"/>
  <c r="J445"/>
  <c r="J444"/>
  <c r="J443"/>
  <c r="J385"/>
  <c r="J363"/>
  <c r="J359"/>
  <c r="J327"/>
  <c r="J314"/>
  <c r="J313"/>
  <c r="J312"/>
  <c r="J311"/>
  <c r="J310"/>
  <c r="J309"/>
  <c r="J335"/>
  <c r="K2"/>
  <c r="J30"/>
  <c r="J26"/>
  <c r="J25"/>
  <c r="J23"/>
  <c r="J19"/>
  <c r="I328"/>
  <c r="I468"/>
  <c r="I469"/>
  <c r="I473"/>
  <c r="I493"/>
  <c r="I497"/>
  <c r="I501"/>
  <c r="I521"/>
  <c r="I525"/>
  <c r="I472"/>
  <c r="I492"/>
  <c r="I496"/>
  <c r="I500"/>
  <c r="I520"/>
  <c r="I524"/>
  <c r="I462"/>
  <c r="I27"/>
  <c r="I691"/>
  <c r="I676" s="1"/>
  <c r="I60" s="1"/>
  <c r="I466"/>
  <c r="I467"/>
  <c r="I471"/>
  <c r="I475"/>
  <c r="I495"/>
  <c r="I499"/>
  <c r="I519"/>
  <c r="I523"/>
  <c r="I527"/>
  <c r="I470"/>
  <c r="I474"/>
  <c r="I494"/>
  <c r="I498"/>
  <c r="I518"/>
  <c r="I522"/>
  <c r="I526"/>
  <c r="I755"/>
  <c r="I740" s="1"/>
  <c r="I62" s="1"/>
  <c r="H63"/>
  <c r="K600" i="7"/>
  <c r="K596"/>
  <c r="K597" s="1"/>
  <c r="L11"/>
  <c r="J401"/>
  <c r="J399"/>
  <c r="J394"/>
  <c r="J398"/>
  <c r="J402"/>
  <c r="J422"/>
  <c r="J426"/>
  <c r="J446"/>
  <c r="J450"/>
  <c r="J454"/>
  <c r="J423"/>
  <c r="J427"/>
  <c r="J447"/>
  <c r="J451"/>
  <c r="J455"/>
  <c r="I71"/>
  <c r="J27"/>
  <c r="J651"/>
  <c r="J636" s="1"/>
  <c r="J68" s="1"/>
  <c r="J683"/>
  <c r="J668" s="1"/>
  <c r="J69" s="1"/>
  <c r="J715"/>
  <c r="J700" s="1"/>
  <c r="J70" s="1"/>
  <c r="K726"/>
  <c r="K725"/>
  <c r="K724"/>
  <c r="K723"/>
  <c r="K722"/>
  <c r="K721"/>
  <c r="K720"/>
  <c r="K714"/>
  <c r="K320" s="1"/>
  <c r="K713"/>
  <c r="K319" s="1"/>
  <c r="K712"/>
  <c r="K711"/>
  <c r="K317" s="1"/>
  <c r="K710"/>
  <c r="K316" s="1"/>
  <c r="K709"/>
  <c r="K315" s="1"/>
  <c r="K708"/>
  <c r="K707"/>
  <c r="K313" s="1"/>
  <c r="K718"/>
  <c r="K682"/>
  <c r="K294" s="1"/>
  <c r="K681"/>
  <c r="K680"/>
  <c r="K292" s="1"/>
  <c r="K679"/>
  <c r="K291" s="1"/>
  <c r="K678"/>
  <c r="K290" s="1"/>
  <c r="K677"/>
  <c r="K289" s="1"/>
  <c r="K706"/>
  <c r="K312" s="1"/>
  <c r="K705"/>
  <c r="K694"/>
  <c r="K693"/>
  <c r="K692"/>
  <c r="K691"/>
  <c r="K690"/>
  <c r="K689"/>
  <c r="K688"/>
  <c r="K687"/>
  <c r="K686"/>
  <c r="K676"/>
  <c r="K650"/>
  <c r="K269" s="1"/>
  <c r="K649"/>
  <c r="K268" s="1"/>
  <c r="K648"/>
  <c r="K267" s="1"/>
  <c r="K647"/>
  <c r="K266" s="1"/>
  <c r="K646"/>
  <c r="K265" s="1"/>
  <c r="K645"/>
  <c r="K264" s="1"/>
  <c r="K675"/>
  <c r="K287" s="1"/>
  <c r="K674"/>
  <c r="K286" s="1"/>
  <c r="K673"/>
  <c r="K285" s="1"/>
  <c r="K662"/>
  <c r="K661"/>
  <c r="K660"/>
  <c r="K659"/>
  <c r="K658"/>
  <c r="K657"/>
  <c r="K656"/>
  <c r="K655"/>
  <c r="K654"/>
  <c r="K643"/>
  <c r="K262" s="1"/>
  <c r="K630"/>
  <c r="K62" s="1"/>
  <c r="K644"/>
  <c r="K263" s="1"/>
  <c r="K642"/>
  <c r="K261" s="1"/>
  <c r="K641"/>
  <c r="K549"/>
  <c r="K550" s="1"/>
  <c r="K543"/>
  <c r="K544" s="1"/>
  <c r="K376"/>
  <c r="K375"/>
  <c r="K374"/>
  <c r="K373"/>
  <c r="K372"/>
  <c r="K371"/>
  <c r="K293"/>
  <c r="K389"/>
  <c r="K318"/>
  <c r="K314"/>
  <c r="K288"/>
  <c r="K255"/>
  <c r="K242"/>
  <c r="K241"/>
  <c r="K240"/>
  <c r="K239"/>
  <c r="K238"/>
  <c r="K237"/>
  <c r="L2"/>
  <c r="K30"/>
  <c r="K26"/>
  <c r="K25"/>
  <c r="K23"/>
  <c r="K19"/>
  <c r="J397"/>
  <c r="J256"/>
  <c r="J395"/>
  <c r="J403"/>
  <c r="J396"/>
  <c r="J400"/>
  <c r="J420"/>
  <c r="J424"/>
  <c r="J428"/>
  <c r="J448"/>
  <c r="J452"/>
  <c r="J390"/>
  <c r="J421"/>
  <c r="J425"/>
  <c r="J429"/>
  <c r="J449"/>
  <c r="J453"/>
  <c r="J631"/>
  <c r="K628" s="1"/>
  <c r="A787" i="2"/>
  <c r="A755"/>
  <c r="L56" i="10" l="1"/>
  <c r="L85"/>
  <c r="L86" s="1"/>
  <c r="M698"/>
  <c r="M694"/>
  <c r="M690"/>
  <c r="M686"/>
  <c r="K660" i="8"/>
  <c r="K656"/>
  <c r="K652"/>
  <c r="K648"/>
  <c r="K65" i="10"/>
  <c r="K68" s="1"/>
  <c r="K75" s="1"/>
  <c r="J179"/>
  <c r="J196" s="1"/>
  <c r="L58"/>
  <c r="L180"/>
  <c r="L197" s="1"/>
  <c r="L141"/>
  <c r="L153" s="1"/>
  <c r="L245"/>
  <c r="L217"/>
  <c r="K709"/>
  <c r="L706" s="1"/>
  <c r="L59"/>
  <c r="N11"/>
  <c r="M714"/>
  <c r="M181" s="1"/>
  <c r="M198" s="1"/>
  <c r="M41"/>
  <c r="M183" s="1"/>
  <c r="M200" s="1"/>
  <c r="L799"/>
  <c r="L784" s="1"/>
  <c r="L67" s="1"/>
  <c r="L767"/>
  <c r="L752" s="1"/>
  <c r="L66" s="1"/>
  <c r="M810"/>
  <c r="M809"/>
  <c r="M808"/>
  <c r="M807"/>
  <c r="M806"/>
  <c r="M805"/>
  <c r="M803"/>
  <c r="M802"/>
  <c r="M798"/>
  <c r="M430" s="1"/>
  <c r="M797"/>
  <c r="M796"/>
  <c r="M428" s="1"/>
  <c r="M795"/>
  <c r="M427" s="1"/>
  <c r="M794"/>
  <c r="M426" s="1"/>
  <c r="M793"/>
  <c r="M425" s="1"/>
  <c r="M792"/>
  <c r="M424" s="1"/>
  <c r="M791"/>
  <c r="M423" s="1"/>
  <c r="M790"/>
  <c r="M422" s="1"/>
  <c r="M789"/>
  <c r="M421" s="1"/>
  <c r="M766"/>
  <c r="M404" s="1"/>
  <c r="M765"/>
  <c r="M403" s="1"/>
  <c r="M764"/>
  <c r="M763"/>
  <c r="M401" s="1"/>
  <c r="M762"/>
  <c r="M400" s="1"/>
  <c r="M761"/>
  <c r="M399" s="1"/>
  <c r="M760"/>
  <c r="M398" s="1"/>
  <c r="M759"/>
  <c r="M397" s="1"/>
  <c r="M778"/>
  <c r="M777"/>
  <c r="M776"/>
  <c r="M775"/>
  <c r="M774"/>
  <c r="M773"/>
  <c r="M772"/>
  <c r="M771"/>
  <c r="M770"/>
  <c r="M734"/>
  <c r="M379" s="1"/>
  <c r="M733"/>
  <c r="M378" s="1"/>
  <c r="M732"/>
  <c r="M377" s="1"/>
  <c r="M731"/>
  <c r="M376" s="1"/>
  <c r="M730"/>
  <c r="M375" s="1"/>
  <c r="M729"/>
  <c r="M374" s="1"/>
  <c r="M758"/>
  <c r="M396" s="1"/>
  <c r="M757"/>
  <c r="M395" s="1"/>
  <c r="M746"/>
  <c r="M745"/>
  <c r="M744"/>
  <c r="M743"/>
  <c r="M742"/>
  <c r="M741"/>
  <c r="M740"/>
  <c r="M739"/>
  <c r="M738"/>
  <c r="M727"/>
  <c r="M372" s="1"/>
  <c r="M725"/>
  <c r="M370" s="1"/>
  <c r="M659"/>
  <c r="M660" s="1"/>
  <c r="M653"/>
  <c r="M654" s="1"/>
  <c r="M728"/>
  <c r="M373" s="1"/>
  <c r="M726"/>
  <c r="M371" s="1"/>
  <c r="M708"/>
  <c r="M486"/>
  <c r="M485"/>
  <c r="M484"/>
  <c r="M483"/>
  <c r="M482"/>
  <c r="M481"/>
  <c r="M429"/>
  <c r="M365"/>
  <c r="M499"/>
  <c r="M402"/>
  <c r="M352"/>
  <c r="M351"/>
  <c r="M350"/>
  <c r="M349"/>
  <c r="M348"/>
  <c r="M347"/>
  <c r="M30"/>
  <c r="M26"/>
  <c r="M25"/>
  <c r="M23"/>
  <c r="M19"/>
  <c r="N2"/>
  <c r="L506"/>
  <c r="L510"/>
  <c r="L530"/>
  <c r="L534"/>
  <c r="L538"/>
  <c r="L558"/>
  <c r="L562"/>
  <c r="L500"/>
  <c r="L366"/>
  <c r="L505"/>
  <c r="L509"/>
  <c r="L513"/>
  <c r="L533"/>
  <c r="L537"/>
  <c r="L557"/>
  <c r="L561"/>
  <c r="L565"/>
  <c r="L27"/>
  <c r="L735"/>
  <c r="L720" s="1"/>
  <c r="L504"/>
  <c r="L508"/>
  <c r="L512"/>
  <c r="L532"/>
  <c r="L536"/>
  <c r="L556"/>
  <c r="L560"/>
  <c r="L564"/>
  <c r="L507"/>
  <c r="L511"/>
  <c r="L531"/>
  <c r="L535"/>
  <c r="L539"/>
  <c r="L559"/>
  <c r="L563"/>
  <c r="K631" i="7"/>
  <c r="L628" s="1"/>
  <c r="L11" i="8"/>
  <c r="J668"/>
  <c r="J671" s="1"/>
  <c r="J755"/>
  <c r="J740" s="1"/>
  <c r="J62" s="1"/>
  <c r="K766"/>
  <c r="K765"/>
  <c r="K764"/>
  <c r="K763"/>
  <c r="K762"/>
  <c r="K761"/>
  <c r="K760"/>
  <c r="K758"/>
  <c r="K754"/>
  <c r="K392" s="1"/>
  <c r="K753"/>
  <c r="K752"/>
  <c r="K390" s="1"/>
  <c r="K751"/>
  <c r="K389" s="1"/>
  <c r="K750"/>
  <c r="K388" s="1"/>
  <c r="K749"/>
  <c r="K748"/>
  <c r="K747"/>
  <c r="K385" s="1"/>
  <c r="K746"/>
  <c r="K384" s="1"/>
  <c r="K745"/>
  <c r="K733"/>
  <c r="K731"/>
  <c r="K729"/>
  <c r="K722"/>
  <c r="K721"/>
  <c r="K720"/>
  <c r="K719"/>
  <c r="K363" s="1"/>
  <c r="K718"/>
  <c r="K717"/>
  <c r="K361" s="1"/>
  <c r="K716"/>
  <c r="K715"/>
  <c r="K359" s="1"/>
  <c r="K714"/>
  <c r="K713"/>
  <c r="K357" s="1"/>
  <c r="K734"/>
  <c r="K732"/>
  <c r="K730"/>
  <c r="K728"/>
  <c r="K727"/>
  <c r="K726"/>
  <c r="K690"/>
  <c r="K341" s="1"/>
  <c r="K689"/>
  <c r="K340" s="1"/>
  <c r="K688"/>
  <c r="K687"/>
  <c r="K338" s="1"/>
  <c r="K686"/>
  <c r="K337" s="1"/>
  <c r="K685"/>
  <c r="K336" s="1"/>
  <c r="K684"/>
  <c r="K335" s="1"/>
  <c r="K683"/>
  <c r="K334" s="1"/>
  <c r="K682"/>
  <c r="K333" s="1"/>
  <c r="K681"/>
  <c r="K332" s="1"/>
  <c r="K702"/>
  <c r="K701"/>
  <c r="K700"/>
  <c r="K699"/>
  <c r="K698"/>
  <c r="K697"/>
  <c r="K696"/>
  <c r="K695"/>
  <c r="K694"/>
  <c r="K670"/>
  <c r="K54" s="1"/>
  <c r="K621"/>
  <c r="K622" s="1"/>
  <c r="K615"/>
  <c r="K616" s="1"/>
  <c r="K448"/>
  <c r="K447"/>
  <c r="K446"/>
  <c r="K445"/>
  <c r="K444"/>
  <c r="K443"/>
  <c r="K391"/>
  <c r="K387"/>
  <c r="K383"/>
  <c r="K365"/>
  <c r="K461"/>
  <c r="K386"/>
  <c r="K366"/>
  <c r="K364"/>
  <c r="K362"/>
  <c r="K360"/>
  <c r="K358"/>
  <c r="K339"/>
  <c r="K327"/>
  <c r="K314"/>
  <c r="K313"/>
  <c r="K312"/>
  <c r="K311"/>
  <c r="K310"/>
  <c r="K309"/>
  <c r="K30"/>
  <c r="K26"/>
  <c r="K25"/>
  <c r="K23"/>
  <c r="K19"/>
  <c r="L2"/>
  <c r="J328"/>
  <c r="J467"/>
  <c r="J466"/>
  <c r="J470"/>
  <c r="J474"/>
  <c r="J494"/>
  <c r="J498"/>
  <c r="J518"/>
  <c r="J522"/>
  <c r="J526"/>
  <c r="J473"/>
  <c r="J493"/>
  <c r="J497"/>
  <c r="J501"/>
  <c r="J521"/>
  <c r="J525"/>
  <c r="J27"/>
  <c r="J469"/>
  <c r="J468"/>
  <c r="J472"/>
  <c r="J492"/>
  <c r="J496"/>
  <c r="J500"/>
  <c r="J520"/>
  <c r="J524"/>
  <c r="J462"/>
  <c r="J471"/>
  <c r="J475"/>
  <c r="J495"/>
  <c r="J499"/>
  <c r="J519"/>
  <c r="J523"/>
  <c r="J527"/>
  <c r="J691"/>
  <c r="J676" s="1"/>
  <c r="J60" s="1"/>
  <c r="J723"/>
  <c r="J708" s="1"/>
  <c r="J61" s="1"/>
  <c r="I63"/>
  <c r="M11" i="7"/>
  <c r="L600"/>
  <c r="L596"/>
  <c r="L597" s="1"/>
  <c r="K422"/>
  <c r="K401"/>
  <c r="K450"/>
  <c r="K454"/>
  <c r="K397"/>
  <c r="K426"/>
  <c r="K256"/>
  <c r="K398"/>
  <c r="K651"/>
  <c r="K636" s="1"/>
  <c r="K68" s="1"/>
  <c r="K683"/>
  <c r="K668" s="1"/>
  <c r="K69" s="1"/>
  <c r="K715"/>
  <c r="K700" s="1"/>
  <c r="K70" s="1"/>
  <c r="L726"/>
  <c r="L725"/>
  <c r="L724"/>
  <c r="L723"/>
  <c r="L722"/>
  <c r="L721"/>
  <c r="L719"/>
  <c r="L718"/>
  <c r="L714"/>
  <c r="L713"/>
  <c r="L319" s="1"/>
  <c r="L712"/>
  <c r="L318" s="1"/>
  <c r="L711"/>
  <c r="L317" s="1"/>
  <c r="L710"/>
  <c r="L316" s="1"/>
  <c r="L709"/>
  <c r="L315" s="1"/>
  <c r="L708"/>
  <c r="L314" s="1"/>
  <c r="L707"/>
  <c r="L313" s="1"/>
  <c r="L706"/>
  <c r="L705"/>
  <c r="L694"/>
  <c r="L693"/>
  <c r="L692"/>
  <c r="L691"/>
  <c r="L690"/>
  <c r="L689"/>
  <c r="L688"/>
  <c r="L687"/>
  <c r="L686"/>
  <c r="L682"/>
  <c r="L681"/>
  <c r="L680"/>
  <c r="L292" s="1"/>
  <c r="L679"/>
  <c r="L291" s="1"/>
  <c r="L678"/>
  <c r="L290" s="1"/>
  <c r="L677"/>
  <c r="L289" s="1"/>
  <c r="L676"/>
  <c r="L288" s="1"/>
  <c r="L675"/>
  <c r="L287" s="1"/>
  <c r="L674"/>
  <c r="L286" s="1"/>
  <c r="L673"/>
  <c r="L285" s="1"/>
  <c r="L662"/>
  <c r="L661"/>
  <c r="L660"/>
  <c r="L659"/>
  <c r="L658"/>
  <c r="L657"/>
  <c r="L656"/>
  <c r="L655"/>
  <c r="L654"/>
  <c r="L650"/>
  <c r="L269" s="1"/>
  <c r="L649"/>
  <c r="L268" s="1"/>
  <c r="L648"/>
  <c r="L267" s="1"/>
  <c r="L647"/>
  <c r="L266" s="1"/>
  <c r="L646"/>
  <c r="L645"/>
  <c r="L264" s="1"/>
  <c r="L644"/>
  <c r="L263" s="1"/>
  <c r="L643"/>
  <c r="L262" s="1"/>
  <c r="L642"/>
  <c r="L261" s="1"/>
  <c r="L641"/>
  <c r="L549"/>
  <c r="L550" s="1"/>
  <c r="L543"/>
  <c r="L544" s="1"/>
  <c r="L630"/>
  <c r="L62" s="1"/>
  <c r="L389"/>
  <c r="L320"/>
  <c r="L312"/>
  <c r="L294"/>
  <c r="L376"/>
  <c r="L375"/>
  <c r="L374"/>
  <c r="L373"/>
  <c r="L372"/>
  <c r="L371"/>
  <c r="L293"/>
  <c r="L242"/>
  <c r="L241"/>
  <c r="L240"/>
  <c r="L239"/>
  <c r="L238"/>
  <c r="L237"/>
  <c r="L265"/>
  <c r="L255"/>
  <c r="L30"/>
  <c r="L26"/>
  <c r="L25"/>
  <c r="L23"/>
  <c r="L19"/>
  <c r="M2"/>
  <c r="K400"/>
  <c r="K402"/>
  <c r="K421"/>
  <c r="K425"/>
  <c r="K429"/>
  <c r="K449"/>
  <c r="K453"/>
  <c r="K27"/>
  <c r="K260"/>
  <c r="K311"/>
  <c r="K396"/>
  <c r="K395"/>
  <c r="K399"/>
  <c r="K403"/>
  <c r="K423"/>
  <c r="K427"/>
  <c r="K447"/>
  <c r="K451"/>
  <c r="K455"/>
  <c r="K420"/>
  <c r="K424"/>
  <c r="K428"/>
  <c r="K448"/>
  <c r="K452"/>
  <c r="K390"/>
  <c r="J71"/>
  <c r="A788" i="2"/>
  <c r="A756"/>
  <c r="M56" i="10" l="1"/>
  <c r="M85"/>
  <c r="M86" s="1"/>
  <c r="N698"/>
  <c r="N694"/>
  <c r="N690"/>
  <c r="N686"/>
  <c r="L311" i="7"/>
  <c r="L648" i="8"/>
  <c r="L660"/>
  <c r="L656"/>
  <c r="L652"/>
  <c r="L65" i="10"/>
  <c r="L68" s="1"/>
  <c r="L75" s="1"/>
  <c r="K179"/>
  <c r="K196" s="1"/>
  <c r="M58"/>
  <c r="M180"/>
  <c r="M197" s="1"/>
  <c r="M141"/>
  <c r="M153" s="1"/>
  <c r="M245"/>
  <c r="M217"/>
  <c r="M59"/>
  <c r="L709"/>
  <c r="M706" s="1"/>
  <c r="O11"/>
  <c r="N714"/>
  <c r="N181" s="1"/>
  <c r="N198" s="1"/>
  <c r="N41"/>
  <c r="N183" s="1"/>
  <c r="N200" s="1"/>
  <c r="M799"/>
  <c r="M784" s="1"/>
  <c r="M67" s="1"/>
  <c r="L631" i="7"/>
  <c r="M628" s="1"/>
  <c r="M767" i="10"/>
  <c r="M752" s="1"/>
  <c r="M66" s="1"/>
  <c r="M366"/>
  <c r="M505"/>
  <c r="M509"/>
  <c r="M513"/>
  <c r="M533"/>
  <c r="M537"/>
  <c r="M557"/>
  <c r="M561"/>
  <c r="M565"/>
  <c r="M506"/>
  <c r="M510"/>
  <c r="M530"/>
  <c r="M534"/>
  <c r="M538"/>
  <c r="M558"/>
  <c r="M562"/>
  <c r="M500"/>
  <c r="M27"/>
  <c r="N810"/>
  <c r="N809"/>
  <c r="N808"/>
  <c r="N807"/>
  <c r="N806"/>
  <c r="N805"/>
  <c r="N803"/>
  <c r="N802"/>
  <c r="N798"/>
  <c r="N430" s="1"/>
  <c r="N797"/>
  <c r="N429" s="1"/>
  <c r="N796"/>
  <c r="N428" s="1"/>
  <c r="N795"/>
  <c r="N427" s="1"/>
  <c r="N794"/>
  <c r="N426" s="1"/>
  <c r="N793"/>
  <c r="N425" s="1"/>
  <c r="N792"/>
  <c r="N424" s="1"/>
  <c r="N791"/>
  <c r="N423" s="1"/>
  <c r="N790"/>
  <c r="N422" s="1"/>
  <c r="N789"/>
  <c r="N421" s="1"/>
  <c r="N778"/>
  <c r="N777"/>
  <c r="N776"/>
  <c r="N775"/>
  <c r="N774"/>
  <c r="N773"/>
  <c r="N772"/>
  <c r="N771"/>
  <c r="N770"/>
  <c r="N766"/>
  <c r="N404" s="1"/>
  <c r="N765"/>
  <c r="N403" s="1"/>
  <c r="N764"/>
  <c r="N402" s="1"/>
  <c r="N763"/>
  <c r="N401" s="1"/>
  <c r="N762"/>
  <c r="N400" s="1"/>
  <c r="N761"/>
  <c r="N399" s="1"/>
  <c r="N760"/>
  <c r="N398" s="1"/>
  <c r="N759"/>
  <c r="N397" s="1"/>
  <c r="N758"/>
  <c r="N396" s="1"/>
  <c r="N757"/>
  <c r="N395" s="1"/>
  <c r="N746"/>
  <c r="N745"/>
  <c r="N744"/>
  <c r="N743"/>
  <c r="N742"/>
  <c r="N741"/>
  <c r="N740"/>
  <c r="N739"/>
  <c r="N738"/>
  <c r="N734"/>
  <c r="N379" s="1"/>
  <c r="N733"/>
  <c r="N378" s="1"/>
  <c r="N732"/>
  <c r="N377" s="1"/>
  <c r="N731"/>
  <c r="N376" s="1"/>
  <c r="N730"/>
  <c r="N375" s="1"/>
  <c r="N729"/>
  <c r="N374" s="1"/>
  <c r="N728"/>
  <c r="N373" s="1"/>
  <c r="N727"/>
  <c r="N372" s="1"/>
  <c r="N726"/>
  <c r="N371" s="1"/>
  <c r="N708"/>
  <c r="N725"/>
  <c r="N370" s="1"/>
  <c r="N659"/>
  <c r="N660" s="1"/>
  <c r="N653"/>
  <c r="N654" s="1"/>
  <c r="N499"/>
  <c r="N352"/>
  <c r="N351"/>
  <c r="N350"/>
  <c r="N349"/>
  <c r="N348"/>
  <c r="N347"/>
  <c r="N486"/>
  <c r="N485"/>
  <c r="N484"/>
  <c r="N483"/>
  <c r="N482"/>
  <c r="N481"/>
  <c r="N365"/>
  <c r="O2"/>
  <c r="N30"/>
  <c r="N26"/>
  <c r="N25"/>
  <c r="N23"/>
  <c r="N19"/>
  <c r="M507"/>
  <c r="M511"/>
  <c r="M531"/>
  <c r="M535"/>
  <c r="M539"/>
  <c r="M559"/>
  <c r="M563"/>
  <c r="M504"/>
  <c r="M508"/>
  <c r="M512"/>
  <c r="M532"/>
  <c r="M536"/>
  <c r="M556"/>
  <c r="M560"/>
  <c r="M564"/>
  <c r="M735"/>
  <c r="M720" s="1"/>
  <c r="M11" i="8"/>
  <c r="K668"/>
  <c r="K671" s="1"/>
  <c r="K27"/>
  <c r="K723"/>
  <c r="K708" s="1"/>
  <c r="K61" s="1"/>
  <c r="K755"/>
  <c r="K740" s="1"/>
  <c r="K62" s="1"/>
  <c r="L766"/>
  <c r="L765"/>
  <c r="L764"/>
  <c r="L763"/>
  <c r="L762"/>
  <c r="L761"/>
  <c r="L759"/>
  <c r="L758"/>
  <c r="L754"/>
  <c r="L753"/>
  <c r="L752"/>
  <c r="L751"/>
  <c r="L389" s="1"/>
  <c r="L750"/>
  <c r="L749"/>
  <c r="L387" s="1"/>
  <c r="L748"/>
  <c r="L747"/>
  <c r="L385" s="1"/>
  <c r="L746"/>
  <c r="L745"/>
  <c r="L734"/>
  <c r="L733"/>
  <c r="L732"/>
  <c r="L731"/>
  <c r="L730"/>
  <c r="L729"/>
  <c r="L728"/>
  <c r="L727"/>
  <c r="L726"/>
  <c r="L722"/>
  <c r="L721"/>
  <c r="L720"/>
  <c r="L364" s="1"/>
  <c r="L719"/>
  <c r="L718"/>
  <c r="L362" s="1"/>
  <c r="L717"/>
  <c r="L716"/>
  <c r="L360" s="1"/>
  <c r="L715"/>
  <c r="L714"/>
  <c r="L713"/>
  <c r="L702"/>
  <c r="L701"/>
  <c r="L700"/>
  <c r="L699"/>
  <c r="L698"/>
  <c r="L697"/>
  <c r="L696"/>
  <c r="L695"/>
  <c r="L694"/>
  <c r="L690"/>
  <c r="L341" s="1"/>
  <c r="L689"/>
  <c r="L688"/>
  <c r="L687"/>
  <c r="L338" s="1"/>
  <c r="L686"/>
  <c r="L337" s="1"/>
  <c r="L685"/>
  <c r="L336" s="1"/>
  <c r="L684"/>
  <c r="L335" s="1"/>
  <c r="L683"/>
  <c r="L334" s="1"/>
  <c r="L682"/>
  <c r="L681"/>
  <c r="L332" s="1"/>
  <c r="L621"/>
  <c r="L622" s="1"/>
  <c r="L615"/>
  <c r="L616" s="1"/>
  <c r="L670"/>
  <c r="L54" s="1"/>
  <c r="L461"/>
  <c r="L392"/>
  <c r="L390"/>
  <c r="L388"/>
  <c r="L386"/>
  <c r="L384"/>
  <c r="L366"/>
  <c r="L358"/>
  <c r="L339"/>
  <c r="L448"/>
  <c r="L447"/>
  <c r="L446"/>
  <c r="L445"/>
  <c r="L444"/>
  <c r="L443"/>
  <c r="L391"/>
  <c r="L383"/>
  <c r="L365"/>
  <c r="L363"/>
  <c r="L361"/>
  <c r="L359"/>
  <c r="L357"/>
  <c r="L340"/>
  <c r="L327"/>
  <c r="L314"/>
  <c r="L313"/>
  <c r="L312"/>
  <c r="L311"/>
  <c r="L310"/>
  <c r="L309"/>
  <c r="L333"/>
  <c r="M2"/>
  <c r="L30"/>
  <c r="L26"/>
  <c r="L25"/>
  <c r="L23"/>
  <c r="L19"/>
  <c r="K328"/>
  <c r="K468"/>
  <c r="K466"/>
  <c r="K469"/>
  <c r="K473"/>
  <c r="K493"/>
  <c r="K497"/>
  <c r="K501"/>
  <c r="K521"/>
  <c r="K525"/>
  <c r="K472"/>
  <c r="K492"/>
  <c r="K496"/>
  <c r="K500"/>
  <c r="K520"/>
  <c r="K524"/>
  <c r="K462"/>
  <c r="K691"/>
  <c r="K676" s="1"/>
  <c r="K60" s="1"/>
  <c r="K63" s="1"/>
  <c r="K467"/>
  <c r="K471"/>
  <c r="K475"/>
  <c r="K495"/>
  <c r="K499"/>
  <c r="K519"/>
  <c r="K523"/>
  <c r="K527"/>
  <c r="K470"/>
  <c r="K474"/>
  <c r="K494"/>
  <c r="K498"/>
  <c r="K518"/>
  <c r="K522"/>
  <c r="K526"/>
  <c r="L651" i="7"/>
  <c r="L636" s="1"/>
  <c r="L68" s="1"/>
  <c r="L715"/>
  <c r="L700" s="1"/>
  <c r="L70" s="1"/>
  <c r="J63" i="8"/>
  <c r="L260" i="7"/>
  <c r="L27"/>
  <c r="L683"/>
  <c r="L668" s="1"/>
  <c r="L69" s="1"/>
  <c r="M600"/>
  <c r="M596"/>
  <c r="M597" s="1"/>
  <c r="N11"/>
  <c r="K446"/>
  <c r="L399"/>
  <c r="L256"/>
  <c r="L397"/>
  <c r="L394"/>
  <c r="L398"/>
  <c r="L402"/>
  <c r="L422"/>
  <c r="L426"/>
  <c r="L446"/>
  <c r="L450"/>
  <c r="L454"/>
  <c r="L423"/>
  <c r="L427"/>
  <c r="L447"/>
  <c r="L451"/>
  <c r="L455"/>
  <c r="K394"/>
  <c r="M726"/>
  <c r="M725"/>
  <c r="M724"/>
  <c r="M723"/>
  <c r="M722"/>
  <c r="M721"/>
  <c r="M718"/>
  <c r="M714"/>
  <c r="M320" s="1"/>
  <c r="M713"/>
  <c r="M319" s="1"/>
  <c r="M712"/>
  <c r="M711"/>
  <c r="M710"/>
  <c r="M316" s="1"/>
  <c r="M709"/>
  <c r="M315" s="1"/>
  <c r="M708"/>
  <c r="M707"/>
  <c r="M719"/>
  <c r="M706"/>
  <c r="M312" s="1"/>
  <c r="M682"/>
  <c r="M294" s="1"/>
  <c r="M681"/>
  <c r="M293" s="1"/>
  <c r="M680"/>
  <c r="M679"/>
  <c r="M291" s="1"/>
  <c r="M678"/>
  <c r="M290" s="1"/>
  <c r="M677"/>
  <c r="M289" s="1"/>
  <c r="M676"/>
  <c r="M705"/>
  <c r="M311" s="1"/>
  <c r="M694"/>
  <c r="M693"/>
  <c r="M692"/>
  <c r="M691"/>
  <c r="M690"/>
  <c r="M689"/>
  <c r="M688"/>
  <c r="M687"/>
  <c r="M686"/>
  <c r="M650"/>
  <c r="M269" s="1"/>
  <c r="M649"/>
  <c r="M268" s="1"/>
  <c r="M648"/>
  <c r="M647"/>
  <c r="M646"/>
  <c r="M265" s="1"/>
  <c r="M645"/>
  <c r="M264" s="1"/>
  <c r="M675"/>
  <c r="M287" s="1"/>
  <c r="M674"/>
  <c r="M286" s="1"/>
  <c r="M673"/>
  <c r="M285" s="1"/>
  <c r="M662"/>
  <c r="M661"/>
  <c r="M660"/>
  <c r="M659"/>
  <c r="M658"/>
  <c r="M657"/>
  <c r="M656"/>
  <c r="M655"/>
  <c r="M654"/>
  <c r="M644"/>
  <c r="M263" s="1"/>
  <c r="M630"/>
  <c r="M62" s="1"/>
  <c r="M643"/>
  <c r="M262" s="1"/>
  <c r="M642"/>
  <c r="M261" s="1"/>
  <c r="M641"/>
  <c r="M260" s="1"/>
  <c r="M549"/>
  <c r="M550" s="1"/>
  <c r="M543"/>
  <c r="M544" s="1"/>
  <c r="M376"/>
  <c r="M375"/>
  <c r="M374"/>
  <c r="M373"/>
  <c r="M372"/>
  <c r="M371"/>
  <c r="M317"/>
  <c r="M313"/>
  <c r="M389"/>
  <c r="M318"/>
  <c r="M314"/>
  <c r="M292"/>
  <c r="M288"/>
  <c r="M267"/>
  <c r="M266"/>
  <c r="M255"/>
  <c r="M242"/>
  <c r="M241"/>
  <c r="M240"/>
  <c r="M239"/>
  <c r="M238"/>
  <c r="M237"/>
  <c r="M30"/>
  <c r="M26"/>
  <c r="M25"/>
  <c r="M23"/>
  <c r="M19"/>
  <c r="N2"/>
  <c r="L395"/>
  <c r="L403"/>
  <c r="L401"/>
  <c r="L396"/>
  <c r="L400"/>
  <c r="L420"/>
  <c r="L424"/>
  <c r="L428"/>
  <c r="L448"/>
  <c r="L452"/>
  <c r="L390"/>
  <c r="L421"/>
  <c r="L425"/>
  <c r="L429"/>
  <c r="L449"/>
  <c r="L453"/>
  <c r="M631"/>
  <c r="N628" s="1"/>
  <c r="K71"/>
  <c r="A118" i="1"/>
  <c r="A112"/>
  <c r="A105"/>
  <c r="A99"/>
  <c r="A92"/>
  <c r="A86"/>
  <c r="N56" i="10" l="1"/>
  <c r="N85"/>
  <c r="N86" s="1"/>
  <c r="O698"/>
  <c r="O694"/>
  <c r="O690"/>
  <c r="O686"/>
  <c r="M660" i="8"/>
  <c r="M656"/>
  <c r="M652"/>
  <c r="M648"/>
  <c r="M65" i="10"/>
  <c r="L179"/>
  <c r="L196" s="1"/>
  <c r="N58"/>
  <c r="N180"/>
  <c r="N197" s="1"/>
  <c r="N141"/>
  <c r="N153" s="1"/>
  <c r="N245"/>
  <c r="N217"/>
  <c r="M68"/>
  <c r="M75" s="1"/>
  <c r="N59"/>
  <c r="M709"/>
  <c r="N706" s="1"/>
  <c r="P11"/>
  <c r="O714"/>
  <c r="O181" s="1"/>
  <c r="O198" s="1"/>
  <c r="O41"/>
  <c r="O183" s="1"/>
  <c r="O200" s="1"/>
  <c r="N735"/>
  <c r="N720" s="1"/>
  <c r="N506"/>
  <c r="N510"/>
  <c r="N530"/>
  <c r="N534"/>
  <c r="N538"/>
  <c r="N558"/>
  <c r="N562"/>
  <c r="N500"/>
  <c r="N366"/>
  <c r="N505"/>
  <c r="N509"/>
  <c r="N513"/>
  <c r="N533"/>
  <c r="N537"/>
  <c r="N557"/>
  <c r="N561"/>
  <c r="N565"/>
  <c r="O810"/>
  <c r="O809"/>
  <c r="O808"/>
  <c r="O807"/>
  <c r="O806"/>
  <c r="O804"/>
  <c r="O803"/>
  <c r="O798"/>
  <c r="O430" s="1"/>
  <c r="O797"/>
  <c r="O429" s="1"/>
  <c r="O796"/>
  <c r="O428" s="1"/>
  <c r="O795"/>
  <c r="O427" s="1"/>
  <c r="O794"/>
  <c r="O426" s="1"/>
  <c r="O793"/>
  <c r="O425" s="1"/>
  <c r="O792"/>
  <c r="O424" s="1"/>
  <c r="O791"/>
  <c r="O423" s="1"/>
  <c r="O790"/>
  <c r="O422" s="1"/>
  <c r="O802"/>
  <c r="O766"/>
  <c r="O404" s="1"/>
  <c r="O765"/>
  <c r="O403" s="1"/>
  <c r="O764"/>
  <c r="O402" s="1"/>
  <c r="O763"/>
  <c r="O401" s="1"/>
  <c r="O762"/>
  <c r="O400" s="1"/>
  <c r="O761"/>
  <c r="O399" s="1"/>
  <c r="O760"/>
  <c r="O398" s="1"/>
  <c r="O759"/>
  <c r="O397" s="1"/>
  <c r="O789"/>
  <c r="O421" s="1"/>
  <c r="O778"/>
  <c r="O777"/>
  <c r="O776"/>
  <c r="O775"/>
  <c r="O774"/>
  <c r="O773"/>
  <c r="O772"/>
  <c r="O771"/>
  <c r="O770"/>
  <c r="O734"/>
  <c r="O379" s="1"/>
  <c r="O733"/>
  <c r="O378" s="1"/>
  <c r="O732"/>
  <c r="O377" s="1"/>
  <c r="O731"/>
  <c r="O376" s="1"/>
  <c r="O730"/>
  <c r="O375" s="1"/>
  <c r="O729"/>
  <c r="O374" s="1"/>
  <c r="O758"/>
  <c r="O396" s="1"/>
  <c r="O757"/>
  <c r="O395" s="1"/>
  <c r="O746"/>
  <c r="O745"/>
  <c r="O744"/>
  <c r="O743"/>
  <c r="O742"/>
  <c r="O741"/>
  <c r="O740"/>
  <c r="O739"/>
  <c r="O737"/>
  <c r="O728"/>
  <c r="O373" s="1"/>
  <c r="O726"/>
  <c r="O371" s="1"/>
  <c r="O725"/>
  <c r="O370" s="1"/>
  <c r="O659"/>
  <c r="O660" s="1"/>
  <c r="O653"/>
  <c r="O654" s="1"/>
  <c r="O727"/>
  <c r="O372" s="1"/>
  <c r="O708"/>
  <c r="O486"/>
  <c r="O485"/>
  <c r="O484"/>
  <c r="O483"/>
  <c r="O482"/>
  <c r="O481"/>
  <c r="O365"/>
  <c r="O499"/>
  <c r="O352"/>
  <c r="O351"/>
  <c r="O350"/>
  <c r="O349"/>
  <c r="O348"/>
  <c r="O347"/>
  <c r="O30"/>
  <c r="O26"/>
  <c r="O25"/>
  <c r="O23"/>
  <c r="O19"/>
  <c r="P2"/>
  <c r="N504"/>
  <c r="N508"/>
  <c r="N512"/>
  <c r="N532"/>
  <c r="N536"/>
  <c r="N556"/>
  <c r="N560"/>
  <c r="N564"/>
  <c r="N507"/>
  <c r="N511"/>
  <c r="N531"/>
  <c r="N535"/>
  <c r="N539"/>
  <c r="N559"/>
  <c r="N563"/>
  <c r="N27"/>
  <c r="N767"/>
  <c r="N752" s="1"/>
  <c r="N66" s="1"/>
  <c r="N799"/>
  <c r="N784" s="1"/>
  <c r="N67" s="1"/>
  <c r="N11" i="8"/>
  <c r="L668"/>
  <c r="L71" i="7"/>
  <c r="L671" i="8"/>
  <c r="L27"/>
  <c r="L467"/>
  <c r="L468"/>
  <c r="L472"/>
  <c r="L492"/>
  <c r="L496"/>
  <c r="L500"/>
  <c r="L520"/>
  <c r="L524"/>
  <c r="L462"/>
  <c r="L471"/>
  <c r="L475"/>
  <c r="L495"/>
  <c r="L499"/>
  <c r="L519"/>
  <c r="L523"/>
  <c r="L527"/>
  <c r="L691"/>
  <c r="L676" s="1"/>
  <c r="L60" s="1"/>
  <c r="L723"/>
  <c r="L708" s="1"/>
  <c r="L61" s="1"/>
  <c r="L755"/>
  <c r="L740" s="1"/>
  <c r="L62" s="1"/>
  <c r="M766"/>
  <c r="M765"/>
  <c r="M764"/>
  <c r="M763"/>
  <c r="M762"/>
  <c r="M761"/>
  <c r="M759"/>
  <c r="M758"/>
  <c r="M754"/>
  <c r="M753"/>
  <c r="M752"/>
  <c r="M751"/>
  <c r="M389" s="1"/>
  <c r="M750"/>
  <c r="M749"/>
  <c r="M387" s="1"/>
  <c r="M748"/>
  <c r="M747"/>
  <c r="M385" s="1"/>
  <c r="M746"/>
  <c r="M745"/>
  <c r="M383" s="1"/>
  <c r="M734"/>
  <c r="M732"/>
  <c r="M730"/>
  <c r="M728"/>
  <c r="M722"/>
  <c r="M721"/>
  <c r="M365" s="1"/>
  <c r="M720"/>
  <c r="M719"/>
  <c r="M363" s="1"/>
  <c r="M718"/>
  <c r="M717"/>
  <c r="M361" s="1"/>
  <c r="M716"/>
  <c r="M715"/>
  <c r="M359" s="1"/>
  <c r="M714"/>
  <c r="M713"/>
  <c r="M357" s="1"/>
  <c r="M733"/>
  <c r="M731"/>
  <c r="M729"/>
  <c r="M727"/>
  <c r="M726"/>
  <c r="M690"/>
  <c r="M341" s="1"/>
  <c r="M689"/>
  <c r="M688"/>
  <c r="M339" s="1"/>
  <c r="M687"/>
  <c r="M686"/>
  <c r="M337" s="1"/>
  <c r="M685"/>
  <c r="M684"/>
  <c r="M335" s="1"/>
  <c r="M683"/>
  <c r="M682"/>
  <c r="M333" s="1"/>
  <c r="M681"/>
  <c r="M702"/>
  <c r="M701"/>
  <c r="M700"/>
  <c r="M699"/>
  <c r="M698"/>
  <c r="M697"/>
  <c r="M696"/>
  <c r="M695"/>
  <c r="M694"/>
  <c r="M670"/>
  <c r="M54" s="1"/>
  <c r="M621"/>
  <c r="M622" s="1"/>
  <c r="M615"/>
  <c r="M616" s="1"/>
  <c r="M448"/>
  <c r="M447"/>
  <c r="M446"/>
  <c r="M445"/>
  <c r="M444"/>
  <c r="M443"/>
  <c r="M391"/>
  <c r="M340"/>
  <c r="M338"/>
  <c r="M336"/>
  <c r="M461"/>
  <c r="M392"/>
  <c r="M390"/>
  <c r="M388"/>
  <c r="M386"/>
  <c r="M384"/>
  <c r="M366"/>
  <c r="M364"/>
  <c r="M362"/>
  <c r="M360"/>
  <c r="M358"/>
  <c r="M334"/>
  <c r="M332"/>
  <c r="M327"/>
  <c r="M314"/>
  <c r="M313"/>
  <c r="M312"/>
  <c r="M311"/>
  <c r="M310"/>
  <c r="M309"/>
  <c r="M30"/>
  <c r="M26"/>
  <c r="M25"/>
  <c r="M23"/>
  <c r="M19"/>
  <c r="N2"/>
  <c r="L328"/>
  <c r="L469"/>
  <c r="L466"/>
  <c r="L470"/>
  <c r="L474"/>
  <c r="L494"/>
  <c r="L498"/>
  <c r="L518"/>
  <c r="L522"/>
  <c r="L526"/>
  <c r="L473"/>
  <c r="L493"/>
  <c r="L497"/>
  <c r="L501"/>
  <c r="L521"/>
  <c r="L525"/>
  <c r="M715" i="7"/>
  <c r="M700" s="1"/>
  <c r="M70" s="1"/>
  <c r="O11"/>
  <c r="N600"/>
  <c r="N596"/>
  <c r="N597" s="1"/>
  <c r="M27"/>
  <c r="M395"/>
  <c r="M424"/>
  <c r="M428"/>
  <c r="M447"/>
  <c r="M402"/>
  <c r="M451"/>
  <c r="M455"/>
  <c r="M398"/>
  <c r="M400"/>
  <c r="M397"/>
  <c r="M401"/>
  <c r="M421"/>
  <c r="M425"/>
  <c r="M429"/>
  <c r="M449"/>
  <c r="M453"/>
  <c r="M422"/>
  <c r="M426"/>
  <c r="M446"/>
  <c r="M450"/>
  <c r="M454"/>
  <c r="N726"/>
  <c r="N725"/>
  <c r="N724"/>
  <c r="N723"/>
  <c r="N722"/>
  <c r="N721"/>
  <c r="N719"/>
  <c r="N718"/>
  <c r="N714"/>
  <c r="N320" s="1"/>
  <c r="N713"/>
  <c r="N712"/>
  <c r="N711"/>
  <c r="N317" s="1"/>
  <c r="N710"/>
  <c r="N316" s="1"/>
  <c r="N709"/>
  <c r="N315" s="1"/>
  <c r="N708"/>
  <c r="N314" s="1"/>
  <c r="N707"/>
  <c r="N313" s="1"/>
  <c r="N706"/>
  <c r="N312" s="1"/>
  <c r="N705"/>
  <c r="N311" s="1"/>
  <c r="N694"/>
  <c r="N693"/>
  <c r="N692"/>
  <c r="N691"/>
  <c r="N690"/>
  <c r="N689"/>
  <c r="N688"/>
  <c r="N687"/>
  <c r="N686"/>
  <c r="N682"/>
  <c r="N294" s="1"/>
  <c r="N681"/>
  <c r="N293" s="1"/>
  <c r="N680"/>
  <c r="N292" s="1"/>
  <c r="N679"/>
  <c r="N291" s="1"/>
  <c r="N678"/>
  <c r="N290" s="1"/>
  <c r="N677"/>
  <c r="N289" s="1"/>
  <c r="N676"/>
  <c r="N288" s="1"/>
  <c r="N675"/>
  <c r="N287" s="1"/>
  <c r="N674"/>
  <c r="N286" s="1"/>
  <c r="N673"/>
  <c r="N662"/>
  <c r="N661"/>
  <c r="N660"/>
  <c r="N659"/>
  <c r="N658"/>
  <c r="N657"/>
  <c r="N656"/>
  <c r="N655"/>
  <c r="N654"/>
  <c r="N650"/>
  <c r="N649"/>
  <c r="N268" s="1"/>
  <c r="N648"/>
  <c r="N267" s="1"/>
  <c r="N647"/>
  <c r="N266" s="1"/>
  <c r="N646"/>
  <c r="N265" s="1"/>
  <c r="N645"/>
  <c r="N644"/>
  <c r="N263" s="1"/>
  <c r="N643"/>
  <c r="N262" s="1"/>
  <c r="N642"/>
  <c r="N261" s="1"/>
  <c r="N641"/>
  <c r="N260" s="1"/>
  <c r="N549"/>
  <c r="N550" s="1"/>
  <c r="N543"/>
  <c r="N544" s="1"/>
  <c r="N630"/>
  <c r="N62" s="1"/>
  <c r="N389"/>
  <c r="N318"/>
  <c r="N376"/>
  <c r="N375"/>
  <c r="N374"/>
  <c r="N373"/>
  <c r="N372"/>
  <c r="N371"/>
  <c r="N319"/>
  <c r="N285"/>
  <c r="N264"/>
  <c r="N269"/>
  <c r="N242"/>
  <c r="N241"/>
  <c r="N240"/>
  <c r="N239"/>
  <c r="N238"/>
  <c r="N237"/>
  <c r="N255"/>
  <c r="N30"/>
  <c r="N26"/>
  <c r="N25"/>
  <c r="N23"/>
  <c r="N19"/>
  <c r="O2"/>
  <c r="M256"/>
  <c r="M394"/>
  <c r="M396"/>
  <c r="M399"/>
  <c r="M403"/>
  <c r="M423"/>
  <c r="M427"/>
  <c r="M420"/>
  <c r="M448"/>
  <c r="M452"/>
  <c r="M390"/>
  <c r="M651"/>
  <c r="M636" s="1"/>
  <c r="M68" s="1"/>
  <c r="M683"/>
  <c r="M668" s="1"/>
  <c r="M69" s="1"/>
  <c r="B16" i="1"/>
  <c r="B7"/>
  <c r="B10" s="1"/>
  <c r="J414" i="2"/>
  <c r="J415"/>
  <c r="J416"/>
  <c r="J417"/>
  <c r="J280"/>
  <c r="J281"/>
  <c r="J282"/>
  <c r="J283"/>
  <c r="O56" i="10" l="1"/>
  <c r="O85"/>
  <c r="O86" s="1"/>
  <c r="P698"/>
  <c r="P694"/>
  <c r="P690"/>
  <c r="P686"/>
  <c r="N648" i="8"/>
  <c r="N660"/>
  <c r="N656"/>
  <c r="N652"/>
  <c r="N65" i="10"/>
  <c r="N68" s="1"/>
  <c r="N75" s="1"/>
  <c r="M179"/>
  <c r="M196" s="1"/>
  <c r="O58"/>
  <c r="O180"/>
  <c r="O197" s="1"/>
  <c r="O141"/>
  <c r="O153" s="1"/>
  <c r="O245"/>
  <c r="O217"/>
  <c r="N709"/>
  <c r="O706" s="1"/>
  <c r="O59"/>
  <c r="Q11"/>
  <c r="P714"/>
  <c r="P181" s="1"/>
  <c r="P198" s="1"/>
  <c r="P41"/>
  <c r="P183" s="1"/>
  <c r="P200" s="1"/>
  <c r="O27"/>
  <c r="O735"/>
  <c r="O720" s="1"/>
  <c r="O507"/>
  <c r="O511"/>
  <c r="O531"/>
  <c r="O535"/>
  <c r="O539"/>
  <c r="O559"/>
  <c r="O563"/>
  <c r="O504"/>
  <c r="O508"/>
  <c r="O512"/>
  <c r="O532"/>
  <c r="O536"/>
  <c r="O556"/>
  <c r="O560"/>
  <c r="O564"/>
  <c r="O767"/>
  <c r="O752" s="1"/>
  <c r="O66" s="1"/>
  <c r="O799"/>
  <c r="O784" s="1"/>
  <c r="O67" s="1"/>
  <c r="P810"/>
  <c r="P809"/>
  <c r="P808"/>
  <c r="P807"/>
  <c r="P806"/>
  <c r="P804"/>
  <c r="P803"/>
  <c r="P802"/>
  <c r="P798"/>
  <c r="P797"/>
  <c r="P429" s="1"/>
  <c r="P796"/>
  <c r="P428" s="1"/>
  <c r="P795"/>
  <c r="P427" s="1"/>
  <c r="P794"/>
  <c r="P426" s="1"/>
  <c r="P793"/>
  <c r="P425" s="1"/>
  <c r="P792"/>
  <c r="P424" s="1"/>
  <c r="P791"/>
  <c r="P423" s="1"/>
  <c r="P790"/>
  <c r="P789"/>
  <c r="P421" s="1"/>
  <c r="P778"/>
  <c r="P777"/>
  <c r="P776"/>
  <c r="P775"/>
  <c r="P774"/>
  <c r="P773"/>
  <c r="P772"/>
  <c r="P771"/>
  <c r="P770"/>
  <c r="P766"/>
  <c r="P404" s="1"/>
  <c r="P765"/>
  <c r="P403" s="1"/>
  <c r="P764"/>
  <c r="P402" s="1"/>
  <c r="P763"/>
  <c r="P401" s="1"/>
  <c r="P762"/>
  <c r="P400" s="1"/>
  <c r="P761"/>
  <c r="P399" s="1"/>
  <c r="P760"/>
  <c r="P398" s="1"/>
  <c r="P759"/>
  <c r="P397" s="1"/>
  <c r="P758"/>
  <c r="P396" s="1"/>
  <c r="P757"/>
  <c r="P746"/>
  <c r="P745"/>
  <c r="P744"/>
  <c r="P743"/>
  <c r="P742"/>
  <c r="P741"/>
  <c r="P740"/>
  <c r="P739"/>
  <c r="P737"/>
  <c r="P734"/>
  <c r="P733"/>
  <c r="P378" s="1"/>
  <c r="P732"/>
  <c r="P377" s="1"/>
  <c r="P731"/>
  <c r="P376" s="1"/>
  <c r="P730"/>
  <c r="P375" s="1"/>
  <c r="P729"/>
  <c r="P374" s="1"/>
  <c r="P728"/>
  <c r="P373" s="1"/>
  <c r="P727"/>
  <c r="P372" s="1"/>
  <c r="P726"/>
  <c r="P371" s="1"/>
  <c r="P708"/>
  <c r="P725"/>
  <c r="P659"/>
  <c r="P660" s="1"/>
  <c r="P653"/>
  <c r="P654" s="1"/>
  <c r="P499"/>
  <c r="P430"/>
  <c r="P422"/>
  <c r="P379"/>
  <c r="P352"/>
  <c r="P351"/>
  <c r="P350"/>
  <c r="P349"/>
  <c r="P348"/>
  <c r="P347"/>
  <c r="P486"/>
  <c r="P485"/>
  <c r="P484"/>
  <c r="P483"/>
  <c r="P482"/>
  <c r="P481"/>
  <c r="P395"/>
  <c r="P370"/>
  <c r="P365"/>
  <c r="P30"/>
  <c r="P26"/>
  <c r="P25"/>
  <c r="P23"/>
  <c r="P19"/>
  <c r="Q2"/>
  <c r="O366"/>
  <c r="O505"/>
  <c r="O509"/>
  <c r="O513"/>
  <c r="O533"/>
  <c r="O537"/>
  <c r="O557"/>
  <c r="O561"/>
  <c r="O565"/>
  <c r="O506"/>
  <c r="O510"/>
  <c r="O530"/>
  <c r="O534"/>
  <c r="O538"/>
  <c r="O558"/>
  <c r="O562"/>
  <c r="O500"/>
  <c r="O11" i="8"/>
  <c r="M668"/>
  <c r="M671" s="1"/>
  <c r="M755"/>
  <c r="M740" s="1"/>
  <c r="M62" s="1"/>
  <c r="N766"/>
  <c r="N765"/>
  <c r="N764"/>
  <c r="N763"/>
  <c r="N762"/>
  <c r="N761"/>
  <c r="N759"/>
  <c r="N758"/>
  <c r="N754"/>
  <c r="N753"/>
  <c r="N391" s="1"/>
  <c r="N752"/>
  <c r="N390" s="1"/>
  <c r="N751"/>
  <c r="N389" s="1"/>
  <c r="N750"/>
  <c r="N388" s="1"/>
  <c r="N749"/>
  <c r="N387" s="1"/>
  <c r="N748"/>
  <c r="N386" s="1"/>
  <c r="N747"/>
  <c r="N746"/>
  <c r="N745"/>
  <c r="N383" s="1"/>
  <c r="N734"/>
  <c r="N733"/>
  <c r="N732"/>
  <c r="N731"/>
  <c r="N730"/>
  <c r="N729"/>
  <c r="N728"/>
  <c r="N727"/>
  <c r="N726"/>
  <c r="N722"/>
  <c r="N366" s="1"/>
  <c r="N721"/>
  <c r="N365" s="1"/>
  <c r="N720"/>
  <c r="N364" s="1"/>
  <c r="N719"/>
  <c r="N363" s="1"/>
  <c r="N718"/>
  <c r="N362" s="1"/>
  <c r="N717"/>
  <c r="N361" s="1"/>
  <c r="N716"/>
  <c r="N360" s="1"/>
  <c r="N715"/>
  <c r="N714"/>
  <c r="N358" s="1"/>
  <c r="N713"/>
  <c r="N357" s="1"/>
  <c r="N702"/>
  <c r="N701"/>
  <c r="N700"/>
  <c r="N699"/>
  <c r="N698"/>
  <c r="N697"/>
  <c r="N696"/>
  <c r="N695"/>
  <c r="N694"/>
  <c r="N690"/>
  <c r="N341" s="1"/>
  <c r="N689"/>
  <c r="N340" s="1"/>
  <c r="N688"/>
  <c r="N687"/>
  <c r="N686"/>
  <c r="N337" s="1"/>
  <c r="N685"/>
  <c r="N336" s="1"/>
  <c r="N684"/>
  <c r="N335" s="1"/>
  <c r="N683"/>
  <c r="N334" s="1"/>
  <c r="N682"/>
  <c r="N333" s="1"/>
  <c r="N681"/>
  <c r="N332" s="1"/>
  <c r="N621"/>
  <c r="N622" s="1"/>
  <c r="N615"/>
  <c r="N616" s="1"/>
  <c r="N670"/>
  <c r="N54" s="1"/>
  <c r="N461"/>
  <c r="N392"/>
  <c r="N384"/>
  <c r="N339"/>
  <c r="N448"/>
  <c r="N447"/>
  <c r="N446"/>
  <c r="N445"/>
  <c r="N444"/>
  <c r="N443"/>
  <c r="N385"/>
  <c r="N359"/>
  <c r="N338"/>
  <c r="N327"/>
  <c r="N314"/>
  <c r="N313"/>
  <c r="N312"/>
  <c r="N311"/>
  <c r="N310"/>
  <c r="N309"/>
  <c r="O2"/>
  <c r="N30"/>
  <c r="N26"/>
  <c r="N25"/>
  <c r="N23"/>
  <c r="N19"/>
  <c r="M328"/>
  <c r="M468"/>
  <c r="M469"/>
  <c r="M473"/>
  <c r="M493"/>
  <c r="M497"/>
  <c r="M501"/>
  <c r="M521"/>
  <c r="M525"/>
  <c r="M472"/>
  <c r="M492"/>
  <c r="M496"/>
  <c r="M500"/>
  <c r="M520"/>
  <c r="M524"/>
  <c r="M462"/>
  <c r="M27"/>
  <c r="M691"/>
  <c r="M676" s="1"/>
  <c r="M60" s="1"/>
  <c r="M723"/>
  <c r="M708" s="1"/>
  <c r="M61" s="1"/>
  <c r="L63"/>
  <c r="M466"/>
  <c r="M467"/>
  <c r="M471"/>
  <c r="M475"/>
  <c r="M495"/>
  <c r="M499"/>
  <c r="M519"/>
  <c r="M523"/>
  <c r="M527"/>
  <c r="M470"/>
  <c r="M474"/>
  <c r="M494"/>
  <c r="M498"/>
  <c r="M518"/>
  <c r="M522"/>
  <c r="M526"/>
  <c r="O600" i="7"/>
  <c r="O596"/>
  <c r="O597" s="1"/>
  <c r="P11"/>
  <c r="N423"/>
  <c r="N399"/>
  <c r="N401"/>
  <c r="N447"/>
  <c r="N451"/>
  <c r="N455"/>
  <c r="N427"/>
  <c r="N397"/>
  <c r="N256"/>
  <c r="N395"/>
  <c r="N403"/>
  <c r="N396"/>
  <c r="N400"/>
  <c r="N420"/>
  <c r="N424"/>
  <c r="N428"/>
  <c r="N448"/>
  <c r="N452"/>
  <c r="N390"/>
  <c r="N421"/>
  <c r="N425"/>
  <c r="N429"/>
  <c r="N449"/>
  <c r="N453"/>
  <c r="O726"/>
  <c r="O725"/>
  <c r="O724"/>
  <c r="O723"/>
  <c r="O722"/>
  <c r="O720"/>
  <c r="O719"/>
  <c r="O714"/>
  <c r="O713"/>
  <c r="O319" s="1"/>
  <c r="O712"/>
  <c r="O318" s="1"/>
  <c r="O711"/>
  <c r="O317" s="1"/>
  <c r="O710"/>
  <c r="O316" s="1"/>
  <c r="O709"/>
  <c r="O315" s="1"/>
  <c r="O708"/>
  <c r="O314" s="1"/>
  <c r="O707"/>
  <c r="O313" s="1"/>
  <c r="O718"/>
  <c r="O705"/>
  <c r="O311" s="1"/>
  <c r="O682"/>
  <c r="O681"/>
  <c r="O293" s="1"/>
  <c r="O680"/>
  <c r="O292" s="1"/>
  <c r="O679"/>
  <c r="O291" s="1"/>
  <c r="O678"/>
  <c r="O290" s="1"/>
  <c r="O677"/>
  <c r="O289" s="1"/>
  <c r="O676"/>
  <c r="O288" s="1"/>
  <c r="O706"/>
  <c r="O312" s="1"/>
  <c r="O694"/>
  <c r="O693"/>
  <c r="O692"/>
  <c r="O691"/>
  <c r="O690"/>
  <c r="O689"/>
  <c r="O688"/>
  <c r="O687"/>
  <c r="O686"/>
  <c r="O650"/>
  <c r="O269" s="1"/>
  <c r="O649"/>
  <c r="O268" s="1"/>
  <c r="O648"/>
  <c r="O267" s="1"/>
  <c r="O647"/>
  <c r="O266" s="1"/>
  <c r="O646"/>
  <c r="O265" s="1"/>
  <c r="O645"/>
  <c r="O264" s="1"/>
  <c r="O675"/>
  <c r="O287" s="1"/>
  <c r="O674"/>
  <c r="O286" s="1"/>
  <c r="O673"/>
  <c r="O285" s="1"/>
  <c r="O662"/>
  <c r="O661"/>
  <c r="O660"/>
  <c r="O659"/>
  <c r="O658"/>
  <c r="O657"/>
  <c r="O656"/>
  <c r="O655"/>
  <c r="O653"/>
  <c r="O643"/>
  <c r="O262" s="1"/>
  <c r="O630"/>
  <c r="O62" s="1"/>
  <c r="O644"/>
  <c r="O263" s="1"/>
  <c r="O642"/>
  <c r="O261" s="1"/>
  <c r="O641"/>
  <c r="O549"/>
  <c r="O550" s="1"/>
  <c r="O543"/>
  <c r="O544" s="1"/>
  <c r="O376"/>
  <c r="O375"/>
  <c r="O374"/>
  <c r="O373"/>
  <c r="O372"/>
  <c r="O371"/>
  <c r="O389"/>
  <c r="O320"/>
  <c r="O294"/>
  <c r="O255"/>
  <c r="O242"/>
  <c r="O241"/>
  <c r="O240"/>
  <c r="O239"/>
  <c r="O238"/>
  <c r="O237"/>
  <c r="O30"/>
  <c r="O26"/>
  <c r="O25"/>
  <c r="O23"/>
  <c r="O19"/>
  <c r="P2"/>
  <c r="N394"/>
  <c r="N398"/>
  <c r="N402"/>
  <c r="N422"/>
  <c r="N426"/>
  <c r="N446"/>
  <c r="N450"/>
  <c r="N454"/>
  <c r="M71"/>
  <c r="N631"/>
  <c r="O628" s="1"/>
  <c r="N27"/>
  <c r="N651"/>
  <c r="N636" s="1"/>
  <c r="N68" s="1"/>
  <c r="N683"/>
  <c r="N668" s="1"/>
  <c r="N69" s="1"/>
  <c r="N715"/>
  <c r="N700" s="1"/>
  <c r="N70" s="1"/>
  <c r="B11" i="1"/>
  <c r="L24"/>
  <c r="L5"/>
  <c r="L25" s="1"/>
  <c r="D34" i="2"/>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Y38"/>
  <c r="Z38"/>
  <c r="AA38"/>
  <c r="AB38"/>
  <c r="AC38"/>
  <c r="AD38"/>
  <c r="AE38"/>
  <c r="AF38"/>
  <c r="AG38"/>
  <c r="AH38"/>
  <c r="AI38"/>
  <c r="AJ38"/>
  <c r="AK38"/>
  <c r="AL38"/>
  <c r="AM38"/>
  <c r="AN38"/>
  <c r="AO38"/>
  <c r="AP38"/>
  <c r="S38"/>
  <c r="T38"/>
  <c r="U38"/>
  <c r="V38"/>
  <c r="W38"/>
  <c r="X38"/>
  <c r="L38"/>
  <c r="M38"/>
  <c r="N38"/>
  <c r="O38"/>
  <c r="P38"/>
  <c r="Q38"/>
  <c r="R38"/>
  <c r="G38"/>
  <c r="H38"/>
  <c r="I38"/>
  <c r="J38"/>
  <c r="K38"/>
  <c r="E38"/>
  <c r="F38"/>
  <c r="D38"/>
  <c r="C38"/>
  <c r="D36"/>
  <c r="E36" s="1"/>
  <c r="F36" s="1"/>
  <c r="G36" s="1"/>
  <c r="H36" s="1"/>
  <c r="P56" i="10" l="1"/>
  <c r="P85"/>
  <c r="P86" s="1"/>
  <c r="Q698"/>
  <c r="Q694"/>
  <c r="Q690"/>
  <c r="Q686"/>
  <c r="O660" i="8"/>
  <c r="O656"/>
  <c r="O652"/>
  <c r="O648"/>
  <c r="O65" i="10"/>
  <c r="O68" s="1"/>
  <c r="O179" s="1"/>
  <c r="O196" s="1"/>
  <c r="N179"/>
  <c r="N196" s="1"/>
  <c r="P58"/>
  <c r="P180"/>
  <c r="P197" s="1"/>
  <c r="P141"/>
  <c r="P153" s="1"/>
  <c r="P245"/>
  <c r="P217"/>
  <c r="P59"/>
  <c r="O709"/>
  <c r="R11"/>
  <c r="Q714"/>
  <c r="Q181" s="1"/>
  <c r="Q198" s="1"/>
  <c r="Q41"/>
  <c r="Q183" s="1"/>
  <c r="Q200" s="1"/>
  <c r="P27"/>
  <c r="P735"/>
  <c r="P720" s="1"/>
  <c r="Q810"/>
  <c r="Q809"/>
  <c r="Q808"/>
  <c r="Q807"/>
  <c r="Q806"/>
  <c r="Q804"/>
  <c r="Q803"/>
  <c r="Q802"/>
  <c r="Q798"/>
  <c r="Q430" s="1"/>
  <c r="Q797"/>
  <c r="Q796"/>
  <c r="Q428" s="1"/>
  <c r="Q795"/>
  <c r="Q427" s="1"/>
  <c r="Q794"/>
  <c r="Q426" s="1"/>
  <c r="Q793"/>
  <c r="Q425" s="1"/>
  <c r="Q792"/>
  <c r="Q424" s="1"/>
  <c r="Q791"/>
  <c r="Q423" s="1"/>
  <c r="Q790"/>
  <c r="Q422" s="1"/>
  <c r="Q789"/>
  <c r="Q421" s="1"/>
  <c r="Q766"/>
  <c r="Q404" s="1"/>
  <c r="Q765"/>
  <c r="Q403" s="1"/>
  <c r="Q764"/>
  <c r="Q402" s="1"/>
  <c r="Q763"/>
  <c r="Q401" s="1"/>
  <c r="Q762"/>
  <c r="Q400" s="1"/>
  <c r="Q761"/>
  <c r="Q399" s="1"/>
  <c r="Q760"/>
  <c r="Q398" s="1"/>
  <c r="Q759"/>
  <c r="Q778"/>
  <c r="Q777"/>
  <c r="Q776"/>
  <c r="Q775"/>
  <c r="Q774"/>
  <c r="Q773"/>
  <c r="Q772"/>
  <c r="Q771"/>
  <c r="Q770"/>
  <c r="Q734"/>
  <c r="Q379" s="1"/>
  <c r="Q733"/>
  <c r="Q732"/>
  <c r="Q731"/>
  <c r="Q376" s="1"/>
  <c r="Q730"/>
  <c r="Q375" s="1"/>
  <c r="Q729"/>
  <c r="Q374" s="1"/>
  <c r="Q728"/>
  <c r="Q373" s="1"/>
  <c r="Q758"/>
  <c r="Q396" s="1"/>
  <c r="Q757"/>
  <c r="Q395" s="1"/>
  <c r="Q746"/>
  <c r="Q745"/>
  <c r="Q744"/>
  <c r="Q743"/>
  <c r="Q742"/>
  <c r="Q741"/>
  <c r="Q740"/>
  <c r="Q739"/>
  <c r="Q737"/>
  <c r="Q727"/>
  <c r="Q372" s="1"/>
  <c r="Q725"/>
  <c r="Q370" s="1"/>
  <c r="Q659"/>
  <c r="Q660" s="1"/>
  <c r="Q653"/>
  <c r="Q654" s="1"/>
  <c r="Q726"/>
  <c r="Q371" s="1"/>
  <c r="Q708"/>
  <c r="Q486"/>
  <c r="Q485"/>
  <c r="Q484"/>
  <c r="Q483"/>
  <c r="Q482"/>
  <c r="Q481"/>
  <c r="Q429"/>
  <c r="Q397"/>
  <c r="Q378"/>
  <c r="Q365"/>
  <c r="Q499"/>
  <c r="Q377"/>
  <c r="Q352"/>
  <c r="Q351"/>
  <c r="Q350"/>
  <c r="Q349"/>
  <c r="Q348"/>
  <c r="Q347"/>
  <c r="Q30"/>
  <c r="Q26"/>
  <c r="Q25"/>
  <c r="Q23"/>
  <c r="Q19"/>
  <c r="R2"/>
  <c r="P506"/>
  <c r="P510"/>
  <c r="P530"/>
  <c r="P534"/>
  <c r="P538"/>
  <c r="P558"/>
  <c r="P562"/>
  <c r="P500"/>
  <c r="P366"/>
  <c r="P505"/>
  <c r="P509"/>
  <c r="P513"/>
  <c r="P533"/>
  <c r="P537"/>
  <c r="P557"/>
  <c r="P561"/>
  <c r="P565"/>
  <c r="P504"/>
  <c r="P508"/>
  <c r="P512"/>
  <c r="P532"/>
  <c r="P536"/>
  <c r="P556"/>
  <c r="P560"/>
  <c r="P564"/>
  <c r="P507"/>
  <c r="P511"/>
  <c r="P531"/>
  <c r="P535"/>
  <c r="P539"/>
  <c r="P559"/>
  <c r="P563"/>
  <c r="P706"/>
  <c r="P767"/>
  <c r="P752" s="1"/>
  <c r="P66" s="1"/>
  <c r="P799"/>
  <c r="P784" s="1"/>
  <c r="P67" s="1"/>
  <c r="P11" i="8"/>
  <c r="N668"/>
  <c r="N671" s="1"/>
  <c r="M63"/>
  <c r="N691"/>
  <c r="N676" s="1"/>
  <c r="N60" s="1"/>
  <c r="N755"/>
  <c r="N740" s="1"/>
  <c r="N62" s="1"/>
  <c r="N723"/>
  <c r="N708" s="1"/>
  <c r="N61" s="1"/>
  <c r="M72"/>
  <c r="O766"/>
  <c r="O765"/>
  <c r="O764"/>
  <c r="O763"/>
  <c r="O762"/>
  <c r="O760"/>
  <c r="O759"/>
  <c r="O758"/>
  <c r="O754"/>
  <c r="O392" s="1"/>
  <c r="O753"/>
  <c r="O752"/>
  <c r="O751"/>
  <c r="O750"/>
  <c r="O388" s="1"/>
  <c r="O749"/>
  <c r="O748"/>
  <c r="O386" s="1"/>
  <c r="O747"/>
  <c r="O746"/>
  <c r="O384" s="1"/>
  <c r="O745"/>
  <c r="O733"/>
  <c r="O731"/>
  <c r="O729"/>
  <c r="O722"/>
  <c r="O721"/>
  <c r="O720"/>
  <c r="O364" s="1"/>
  <c r="O719"/>
  <c r="O363" s="1"/>
  <c r="O718"/>
  <c r="O717"/>
  <c r="O361" s="1"/>
  <c r="O716"/>
  <c r="O360" s="1"/>
  <c r="O715"/>
  <c r="O359" s="1"/>
  <c r="O714"/>
  <c r="O713"/>
  <c r="O357" s="1"/>
  <c r="O734"/>
  <c r="O732"/>
  <c r="O730"/>
  <c r="O728"/>
  <c r="O727"/>
  <c r="O726"/>
  <c r="O690"/>
  <c r="O341" s="1"/>
  <c r="O689"/>
  <c r="O340" s="1"/>
  <c r="O688"/>
  <c r="O339" s="1"/>
  <c r="O687"/>
  <c r="O338" s="1"/>
  <c r="O686"/>
  <c r="O337" s="1"/>
  <c r="O685"/>
  <c r="O336" s="1"/>
  <c r="O684"/>
  <c r="O683"/>
  <c r="O334" s="1"/>
  <c r="O682"/>
  <c r="O333" s="1"/>
  <c r="O681"/>
  <c r="O332" s="1"/>
  <c r="O702"/>
  <c r="O701"/>
  <c r="O700"/>
  <c r="O699"/>
  <c r="O698"/>
  <c r="O697"/>
  <c r="O696"/>
  <c r="O695"/>
  <c r="O693"/>
  <c r="O670"/>
  <c r="O54" s="1"/>
  <c r="O621"/>
  <c r="O622" s="1"/>
  <c r="O615"/>
  <c r="O616" s="1"/>
  <c r="O448"/>
  <c r="O447"/>
  <c r="O446"/>
  <c r="O445"/>
  <c r="O444"/>
  <c r="O443"/>
  <c r="O391"/>
  <c r="O389"/>
  <c r="O387"/>
  <c r="O385"/>
  <c r="O383"/>
  <c r="O365"/>
  <c r="O461"/>
  <c r="O390"/>
  <c r="O366"/>
  <c r="O362"/>
  <c r="O358"/>
  <c r="O335"/>
  <c r="O327"/>
  <c r="O314"/>
  <c r="O313"/>
  <c r="O312"/>
  <c r="O311"/>
  <c r="O310"/>
  <c r="O309"/>
  <c r="O30"/>
  <c r="O26"/>
  <c r="O25"/>
  <c r="O23"/>
  <c r="O19"/>
  <c r="P2"/>
  <c r="N328"/>
  <c r="N467"/>
  <c r="N466"/>
  <c r="N470"/>
  <c r="N474"/>
  <c r="N494"/>
  <c r="N498"/>
  <c r="N518"/>
  <c r="N522"/>
  <c r="N526"/>
  <c r="N473"/>
  <c r="N493"/>
  <c r="N497"/>
  <c r="N501"/>
  <c r="N521"/>
  <c r="N525"/>
  <c r="O631" i="7"/>
  <c r="P628" s="1"/>
  <c r="O27"/>
  <c r="N27" i="8"/>
  <c r="N469"/>
  <c r="N468"/>
  <c r="N472"/>
  <c r="N492"/>
  <c r="N496"/>
  <c r="N500"/>
  <c r="N520"/>
  <c r="N524"/>
  <c r="N462"/>
  <c r="N471"/>
  <c r="N475"/>
  <c r="N495"/>
  <c r="N499"/>
  <c r="N519"/>
  <c r="N523"/>
  <c r="N527"/>
  <c r="Q11" i="7"/>
  <c r="P600"/>
  <c r="P596"/>
  <c r="P597" s="1"/>
  <c r="O651"/>
  <c r="O636" s="1"/>
  <c r="O68" s="1"/>
  <c r="O683"/>
  <c r="O668" s="1"/>
  <c r="O69" s="1"/>
  <c r="O422"/>
  <c r="O401"/>
  <c r="O450"/>
  <c r="O397"/>
  <c r="O425"/>
  <c r="P726"/>
  <c r="P725"/>
  <c r="P724"/>
  <c r="P723"/>
  <c r="P722"/>
  <c r="P720"/>
  <c r="P719"/>
  <c r="P718"/>
  <c r="P714"/>
  <c r="P713"/>
  <c r="P319" s="1"/>
  <c r="P712"/>
  <c r="P318" s="1"/>
  <c r="P711"/>
  <c r="P710"/>
  <c r="P316" s="1"/>
  <c r="P709"/>
  <c r="P315" s="1"/>
  <c r="P708"/>
  <c r="P314" s="1"/>
  <c r="P707"/>
  <c r="P706"/>
  <c r="P312" s="1"/>
  <c r="P705"/>
  <c r="P311" s="1"/>
  <c r="P694"/>
  <c r="P693"/>
  <c r="P692"/>
  <c r="P691"/>
  <c r="P690"/>
  <c r="P689"/>
  <c r="P688"/>
  <c r="P687"/>
  <c r="P686"/>
  <c r="P682"/>
  <c r="P681"/>
  <c r="P293" s="1"/>
  <c r="P680"/>
  <c r="P292" s="1"/>
  <c r="P679"/>
  <c r="P291" s="1"/>
  <c r="P678"/>
  <c r="P290" s="1"/>
  <c r="P677"/>
  <c r="P289" s="1"/>
  <c r="P676"/>
  <c r="P288" s="1"/>
  <c r="P675"/>
  <c r="P287" s="1"/>
  <c r="P674"/>
  <c r="P286" s="1"/>
  <c r="P673"/>
  <c r="P285" s="1"/>
  <c r="P662"/>
  <c r="P661"/>
  <c r="P660"/>
  <c r="P659"/>
  <c r="P658"/>
  <c r="P657"/>
  <c r="P656"/>
  <c r="P655"/>
  <c r="P653"/>
  <c r="P650"/>
  <c r="P269" s="1"/>
  <c r="P649"/>
  <c r="P268" s="1"/>
  <c r="P648"/>
  <c r="P267" s="1"/>
  <c r="P647"/>
  <c r="P266" s="1"/>
  <c r="P646"/>
  <c r="P265" s="1"/>
  <c r="P645"/>
  <c r="P264" s="1"/>
  <c r="P644"/>
  <c r="P263" s="1"/>
  <c r="P643"/>
  <c r="P262" s="1"/>
  <c r="P642"/>
  <c r="P261" s="1"/>
  <c r="P641"/>
  <c r="P549"/>
  <c r="P550" s="1"/>
  <c r="P543"/>
  <c r="P544" s="1"/>
  <c r="P630"/>
  <c r="P62" s="1"/>
  <c r="P389"/>
  <c r="P320"/>
  <c r="P294"/>
  <c r="P376"/>
  <c r="P375"/>
  <c r="P374"/>
  <c r="P373"/>
  <c r="P372"/>
  <c r="P371"/>
  <c r="P317"/>
  <c r="P313"/>
  <c r="P242"/>
  <c r="P241"/>
  <c r="P240"/>
  <c r="P239"/>
  <c r="P238"/>
  <c r="P237"/>
  <c r="P255"/>
  <c r="P30"/>
  <c r="P26"/>
  <c r="P25"/>
  <c r="P23"/>
  <c r="P19"/>
  <c r="Q2"/>
  <c r="O398"/>
  <c r="O399"/>
  <c r="O423"/>
  <c r="O447"/>
  <c r="O451"/>
  <c r="O455"/>
  <c r="O424"/>
  <c r="O428"/>
  <c r="O452"/>
  <c r="O390"/>
  <c r="O400"/>
  <c r="O402"/>
  <c r="O421"/>
  <c r="O429"/>
  <c r="O449"/>
  <c r="O453"/>
  <c r="O426"/>
  <c r="O446"/>
  <c r="O454"/>
  <c r="N71"/>
  <c r="O260"/>
  <c r="O715"/>
  <c r="O700" s="1"/>
  <c r="O70" s="1"/>
  <c r="O256"/>
  <c r="O396"/>
  <c r="O395"/>
  <c r="O403"/>
  <c r="O427"/>
  <c r="O420"/>
  <c r="O448"/>
  <c r="B19" i="1"/>
  <c r="B20" s="1"/>
  <c r="D151"/>
  <c r="B151"/>
  <c r="C151"/>
  <c r="E151"/>
  <c r="L6"/>
  <c r="I36" i="2"/>
  <c r="C11"/>
  <c r="O75" i="10" l="1"/>
  <c r="Q56"/>
  <c r="Q85"/>
  <c r="Q86" s="1"/>
  <c r="R698"/>
  <c r="R694"/>
  <c r="R690"/>
  <c r="R686"/>
  <c r="P648" i="8"/>
  <c r="P660"/>
  <c r="P656"/>
  <c r="P652"/>
  <c r="P65" i="10"/>
  <c r="Q58"/>
  <c r="Q180"/>
  <c r="Q197" s="1"/>
  <c r="Q141"/>
  <c r="Q153" s="1"/>
  <c r="Q245"/>
  <c r="Q217"/>
  <c r="Q59"/>
  <c r="P709"/>
  <c r="Q706" s="1"/>
  <c r="S11"/>
  <c r="R714"/>
  <c r="R181" s="1"/>
  <c r="R198" s="1"/>
  <c r="R41"/>
  <c r="R183" s="1"/>
  <c r="R200" s="1"/>
  <c r="P68"/>
  <c r="P75" s="1"/>
  <c r="Q799"/>
  <c r="Q784" s="1"/>
  <c r="Q67" s="1"/>
  <c r="Q366"/>
  <c r="Q505"/>
  <c r="Q509"/>
  <c r="Q513"/>
  <c r="Q533"/>
  <c r="Q537"/>
  <c r="Q557"/>
  <c r="Q561"/>
  <c r="Q565"/>
  <c r="Q506"/>
  <c r="Q510"/>
  <c r="Q530"/>
  <c r="Q534"/>
  <c r="Q538"/>
  <c r="Q558"/>
  <c r="Q562"/>
  <c r="Q500"/>
  <c r="Q27"/>
  <c r="Q735"/>
  <c r="Q720" s="1"/>
  <c r="Q767"/>
  <c r="Q752" s="1"/>
  <c r="Q66" s="1"/>
  <c r="R810"/>
  <c r="R809"/>
  <c r="R808"/>
  <c r="R807"/>
  <c r="R805"/>
  <c r="R804"/>
  <c r="R803"/>
  <c r="R802"/>
  <c r="R798"/>
  <c r="R797"/>
  <c r="R429" s="1"/>
  <c r="R796"/>
  <c r="R428" s="1"/>
  <c r="R795"/>
  <c r="R427" s="1"/>
  <c r="R794"/>
  <c r="R426" s="1"/>
  <c r="R793"/>
  <c r="R792"/>
  <c r="R424" s="1"/>
  <c r="R791"/>
  <c r="R423" s="1"/>
  <c r="R790"/>
  <c r="R422" s="1"/>
  <c r="R789"/>
  <c r="R421" s="1"/>
  <c r="R778"/>
  <c r="R777"/>
  <c r="R776"/>
  <c r="R775"/>
  <c r="R774"/>
  <c r="R773"/>
  <c r="R772"/>
  <c r="R771"/>
  <c r="R769"/>
  <c r="R766"/>
  <c r="R765"/>
  <c r="R403" s="1"/>
  <c r="R764"/>
  <c r="R402" s="1"/>
  <c r="R763"/>
  <c r="R401" s="1"/>
  <c r="R762"/>
  <c r="R400" s="1"/>
  <c r="R761"/>
  <c r="R399" s="1"/>
  <c r="R760"/>
  <c r="R398" s="1"/>
  <c r="R759"/>
  <c r="R397" s="1"/>
  <c r="R758"/>
  <c r="R396" s="1"/>
  <c r="R757"/>
  <c r="R395" s="1"/>
  <c r="R746"/>
  <c r="R745"/>
  <c r="R744"/>
  <c r="R743"/>
  <c r="R742"/>
  <c r="R741"/>
  <c r="R740"/>
  <c r="R739"/>
  <c r="R737"/>
  <c r="R734"/>
  <c r="R379" s="1"/>
  <c r="R733"/>
  <c r="R378" s="1"/>
  <c r="R732"/>
  <c r="R377" s="1"/>
  <c r="R731"/>
  <c r="R376" s="1"/>
  <c r="R730"/>
  <c r="R375" s="1"/>
  <c r="R729"/>
  <c r="R374" s="1"/>
  <c r="R728"/>
  <c r="R373" s="1"/>
  <c r="R727"/>
  <c r="R372" s="1"/>
  <c r="R726"/>
  <c r="R371" s="1"/>
  <c r="R708"/>
  <c r="R725"/>
  <c r="R659"/>
  <c r="R660" s="1"/>
  <c r="R653"/>
  <c r="R654" s="1"/>
  <c r="R499"/>
  <c r="R430"/>
  <c r="R404"/>
  <c r="R352"/>
  <c r="R351"/>
  <c r="R350"/>
  <c r="R349"/>
  <c r="R348"/>
  <c r="R347"/>
  <c r="R486"/>
  <c r="R485"/>
  <c r="R484"/>
  <c r="R483"/>
  <c r="R482"/>
  <c r="R481"/>
  <c r="R425"/>
  <c r="R365"/>
  <c r="S2"/>
  <c r="R30"/>
  <c r="R26"/>
  <c r="R25"/>
  <c r="R23"/>
  <c r="R19"/>
  <c r="Q507"/>
  <c r="Q511"/>
  <c r="Q531"/>
  <c r="Q535"/>
  <c r="Q539"/>
  <c r="Q559"/>
  <c r="Q563"/>
  <c r="Q504"/>
  <c r="Q508"/>
  <c r="Q512"/>
  <c r="Q532"/>
  <c r="Q536"/>
  <c r="Q556"/>
  <c r="Q560"/>
  <c r="Q564"/>
  <c r="P631" i="7"/>
  <c r="Q628" s="1"/>
  <c r="N63" i="8"/>
  <c r="Q11"/>
  <c r="O668"/>
  <c r="O671" s="1"/>
  <c r="O723"/>
  <c r="O708" s="1"/>
  <c r="O61" s="1"/>
  <c r="O755"/>
  <c r="O740" s="1"/>
  <c r="O62" s="1"/>
  <c r="P766"/>
  <c r="P765"/>
  <c r="P764"/>
  <c r="P763"/>
  <c r="P762"/>
  <c r="P760"/>
  <c r="P759"/>
  <c r="P758"/>
  <c r="P754"/>
  <c r="P753"/>
  <c r="P752"/>
  <c r="P390" s="1"/>
  <c r="P751"/>
  <c r="P389" s="1"/>
  <c r="P750"/>
  <c r="P388" s="1"/>
  <c r="P749"/>
  <c r="P748"/>
  <c r="P386" s="1"/>
  <c r="P747"/>
  <c r="P385" s="1"/>
  <c r="P746"/>
  <c r="P384" s="1"/>
  <c r="P745"/>
  <c r="P734"/>
  <c r="P733"/>
  <c r="P732"/>
  <c r="P731"/>
  <c r="P730"/>
  <c r="P729"/>
  <c r="P728"/>
  <c r="P727"/>
  <c r="P726"/>
  <c r="P722"/>
  <c r="P366" s="1"/>
  <c r="P721"/>
  <c r="P365" s="1"/>
  <c r="P720"/>
  <c r="P364" s="1"/>
  <c r="P719"/>
  <c r="P363" s="1"/>
  <c r="P718"/>
  <c r="P362" s="1"/>
  <c r="P717"/>
  <c r="P361" s="1"/>
  <c r="P716"/>
  <c r="P360" s="1"/>
  <c r="P715"/>
  <c r="P359" s="1"/>
  <c r="P714"/>
  <c r="P713"/>
  <c r="P357" s="1"/>
  <c r="P702"/>
  <c r="P701"/>
  <c r="P700"/>
  <c r="P699"/>
  <c r="P698"/>
  <c r="P697"/>
  <c r="P696"/>
  <c r="P695"/>
  <c r="P693"/>
  <c r="P690"/>
  <c r="P341" s="1"/>
  <c r="P689"/>
  <c r="P340" s="1"/>
  <c r="P688"/>
  <c r="P339" s="1"/>
  <c r="P687"/>
  <c r="P338" s="1"/>
  <c r="P686"/>
  <c r="P337" s="1"/>
  <c r="P685"/>
  <c r="P684"/>
  <c r="P335" s="1"/>
  <c r="P683"/>
  <c r="P334" s="1"/>
  <c r="P682"/>
  <c r="P333" s="1"/>
  <c r="P681"/>
  <c r="P332" s="1"/>
  <c r="P621"/>
  <c r="P622" s="1"/>
  <c r="P615"/>
  <c r="P616" s="1"/>
  <c r="P670"/>
  <c r="P54" s="1"/>
  <c r="P461"/>
  <c r="P392"/>
  <c r="P358"/>
  <c r="P448"/>
  <c r="P447"/>
  <c r="P446"/>
  <c r="P445"/>
  <c r="P444"/>
  <c r="P443"/>
  <c r="P391"/>
  <c r="P387"/>
  <c r="P383"/>
  <c r="P336"/>
  <c r="P327"/>
  <c r="P314"/>
  <c r="P313"/>
  <c r="P312"/>
  <c r="P311"/>
  <c r="P310"/>
  <c r="P309"/>
  <c r="Q2"/>
  <c r="P30"/>
  <c r="P26"/>
  <c r="P25"/>
  <c r="P23"/>
  <c r="P19"/>
  <c r="O328"/>
  <c r="O468"/>
  <c r="O466"/>
  <c r="O469"/>
  <c r="O473"/>
  <c r="O493"/>
  <c r="O497"/>
  <c r="O501"/>
  <c r="O521"/>
  <c r="O525"/>
  <c r="O472"/>
  <c r="O492"/>
  <c r="O496"/>
  <c r="O500"/>
  <c r="O520"/>
  <c r="O524"/>
  <c r="O462"/>
  <c r="O27"/>
  <c r="O691"/>
  <c r="O676" s="1"/>
  <c r="O60" s="1"/>
  <c r="N72"/>
  <c r="O467"/>
  <c r="O471"/>
  <c r="O475"/>
  <c r="O495"/>
  <c r="O499"/>
  <c r="O519"/>
  <c r="O523"/>
  <c r="O527"/>
  <c r="O470"/>
  <c r="O474"/>
  <c r="O494"/>
  <c r="O498"/>
  <c r="O518"/>
  <c r="O522"/>
  <c r="O526"/>
  <c r="O71" i="7"/>
  <c r="Q600"/>
  <c r="Q596"/>
  <c r="Q597" s="1"/>
  <c r="R11"/>
  <c r="O394"/>
  <c r="P399"/>
  <c r="P256"/>
  <c r="P397"/>
  <c r="P398"/>
  <c r="P402"/>
  <c r="P422"/>
  <c r="P426"/>
  <c r="P446"/>
  <c r="P450"/>
  <c r="P454"/>
  <c r="P423"/>
  <c r="P427"/>
  <c r="P447"/>
  <c r="P451"/>
  <c r="P455"/>
  <c r="P27"/>
  <c r="P260"/>
  <c r="P651"/>
  <c r="P636" s="1"/>
  <c r="P68" s="1"/>
  <c r="P683"/>
  <c r="P668" s="1"/>
  <c r="P69" s="1"/>
  <c r="P715"/>
  <c r="P700" s="1"/>
  <c r="P70" s="1"/>
  <c r="Q726"/>
  <c r="Q725"/>
  <c r="Q724"/>
  <c r="Q723"/>
  <c r="Q722"/>
  <c r="Q720"/>
  <c r="Q718"/>
  <c r="Q714"/>
  <c r="Q713"/>
  <c r="Q319" s="1"/>
  <c r="Q712"/>
  <c r="Q318" s="1"/>
  <c r="Q711"/>
  <c r="Q317" s="1"/>
  <c r="Q710"/>
  <c r="Q316" s="1"/>
  <c r="Q709"/>
  <c r="Q315" s="1"/>
  <c r="Q708"/>
  <c r="Q314" s="1"/>
  <c r="Q707"/>
  <c r="Q313" s="1"/>
  <c r="Q719"/>
  <c r="Q706"/>
  <c r="Q312" s="1"/>
  <c r="Q682"/>
  <c r="Q681"/>
  <c r="Q293" s="1"/>
  <c r="Q680"/>
  <c r="Q292" s="1"/>
  <c r="Q679"/>
  <c r="Q291" s="1"/>
  <c r="Q678"/>
  <c r="Q290" s="1"/>
  <c r="Q677"/>
  <c r="Q289" s="1"/>
  <c r="Q676"/>
  <c r="Q288" s="1"/>
  <c r="Q705"/>
  <c r="Q311" s="1"/>
  <c r="Q694"/>
  <c r="Q693"/>
  <c r="Q692"/>
  <c r="Q691"/>
  <c r="Q690"/>
  <c r="Q689"/>
  <c r="Q688"/>
  <c r="Q687"/>
  <c r="Q686"/>
  <c r="Q675"/>
  <c r="Q287" s="1"/>
  <c r="Q650"/>
  <c r="Q649"/>
  <c r="Q268" s="1"/>
  <c r="Q648"/>
  <c r="Q267" s="1"/>
  <c r="Q647"/>
  <c r="Q266" s="1"/>
  <c r="Q646"/>
  <c r="Q265" s="1"/>
  <c r="Q645"/>
  <c r="Q264" s="1"/>
  <c r="Q674"/>
  <c r="Q286" s="1"/>
  <c r="Q673"/>
  <c r="Q662"/>
  <c r="Q661"/>
  <c r="Q660"/>
  <c r="Q659"/>
  <c r="Q658"/>
  <c r="Q657"/>
  <c r="Q656"/>
  <c r="Q655"/>
  <c r="Q653"/>
  <c r="Q644"/>
  <c r="Q263" s="1"/>
  <c r="Q630"/>
  <c r="Q62" s="1"/>
  <c r="Q643"/>
  <c r="Q262" s="1"/>
  <c r="Q642"/>
  <c r="Q261" s="1"/>
  <c r="Q641"/>
  <c r="Q549"/>
  <c r="Q550" s="1"/>
  <c r="Q543"/>
  <c r="Q544" s="1"/>
  <c r="Q376"/>
  <c r="Q375"/>
  <c r="Q374"/>
  <c r="Q373"/>
  <c r="Q372"/>
  <c r="Q371"/>
  <c r="Q389"/>
  <c r="Q320"/>
  <c r="Q294"/>
  <c r="Q269"/>
  <c r="Q255"/>
  <c r="Q242"/>
  <c r="Q241"/>
  <c r="Q240"/>
  <c r="Q239"/>
  <c r="Q238"/>
  <c r="Q237"/>
  <c r="R2"/>
  <c r="Q30"/>
  <c r="Q26"/>
  <c r="Q25"/>
  <c r="Q23"/>
  <c r="Q19"/>
  <c r="P395"/>
  <c r="P403"/>
  <c r="P401"/>
  <c r="P396"/>
  <c r="P400"/>
  <c r="P420"/>
  <c r="P424"/>
  <c r="P428"/>
  <c r="P448"/>
  <c r="P452"/>
  <c r="P390"/>
  <c r="P421"/>
  <c r="P425"/>
  <c r="P429"/>
  <c r="P449"/>
  <c r="P453"/>
  <c r="C152" i="1"/>
  <c r="E152"/>
  <c r="D152"/>
  <c r="B152"/>
  <c r="B21"/>
  <c r="R40" i="10" s="1"/>
  <c r="L26" i="1"/>
  <c r="L7"/>
  <c r="J36" i="2"/>
  <c r="B61" i="1"/>
  <c r="C679" i="10" s="1"/>
  <c r="B62" i="1"/>
  <c r="C680" i="10" s="1"/>
  <c r="B63" i="1"/>
  <c r="C681" i="10" s="1"/>
  <c r="B60" i="1"/>
  <c r="C78"/>
  <c r="B178" i="2"/>
  <c r="B177"/>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B126"/>
  <c r="C208" i="1"/>
  <c r="D208"/>
  <c r="E208"/>
  <c r="B208"/>
  <c r="C198"/>
  <c r="C197"/>
  <c r="B197"/>
  <c r="C190"/>
  <c r="C191"/>
  <c r="B191"/>
  <c r="B190"/>
  <c r="B198"/>
  <c r="C179"/>
  <c r="B179"/>
  <c r="B143" i="2"/>
  <c r="B142"/>
  <c r="B140"/>
  <c r="B108"/>
  <c r="B190" s="1"/>
  <c r="B107"/>
  <c r="B189" s="1"/>
  <c r="B104"/>
  <c r="B103"/>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B101"/>
  <c r="D101"/>
  <c r="G86"/>
  <c r="G95" s="1"/>
  <c r="H86"/>
  <c r="H95" s="1"/>
  <c r="I86"/>
  <c r="I95" s="1"/>
  <c r="J86"/>
  <c r="J95" s="1"/>
  <c r="K86"/>
  <c r="K95" s="1"/>
  <c r="L86"/>
  <c r="L95" s="1"/>
  <c r="M86"/>
  <c r="M95" s="1"/>
  <c r="N86"/>
  <c r="N95" s="1"/>
  <c r="O86"/>
  <c r="O95" s="1"/>
  <c r="P86"/>
  <c r="P95" s="1"/>
  <c r="Q86"/>
  <c r="Q95" s="1"/>
  <c r="R86"/>
  <c r="R95" s="1"/>
  <c r="S86"/>
  <c r="S95" s="1"/>
  <c r="T86"/>
  <c r="T95" s="1"/>
  <c r="U86"/>
  <c r="U95" s="1"/>
  <c r="V86"/>
  <c r="V95" s="1"/>
  <c r="W86"/>
  <c r="W95" s="1"/>
  <c r="X86"/>
  <c r="X95" s="1"/>
  <c r="Y86"/>
  <c r="Y95" s="1"/>
  <c r="Z86"/>
  <c r="Z95" s="1"/>
  <c r="AA86"/>
  <c r="AA95" s="1"/>
  <c r="AB86"/>
  <c r="AB95" s="1"/>
  <c r="AC86"/>
  <c r="AC95" s="1"/>
  <c r="AD86"/>
  <c r="AD95" s="1"/>
  <c r="AE86"/>
  <c r="AE95" s="1"/>
  <c r="AF86"/>
  <c r="AF95" s="1"/>
  <c r="AG86"/>
  <c r="AG95" s="1"/>
  <c r="AH86"/>
  <c r="AH95" s="1"/>
  <c r="AI86"/>
  <c r="AI95" s="1"/>
  <c r="AJ86"/>
  <c r="AJ95" s="1"/>
  <c r="AK86"/>
  <c r="AK95" s="1"/>
  <c r="AL86"/>
  <c r="AL95" s="1"/>
  <c r="AM86"/>
  <c r="AM95" s="1"/>
  <c r="AN86"/>
  <c r="AN95" s="1"/>
  <c r="AO86"/>
  <c r="AO95" s="1"/>
  <c r="AP86"/>
  <c r="AP95" s="1"/>
  <c r="C86"/>
  <c r="C95" s="1"/>
  <c r="D86"/>
  <c r="D95" s="1"/>
  <c r="E86"/>
  <c r="E95" s="1"/>
  <c r="F86"/>
  <c r="F95" s="1"/>
  <c r="B53"/>
  <c r="B56" s="1"/>
  <c r="B463"/>
  <c r="B462"/>
  <c r="A481"/>
  <c r="A482" s="1"/>
  <c r="A483" s="1"/>
  <c r="A484" s="1"/>
  <c r="A485" s="1"/>
  <c r="A486" s="1"/>
  <c r="A487" s="1"/>
  <c r="A488" s="1"/>
  <c r="A489" s="1"/>
  <c r="A469"/>
  <c r="A470" s="1"/>
  <c r="A471" s="1"/>
  <c r="A472" s="1"/>
  <c r="A473" s="1"/>
  <c r="A474" s="1"/>
  <c r="A475" s="1"/>
  <c r="A476" s="1"/>
  <c r="A477" s="1"/>
  <c r="A346"/>
  <c r="A347" s="1"/>
  <c r="A348" s="1"/>
  <c r="A349" s="1"/>
  <c r="A350" s="1"/>
  <c r="A351" s="1"/>
  <c r="A352" s="1"/>
  <c r="A353" s="1"/>
  <c r="A354" s="1"/>
  <c r="B329"/>
  <c r="C678" i="10" l="1"/>
  <c r="C682" s="1"/>
  <c r="B643"/>
  <c r="B647" s="1"/>
  <c r="B605" i="8"/>
  <c r="B609" s="1"/>
  <c r="B533" i="7"/>
  <c r="B537" s="1"/>
  <c r="R56" i="10"/>
  <c r="R85"/>
  <c r="R86" s="1"/>
  <c r="S698"/>
  <c r="S694"/>
  <c r="S690"/>
  <c r="S686"/>
  <c r="Q660" i="8"/>
  <c r="Q656"/>
  <c r="Q652"/>
  <c r="Q648"/>
  <c r="Q65" i="10"/>
  <c r="P179"/>
  <c r="P196" s="1"/>
  <c r="R58"/>
  <c r="R180"/>
  <c r="R197" s="1"/>
  <c r="R141"/>
  <c r="R153" s="1"/>
  <c r="R245"/>
  <c r="R217"/>
  <c r="Q709"/>
  <c r="R706" s="1"/>
  <c r="R59"/>
  <c r="T11"/>
  <c r="S714"/>
  <c r="S181" s="1"/>
  <c r="S198" s="1"/>
  <c r="S41"/>
  <c r="S183" s="1"/>
  <c r="S200" s="1"/>
  <c r="R735"/>
  <c r="R720" s="1"/>
  <c r="Q260" i="7"/>
  <c r="R370" i="10"/>
  <c r="C264"/>
  <c r="C235"/>
  <c r="C263"/>
  <c r="C234"/>
  <c r="C265"/>
  <c r="C236"/>
  <c r="S810"/>
  <c r="S809"/>
  <c r="S808"/>
  <c r="S807"/>
  <c r="S805"/>
  <c r="S804"/>
  <c r="S803"/>
  <c r="S798"/>
  <c r="S430" s="1"/>
  <c r="S797"/>
  <c r="S429" s="1"/>
  <c r="S796"/>
  <c r="S795"/>
  <c r="S427" s="1"/>
  <c r="S794"/>
  <c r="S426" s="1"/>
  <c r="S793"/>
  <c r="S425" s="1"/>
  <c r="S792"/>
  <c r="S791"/>
  <c r="S423" s="1"/>
  <c r="S790"/>
  <c r="S422" s="1"/>
  <c r="S802"/>
  <c r="S766"/>
  <c r="S765"/>
  <c r="S403" s="1"/>
  <c r="S764"/>
  <c r="S402" s="1"/>
  <c r="S763"/>
  <c r="S401" s="1"/>
  <c r="S762"/>
  <c r="S400" s="1"/>
  <c r="S761"/>
  <c r="S399" s="1"/>
  <c r="S760"/>
  <c r="S759"/>
  <c r="S397" s="1"/>
  <c r="S789"/>
  <c r="S778"/>
  <c r="S777"/>
  <c r="S776"/>
  <c r="S775"/>
  <c r="S774"/>
  <c r="S773"/>
  <c r="S772"/>
  <c r="S771"/>
  <c r="S769"/>
  <c r="S734"/>
  <c r="S379" s="1"/>
  <c r="S733"/>
  <c r="S378" s="1"/>
  <c r="S732"/>
  <c r="S377" s="1"/>
  <c r="S731"/>
  <c r="S376" s="1"/>
  <c r="S730"/>
  <c r="S375" s="1"/>
  <c r="S729"/>
  <c r="S374" s="1"/>
  <c r="S728"/>
  <c r="S373" s="1"/>
  <c r="S758"/>
  <c r="S396" s="1"/>
  <c r="S757"/>
  <c r="S395" s="1"/>
  <c r="S746"/>
  <c r="S745"/>
  <c r="S744"/>
  <c r="S743"/>
  <c r="S742"/>
  <c r="S741"/>
  <c r="S740"/>
  <c r="S739"/>
  <c r="S737"/>
  <c r="S726"/>
  <c r="S371" s="1"/>
  <c r="S725"/>
  <c r="S659"/>
  <c r="S660" s="1"/>
  <c r="S653"/>
  <c r="S654" s="1"/>
  <c r="S727"/>
  <c r="S372" s="1"/>
  <c r="S708"/>
  <c r="S486"/>
  <c r="S485"/>
  <c r="S484"/>
  <c r="S483"/>
  <c r="S482"/>
  <c r="S481"/>
  <c r="S421"/>
  <c r="S365"/>
  <c r="S499"/>
  <c r="S428"/>
  <c r="S424"/>
  <c r="S404"/>
  <c r="S398"/>
  <c r="S352"/>
  <c r="S351"/>
  <c r="S350"/>
  <c r="S349"/>
  <c r="S348"/>
  <c r="S347"/>
  <c r="S30"/>
  <c r="S26"/>
  <c r="S25"/>
  <c r="S23"/>
  <c r="S19"/>
  <c r="S40"/>
  <c r="T2"/>
  <c r="R504"/>
  <c r="R508"/>
  <c r="R512"/>
  <c r="R532"/>
  <c r="R536"/>
  <c r="R556"/>
  <c r="R560"/>
  <c r="R564"/>
  <c r="R507"/>
  <c r="R511"/>
  <c r="R531"/>
  <c r="R535"/>
  <c r="R539"/>
  <c r="R559"/>
  <c r="R563"/>
  <c r="R27"/>
  <c r="R767"/>
  <c r="R752" s="1"/>
  <c r="R66" s="1"/>
  <c r="R799"/>
  <c r="R784" s="1"/>
  <c r="R67" s="1"/>
  <c r="C266"/>
  <c r="C237"/>
  <c r="C40"/>
  <c r="D40"/>
  <c r="E40"/>
  <c r="F40"/>
  <c r="G40"/>
  <c r="H40"/>
  <c r="I40"/>
  <c r="J40"/>
  <c r="K40"/>
  <c r="L40"/>
  <c r="M40"/>
  <c r="N40"/>
  <c r="O40"/>
  <c r="P40"/>
  <c r="Q40"/>
  <c r="R506"/>
  <c r="R510"/>
  <c r="R530"/>
  <c r="R534"/>
  <c r="R538"/>
  <c r="R558"/>
  <c r="R562"/>
  <c r="R500"/>
  <c r="R366"/>
  <c r="R505"/>
  <c r="R509"/>
  <c r="R513"/>
  <c r="R533"/>
  <c r="R537"/>
  <c r="R557"/>
  <c r="R561"/>
  <c r="R565"/>
  <c r="Q68"/>
  <c r="Q75" s="1"/>
  <c r="O63" i="8"/>
  <c r="R11"/>
  <c r="P668"/>
  <c r="P691"/>
  <c r="P676" s="1"/>
  <c r="P60" s="1"/>
  <c r="P755"/>
  <c r="P740" s="1"/>
  <c r="P62" s="1"/>
  <c r="Q683" i="7"/>
  <c r="Q668" s="1"/>
  <c r="Q69" s="1"/>
  <c r="P671" i="8"/>
  <c r="P723"/>
  <c r="P708" s="1"/>
  <c r="P61" s="1"/>
  <c r="C569" i="7"/>
  <c r="C185" s="1"/>
  <c r="C641" i="8"/>
  <c r="Q40" i="7"/>
  <c r="C40" i="8"/>
  <c r="D40"/>
  <c r="E40"/>
  <c r="F40"/>
  <c r="G40"/>
  <c r="H40"/>
  <c r="I40"/>
  <c r="J40"/>
  <c r="K40"/>
  <c r="L40"/>
  <c r="M40"/>
  <c r="N40"/>
  <c r="O40"/>
  <c r="C568" i="7"/>
  <c r="C184" s="1"/>
  <c r="C640" i="8"/>
  <c r="C570" i="7"/>
  <c r="C186" s="1"/>
  <c r="C642" i="8"/>
  <c r="O72"/>
  <c r="Q766"/>
  <c r="Q765"/>
  <c r="Q764"/>
  <c r="Q763"/>
  <c r="Q762"/>
  <c r="Q760"/>
  <c r="Q759"/>
  <c r="Q758"/>
  <c r="Q754"/>
  <c r="Q392" s="1"/>
  <c r="Q753"/>
  <c r="Q752"/>
  <c r="Q390" s="1"/>
  <c r="Q751"/>
  <c r="Q389" s="1"/>
  <c r="Q750"/>
  <c r="Q388" s="1"/>
  <c r="Q749"/>
  <c r="Q387" s="1"/>
  <c r="Q748"/>
  <c r="Q386" s="1"/>
  <c r="Q747"/>
  <c r="Q385" s="1"/>
  <c r="Q746"/>
  <c r="Q384" s="1"/>
  <c r="Q745"/>
  <c r="Q734"/>
  <c r="Q732"/>
  <c r="Q730"/>
  <c r="Q728"/>
  <c r="Q722"/>
  <c r="Q366" s="1"/>
  <c r="Q721"/>
  <c r="Q365" s="1"/>
  <c r="Q720"/>
  <c r="Q364" s="1"/>
  <c r="Q719"/>
  <c r="Q363" s="1"/>
  <c r="Q718"/>
  <c r="Q362" s="1"/>
  <c r="Q717"/>
  <c r="Q361" s="1"/>
  <c r="Q716"/>
  <c r="Q360" s="1"/>
  <c r="Q715"/>
  <c r="Q714"/>
  <c r="Q358" s="1"/>
  <c r="Q713"/>
  <c r="Q357" s="1"/>
  <c r="Q733"/>
  <c r="Q731"/>
  <c r="Q729"/>
  <c r="Q727"/>
  <c r="Q726"/>
  <c r="Q690"/>
  <c r="Q341" s="1"/>
  <c r="Q689"/>
  <c r="Q340" s="1"/>
  <c r="Q688"/>
  <c r="Q339" s="1"/>
  <c r="Q687"/>
  <c r="Q338" s="1"/>
  <c r="Q686"/>
  <c r="Q685"/>
  <c r="Q336" s="1"/>
  <c r="Q684"/>
  <c r="Q335" s="1"/>
  <c r="Q683"/>
  <c r="Q334" s="1"/>
  <c r="Q682"/>
  <c r="Q333" s="1"/>
  <c r="Q681"/>
  <c r="Q332" s="1"/>
  <c r="Q702"/>
  <c r="Q701"/>
  <c r="Q700"/>
  <c r="Q699"/>
  <c r="Q698"/>
  <c r="Q697"/>
  <c r="Q696"/>
  <c r="Q695"/>
  <c r="Q693"/>
  <c r="Q670"/>
  <c r="Q54" s="1"/>
  <c r="Q621"/>
  <c r="Q622" s="1"/>
  <c r="Q615"/>
  <c r="Q616" s="1"/>
  <c r="Q448"/>
  <c r="Q447"/>
  <c r="Q446"/>
  <c r="Q445"/>
  <c r="Q444"/>
  <c r="Q443"/>
  <c r="Q391"/>
  <c r="Q383"/>
  <c r="Q359"/>
  <c r="Q461"/>
  <c r="Q337"/>
  <c r="Q327"/>
  <c r="Q314"/>
  <c r="Q313"/>
  <c r="Q312"/>
  <c r="Q311"/>
  <c r="Q310"/>
  <c r="Q309"/>
  <c r="Q30"/>
  <c r="Q26"/>
  <c r="Q25"/>
  <c r="Q23"/>
  <c r="Q19"/>
  <c r="Q40"/>
  <c r="R2"/>
  <c r="P328"/>
  <c r="P469"/>
  <c r="P466"/>
  <c r="P470"/>
  <c r="P474"/>
  <c r="P494"/>
  <c r="P498"/>
  <c r="P518"/>
  <c r="P522"/>
  <c r="P526"/>
  <c r="P473"/>
  <c r="P493"/>
  <c r="P497"/>
  <c r="P501"/>
  <c r="P521"/>
  <c r="P525"/>
  <c r="P27"/>
  <c r="P40"/>
  <c r="C571" i="7"/>
  <c r="C150" s="1"/>
  <c r="C643" i="8"/>
  <c r="P467"/>
  <c r="P468"/>
  <c r="P472"/>
  <c r="P492"/>
  <c r="P496"/>
  <c r="P500"/>
  <c r="P520"/>
  <c r="P524"/>
  <c r="P462"/>
  <c r="P471"/>
  <c r="P475"/>
  <c r="P495"/>
  <c r="P499"/>
  <c r="P519"/>
  <c r="P523"/>
  <c r="P527"/>
  <c r="Q27" i="7"/>
  <c r="Q285"/>
  <c r="Q651"/>
  <c r="Q636" s="1"/>
  <c r="Q68" s="1"/>
  <c r="S11"/>
  <c r="R600"/>
  <c r="R596"/>
  <c r="R597" s="1"/>
  <c r="C148"/>
  <c r="C149"/>
  <c r="Q398"/>
  <c r="Q400"/>
  <c r="Q397"/>
  <c r="Q401"/>
  <c r="Q421"/>
  <c r="Q425"/>
  <c r="Q429"/>
  <c r="Q449"/>
  <c r="Q453"/>
  <c r="Q422"/>
  <c r="Q426"/>
  <c r="Q446"/>
  <c r="Q450"/>
  <c r="Q454"/>
  <c r="P394"/>
  <c r="Q715"/>
  <c r="Q700" s="1"/>
  <c r="Q70" s="1"/>
  <c r="P71"/>
  <c r="C40"/>
  <c r="D40"/>
  <c r="E40"/>
  <c r="F40"/>
  <c r="G40"/>
  <c r="H40"/>
  <c r="I40"/>
  <c r="J40"/>
  <c r="K40"/>
  <c r="L40"/>
  <c r="M40"/>
  <c r="N40"/>
  <c r="O40"/>
  <c r="P40"/>
  <c r="R726"/>
  <c r="R725"/>
  <c r="R724"/>
  <c r="R723"/>
  <c r="R721"/>
  <c r="R720"/>
  <c r="R719"/>
  <c r="R718"/>
  <c r="R714"/>
  <c r="R713"/>
  <c r="R319" s="1"/>
  <c r="R712"/>
  <c r="R318" s="1"/>
  <c r="R711"/>
  <c r="R317" s="1"/>
  <c r="R710"/>
  <c r="R316" s="1"/>
  <c r="R709"/>
  <c r="R315" s="1"/>
  <c r="R708"/>
  <c r="R314" s="1"/>
  <c r="R707"/>
  <c r="R706"/>
  <c r="R312" s="1"/>
  <c r="R705"/>
  <c r="R311" s="1"/>
  <c r="R694"/>
  <c r="R693"/>
  <c r="R692"/>
  <c r="R691"/>
  <c r="R690"/>
  <c r="R689"/>
  <c r="R688"/>
  <c r="R687"/>
  <c r="R685"/>
  <c r="R682"/>
  <c r="R294" s="1"/>
  <c r="R681"/>
  <c r="R293" s="1"/>
  <c r="R680"/>
  <c r="R292" s="1"/>
  <c r="R679"/>
  <c r="R291" s="1"/>
  <c r="R678"/>
  <c r="R290" s="1"/>
  <c r="R677"/>
  <c r="R289" s="1"/>
  <c r="R676"/>
  <c r="R288" s="1"/>
  <c r="R675"/>
  <c r="R287" s="1"/>
  <c r="R674"/>
  <c r="R286" s="1"/>
  <c r="R673"/>
  <c r="R285" s="1"/>
  <c r="R662"/>
  <c r="R661"/>
  <c r="R660"/>
  <c r="R659"/>
  <c r="R658"/>
  <c r="R657"/>
  <c r="R656"/>
  <c r="R655"/>
  <c r="R653"/>
  <c r="R650"/>
  <c r="R269" s="1"/>
  <c r="R649"/>
  <c r="R268" s="1"/>
  <c r="R648"/>
  <c r="R267" s="1"/>
  <c r="R647"/>
  <c r="R266" s="1"/>
  <c r="R646"/>
  <c r="R645"/>
  <c r="R264" s="1"/>
  <c r="R644"/>
  <c r="R263" s="1"/>
  <c r="R643"/>
  <c r="R262" s="1"/>
  <c r="R642"/>
  <c r="R261" s="1"/>
  <c r="R641"/>
  <c r="R549"/>
  <c r="R550" s="1"/>
  <c r="R543"/>
  <c r="R544" s="1"/>
  <c r="R630"/>
  <c r="R62" s="1"/>
  <c r="R389"/>
  <c r="R320"/>
  <c r="R376"/>
  <c r="R375"/>
  <c r="R374"/>
  <c r="R373"/>
  <c r="R372"/>
  <c r="R371"/>
  <c r="R313"/>
  <c r="R265"/>
  <c r="R242"/>
  <c r="R241"/>
  <c r="R240"/>
  <c r="R239"/>
  <c r="R238"/>
  <c r="R237"/>
  <c r="R255"/>
  <c r="R30"/>
  <c r="R26"/>
  <c r="R25"/>
  <c r="R23"/>
  <c r="R19"/>
  <c r="R40"/>
  <c r="S2"/>
  <c r="Q256"/>
  <c r="Q394"/>
  <c r="Q402"/>
  <c r="Q396"/>
  <c r="Q395"/>
  <c r="Q399"/>
  <c r="Q403"/>
  <c r="Q423"/>
  <c r="Q427"/>
  <c r="Q447"/>
  <c r="Q451"/>
  <c r="Q455"/>
  <c r="Q420"/>
  <c r="Q424"/>
  <c r="Q428"/>
  <c r="Q448"/>
  <c r="Q452"/>
  <c r="Q390"/>
  <c r="Q631"/>
  <c r="R628" s="1"/>
  <c r="D141" i="1"/>
  <c r="C141"/>
  <c r="B141"/>
  <c r="L8"/>
  <c r="L27"/>
  <c r="K36" i="2"/>
  <c r="B182"/>
  <c r="B179"/>
  <c r="B105"/>
  <c r="B191"/>
  <c r="B144"/>
  <c r="AM172"/>
  <c r="AM158"/>
  <c r="AE172"/>
  <c r="AE158"/>
  <c r="W172"/>
  <c r="W158"/>
  <c r="O172"/>
  <c r="O158"/>
  <c r="G172"/>
  <c r="G158"/>
  <c r="F158"/>
  <c r="F172"/>
  <c r="AP158"/>
  <c r="AP172"/>
  <c r="AN158"/>
  <c r="AN172"/>
  <c r="AL158"/>
  <c r="AL172"/>
  <c r="AH158"/>
  <c r="AH172"/>
  <c r="AF158"/>
  <c r="AF172"/>
  <c r="AB158"/>
  <c r="AB172"/>
  <c r="Z158"/>
  <c r="Z172"/>
  <c r="V158"/>
  <c r="V172"/>
  <c r="T158"/>
  <c r="T172"/>
  <c r="R158"/>
  <c r="R172"/>
  <c r="N158"/>
  <c r="N172"/>
  <c r="J158"/>
  <c r="J172"/>
  <c r="E172"/>
  <c r="E158"/>
  <c r="AO172"/>
  <c r="AO158"/>
  <c r="AK172"/>
  <c r="AK158"/>
  <c r="AG172"/>
  <c r="AG158"/>
  <c r="AC172"/>
  <c r="AC158"/>
  <c r="Y172"/>
  <c r="Y158"/>
  <c r="U172"/>
  <c r="U158"/>
  <c r="Q172"/>
  <c r="Q158"/>
  <c r="M172"/>
  <c r="M158"/>
  <c r="I172"/>
  <c r="I158"/>
  <c r="B181"/>
  <c r="D158"/>
  <c r="D172"/>
  <c r="AJ158"/>
  <c r="AJ172"/>
  <c r="AD158"/>
  <c r="AD172"/>
  <c r="X158"/>
  <c r="X172"/>
  <c r="P158"/>
  <c r="P172"/>
  <c r="L158"/>
  <c r="L172"/>
  <c r="H158"/>
  <c r="H172"/>
  <c r="AI172"/>
  <c r="AI158"/>
  <c r="AA172"/>
  <c r="AA158"/>
  <c r="S172"/>
  <c r="S158"/>
  <c r="K172"/>
  <c r="K158"/>
  <c r="C172"/>
  <c r="B109"/>
  <c r="B328"/>
  <c r="A335"/>
  <c r="A336" s="1"/>
  <c r="A337" s="1"/>
  <c r="A338" s="1"/>
  <c r="A339" s="1"/>
  <c r="A340" s="1"/>
  <c r="A341" s="1"/>
  <c r="A342" s="1"/>
  <c r="A343" s="1"/>
  <c r="F626" i="10" l="1"/>
  <c r="B648"/>
  <c r="B649" s="1"/>
  <c r="F588" i="8"/>
  <c r="B610"/>
  <c r="F516" i="7"/>
  <c r="B538"/>
  <c r="B539" s="1"/>
  <c r="B195" i="10"/>
  <c r="B55"/>
  <c r="S56"/>
  <c r="S85"/>
  <c r="S86" s="1"/>
  <c r="T698"/>
  <c r="T694"/>
  <c r="T690"/>
  <c r="T686"/>
  <c r="R648" i="8"/>
  <c r="R660"/>
  <c r="R656"/>
  <c r="R652"/>
  <c r="R65" i="10"/>
  <c r="R68" s="1"/>
  <c r="Q179"/>
  <c r="Q196" s="1"/>
  <c r="S58"/>
  <c r="S180"/>
  <c r="S197" s="1"/>
  <c r="S141"/>
  <c r="S153" s="1"/>
  <c r="S245"/>
  <c r="S217"/>
  <c r="B178"/>
  <c r="C277"/>
  <c r="C295" s="1"/>
  <c r="R709"/>
  <c r="S706" s="1"/>
  <c r="S59"/>
  <c r="S370"/>
  <c r="S504" s="1"/>
  <c r="U11"/>
  <c r="T714"/>
  <c r="T181" s="1"/>
  <c r="T198" s="1"/>
  <c r="T41"/>
  <c r="T183" s="1"/>
  <c r="T200" s="1"/>
  <c r="R260" i="7"/>
  <c r="C147"/>
  <c r="Q71"/>
  <c r="S799" i="10"/>
  <c r="S784" s="1"/>
  <c r="S67" s="1"/>
  <c r="T810"/>
  <c r="T809"/>
  <c r="T808"/>
  <c r="T807"/>
  <c r="T805"/>
  <c r="T804"/>
  <c r="T803"/>
  <c r="T802"/>
  <c r="T798"/>
  <c r="T797"/>
  <c r="T429" s="1"/>
  <c r="T796"/>
  <c r="T428" s="1"/>
  <c r="T795"/>
  <c r="T427" s="1"/>
  <c r="T794"/>
  <c r="T426" s="1"/>
  <c r="T793"/>
  <c r="T425" s="1"/>
  <c r="T792"/>
  <c r="T424" s="1"/>
  <c r="T791"/>
  <c r="T423" s="1"/>
  <c r="T790"/>
  <c r="T422" s="1"/>
  <c r="T789"/>
  <c r="T421" s="1"/>
  <c r="T778"/>
  <c r="T777"/>
  <c r="T776"/>
  <c r="T775"/>
  <c r="T774"/>
  <c r="T773"/>
  <c r="T772"/>
  <c r="T771"/>
  <c r="T769"/>
  <c r="T766"/>
  <c r="T404" s="1"/>
  <c r="T765"/>
  <c r="T403" s="1"/>
  <c r="T764"/>
  <c r="T402" s="1"/>
  <c r="T763"/>
  <c r="T401" s="1"/>
  <c r="T762"/>
  <c r="T400" s="1"/>
  <c r="T761"/>
  <c r="T399" s="1"/>
  <c r="T760"/>
  <c r="T398" s="1"/>
  <c r="T759"/>
  <c r="T397" s="1"/>
  <c r="T758"/>
  <c r="T396" s="1"/>
  <c r="T757"/>
  <c r="T395" s="1"/>
  <c r="T746"/>
  <c r="T745"/>
  <c r="T744"/>
  <c r="T743"/>
  <c r="T742"/>
  <c r="T741"/>
  <c r="T740"/>
  <c r="T739"/>
  <c r="T737"/>
  <c r="T734"/>
  <c r="T379" s="1"/>
  <c r="T733"/>
  <c r="T378" s="1"/>
  <c r="T732"/>
  <c r="T377" s="1"/>
  <c r="T731"/>
  <c r="T376" s="1"/>
  <c r="T730"/>
  <c r="T375" s="1"/>
  <c r="T729"/>
  <c r="T374" s="1"/>
  <c r="T728"/>
  <c r="T373" s="1"/>
  <c r="T727"/>
  <c r="T372" s="1"/>
  <c r="T726"/>
  <c r="T371" s="1"/>
  <c r="T708"/>
  <c r="T725"/>
  <c r="T659"/>
  <c r="T660" s="1"/>
  <c r="T653"/>
  <c r="T654" s="1"/>
  <c r="T499"/>
  <c r="T430"/>
  <c r="T352"/>
  <c r="T351"/>
  <c r="T350"/>
  <c r="T349"/>
  <c r="T348"/>
  <c r="T347"/>
  <c r="T486"/>
  <c r="T485"/>
  <c r="T484"/>
  <c r="T483"/>
  <c r="T482"/>
  <c r="T481"/>
  <c r="T365"/>
  <c r="T40"/>
  <c r="T30"/>
  <c r="T26"/>
  <c r="T25"/>
  <c r="T23"/>
  <c r="T19"/>
  <c r="U2"/>
  <c r="S366"/>
  <c r="S505"/>
  <c r="S509"/>
  <c r="S513"/>
  <c r="S533"/>
  <c r="S537"/>
  <c r="S557"/>
  <c r="S561"/>
  <c r="S565"/>
  <c r="S506"/>
  <c r="S510"/>
  <c r="S530"/>
  <c r="S534"/>
  <c r="S538"/>
  <c r="S558"/>
  <c r="S562"/>
  <c r="S500"/>
  <c r="S27"/>
  <c r="S735"/>
  <c r="S720" s="1"/>
  <c r="S767"/>
  <c r="S752" s="1"/>
  <c r="S66" s="1"/>
  <c r="C238"/>
  <c r="S507"/>
  <c r="S511"/>
  <c r="S531"/>
  <c r="S535"/>
  <c r="S539"/>
  <c r="S559"/>
  <c r="S563"/>
  <c r="S508"/>
  <c r="S512"/>
  <c r="S532"/>
  <c r="S536"/>
  <c r="S556"/>
  <c r="S560"/>
  <c r="S564"/>
  <c r="C267"/>
  <c r="B172" i="8"/>
  <c r="C572" i="7"/>
  <c r="R631"/>
  <c r="S628" s="1"/>
  <c r="S11" i="8"/>
  <c r="Q668"/>
  <c r="Q671" s="1"/>
  <c r="P63"/>
  <c r="Q27"/>
  <c r="Q755"/>
  <c r="Q740" s="1"/>
  <c r="Q62" s="1"/>
  <c r="R766"/>
  <c r="R765"/>
  <c r="R764"/>
  <c r="R763"/>
  <c r="R761"/>
  <c r="R760"/>
  <c r="R759"/>
  <c r="R758"/>
  <c r="R754"/>
  <c r="R753"/>
  <c r="R391" s="1"/>
  <c r="R752"/>
  <c r="R751"/>
  <c r="R389" s="1"/>
  <c r="R750"/>
  <c r="R749"/>
  <c r="R387" s="1"/>
  <c r="R748"/>
  <c r="R747"/>
  <c r="R385" s="1"/>
  <c r="R746"/>
  <c r="R745"/>
  <c r="R734"/>
  <c r="R733"/>
  <c r="R732"/>
  <c r="R731"/>
  <c r="R730"/>
  <c r="R729"/>
  <c r="R728"/>
  <c r="R727"/>
  <c r="R725"/>
  <c r="R722"/>
  <c r="R721"/>
  <c r="R720"/>
  <c r="R364" s="1"/>
  <c r="R719"/>
  <c r="R718"/>
  <c r="R362" s="1"/>
  <c r="R717"/>
  <c r="R716"/>
  <c r="R360" s="1"/>
  <c r="R715"/>
  <c r="R714"/>
  <c r="R358" s="1"/>
  <c r="R713"/>
  <c r="R702"/>
  <c r="R701"/>
  <c r="R700"/>
  <c r="R699"/>
  <c r="R698"/>
  <c r="R697"/>
  <c r="R696"/>
  <c r="R695"/>
  <c r="R693"/>
  <c r="R690"/>
  <c r="R689"/>
  <c r="R340" s="1"/>
  <c r="R688"/>
  <c r="R339" s="1"/>
  <c r="R687"/>
  <c r="R338" s="1"/>
  <c r="R686"/>
  <c r="R685"/>
  <c r="R336" s="1"/>
  <c r="R684"/>
  <c r="R683"/>
  <c r="R334" s="1"/>
  <c r="R682"/>
  <c r="R681"/>
  <c r="R332" s="1"/>
  <c r="R621"/>
  <c r="R622" s="1"/>
  <c r="R615"/>
  <c r="R616" s="1"/>
  <c r="R670"/>
  <c r="R54" s="1"/>
  <c r="R461"/>
  <c r="R392"/>
  <c r="R390"/>
  <c r="R388"/>
  <c r="R386"/>
  <c r="R384"/>
  <c r="R366"/>
  <c r="R341"/>
  <c r="R337"/>
  <c r="R448"/>
  <c r="R447"/>
  <c r="R446"/>
  <c r="R445"/>
  <c r="R444"/>
  <c r="R443"/>
  <c r="R383"/>
  <c r="R365"/>
  <c r="R363"/>
  <c r="R361"/>
  <c r="R359"/>
  <c r="R357"/>
  <c r="R327"/>
  <c r="R333"/>
  <c r="R314"/>
  <c r="R313"/>
  <c r="R312"/>
  <c r="R311"/>
  <c r="R310"/>
  <c r="R309"/>
  <c r="R335"/>
  <c r="R40"/>
  <c r="S2"/>
  <c r="R30"/>
  <c r="R26"/>
  <c r="R25"/>
  <c r="R23"/>
  <c r="R19"/>
  <c r="Q328"/>
  <c r="Q468"/>
  <c r="Q469"/>
  <c r="Q473"/>
  <c r="Q493"/>
  <c r="Q497"/>
  <c r="Q501"/>
  <c r="Q521"/>
  <c r="Q525"/>
  <c r="Q472"/>
  <c r="Q492"/>
  <c r="Q496"/>
  <c r="Q500"/>
  <c r="Q520"/>
  <c r="Q524"/>
  <c r="Q462"/>
  <c r="Q691"/>
  <c r="Q676" s="1"/>
  <c r="Q60" s="1"/>
  <c r="Q723"/>
  <c r="Q708" s="1"/>
  <c r="Q61" s="1"/>
  <c r="B157"/>
  <c r="P72"/>
  <c r="C259"/>
  <c r="C223"/>
  <c r="Q466"/>
  <c r="Q467"/>
  <c r="Q471"/>
  <c r="Q475"/>
  <c r="Q495"/>
  <c r="Q499"/>
  <c r="Q519"/>
  <c r="Q523"/>
  <c r="Q527"/>
  <c r="Q470"/>
  <c r="Q474"/>
  <c r="Q494"/>
  <c r="Q498"/>
  <c r="Q518"/>
  <c r="Q522"/>
  <c r="Q526"/>
  <c r="C258"/>
  <c r="C222"/>
  <c r="C644"/>
  <c r="C256"/>
  <c r="C220"/>
  <c r="C257"/>
  <c r="C221"/>
  <c r="C187" i="7"/>
  <c r="C188" s="1"/>
  <c r="S600"/>
  <c r="S596"/>
  <c r="S597" s="1"/>
  <c r="T11"/>
  <c r="S726"/>
  <c r="S725"/>
  <c r="S724"/>
  <c r="S723"/>
  <c r="S721"/>
  <c r="S720"/>
  <c r="S719"/>
  <c r="S714"/>
  <c r="S320" s="1"/>
  <c r="S713"/>
  <c r="S712"/>
  <c r="S318" s="1"/>
  <c r="S711"/>
  <c r="S710"/>
  <c r="S316" s="1"/>
  <c r="S709"/>
  <c r="S708"/>
  <c r="S314" s="1"/>
  <c r="S707"/>
  <c r="S718"/>
  <c r="S705"/>
  <c r="S682"/>
  <c r="S294" s="1"/>
  <c r="S681"/>
  <c r="S680"/>
  <c r="S292" s="1"/>
  <c r="S679"/>
  <c r="S291" s="1"/>
  <c r="S678"/>
  <c r="S290" s="1"/>
  <c r="S677"/>
  <c r="S676"/>
  <c r="S288" s="1"/>
  <c r="S706"/>
  <c r="S694"/>
  <c r="S693"/>
  <c r="S692"/>
  <c r="S691"/>
  <c r="S690"/>
  <c r="S689"/>
  <c r="S688"/>
  <c r="S687"/>
  <c r="S685"/>
  <c r="S650"/>
  <c r="S649"/>
  <c r="S268" s="1"/>
  <c r="S648"/>
  <c r="S267" s="1"/>
  <c r="S647"/>
  <c r="S266" s="1"/>
  <c r="S646"/>
  <c r="S645"/>
  <c r="S264" s="1"/>
  <c r="S675"/>
  <c r="S287" s="1"/>
  <c r="S674"/>
  <c r="S673"/>
  <c r="S662"/>
  <c r="S661"/>
  <c r="S660"/>
  <c r="S659"/>
  <c r="S658"/>
  <c r="S657"/>
  <c r="S656"/>
  <c r="S655"/>
  <c r="S653"/>
  <c r="S643"/>
  <c r="S262" s="1"/>
  <c r="S630"/>
  <c r="S62" s="1"/>
  <c r="S644"/>
  <c r="S263" s="1"/>
  <c r="S642"/>
  <c r="S261" s="1"/>
  <c r="S641"/>
  <c r="S549"/>
  <c r="S550" s="1"/>
  <c r="S543"/>
  <c r="S544" s="1"/>
  <c r="S376"/>
  <c r="S375"/>
  <c r="S374"/>
  <c r="S373"/>
  <c r="S372"/>
  <c r="S371"/>
  <c r="S319"/>
  <c r="S317"/>
  <c r="S315"/>
  <c r="S313"/>
  <c r="S311"/>
  <c r="S293"/>
  <c r="S289"/>
  <c r="S285"/>
  <c r="S389"/>
  <c r="S312"/>
  <c r="S286"/>
  <c r="S269"/>
  <c r="S265"/>
  <c r="S255"/>
  <c r="S242"/>
  <c r="S241"/>
  <c r="S240"/>
  <c r="S239"/>
  <c r="S238"/>
  <c r="S237"/>
  <c r="S40"/>
  <c r="S30"/>
  <c r="S26"/>
  <c r="S25"/>
  <c r="S23"/>
  <c r="S19"/>
  <c r="T2"/>
  <c r="R401"/>
  <c r="R399"/>
  <c r="R394"/>
  <c r="R398"/>
  <c r="R402"/>
  <c r="R422"/>
  <c r="R426"/>
  <c r="R446"/>
  <c r="R450"/>
  <c r="R454"/>
  <c r="R423"/>
  <c r="R427"/>
  <c r="R447"/>
  <c r="R451"/>
  <c r="R455"/>
  <c r="R27"/>
  <c r="R651"/>
  <c r="R636" s="1"/>
  <c r="R68" s="1"/>
  <c r="R683"/>
  <c r="R668" s="1"/>
  <c r="R69" s="1"/>
  <c r="R715"/>
  <c r="R700" s="1"/>
  <c r="R70" s="1"/>
  <c r="R397"/>
  <c r="R256"/>
  <c r="R395"/>
  <c r="R403"/>
  <c r="R396"/>
  <c r="R400"/>
  <c r="R420"/>
  <c r="R424"/>
  <c r="R428"/>
  <c r="R448"/>
  <c r="R452"/>
  <c r="R390"/>
  <c r="R421"/>
  <c r="R425"/>
  <c r="R429"/>
  <c r="R449"/>
  <c r="R453"/>
  <c r="C151"/>
  <c r="B173" i="2"/>
  <c r="B159"/>
  <c r="L9" i="1"/>
  <c r="L28"/>
  <c r="L36" i="2"/>
  <c r="M36" s="1"/>
  <c r="N36" s="1"/>
  <c r="O36" s="1"/>
  <c r="P36" s="1"/>
  <c r="Q36" s="1"/>
  <c r="R36" s="1"/>
  <c r="B183"/>
  <c r="I78"/>
  <c r="J78"/>
  <c r="K78"/>
  <c r="L78"/>
  <c r="M78"/>
  <c r="N78"/>
  <c r="O78"/>
  <c r="P78"/>
  <c r="Q78"/>
  <c r="R78"/>
  <c r="S78"/>
  <c r="T78"/>
  <c r="U78"/>
  <c r="V78"/>
  <c r="W78"/>
  <c r="X78"/>
  <c r="Y78"/>
  <c r="Z78"/>
  <c r="AA78"/>
  <c r="AB78"/>
  <c r="AC78"/>
  <c r="AD78"/>
  <c r="AE78"/>
  <c r="AF78"/>
  <c r="AG78"/>
  <c r="AH78"/>
  <c r="AI78"/>
  <c r="AJ78"/>
  <c r="AK78"/>
  <c r="AL78"/>
  <c r="AM78"/>
  <c r="AN78"/>
  <c r="AO78"/>
  <c r="AP78"/>
  <c r="G78"/>
  <c r="H78"/>
  <c r="C78"/>
  <c r="D78"/>
  <c r="E78"/>
  <c r="F78"/>
  <c r="B68"/>
  <c r="B71" s="1"/>
  <c r="B63"/>
  <c r="A728"/>
  <c r="A729" s="1"/>
  <c r="A716"/>
  <c r="A717" s="1"/>
  <c r="A718" s="1"/>
  <c r="B711"/>
  <c r="C708" s="1"/>
  <c r="A701"/>
  <c r="B703"/>
  <c r="B705" s="1"/>
  <c r="C702" s="1"/>
  <c r="B611" i="8" l="1"/>
  <c r="T56" i="10"/>
  <c r="T85"/>
  <c r="T86" s="1"/>
  <c r="U698"/>
  <c r="U694"/>
  <c r="U690"/>
  <c r="U686"/>
  <c r="S660" i="8"/>
  <c r="S656"/>
  <c r="S652"/>
  <c r="S648"/>
  <c r="R179" i="10"/>
  <c r="R196" s="1"/>
  <c r="R75"/>
  <c r="S65"/>
  <c r="S68" s="1"/>
  <c r="S75" s="1"/>
  <c r="T58"/>
  <c r="T180"/>
  <c r="T197" s="1"/>
  <c r="T141"/>
  <c r="T153" s="1"/>
  <c r="T245"/>
  <c r="T217"/>
  <c r="S631" i="7"/>
  <c r="T628" s="1"/>
  <c r="T370" i="10"/>
  <c r="S709"/>
  <c r="T59"/>
  <c r="V11"/>
  <c r="U714"/>
  <c r="U181" s="1"/>
  <c r="U198" s="1"/>
  <c r="U41"/>
  <c r="U183" s="1"/>
  <c r="U200" s="1"/>
  <c r="S260" i="7"/>
  <c r="S394" s="1"/>
  <c r="T27" i="10"/>
  <c r="T735"/>
  <c r="T720" s="1"/>
  <c r="T706"/>
  <c r="T504"/>
  <c r="T508"/>
  <c r="T512"/>
  <c r="T532"/>
  <c r="T536"/>
  <c r="T556"/>
  <c r="T560"/>
  <c r="T564"/>
  <c r="T507"/>
  <c r="T511"/>
  <c r="T531"/>
  <c r="T535"/>
  <c r="T539"/>
  <c r="T559"/>
  <c r="T563"/>
  <c r="T767"/>
  <c r="T752" s="1"/>
  <c r="T66" s="1"/>
  <c r="T799"/>
  <c r="T784" s="1"/>
  <c r="T67" s="1"/>
  <c r="U810"/>
  <c r="U809"/>
  <c r="U808"/>
  <c r="U806"/>
  <c r="U805"/>
  <c r="U804"/>
  <c r="U803"/>
  <c r="U802"/>
  <c r="U798"/>
  <c r="U430" s="1"/>
  <c r="U797"/>
  <c r="U796"/>
  <c r="U428" s="1"/>
  <c r="U795"/>
  <c r="U427" s="1"/>
  <c r="U794"/>
  <c r="U426" s="1"/>
  <c r="U793"/>
  <c r="U425" s="1"/>
  <c r="U792"/>
  <c r="U424" s="1"/>
  <c r="U791"/>
  <c r="U423" s="1"/>
  <c r="U790"/>
  <c r="U422" s="1"/>
  <c r="U789"/>
  <c r="U421" s="1"/>
  <c r="U766"/>
  <c r="U404" s="1"/>
  <c r="U765"/>
  <c r="U403" s="1"/>
  <c r="U764"/>
  <c r="U402" s="1"/>
  <c r="U763"/>
  <c r="U401" s="1"/>
  <c r="U762"/>
  <c r="U400" s="1"/>
  <c r="U761"/>
  <c r="U399" s="1"/>
  <c r="U760"/>
  <c r="U398" s="1"/>
  <c r="U759"/>
  <c r="U778"/>
  <c r="U777"/>
  <c r="U776"/>
  <c r="U775"/>
  <c r="U774"/>
  <c r="U773"/>
  <c r="U772"/>
  <c r="U771"/>
  <c r="U769"/>
  <c r="U734"/>
  <c r="U379" s="1"/>
  <c r="U733"/>
  <c r="U378" s="1"/>
  <c r="U732"/>
  <c r="U377" s="1"/>
  <c r="U731"/>
  <c r="U376" s="1"/>
  <c r="U730"/>
  <c r="U375" s="1"/>
  <c r="U729"/>
  <c r="U374" s="1"/>
  <c r="U728"/>
  <c r="U373" s="1"/>
  <c r="U758"/>
  <c r="U396" s="1"/>
  <c r="U757"/>
  <c r="U395" s="1"/>
  <c r="U746"/>
  <c r="U745"/>
  <c r="U744"/>
  <c r="U743"/>
  <c r="U742"/>
  <c r="U741"/>
  <c r="U740"/>
  <c r="U739"/>
  <c r="U737"/>
  <c r="U727"/>
  <c r="U372" s="1"/>
  <c r="U725"/>
  <c r="U370" s="1"/>
  <c r="U659"/>
  <c r="U660" s="1"/>
  <c r="U653"/>
  <c r="U654" s="1"/>
  <c r="U726"/>
  <c r="U371" s="1"/>
  <c r="U708"/>
  <c r="U486"/>
  <c r="U485"/>
  <c r="U484"/>
  <c r="U483"/>
  <c r="U482"/>
  <c r="U481"/>
  <c r="U429"/>
  <c r="U397"/>
  <c r="U365"/>
  <c r="U499"/>
  <c r="U352"/>
  <c r="U351"/>
  <c r="U350"/>
  <c r="U349"/>
  <c r="U348"/>
  <c r="U347"/>
  <c r="U30"/>
  <c r="U26"/>
  <c r="U25"/>
  <c r="U23"/>
  <c r="U19"/>
  <c r="U40"/>
  <c r="V2"/>
  <c r="T506"/>
  <c r="T510"/>
  <c r="T530"/>
  <c r="T534"/>
  <c r="T538"/>
  <c r="T558"/>
  <c r="T562"/>
  <c r="T500"/>
  <c r="T366"/>
  <c r="T505"/>
  <c r="T509"/>
  <c r="T513"/>
  <c r="T533"/>
  <c r="T537"/>
  <c r="T557"/>
  <c r="T561"/>
  <c r="T565"/>
  <c r="T11" i="8"/>
  <c r="R668"/>
  <c r="R671" s="1"/>
  <c r="Q63"/>
  <c r="R723"/>
  <c r="R708" s="1"/>
  <c r="R61" s="1"/>
  <c r="R691"/>
  <c r="R676" s="1"/>
  <c r="R60" s="1"/>
  <c r="R755"/>
  <c r="R740" s="1"/>
  <c r="R62" s="1"/>
  <c r="B185"/>
  <c r="B186" s="1"/>
  <c r="Q72"/>
  <c r="S766"/>
  <c r="S765"/>
  <c r="S764"/>
  <c r="S763"/>
  <c r="S761"/>
  <c r="S760"/>
  <c r="S759"/>
  <c r="S758"/>
  <c r="S754"/>
  <c r="S392" s="1"/>
  <c r="S753"/>
  <c r="S752"/>
  <c r="S390" s="1"/>
  <c r="S751"/>
  <c r="S389" s="1"/>
  <c r="S750"/>
  <c r="S388" s="1"/>
  <c r="S749"/>
  <c r="S748"/>
  <c r="S747"/>
  <c r="S385" s="1"/>
  <c r="S746"/>
  <c r="S384" s="1"/>
  <c r="S745"/>
  <c r="S733"/>
  <c r="S731"/>
  <c r="S729"/>
  <c r="S722"/>
  <c r="S366" s="1"/>
  <c r="S721"/>
  <c r="S720"/>
  <c r="S719"/>
  <c r="S363" s="1"/>
  <c r="S718"/>
  <c r="S362" s="1"/>
  <c r="S717"/>
  <c r="S716"/>
  <c r="S715"/>
  <c r="S359" s="1"/>
  <c r="S714"/>
  <c r="S358" s="1"/>
  <c r="S713"/>
  <c r="S734"/>
  <c r="S732"/>
  <c r="S730"/>
  <c r="S728"/>
  <c r="S727"/>
  <c r="S725"/>
  <c r="S690"/>
  <c r="S689"/>
  <c r="S340" s="1"/>
  <c r="S688"/>
  <c r="S339" s="1"/>
  <c r="S687"/>
  <c r="S686"/>
  <c r="S337" s="1"/>
  <c r="S685"/>
  <c r="S336" s="1"/>
  <c r="S684"/>
  <c r="S335" s="1"/>
  <c r="S683"/>
  <c r="S682"/>
  <c r="S681"/>
  <c r="S702"/>
  <c r="S701"/>
  <c r="S700"/>
  <c r="S699"/>
  <c r="S698"/>
  <c r="S697"/>
  <c r="S696"/>
  <c r="S695"/>
  <c r="S693"/>
  <c r="S670"/>
  <c r="S54" s="1"/>
  <c r="S621"/>
  <c r="S622" s="1"/>
  <c r="S615"/>
  <c r="S616" s="1"/>
  <c r="S448"/>
  <c r="S447"/>
  <c r="S446"/>
  <c r="S445"/>
  <c r="S444"/>
  <c r="S443"/>
  <c r="S391"/>
  <c r="S387"/>
  <c r="S383"/>
  <c r="S365"/>
  <c r="S361"/>
  <c r="S357"/>
  <c r="S338"/>
  <c r="S461"/>
  <c r="S386"/>
  <c r="S364"/>
  <c r="S360"/>
  <c r="S341"/>
  <c r="S333"/>
  <c r="S332"/>
  <c r="S327"/>
  <c r="S334"/>
  <c r="S314"/>
  <c r="S313"/>
  <c r="S312"/>
  <c r="S311"/>
  <c r="S310"/>
  <c r="S309"/>
  <c r="S30"/>
  <c r="S26"/>
  <c r="S25"/>
  <c r="S23"/>
  <c r="S19"/>
  <c r="S40"/>
  <c r="T2"/>
  <c r="R328"/>
  <c r="R467"/>
  <c r="R466"/>
  <c r="R470"/>
  <c r="R474"/>
  <c r="R494"/>
  <c r="R498"/>
  <c r="R518"/>
  <c r="R522"/>
  <c r="R526"/>
  <c r="R473"/>
  <c r="R493"/>
  <c r="R497"/>
  <c r="R501"/>
  <c r="R521"/>
  <c r="R525"/>
  <c r="C260"/>
  <c r="R27"/>
  <c r="R469"/>
  <c r="R468"/>
  <c r="R472"/>
  <c r="R492"/>
  <c r="R496"/>
  <c r="R500"/>
  <c r="R520"/>
  <c r="R524"/>
  <c r="R462"/>
  <c r="R471"/>
  <c r="R475"/>
  <c r="R495"/>
  <c r="R499"/>
  <c r="R519"/>
  <c r="R523"/>
  <c r="R527"/>
  <c r="C224"/>
  <c r="U11" i="7"/>
  <c r="T600"/>
  <c r="T596"/>
  <c r="T597" s="1"/>
  <c r="T726"/>
  <c r="T725"/>
  <c r="T724"/>
  <c r="T723"/>
  <c r="T721"/>
  <c r="T720"/>
  <c r="T719"/>
  <c r="T718"/>
  <c r="T714"/>
  <c r="T713"/>
  <c r="T712"/>
  <c r="T318" s="1"/>
  <c r="T711"/>
  <c r="T317" s="1"/>
  <c r="T710"/>
  <c r="T316" s="1"/>
  <c r="T709"/>
  <c r="T708"/>
  <c r="T314" s="1"/>
  <c r="T707"/>
  <c r="T313" s="1"/>
  <c r="T706"/>
  <c r="T705"/>
  <c r="T694"/>
  <c r="T693"/>
  <c r="T692"/>
  <c r="T691"/>
  <c r="T690"/>
  <c r="T689"/>
  <c r="T688"/>
  <c r="T687"/>
  <c r="T685"/>
  <c r="T682"/>
  <c r="T681"/>
  <c r="T680"/>
  <c r="T292" s="1"/>
  <c r="T679"/>
  <c r="T291" s="1"/>
  <c r="T678"/>
  <c r="T290" s="1"/>
  <c r="T677"/>
  <c r="T289" s="1"/>
  <c r="T676"/>
  <c r="T288" s="1"/>
  <c r="T675"/>
  <c r="T674"/>
  <c r="T286" s="1"/>
  <c r="T673"/>
  <c r="T285" s="1"/>
  <c r="T662"/>
  <c r="T661"/>
  <c r="T660"/>
  <c r="T659"/>
  <c r="T658"/>
  <c r="T657"/>
  <c r="T656"/>
  <c r="T655"/>
  <c r="T653"/>
  <c r="T650"/>
  <c r="T269" s="1"/>
  <c r="T649"/>
  <c r="T268" s="1"/>
  <c r="T648"/>
  <c r="T647"/>
  <c r="T266" s="1"/>
  <c r="T646"/>
  <c r="T265" s="1"/>
  <c r="T645"/>
  <c r="T264" s="1"/>
  <c r="T644"/>
  <c r="T263" s="1"/>
  <c r="T643"/>
  <c r="T262" s="1"/>
  <c r="T642"/>
  <c r="T261" s="1"/>
  <c r="T641"/>
  <c r="T260" s="1"/>
  <c r="T549"/>
  <c r="T550" s="1"/>
  <c r="T543"/>
  <c r="T544" s="1"/>
  <c r="T630"/>
  <c r="T62" s="1"/>
  <c r="T389"/>
  <c r="T320"/>
  <c r="T312"/>
  <c r="T294"/>
  <c r="T376"/>
  <c r="T375"/>
  <c r="T374"/>
  <c r="T373"/>
  <c r="T372"/>
  <c r="T371"/>
  <c r="T319"/>
  <c r="T315"/>
  <c r="T311"/>
  <c r="T293"/>
  <c r="T287"/>
  <c r="T267"/>
  <c r="T242"/>
  <c r="T241"/>
  <c r="T240"/>
  <c r="T239"/>
  <c r="T238"/>
  <c r="T237"/>
  <c r="T255"/>
  <c r="T30"/>
  <c r="T26"/>
  <c r="T25"/>
  <c r="T23"/>
  <c r="T19"/>
  <c r="T40"/>
  <c r="U2"/>
  <c r="S256"/>
  <c r="S396"/>
  <c r="S398"/>
  <c r="S395"/>
  <c r="S399"/>
  <c r="S403"/>
  <c r="S423"/>
  <c r="S427"/>
  <c r="S447"/>
  <c r="S451"/>
  <c r="S455"/>
  <c r="S420"/>
  <c r="S424"/>
  <c r="S428"/>
  <c r="S448"/>
  <c r="S452"/>
  <c r="S390"/>
  <c r="R71"/>
  <c r="S27"/>
  <c r="S651"/>
  <c r="S636" s="1"/>
  <c r="S68" s="1"/>
  <c r="S683"/>
  <c r="S668" s="1"/>
  <c r="S69" s="1"/>
  <c r="S400"/>
  <c r="S402"/>
  <c r="S397"/>
  <c r="S401"/>
  <c r="S421"/>
  <c r="S425"/>
  <c r="S429"/>
  <c r="S449"/>
  <c r="S453"/>
  <c r="S422"/>
  <c r="S426"/>
  <c r="S446"/>
  <c r="S450"/>
  <c r="S454"/>
  <c r="T631"/>
  <c r="U628" s="1"/>
  <c r="S715"/>
  <c r="S700" s="1"/>
  <c r="S70" s="1"/>
  <c r="B185" i="2"/>
  <c r="B186" s="1"/>
  <c r="L10" i="1"/>
  <c r="L29"/>
  <c r="S36" i="2"/>
  <c r="T36" s="1"/>
  <c r="U36" s="1"/>
  <c r="V36" s="1"/>
  <c r="W36" s="1"/>
  <c r="X36" s="1"/>
  <c r="B62"/>
  <c r="A730"/>
  <c r="A719"/>
  <c r="U56" i="10" l="1"/>
  <c r="U85"/>
  <c r="U86" s="1"/>
  <c r="V698"/>
  <c r="V694"/>
  <c r="V690"/>
  <c r="V686"/>
  <c r="T648" i="8"/>
  <c r="T660"/>
  <c r="T656"/>
  <c r="T652"/>
  <c r="T65" i="10"/>
  <c r="T68" s="1"/>
  <c r="T75" s="1"/>
  <c r="S179"/>
  <c r="S196" s="1"/>
  <c r="U58"/>
  <c r="U180"/>
  <c r="U197" s="1"/>
  <c r="U141"/>
  <c r="U153" s="1"/>
  <c r="U245"/>
  <c r="U217"/>
  <c r="T709"/>
  <c r="U706" s="1"/>
  <c r="U59"/>
  <c r="W11"/>
  <c r="V714"/>
  <c r="V181" s="1"/>
  <c r="V198" s="1"/>
  <c r="V41"/>
  <c r="V183" s="1"/>
  <c r="V200" s="1"/>
  <c r="U799"/>
  <c r="U784" s="1"/>
  <c r="U67" s="1"/>
  <c r="U366"/>
  <c r="U505"/>
  <c r="U509"/>
  <c r="U513"/>
  <c r="U533"/>
  <c r="U537"/>
  <c r="U557"/>
  <c r="U561"/>
  <c r="U565"/>
  <c r="U506"/>
  <c r="U510"/>
  <c r="U530"/>
  <c r="U534"/>
  <c r="U538"/>
  <c r="U558"/>
  <c r="U562"/>
  <c r="U500"/>
  <c r="U27"/>
  <c r="U735"/>
  <c r="U720" s="1"/>
  <c r="U767"/>
  <c r="U752" s="1"/>
  <c r="U66" s="1"/>
  <c r="V810"/>
  <c r="V809"/>
  <c r="V808"/>
  <c r="V806"/>
  <c r="V805"/>
  <c r="V804"/>
  <c r="V803"/>
  <c r="V802"/>
  <c r="V798"/>
  <c r="V797"/>
  <c r="V429" s="1"/>
  <c r="V796"/>
  <c r="V428" s="1"/>
  <c r="V795"/>
  <c r="V427" s="1"/>
  <c r="V794"/>
  <c r="V426" s="1"/>
  <c r="V793"/>
  <c r="V425" s="1"/>
  <c r="V792"/>
  <c r="V424" s="1"/>
  <c r="V791"/>
  <c r="V790"/>
  <c r="V422" s="1"/>
  <c r="V789"/>
  <c r="V421" s="1"/>
  <c r="V778"/>
  <c r="V777"/>
  <c r="V776"/>
  <c r="V775"/>
  <c r="V774"/>
  <c r="V773"/>
  <c r="V772"/>
  <c r="V771"/>
  <c r="V769"/>
  <c r="V766"/>
  <c r="V404" s="1"/>
  <c r="V765"/>
  <c r="V403" s="1"/>
  <c r="V764"/>
  <c r="V763"/>
  <c r="V401" s="1"/>
  <c r="V762"/>
  <c r="V400" s="1"/>
  <c r="V761"/>
  <c r="V399" s="1"/>
  <c r="V760"/>
  <c r="V398" s="1"/>
  <c r="V759"/>
  <c r="V397" s="1"/>
  <c r="V758"/>
  <c r="V396" s="1"/>
  <c r="V757"/>
  <c r="V395" s="1"/>
  <c r="V746"/>
  <c r="V745"/>
  <c r="V744"/>
  <c r="V743"/>
  <c r="V742"/>
  <c r="V741"/>
  <c r="V740"/>
  <c r="V739"/>
  <c r="V737"/>
  <c r="V734"/>
  <c r="V379" s="1"/>
  <c r="V733"/>
  <c r="V378" s="1"/>
  <c r="V732"/>
  <c r="V377" s="1"/>
  <c r="V731"/>
  <c r="V376" s="1"/>
  <c r="V730"/>
  <c r="V375" s="1"/>
  <c r="V729"/>
  <c r="V374" s="1"/>
  <c r="V728"/>
  <c r="V373" s="1"/>
  <c r="V727"/>
  <c r="V372" s="1"/>
  <c r="V726"/>
  <c r="V371" s="1"/>
  <c r="V708"/>
  <c r="V725"/>
  <c r="V659"/>
  <c r="V660" s="1"/>
  <c r="V653"/>
  <c r="V654" s="1"/>
  <c r="V499"/>
  <c r="V430"/>
  <c r="V402"/>
  <c r="V352"/>
  <c r="V351"/>
  <c r="V350"/>
  <c r="V349"/>
  <c r="V348"/>
  <c r="V347"/>
  <c r="V486"/>
  <c r="V485"/>
  <c r="V484"/>
  <c r="V483"/>
  <c r="V482"/>
  <c r="V481"/>
  <c r="V423"/>
  <c r="V365"/>
  <c r="V40"/>
  <c r="W2"/>
  <c r="V30"/>
  <c r="V26"/>
  <c r="V25"/>
  <c r="V23"/>
  <c r="V19"/>
  <c r="U507"/>
  <c r="U511"/>
  <c r="U531"/>
  <c r="U535"/>
  <c r="U539"/>
  <c r="U559"/>
  <c r="U563"/>
  <c r="U504"/>
  <c r="U508"/>
  <c r="U512"/>
  <c r="U532"/>
  <c r="U536"/>
  <c r="U556"/>
  <c r="U560"/>
  <c r="U564"/>
  <c r="U11" i="8"/>
  <c r="S668"/>
  <c r="S671" s="1"/>
  <c r="S723"/>
  <c r="S708" s="1"/>
  <c r="S61" s="1"/>
  <c r="S755"/>
  <c r="S740" s="1"/>
  <c r="S62" s="1"/>
  <c r="R63"/>
  <c r="R72"/>
  <c r="T766"/>
  <c r="T765"/>
  <c r="T764"/>
  <c r="T763"/>
  <c r="T761"/>
  <c r="T760"/>
  <c r="T759"/>
  <c r="T758"/>
  <c r="T754"/>
  <c r="T753"/>
  <c r="T391" s="1"/>
  <c r="T752"/>
  <c r="T390" s="1"/>
  <c r="T751"/>
  <c r="T389" s="1"/>
  <c r="T750"/>
  <c r="T388" s="1"/>
  <c r="T749"/>
  <c r="T387" s="1"/>
  <c r="T748"/>
  <c r="T386" s="1"/>
  <c r="T747"/>
  <c r="T385" s="1"/>
  <c r="T746"/>
  <c r="T745"/>
  <c r="T734"/>
  <c r="T733"/>
  <c r="T732"/>
  <c r="T731"/>
  <c r="T730"/>
  <c r="T729"/>
  <c r="T728"/>
  <c r="T727"/>
  <c r="T725"/>
  <c r="T722"/>
  <c r="T721"/>
  <c r="T720"/>
  <c r="T364" s="1"/>
  <c r="T719"/>
  <c r="T363" s="1"/>
  <c r="T718"/>
  <c r="T362" s="1"/>
  <c r="T717"/>
  <c r="T361" s="1"/>
  <c r="T716"/>
  <c r="T360" s="1"/>
  <c r="T715"/>
  <c r="T359" s="1"/>
  <c r="T714"/>
  <c r="T358" s="1"/>
  <c r="T713"/>
  <c r="T702"/>
  <c r="T701"/>
  <c r="T700"/>
  <c r="T699"/>
  <c r="T698"/>
  <c r="T697"/>
  <c r="T696"/>
  <c r="T695"/>
  <c r="T693"/>
  <c r="T690"/>
  <c r="T341" s="1"/>
  <c r="T689"/>
  <c r="T688"/>
  <c r="T687"/>
  <c r="T338" s="1"/>
  <c r="T686"/>
  <c r="T337" s="1"/>
  <c r="T685"/>
  <c r="T336" s="1"/>
  <c r="T684"/>
  <c r="T335" s="1"/>
  <c r="T683"/>
  <c r="T334" s="1"/>
  <c r="T682"/>
  <c r="T333" s="1"/>
  <c r="T681"/>
  <c r="T332" s="1"/>
  <c r="T621"/>
  <c r="T622" s="1"/>
  <c r="T615"/>
  <c r="T616" s="1"/>
  <c r="T670"/>
  <c r="T54" s="1"/>
  <c r="T461"/>
  <c r="T392"/>
  <c r="T384"/>
  <c r="T366"/>
  <c r="T339"/>
  <c r="T448"/>
  <c r="T447"/>
  <c r="T446"/>
  <c r="T445"/>
  <c r="T444"/>
  <c r="T443"/>
  <c r="T383"/>
  <c r="T365"/>
  <c r="T357"/>
  <c r="T340"/>
  <c r="T327"/>
  <c r="T314"/>
  <c r="T313"/>
  <c r="T312"/>
  <c r="T311"/>
  <c r="T310"/>
  <c r="T309"/>
  <c r="T40"/>
  <c r="U2"/>
  <c r="T30"/>
  <c r="T26"/>
  <c r="T25"/>
  <c r="T23"/>
  <c r="T19"/>
  <c r="S328"/>
  <c r="S468"/>
  <c r="S466"/>
  <c r="S469"/>
  <c r="S473"/>
  <c r="S493"/>
  <c r="S497"/>
  <c r="S501"/>
  <c r="S521"/>
  <c r="S525"/>
  <c r="S472"/>
  <c r="S492"/>
  <c r="S496"/>
  <c r="S500"/>
  <c r="S520"/>
  <c r="S524"/>
  <c r="S462"/>
  <c r="S27"/>
  <c r="S691"/>
  <c r="S676" s="1"/>
  <c r="S60" s="1"/>
  <c r="S63" s="1"/>
  <c r="S467"/>
  <c r="S471"/>
  <c r="S475"/>
  <c r="S495"/>
  <c r="S499"/>
  <c r="S519"/>
  <c r="S523"/>
  <c r="S527"/>
  <c r="S470"/>
  <c r="S474"/>
  <c r="S494"/>
  <c r="S498"/>
  <c r="S518"/>
  <c r="S522"/>
  <c r="S526"/>
  <c r="B187"/>
  <c r="T715" i="7"/>
  <c r="T700" s="1"/>
  <c r="T70" s="1"/>
  <c r="U600"/>
  <c r="U596"/>
  <c r="U597" s="1"/>
  <c r="V11"/>
  <c r="U726"/>
  <c r="U725"/>
  <c r="U724"/>
  <c r="U722"/>
  <c r="U721"/>
  <c r="U720"/>
  <c r="U719"/>
  <c r="U718"/>
  <c r="U714"/>
  <c r="U320" s="1"/>
  <c r="U713"/>
  <c r="U712"/>
  <c r="U318" s="1"/>
  <c r="U711"/>
  <c r="U317" s="1"/>
  <c r="U710"/>
  <c r="U316" s="1"/>
  <c r="U709"/>
  <c r="U708"/>
  <c r="U314" s="1"/>
  <c r="U707"/>
  <c r="U313" s="1"/>
  <c r="U706"/>
  <c r="U682"/>
  <c r="U294" s="1"/>
  <c r="U681"/>
  <c r="U293" s="1"/>
  <c r="U680"/>
  <c r="U679"/>
  <c r="U291" s="1"/>
  <c r="U678"/>
  <c r="U290" s="1"/>
  <c r="U677"/>
  <c r="U289" s="1"/>
  <c r="U676"/>
  <c r="U705"/>
  <c r="U311" s="1"/>
  <c r="U694"/>
  <c r="U693"/>
  <c r="U692"/>
  <c r="U691"/>
  <c r="U690"/>
  <c r="U689"/>
  <c r="U688"/>
  <c r="U687"/>
  <c r="U685"/>
  <c r="U675"/>
  <c r="U287" s="1"/>
  <c r="U650"/>
  <c r="U649"/>
  <c r="U268" s="1"/>
  <c r="U648"/>
  <c r="U267" s="1"/>
  <c r="U647"/>
  <c r="U266" s="1"/>
  <c r="U646"/>
  <c r="U645"/>
  <c r="U264" s="1"/>
  <c r="U674"/>
  <c r="U286" s="1"/>
  <c r="U673"/>
  <c r="U285" s="1"/>
  <c r="U662"/>
  <c r="U661"/>
  <c r="U660"/>
  <c r="U659"/>
  <c r="U658"/>
  <c r="U657"/>
  <c r="U656"/>
  <c r="U655"/>
  <c r="U653"/>
  <c r="U644"/>
  <c r="U263" s="1"/>
  <c r="U630"/>
  <c r="U62" s="1"/>
  <c r="U643"/>
  <c r="U262" s="1"/>
  <c r="U642"/>
  <c r="U261" s="1"/>
  <c r="U641"/>
  <c r="U260" s="1"/>
  <c r="U549"/>
  <c r="U550" s="1"/>
  <c r="U543"/>
  <c r="U544" s="1"/>
  <c r="U376"/>
  <c r="U375"/>
  <c r="U374"/>
  <c r="U373"/>
  <c r="U372"/>
  <c r="U371"/>
  <c r="U319"/>
  <c r="U315"/>
  <c r="U389"/>
  <c r="U312"/>
  <c r="U292"/>
  <c r="U288"/>
  <c r="U269"/>
  <c r="U265"/>
  <c r="U255"/>
  <c r="U242"/>
  <c r="U241"/>
  <c r="U240"/>
  <c r="U239"/>
  <c r="U238"/>
  <c r="U237"/>
  <c r="U40"/>
  <c r="V2"/>
  <c r="U30"/>
  <c r="U26"/>
  <c r="U25"/>
  <c r="U23"/>
  <c r="U19"/>
  <c r="T399"/>
  <c r="T256"/>
  <c r="T397"/>
  <c r="T394"/>
  <c r="T398"/>
  <c r="T402"/>
  <c r="T422"/>
  <c r="T426"/>
  <c r="T446"/>
  <c r="T450"/>
  <c r="T454"/>
  <c r="T423"/>
  <c r="T427"/>
  <c r="T447"/>
  <c r="T451"/>
  <c r="T455"/>
  <c r="U631"/>
  <c r="V628" s="1"/>
  <c r="T27"/>
  <c r="T651"/>
  <c r="T636" s="1"/>
  <c r="T68" s="1"/>
  <c r="T683"/>
  <c r="T668" s="1"/>
  <c r="T69" s="1"/>
  <c r="T395"/>
  <c r="T403"/>
  <c r="T401"/>
  <c r="T396"/>
  <c r="T400"/>
  <c r="T420"/>
  <c r="T424"/>
  <c r="T428"/>
  <c r="T448"/>
  <c r="T452"/>
  <c r="T390"/>
  <c r="T421"/>
  <c r="T425"/>
  <c r="T429"/>
  <c r="T449"/>
  <c r="T453"/>
  <c r="S71"/>
  <c r="B187" i="2"/>
  <c r="L11" i="1"/>
  <c r="L30"/>
  <c r="Y36" i="2"/>
  <c r="Z36" s="1"/>
  <c r="AA36" s="1"/>
  <c r="AB36" s="1"/>
  <c r="AC36" s="1"/>
  <c r="AD36" s="1"/>
  <c r="AE36" s="1"/>
  <c r="AF36" s="1"/>
  <c r="A731"/>
  <c r="A720"/>
  <c r="A721" s="1"/>
  <c r="A722" s="1"/>
  <c r="A723" s="1"/>
  <c r="A724" s="1"/>
  <c r="V56" i="10" l="1"/>
  <c r="V85"/>
  <c r="V86" s="1"/>
  <c r="W698"/>
  <c r="W694"/>
  <c r="W690"/>
  <c r="W686"/>
  <c r="U660" i="8"/>
  <c r="U656"/>
  <c r="U652"/>
  <c r="U648"/>
  <c r="U65" i="10"/>
  <c r="U68" s="1"/>
  <c r="U75" s="1"/>
  <c r="T179"/>
  <c r="T196" s="1"/>
  <c r="V58"/>
  <c r="V180"/>
  <c r="V197" s="1"/>
  <c r="V141"/>
  <c r="V153" s="1"/>
  <c r="V245"/>
  <c r="V217"/>
  <c r="U709"/>
  <c r="V706" s="1"/>
  <c r="V59"/>
  <c r="X11"/>
  <c r="W714"/>
  <c r="W181" s="1"/>
  <c r="W198" s="1"/>
  <c r="W41"/>
  <c r="W183" s="1"/>
  <c r="W200" s="1"/>
  <c r="V735"/>
  <c r="V720" s="1"/>
  <c r="V507"/>
  <c r="V511"/>
  <c r="V531"/>
  <c r="V535"/>
  <c r="V539"/>
  <c r="W810"/>
  <c r="W809"/>
  <c r="W808"/>
  <c r="W806"/>
  <c r="W805"/>
  <c r="W804"/>
  <c r="W803"/>
  <c r="W798"/>
  <c r="W430" s="1"/>
  <c r="W797"/>
  <c r="W429" s="1"/>
  <c r="W796"/>
  <c r="W428" s="1"/>
  <c r="W795"/>
  <c r="W427" s="1"/>
  <c r="W794"/>
  <c r="W426" s="1"/>
  <c r="W793"/>
  <c r="W425" s="1"/>
  <c r="W792"/>
  <c r="W424" s="1"/>
  <c r="W791"/>
  <c r="W423" s="1"/>
  <c r="W790"/>
  <c r="W422" s="1"/>
  <c r="W801"/>
  <c r="W766"/>
  <c r="W404" s="1"/>
  <c r="W765"/>
  <c r="W403" s="1"/>
  <c r="W764"/>
  <c r="W402" s="1"/>
  <c r="W763"/>
  <c r="W401" s="1"/>
  <c r="W762"/>
  <c r="W400" s="1"/>
  <c r="W761"/>
  <c r="W399" s="1"/>
  <c r="W760"/>
  <c r="W398" s="1"/>
  <c r="W759"/>
  <c r="W397" s="1"/>
  <c r="W789"/>
  <c r="W421" s="1"/>
  <c r="W778"/>
  <c r="W777"/>
  <c r="W776"/>
  <c r="W775"/>
  <c r="W774"/>
  <c r="W773"/>
  <c r="W772"/>
  <c r="W771"/>
  <c r="W769"/>
  <c r="W734"/>
  <c r="W733"/>
  <c r="W378" s="1"/>
  <c r="W732"/>
  <c r="W377" s="1"/>
  <c r="W731"/>
  <c r="W376" s="1"/>
  <c r="W730"/>
  <c r="W375" s="1"/>
  <c r="W729"/>
  <c r="W374" s="1"/>
  <c r="W728"/>
  <c r="W373" s="1"/>
  <c r="W758"/>
  <c r="W396" s="1"/>
  <c r="W757"/>
  <c r="W395" s="1"/>
  <c r="W746"/>
  <c r="W745"/>
  <c r="W744"/>
  <c r="W743"/>
  <c r="W742"/>
  <c r="W741"/>
  <c r="W740"/>
  <c r="W739"/>
  <c r="W737"/>
  <c r="W726"/>
  <c r="W371" s="1"/>
  <c r="W725"/>
  <c r="W659"/>
  <c r="W660" s="1"/>
  <c r="W653"/>
  <c r="W654" s="1"/>
  <c r="W727"/>
  <c r="W372" s="1"/>
  <c r="W708"/>
  <c r="W486"/>
  <c r="W485"/>
  <c r="W484"/>
  <c r="W483"/>
  <c r="W482"/>
  <c r="W481"/>
  <c r="W365"/>
  <c r="W499"/>
  <c r="W379"/>
  <c r="W352"/>
  <c r="W351"/>
  <c r="W350"/>
  <c r="W349"/>
  <c r="W348"/>
  <c r="W347"/>
  <c r="W30"/>
  <c r="W26"/>
  <c r="W25"/>
  <c r="W23"/>
  <c r="W19"/>
  <c r="W40"/>
  <c r="X2"/>
  <c r="V508"/>
  <c r="V512"/>
  <c r="V532"/>
  <c r="V536"/>
  <c r="V556"/>
  <c r="V560"/>
  <c r="V564"/>
  <c r="V559"/>
  <c r="V563"/>
  <c r="V27"/>
  <c r="V370"/>
  <c r="V767"/>
  <c r="V752" s="1"/>
  <c r="V66" s="1"/>
  <c r="V799"/>
  <c r="V784" s="1"/>
  <c r="V67" s="1"/>
  <c r="V506"/>
  <c r="V510"/>
  <c r="V530"/>
  <c r="V534"/>
  <c r="V538"/>
  <c r="V558"/>
  <c r="V562"/>
  <c r="V500"/>
  <c r="V366"/>
  <c r="V505"/>
  <c r="V509"/>
  <c r="V513"/>
  <c r="V533"/>
  <c r="V537"/>
  <c r="V557"/>
  <c r="V561"/>
  <c r="V565"/>
  <c r="V11" i="8"/>
  <c r="T668"/>
  <c r="T671" s="1"/>
  <c r="T691"/>
  <c r="T676" s="1"/>
  <c r="T60" s="1"/>
  <c r="T755"/>
  <c r="T740" s="1"/>
  <c r="T62" s="1"/>
  <c r="T723"/>
  <c r="T708" s="1"/>
  <c r="T61" s="1"/>
  <c r="S72"/>
  <c r="U766"/>
  <c r="U765"/>
  <c r="U764"/>
  <c r="U762"/>
  <c r="U761"/>
  <c r="U760"/>
  <c r="U759"/>
  <c r="U758"/>
  <c r="U754"/>
  <c r="U392" s="1"/>
  <c r="U753"/>
  <c r="U752"/>
  <c r="U390" s="1"/>
  <c r="U751"/>
  <c r="U389" s="1"/>
  <c r="U750"/>
  <c r="U388" s="1"/>
  <c r="U749"/>
  <c r="U387" s="1"/>
  <c r="U748"/>
  <c r="U747"/>
  <c r="U385" s="1"/>
  <c r="U746"/>
  <c r="U384" s="1"/>
  <c r="U745"/>
  <c r="U383" s="1"/>
  <c r="U734"/>
  <c r="U732"/>
  <c r="U730"/>
  <c r="U728"/>
  <c r="U722"/>
  <c r="U366" s="1"/>
  <c r="U721"/>
  <c r="U365" s="1"/>
  <c r="U720"/>
  <c r="U364" s="1"/>
  <c r="U719"/>
  <c r="U363" s="1"/>
  <c r="U718"/>
  <c r="U717"/>
  <c r="U361" s="1"/>
  <c r="U716"/>
  <c r="U360" s="1"/>
  <c r="U715"/>
  <c r="U359" s="1"/>
  <c r="U714"/>
  <c r="U358" s="1"/>
  <c r="U713"/>
  <c r="U357" s="1"/>
  <c r="U733"/>
  <c r="U731"/>
  <c r="U729"/>
  <c r="U727"/>
  <c r="U725"/>
  <c r="U690"/>
  <c r="U341" s="1"/>
  <c r="U689"/>
  <c r="U340" s="1"/>
  <c r="U688"/>
  <c r="U339" s="1"/>
  <c r="U687"/>
  <c r="U338" s="1"/>
  <c r="U686"/>
  <c r="U337" s="1"/>
  <c r="U685"/>
  <c r="U336" s="1"/>
  <c r="U684"/>
  <c r="U335" s="1"/>
  <c r="U683"/>
  <c r="U334" s="1"/>
  <c r="U682"/>
  <c r="U333" s="1"/>
  <c r="U681"/>
  <c r="U332" s="1"/>
  <c r="U702"/>
  <c r="U701"/>
  <c r="U700"/>
  <c r="U699"/>
  <c r="U698"/>
  <c r="U697"/>
  <c r="U696"/>
  <c r="U695"/>
  <c r="U693"/>
  <c r="U670"/>
  <c r="U54" s="1"/>
  <c r="U621"/>
  <c r="U622" s="1"/>
  <c r="U615"/>
  <c r="U616" s="1"/>
  <c r="U448"/>
  <c r="U447"/>
  <c r="U446"/>
  <c r="U445"/>
  <c r="U444"/>
  <c r="U443"/>
  <c r="U391"/>
  <c r="U461"/>
  <c r="U386"/>
  <c r="U362"/>
  <c r="U327"/>
  <c r="U314"/>
  <c r="U313"/>
  <c r="U312"/>
  <c r="U311"/>
  <c r="U310"/>
  <c r="U309"/>
  <c r="U30"/>
  <c r="U26"/>
  <c r="U25"/>
  <c r="U23"/>
  <c r="U19"/>
  <c r="U40"/>
  <c r="V2"/>
  <c r="T328"/>
  <c r="T469"/>
  <c r="T466"/>
  <c r="T470"/>
  <c r="T474"/>
  <c r="T494"/>
  <c r="T498"/>
  <c r="T518"/>
  <c r="T522"/>
  <c r="T526"/>
  <c r="T473"/>
  <c r="T493"/>
  <c r="T497"/>
  <c r="T501"/>
  <c r="T521"/>
  <c r="T525"/>
  <c r="T27"/>
  <c r="T467"/>
  <c r="T468"/>
  <c r="T472"/>
  <c r="T492"/>
  <c r="T496"/>
  <c r="T500"/>
  <c r="T520"/>
  <c r="T524"/>
  <c r="T462"/>
  <c r="T471"/>
  <c r="T475"/>
  <c r="T495"/>
  <c r="T499"/>
  <c r="T519"/>
  <c r="T523"/>
  <c r="T527"/>
  <c r="U715" i="7"/>
  <c r="U700" s="1"/>
  <c r="U70" s="1"/>
  <c r="W11"/>
  <c r="V600"/>
  <c r="V596"/>
  <c r="V597" s="1"/>
  <c r="V726"/>
  <c r="V725"/>
  <c r="V724"/>
  <c r="V722"/>
  <c r="V721"/>
  <c r="V720"/>
  <c r="V719"/>
  <c r="V718"/>
  <c r="V714"/>
  <c r="V713"/>
  <c r="V712"/>
  <c r="V318" s="1"/>
  <c r="V711"/>
  <c r="V317" s="1"/>
  <c r="V710"/>
  <c r="V709"/>
  <c r="V708"/>
  <c r="V314" s="1"/>
  <c r="V707"/>
  <c r="V313" s="1"/>
  <c r="V706"/>
  <c r="V705"/>
  <c r="V694"/>
  <c r="V693"/>
  <c r="V692"/>
  <c r="V691"/>
  <c r="V690"/>
  <c r="V689"/>
  <c r="V688"/>
  <c r="V687"/>
  <c r="V685"/>
  <c r="V682"/>
  <c r="V681"/>
  <c r="V293" s="1"/>
  <c r="V680"/>
  <c r="V292" s="1"/>
  <c r="V679"/>
  <c r="V291" s="1"/>
  <c r="V678"/>
  <c r="V290" s="1"/>
  <c r="V677"/>
  <c r="V289" s="1"/>
  <c r="V676"/>
  <c r="V288" s="1"/>
  <c r="V675"/>
  <c r="V287" s="1"/>
  <c r="V674"/>
  <c r="V286" s="1"/>
  <c r="V673"/>
  <c r="V285" s="1"/>
  <c r="V662"/>
  <c r="V661"/>
  <c r="V660"/>
  <c r="V659"/>
  <c r="V658"/>
  <c r="V657"/>
  <c r="V656"/>
  <c r="V655"/>
  <c r="V653"/>
  <c r="V650"/>
  <c r="V269" s="1"/>
  <c r="V649"/>
  <c r="V268" s="1"/>
  <c r="V648"/>
  <c r="V267" s="1"/>
  <c r="V647"/>
  <c r="V266" s="1"/>
  <c r="V646"/>
  <c r="V265" s="1"/>
  <c r="V645"/>
  <c r="V264" s="1"/>
  <c r="V644"/>
  <c r="V263" s="1"/>
  <c r="V643"/>
  <c r="V642"/>
  <c r="V261" s="1"/>
  <c r="V641"/>
  <c r="V549"/>
  <c r="V550" s="1"/>
  <c r="V543"/>
  <c r="V544" s="1"/>
  <c r="V630"/>
  <c r="V62" s="1"/>
  <c r="V389"/>
  <c r="V320"/>
  <c r="V316"/>
  <c r="V312"/>
  <c r="V294"/>
  <c r="V376"/>
  <c r="V375"/>
  <c r="V374"/>
  <c r="V373"/>
  <c r="V372"/>
  <c r="V371"/>
  <c r="V319"/>
  <c r="V315"/>
  <c r="V311"/>
  <c r="V262"/>
  <c r="V242"/>
  <c r="V241"/>
  <c r="V240"/>
  <c r="V239"/>
  <c r="V238"/>
  <c r="V237"/>
  <c r="V255"/>
  <c r="V30"/>
  <c r="V26"/>
  <c r="V25"/>
  <c r="V23"/>
  <c r="V19"/>
  <c r="V40"/>
  <c r="W2"/>
  <c r="U256"/>
  <c r="U394"/>
  <c r="U402"/>
  <c r="U396"/>
  <c r="U395"/>
  <c r="U399"/>
  <c r="U403"/>
  <c r="U423"/>
  <c r="U427"/>
  <c r="U447"/>
  <c r="U451"/>
  <c r="U455"/>
  <c r="U420"/>
  <c r="U424"/>
  <c r="U428"/>
  <c r="U448"/>
  <c r="U452"/>
  <c r="U390"/>
  <c r="T71"/>
  <c r="U27"/>
  <c r="U651"/>
  <c r="U636" s="1"/>
  <c r="U68" s="1"/>
  <c r="U683"/>
  <c r="U668" s="1"/>
  <c r="U69" s="1"/>
  <c r="U398"/>
  <c r="U400"/>
  <c r="U397"/>
  <c r="U401"/>
  <c r="U421"/>
  <c r="U425"/>
  <c r="U429"/>
  <c r="U449"/>
  <c r="U453"/>
  <c r="U422"/>
  <c r="U426"/>
  <c r="U446"/>
  <c r="U450"/>
  <c r="U454"/>
  <c r="L12" i="1"/>
  <c r="L31"/>
  <c r="AG36" i="2"/>
  <c r="A732"/>
  <c r="W56" i="10" l="1"/>
  <c r="W85"/>
  <c r="W86" s="1"/>
  <c r="X698"/>
  <c r="X694"/>
  <c r="X690"/>
  <c r="X686"/>
  <c r="V648" i="8"/>
  <c r="V660"/>
  <c r="V656"/>
  <c r="V652"/>
  <c r="V65" i="10"/>
  <c r="V68" s="1"/>
  <c r="V75" s="1"/>
  <c r="U179"/>
  <c r="U196" s="1"/>
  <c r="W58"/>
  <c r="W180"/>
  <c r="W197" s="1"/>
  <c r="W141"/>
  <c r="W153" s="1"/>
  <c r="W245"/>
  <c r="W217"/>
  <c r="V709"/>
  <c r="W706" s="1"/>
  <c r="W59"/>
  <c r="W799"/>
  <c r="W784" s="1"/>
  <c r="W67" s="1"/>
  <c r="Y11"/>
  <c r="X714"/>
  <c r="X181" s="1"/>
  <c r="X198" s="1"/>
  <c r="X41"/>
  <c r="X183" s="1"/>
  <c r="X200" s="1"/>
  <c r="V504"/>
  <c r="W366"/>
  <c r="W505"/>
  <c r="W509"/>
  <c r="W513"/>
  <c r="W533"/>
  <c r="W537"/>
  <c r="W557"/>
  <c r="W561"/>
  <c r="W565"/>
  <c r="W506"/>
  <c r="W510"/>
  <c r="W530"/>
  <c r="W534"/>
  <c r="W538"/>
  <c r="W558"/>
  <c r="W562"/>
  <c r="W500"/>
  <c r="W27"/>
  <c r="W735"/>
  <c r="W720" s="1"/>
  <c r="W767"/>
  <c r="W752" s="1"/>
  <c r="W66" s="1"/>
  <c r="X810"/>
  <c r="X809"/>
  <c r="X807"/>
  <c r="X806"/>
  <c r="X805"/>
  <c r="X804"/>
  <c r="X803"/>
  <c r="X801"/>
  <c r="X798"/>
  <c r="X797"/>
  <c r="X429" s="1"/>
  <c r="X796"/>
  <c r="X428" s="1"/>
  <c r="X795"/>
  <c r="X427" s="1"/>
  <c r="X794"/>
  <c r="X426" s="1"/>
  <c r="X793"/>
  <c r="X425" s="1"/>
  <c r="X792"/>
  <c r="X424" s="1"/>
  <c r="X791"/>
  <c r="X423" s="1"/>
  <c r="X790"/>
  <c r="X422" s="1"/>
  <c r="X789"/>
  <c r="X421" s="1"/>
  <c r="X778"/>
  <c r="X777"/>
  <c r="X776"/>
  <c r="X775"/>
  <c r="X774"/>
  <c r="X773"/>
  <c r="X772"/>
  <c r="X771"/>
  <c r="X769"/>
  <c r="X766"/>
  <c r="X404" s="1"/>
  <c r="X765"/>
  <c r="X403" s="1"/>
  <c r="X764"/>
  <c r="X402" s="1"/>
  <c r="X763"/>
  <c r="X401" s="1"/>
  <c r="X762"/>
  <c r="X400" s="1"/>
  <c r="X761"/>
  <c r="X399" s="1"/>
  <c r="X760"/>
  <c r="X398" s="1"/>
  <c r="X759"/>
  <c r="X397" s="1"/>
  <c r="X758"/>
  <c r="X396" s="1"/>
  <c r="X757"/>
  <c r="X746"/>
  <c r="X745"/>
  <c r="X744"/>
  <c r="X743"/>
  <c r="X742"/>
  <c r="X741"/>
  <c r="X740"/>
  <c r="X739"/>
  <c r="X737"/>
  <c r="X734"/>
  <c r="X379" s="1"/>
  <c r="X733"/>
  <c r="X378" s="1"/>
  <c r="X732"/>
  <c r="X377" s="1"/>
  <c r="X731"/>
  <c r="X376" s="1"/>
  <c r="X730"/>
  <c r="X375" s="1"/>
  <c r="X729"/>
  <c r="X374" s="1"/>
  <c r="X728"/>
  <c r="X373" s="1"/>
  <c r="X727"/>
  <c r="X372" s="1"/>
  <c r="X726"/>
  <c r="X371" s="1"/>
  <c r="X708"/>
  <c r="X725"/>
  <c r="X659"/>
  <c r="X660" s="1"/>
  <c r="X653"/>
  <c r="X654" s="1"/>
  <c r="X499"/>
  <c r="X430"/>
  <c r="X352"/>
  <c r="X351"/>
  <c r="X350"/>
  <c r="X349"/>
  <c r="X348"/>
  <c r="X347"/>
  <c r="X486"/>
  <c r="X485"/>
  <c r="X484"/>
  <c r="X483"/>
  <c r="X482"/>
  <c r="X481"/>
  <c r="X365"/>
  <c r="X40"/>
  <c r="X30"/>
  <c r="X26"/>
  <c r="X25"/>
  <c r="X23"/>
  <c r="X19"/>
  <c r="Y2"/>
  <c r="W507"/>
  <c r="W511"/>
  <c r="W531"/>
  <c r="W535"/>
  <c r="W539"/>
  <c r="W559"/>
  <c r="W563"/>
  <c r="W508"/>
  <c r="W512"/>
  <c r="W532"/>
  <c r="W536"/>
  <c r="W556"/>
  <c r="W560"/>
  <c r="W564"/>
  <c r="W370"/>
  <c r="V631" i="7"/>
  <c r="W628" s="1"/>
  <c r="W11" i="8"/>
  <c r="U668"/>
  <c r="U671" s="1"/>
  <c r="T63"/>
  <c r="V651" i="7"/>
  <c r="V636" s="1"/>
  <c r="V68" s="1"/>
  <c r="V715"/>
  <c r="V700" s="1"/>
  <c r="V70" s="1"/>
  <c r="U27" i="8"/>
  <c r="U691"/>
  <c r="U676" s="1"/>
  <c r="U60" s="1"/>
  <c r="U723"/>
  <c r="U708" s="1"/>
  <c r="U61" s="1"/>
  <c r="T72"/>
  <c r="U466"/>
  <c r="U467"/>
  <c r="U471"/>
  <c r="U475"/>
  <c r="U495"/>
  <c r="U499"/>
  <c r="U519"/>
  <c r="U523"/>
  <c r="U527"/>
  <c r="U470"/>
  <c r="U474"/>
  <c r="U494"/>
  <c r="U498"/>
  <c r="U518"/>
  <c r="U522"/>
  <c r="U526"/>
  <c r="V260" i="7"/>
  <c r="V394" s="1"/>
  <c r="U755" i="8"/>
  <c r="U740" s="1"/>
  <c r="U62" s="1"/>
  <c r="V766"/>
  <c r="V765"/>
  <c r="V764"/>
  <c r="V762"/>
  <c r="V761"/>
  <c r="V760"/>
  <c r="V759"/>
  <c r="V758"/>
  <c r="V754"/>
  <c r="V753"/>
  <c r="V391" s="1"/>
  <c r="V752"/>
  <c r="V390" s="1"/>
  <c r="V751"/>
  <c r="V389" s="1"/>
  <c r="V750"/>
  <c r="V388" s="1"/>
  <c r="V749"/>
  <c r="V387" s="1"/>
  <c r="V748"/>
  <c r="V386" s="1"/>
  <c r="V747"/>
  <c r="V385" s="1"/>
  <c r="V746"/>
  <c r="V745"/>
  <c r="V383" s="1"/>
  <c r="V734"/>
  <c r="V733"/>
  <c r="V732"/>
  <c r="V731"/>
  <c r="V730"/>
  <c r="V729"/>
  <c r="V728"/>
  <c r="V727"/>
  <c r="V725"/>
  <c r="V722"/>
  <c r="V366" s="1"/>
  <c r="V721"/>
  <c r="V720"/>
  <c r="V364" s="1"/>
  <c r="V719"/>
  <c r="V363" s="1"/>
  <c r="V718"/>
  <c r="V362" s="1"/>
  <c r="V717"/>
  <c r="V361" s="1"/>
  <c r="V716"/>
  <c r="V360" s="1"/>
  <c r="V715"/>
  <c r="V359" s="1"/>
  <c r="V714"/>
  <c r="V358" s="1"/>
  <c r="V713"/>
  <c r="V702"/>
  <c r="V701"/>
  <c r="V700"/>
  <c r="V699"/>
  <c r="V698"/>
  <c r="V697"/>
  <c r="V696"/>
  <c r="V695"/>
  <c r="V693"/>
  <c r="V690"/>
  <c r="V341" s="1"/>
  <c r="V689"/>
  <c r="V340" s="1"/>
  <c r="V688"/>
  <c r="V687"/>
  <c r="V338" s="1"/>
  <c r="V686"/>
  <c r="V337" s="1"/>
  <c r="V685"/>
  <c r="V336" s="1"/>
  <c r="V684"/>
  <c r="V683"/>
  <c r="V334" s="1"/>
  <c r="V682"/>
  <c r="V333" s="1"/>
  <c r="V681"/>
  <c r="V332" s="1"/>
  <c r="V621"/>
  <c r="V622" s="1"/>
  <c r="V615"/>
  <c r="V616" s="1"/>
  <c r="V670"/>
  <c r="V54" s="1"/>
  <c r="V461"/>
  <c r="V392"/>
  <c r="V384"/>
  <c r="V339"/>
  <c r="V448"/>
  <c r="V447"/>
  <c r="V446"/>
  <c r="V445"/>
  <c r="V444"/>
  <c r="V443"/>
  <c r="V365"/>
  <c r="V357"/>
  <c r="V327"/>
  <c r="V314"/>
  <c r="V313"/>
  <c r="V312"/>
  <c r="V311"/>
  <c r="V310"/>
  <c r="V309"/>
  <c r="V335"/>
  <c r="V40"/>
  <c r="W2"/>
  <c r="V30"/>
  <c r="V26"/>
  <c r="V25"/>
  <c r="V23"/>
  <c r="V19"/>
  <c r="U328"/>
  <c r="U468"/>
  <c r="U469"/>
  <c r="U473"/>
  <c r="U493"/>
  <c r="U497"/>
  <c r="U501"/>
  <c r="U521"/>
  <c r="U525"/>
  <c r="U472"/>
  <c r="U492"/>
  <c r="U496"/>
  <c r="U500"/>
  <c r="U520"/>
  <c r="U524"/>
  <c r="U462"/>
  <c r="V27" i="7"/>
  <c r="V683"/>
  <c r="V668" s="1"/>
  <c r="V69" s="1"/>
  <c r="W616"/>
  <c r="W614"/>
  <c r="W610"/>
  <c r="W601"/>
  <c r="W600"/>
  <c r="W611" s="1"/>
  <c r="V625" s="1"/>
  <c r="W622" s="1"/>
  <c r="W597"/>
  <c r="W596"/>
  <c r="X11"/>
  <c r="W726"/>
  <c r="W725"/>
  <c r="W724"/>
  <c r="W722"/>
  <c r="W721"/>
  <c r="W720"/>
  <c r="W719"/>
  <c r="W714"/>
  <c r="W320" s="1"/>
  <c r="W713"/>
  <c r="W712"/>
  <c r="W318" s="1"/>
  <c r="W711"/>
  <c r="W317" s="1"/>
  <c r="W710"/>
  <c r="W316" s="1"/>
  <c r="W709"/>
  <c r="W708"/>
  <c r="W314" s="1"/>
  <c r="W707"/>
  <c r="W313" s="1"/>
  <c r="W717"/>
  <c r="W705"/>
  <c r="W682"/>
  <c r="W294" s="1"/>
  <c r="W681"/>
  <c r="W293" s="1"/>
  <c r="W680"/>
  <c r="W292" s="1"/>
  <c r="W679"/>
  <c r="W678"/>
  <c r="W677"/>
  <c r="W289" s="1"/>
  <c r="W676"/>
  <c r="W288" s="1"/>
  <c r="W706"/>
  <c r="W312" s="1"/>
  <c r="W694"/>
  <c r="W693"/>
  <c r="W692"/>
  <c r="W691"/>
  <c r="W690"/>
  <c r="W689"/>
  <c r="W688"/>
  <c r="W687"/>
  <c r="W685"/>
  <c r="W650"/>
  <c r="W649"/>
  <c r="W268" s="1"/>
  <c r="W648"/>
  <c r="W267" s="1"/>
  <c r="W647"/>
  <c r="W266" s="1"/>
  <c r="W646"/>
  <c r="W645"/>
  <c r="W264" s="1"/>
  <c r="W675"/>
  <c r="W674"/>
  <c r="W286" s="1"/>
  <c r="W673"/>
  <c r="W285" s="1"/>
  <c r="W662"/>
  <c r="W661"/>
  <c r="W660"/>
  <c r="W659"/>
  <c r="W658"/>
  <c r="W657"/>
  <c r="W656"/>
  <c r="W655"/>
  <c r="W653"/>
  <c r="W643"/>
  <c r="W630"/>
  <c r="W62" s="1"/>
  <c r="W644"/>
  <c r="W263" s="1"/>
  <c r="W642"/>
  <c r="W261" s="1"/>
  <c r="W641"/>
  <c r="W61"/>
  <c r="W549"/>
  <c r="W550" s="1"/>
  <c r="W543"/>
  <c r="W544" s="1"/>
  <c r="W376"/>
  <c r="W375"/>
  <c r="W374"/>
  <c r="W373"/>
  <c r="W372"/>
  <c r="W371"/>
  <c r="W319"/>
  <c r="W315"/>
  <c r="W311"/>
  <c r="W291"/>
  <c r="W287"/>
  <c r="W389"/>
  <c r="W290"/>
  <c r="W269"/>
  <c r="W265"/>
  <c r="W255"/>
  <c r="W262"/>
  <c r="W242"/>
  <c r="W241"/>
  <c r="W240"/>
  <c r="W239"/>
  <c r="W238"/>
  <c r="W237"/>
  <c r="W40"/>
  <c r="W30"/>
  <c r="W26"/>
  <c r="W25"/>
  <c r="W23"/>
  <c r="W19"/>
  <c r="X2"/>
  <c r="V397"/>
  <c r="V256"/>
  <c r="V395"/>
  <c r="V403"/>
  <c r="V396"/>
  <c r="V400"/>
  <c r="V420"/>
  <c r="V424"/>
  <c r="V428"/>
  <c r="V448"/>
  <c r="V452"/>
  <c r="V390"/>
  <c r="V421"/>
  <c r="V425"/>
  <c r="V429"/>
  <c r="V449"/>
  <c r="V453"/>
  <c r="V401"/>
  <c r="V399"/>
  <c r="V398"/>
  <c r="V402"/>
  <c r="V422"/>
  <c r="V426"/>
  <c r="V446"/>
  <c r="V450"/>
  <c r="V454"/>
  <c r="V423"/>
  <c r="V427"/>
  <c r="V447"/>
  <c r="V451"/>
  <c r="V455"/>
  <c r="U71"/>
  <c r="L13" i="1"/>
  <c r="L32"/>
  <c r="AH36" i="2"/>
  <c r="A733"/>
  <c r="X56" i="10" l="1"/>
  <c r="X85"/>
  <c r="X86" s="1"/>
  <c r="Y698"/>
  <c r="Y694"/>
  <c r="Y690"/>
  <c r="Y686"/>
  <c r="V71" i="7"/>
  <c r="W660" i="8"/>
  <c r="W656"/>
  <c r="W652"/>
  <c r="W648"/>
  <c r="U63"/>
  <c r="W260" i="7"/>
  <c r="V179" i="10"/>
  <c r="V196" s="1"/>
  <c r="W65"/>
  <c r="X58"/>
  <c r="X180"/>
  <c r="X197" s="1"/>
  <c r="X141"/>
  <c r="X153" s="1"/>
  <c r="X245"/>
  <c r="X217"/>
  <c r="X767"/>
  <c r="X752" s="1"/>
  <c r="X66" s="1"/>
  <c r="X370"/>
  <c r="X504" s="1"/>
  <c r="W709"/>
  <c r="X706" s="1"/>
  <c r="X59"/>
  <c r="Z11"/>
  <c r="Y714"/>
  <c r="Y181" s="1"/>
  <c r="Y198" s="1"/>
  <c r="Y41"/>
  <c r="Y183" s="1"/>
  <c r="Y200" s="1"/>
  <c r="X799"/>
  <c r="X784" s="1"/>
  <c r="X67" s="1"/>
  <c r="X506"/>
  <c r="X510"/>
  <c r="X534"/>
  <c r="X538"/>
  <c r="W504"/>
  <c r="Y810"/>
  <c r="Y809"/>
  <c r="Y807"/>
  <c r="Y806"/>
  <c r="Y805"/>
  <c r="Y804"/>
  <c r="Y803"/>
  <c r="Y798"/>
  <c r="Y430" s="1"/>
  <c r="Y797"/>
  <c r="Y429" s="1"/>
  <c r="Y796"/>
  <c r="Y428" s="1"/>
  <c r="Y795"/>
  <c r="Y427" s="1"/>
  <c r="Y794"/>
  <c r="Y426" s="1"/>
  <c r="Y793"/>
  <c r="Y425" s="1"/>
  <c r="Y792"/>
  <c r="Y424" s="1"/>
  <c r="Y791"/>
  <c r="Y423" s="1"/>
  <c r="Y790"/>
  <c r="Y422" s="1"/>
  <c r="Y801"/>
  <c r="Y789"/>
  <c r="Y766"/>
  <c r="Y404" s="1"/>
  <c r="Y765"/>
  <c r="Y403" s="1"/>
  <c r="Y764"/>
  <c r="Y402" s="1"/>
  <c r="Y763"/>
  <c r="Y401" s="1"/>
  <c r="Y762"/>
  <c r="Y400" s="1"/>
  <c r="Y761"/>
  <c r="Y399" s="1"/>
  <c r="Y760"/>
  <c r="Y398" s="1"/>
  <c r="Y759"/>
  <c r="Y397" s="1"/>
  <c r="Y778"/>
  <c r="Y777"/>
  <c r="Y776"/>
  <c r="Y775"/>
  <c r="Y774"/>
  <c r="Y773"/>
  <c r="Y772"/>
  <c r="Y771"/>
  <c r="Y769"/>
  <c r="Y734"/>
  <c r="Y379" s="1"/>
  <c r="Y733"/>
  <c r="Y378" s="1"/>
  <c r="Y732"/>
  <c r="Y377" s="1"/>
  <c r="Y731"/>
  <c r="Y376" s="1"/>
  <c r="Y730"/>
  <c r="Y375" s="1"/>
  <c r="Y729"/>
  <c r="Y374" s="1"/>
  <c r="Y728"/>
  <c r="Y373" s="1"/>
  <c r="Y758"/>
  <c r="Y396" s="1"/>
  <c r="Y757"/>
  <c r="Y746"/>
  <c r="Y745"/>
  <c r="Y744"/>
  <c r="Y743"/>
  <c r="Y742"/>
  <c r="Y741"/>
  <c r="Y740"/>
  <c r="Y739"/>
  <c r="Y737"/>
  <c r="Y727"/>
  <c r="Y372" s="1"/>
  <c r="Y725"/>
  <c r="Y659"/>
  <c r="Y660" s="1"/>
  <c r="Y653"/>
  <c r="Y654" s="1"/>
  <c r="Y726"/>
  <c r="Y371" s="1"/>
  <c r="Y708"/>
  <c r="Y486"/>
  <c r="Y485"/>
  <c r="Y484"/>
  <c r="Y483"/>
  <c r="Y482"/>
  <c r="Y481"/>
  <c r="Y421"/>
  <c r="Y365"/>
  <c r="Y499"/>
  <c r="Y352"/>
  <c r="Y351"/>
  <c r="Y350"/>
  <c r="Y349"/>
  <c r="Y348"/>
  <c r="Y347"/>
  <c r="Y30"/>
  <c r="Y26"/>
  <c r="Y25"/>
  <c r="Y23"/>
  <c r="Y19"/>
  <c r="Y40"/>
  <c r="Z2"/>
  <c r="X558"/>
  <c r="X562"/>
  <c r="X500"/>
  <c r="X366"/>
  <c r="X505"/>
  <c r="X509"/>
  <c r="X513"/>
  <c r="X533"/>
  <c r="X537"/>
  <c r="X557"/>
  <c r="X561"/>
  <c r="X565"/>
  <c r="X27"/>
  <c r="X395"/>
  <c r="X735"/>
  <c r="X720" s="1"/>
  <c r="X508"/>
  <c r="X512"/>
  <c r="X532"/>
  <c r="X536"/>
  <c r="X556"/>
  <c r="X560"/>
  <c r="X564"/>
  <c r="X507"/>
  <c r="X511"/>
  <c r="X531"/>
  <c r="X535"/>
  <c r="X539"/>
  <c r="X559"/>
  <c r="X563"/>
  <c r="W68"/>
  <c r="W75" s="1"/>
  <c r="X11" i="8"/>
  <c r="V668"/>
  <c r="V671" s="1"/>
  <c r="V691"/>
  <c r="V676" s="1"/>
  <c r="V60" s="1"/>
  <c r="V469"/>
  <c r="V468"/>
  <c r="V472"/>
  <c r="V492"/>
  <c r="V496"/>
  <c r="V500"/>
  <c r="V520"/>
  <c r="V524"/>
  <c r="V462"/>
  <c r="V471"/>
  <c r="V475"/>
  <c r="V495"/>
  <c r="V499"/>
  <c r="V519"/>
  <c r="V523"/>
  <c r="V527"/>
  <c r="V723"/>
  <c r="V708" s="1"/>
  <c r="V61" s="1"/>
  <c r="V755"/>
  <c r="V740" s="1"/>
  <c r="V62" s="1"/>
  <c r="U72"/>
  <c r="W766"/>
  <c r="W765"/>
  <c r="W764"/>
  <c r="W762"/>
  <c r="W761"/>
  <c r="W760"/>
  <c r="W759"/>
  <c r="W754"/>
  <c r="W392" s="1"/>
  <c r="W753"/>
  <c r="W391" s="1"/>
  <c r="W752"/>
  <c r="W390" s="1"/>
  <c r="W751"/>
  <c r="W389" s="1"/>
  <c r="W750"/>
  <c r="W749"/>
  <c r="W387" s="1"/>
  <c r="W748"/>
  <c r="W386" s="1"/>
  <c r="W747"/>
  <c r="W385" s="1"/>
  <c r="W746"/>
  <c r="W384" s="1"/>
  <c r="W745"/>
  <c r="W383" s="1"/>
  <c r="W757"/>
  <c r="W733"/>
  <c r="W731"/>
  <c r="W729"/>
  <c r="W722"/>
  <c r="W366" s="1"/>
  <c r="W721"/>
  <c r="W365" s="1"/>
  <c r="W720"/>
  <c r="W364" s="1"/>
  <c r="W719"/>
  <c r="W363" s="1"/>
  <c r="W718"/>
  <c r="W362" s="1"/>
  <c r="W717"/>
  <c r="W716"/>
  <c r="W360" s="1"/>
  <c r="W715"/>
  <c r="W359" s="1"/>
  <c r="W714"/>
  <c r="W358" s="1"/>
  <c r="W713"/>
  <c r="W357" s="1"/>
  <c r="W734"/>
  <c r="W732"/>
  <c r="W730"/>
  <c r="W728"/>
  <c r="W727"/>
  <c r="W725"/>
  <c r="W690"/>
  <c r="W341" s="1"/>
  <c r="W689"/>
  <c r="W340" s="1"/>
  <c r="W688"/>
  <c r="W339" s="1"/>
  <c r="W687"/>
  <c r="W338" s="1"/>
  <c r="W686"/>
  <c r="W337" s="1"/>
  <c r="W685"/>
  <c r="W336" s="1"/>
  <c r="W684"/>
  <c r="W335" s="1"/>
  <c r="W683"/>
  <c r="W682"/>
  <c r="W333" s="1"/>
  <c r="W681"/>
  <c r="W702"/>
  <c r="W701"/>
  <c r="W700"/>
  <c r="W699"/>
  <c r="W698"/>
  <c r="W697"/>
  <c r="W696"/>
  <c r="W695"/>
  <c r="W693"/>
  <c r="W670"/>
  <c r="W54" s="1"/>
  <c r="W621"/>
  <c r="W622" s="1"/>
  <c r="W615"/>
  <c r="W616" s="1"/>
  <c r="W448"/>
  <c r="W447"/>
  <c r="W446"/>
  <c r="W445"/>
  <c r="W444"/>
  <c r="W443"/>
  <c r="W361"/>
  <c r="W461"/>
  <c r="W388"/>
  <c r="W332"/>
  <c r="W327"/>
  <c r="W334"/>
  <c r="W314"/>
  <c r="W313"/>
  <c r="W312"/>
  <c r="W311"/>
  <c r="W310"/>
  <c r="W309"/>
  <c r="W30"/>
  <c r="W26"/>
  <c r="W25"/>
  <c r="W23"/>
  <c r="W19"/>
  <c r="W40"/>
  <c r="X2"/>
  <c r="V328"/>
  <c r="V467"/>
  <c r="V466"/>
  <c r="V470"/>
  <c r="V474"/>
  <c r="V494"/>
  <c r="V498"/>
  <c r="V518"/>
  <c r="V522"/>
  <c r="V526"/>
  <c r="V473"/>
  <c r="V493"/>
  <c r="V497"/>
  <c r="V501"/>
  <c r="V521"/>
  <c r="V525"/>
  <c r="W631" i="7"/>
  <c r="X628" s="1"/>
  <c r="W27"/>
  <c r="W683"/>
  <c r="W668" s="1"/>
  <c r="W69" s="1"/>
  <c r="V27" i="8"/>
  <c r="W651" i="7"/>
  <c r="W636" s="1"/>
  <c r="W68" s="1"/>
  <c r="Y11"/>
  <c r="X616"/>
  <c r="X614"/>
  <c r="X610"/>
  <c r="X601"/>
  <c r="X600"/>
  <c r="X611" s="1"/>
  <c r="X597"/>
  <c r="X596"/>
  <c r="W400"/>
  <c r="W394"/>
  <c r="W402"/>
  <c r="W397"/>
  <c r="W401"/>
  <c r="W421"/>
  <c r="W425"/>
  <c r="W429"/>
  <c r="W449"/>
  <c r="W453"/>
  <c r="W422"/>
  <c r="W426"/>
  <c r="W446"/>
  <c r="W450"/>
  <c r="W454"/>
  <c r="W615"/>
  <c r="W609"/>
  <c r="X622"/>
  <c r="W715"/>
  <c r="W700" s="1"/>
  <c r="W70" s="1"/>
  <c r="X726"/>
  <c r="X725"/>
  <c r="X723"/>
  <c r="X722"/>
  <c r="X721"/>
  <c r="X720"/>
  <c r="X719"/>
  <c r="X717"/>
  <c r="X714"/>
  <c r="X320" s="1"/>
  <c r="X713"/>
  <c r="X712"/>
  <c r="X711"/>
  <c r="X317" s="1"/>
  <c r="X710"/>
  <c r="X316" s="1"/>
  <c r="X709"/>
  <c r="X708"/>
  <c r="X314" s="1"/>
  <c r="X707"/>
  <c r="X313" s="1"/>
  <c r="X706"/>
  <c r="X312" s="1"/>
  <c r="X705"/>
  <c r="X694"/>
  <c r="X693"/>
  <c r="X692"/>
  <c r="X691"/>
  <c r="X690"/>
  <c r="X689"/>
  <c r="X688"/>
  <c r="X687"/>
  <c r="X685"/>
  <c r="X682"/>
  <c r="X294" s="1"/>
  <c r="X681"/>
  <c r="X293" s="1"/>
  <c r="X680"/>
  <c r="X679"/>
  <c r="X291" s="1"/>
  <c r="X678"/>
  <c r="X290" s="1"/>
  <c r="X677"/>
  <c r="X289" s="1"/>
  <c r="X676"/>
  <c r="X675"/>
  <c r="X674"/>
  <c r="X286" s="1"/>
  <c r="X673"/>
  <c r="X285" s="1"/>
  <c r="X662"/>
  <c r="X661"/>
  <c r="X660"/>
  <c r="X659"/>
  <c r="X658"/>
  <c r="X657"/>
  <c r="X656"/>
  <c r="X655"/>
  <c r="X653"/>
  <c r="X650"/>
  <c r="X269" s="1"/>
  <c r="X649"/>
  <c r="X648"/>
  <c r="X267" s="1"/>
  <c r="X647"/>
  <c r="X266" s="1"/>
  <c r="X646"/>
  <c r="X265" s="1"/>
  <c r="X645"/>
  <c r="X264" s="1"/>
  <c r="X644"/>
  <c r="X263" s="1"/>
  <c r="X643"/>
  <c r="X262" s="1"/>
  <c r="X642"/>
  <c r="X261" s="1"/>
  <c r="X641"/>
  <c r="X549"/>
  <c r="X550" s="1"/>
  <c r="X543"/>
  <c r="X544" s="1"/>
  <c r="X630"/>
  <c r="X62" s="1"/>
  <c r="X389"/>
  <c r="X318"/>
  <c r="X292"/>
  <c r="X288"/>
  <c r="X376"/>
  <c r="X375"/>
  <c r="X374"/>
  <c r="X373"/>
  <c r="X372"/>
  <c r="X371"/>
  <c r="X319"/>
  <c r="X315"/>
  <c r="X311"/>
  <c r="X287"/>
  <c r="X268"/>
  <c r="X260"/>
  <c r="X242"/>
  <c r="X241"/>
  <c r="X240"/>
  <c r="X239"/>
  <c r="X238"/>
  <c r="X237"/>
  <c r="X255"/>
  <c r="X30"/>
  <c r="X26"/>
  <c r="X25"/>
  <c r="X23"/>
  <c r="X19"/>
  <c r="X40"/>
  <c r="Y2"/>
  <c r="W256"/>
  <c r="W396"/>
  <c r="W398"/>
  <c r="W395"/>
  <c r="W399"/>
  <c r="W403"/>
  <c r="W423"/>
  <c r="W427"/>
  <c r="W447"/>
  <c r="W451"/>
  <c r="W455"/>
  <c r="W420"/>
  <c r="W424"/>
  <c r="W428"/>
  <c r="W448"/>
  <c r="W452"/>
  <c r="W390"/>
  <c r="W166"/>
  <c r="W130"/>
  <c r="W55"/>
  <c r="W599"/>
  <c r="L14" i="1"/>
  <c r="L33"/>
  <c r="AI36" i="2"/>
  <c r="A734"/>
  <c r="Y56" i="10" l="1"/>
  <c r="Y85"/>
  <c r="Y86" s="1"/>
  <c r="Z698"/>
  <c r="Z694"/>
  <c r="Z690"/>
  <c r="Z686"/>
  <c r="Y395"/>
  <c r="Y530" s="1"/>
  <c r="X631" i="7"/>
  <c r="Y628" s="1"/>
  <c r="X648" i="8"/>
  <c r="X660"/>
  <c r="X656"/>
  <c r="X652"/>
  <c r="W71" i="7"/>
  <c r="X65" i="10"/>
  <c r="X68" s="1"/>
  <c r="X75" s="1"/>
  <c r="W179"/>
  <c r="W196" s="1"/>
  <c r="Y58"/>
  <c r="Y180"/>
  <c r="Y197" s="1"/>
  <c r="Y141"/>
  <c r="Y153" s="1"/>
  <c r="Y245"/>
  <c r="Y217"/>
  <c r="Y370"/>
  <c r="Y504" s="1"/>
  <c r="X709"/>
  <c r="Y706" s="1"/>
  <c r="Y59"/>
  <c r="Y27"/>
  <c r="Y767"/>
  <c r="Y752" s="1"/>
  <c r="Y66" s="1"/>
  <c r="AA11"/>
  <c r="Z714"/>
  <c r="Z181" s="1"/>
  <c r="Z198" s="1"/>
  <c r="Z41"/>
  <c r="Z183" s="1"/>
  <c r="Z200" s="1"/>
  <c r="Y735"/>
  <c r="Y720" s="1"/>
  <c r="Y507"/>
  <c r="Y511"/>
  <c r="Y531"/>
  <c r="Y535"/>
  <c r="Y539"/>
  <c r="Y559"/>
  <c r="Y563"/>
  <c r="Y508"/>
  <c r="Y512"/>
  <c r="Y532"/>
  <c r="Y536"/>
  <c r="Y556"/>
  <c r="Y560"/>
  <c r="Y564"/>
  <c r="Y799"/>
  <c r="Y784" s="1"/>
  <c r="Y67" s="1"/>
  <c r="X530"/>
  <c r="Z810"/>
  <c r="Z809"/>
  <c r="Z807"/>
  <c r="Z806"/>
  <c r="Z805"/>
  <c r="Z804"/>
  <c r="Z803"/>
  <c r="Z801"/>
  <c r="Z798"/>
  <c r="Z797"/>
  <c r="Z429" s="1"/>
  <c r="Z796"/>
  <c r="Z428" s="1"/>
  <c r="Z795"/>
  <c r="Z427" s="1"/>
  <c r="Z794"/>
  <c r="Z426" s="1"/>
  <c r="Z793"/>
  <c r="Z425" s="1"/>
  <c r="Z792"/>
  <c r="Z424" s="1"/>
  <c r="Z791"/>
  <c r="Z423" s="1"/>
  <c r="Z790"/>
  <c r="Z422" s="1"/>
  <c r="Z789"/>
  <c r="Z421" s="1"/>
  <c r="Z778"/>
  <c r="Z777"/>
  <c r="Z776"/>
  <c r="Z775"/>
  <c r="Z774"/>
  <c r="Z773"/>
  <c r="Z772"/>
  <c r="Z771"/>
  <c r="Z769"/>
  <c r="Z766"/>
  <c r="Z404" s="1"/>
  <c r="Z765"/>
  <c r="Z403" s="1"/>
  <c r="Z764"/>
  <c r="Z402" s="1"/>
  <c r="Z763"/>
  <c r="Z401" s="1"/>
  <c r="Z762"/>
  <c r="Z761"/>
  <c r="Z399" s="1"/>
  <c r="Z760"/>
  <c r="Z398" s="1"/>
  <c r="Z759"/>
  <c r="Z397" s="1"/>
  <c r="Z758"/>
  <c r="Z396" s="1"/>
  <c r="Z757"/>
  <c r="Z746"/>
  <c r="Z745"/>
  <c r="Z744"/>
  <c r="Z743"/>
  <c r="Z742"/>
  <c r="Z741"/>
  <c r="Z740"/>
  <c r="Z739"/>
  <c r="Z737"/>
  <c r="Z734"/>
  <c r="Z379" s="1"/>
  <c r="Z733"/>
  <c r="Z378" s="1"/>
  <c r="Z732"/>
  <c r="Z377" s="1"/>
  <c r="Z731"/>
  <c r="Z376" s="1"/>
  <c r="Z730"/>
  <c r="Z375" s="1"/>
  <c r="Z729"/>
  <c r="Z374" s="1"/>
  <c r="Z728"/>
  <c r="Z373" s="1"/>
  <c r="Z727"/>
  <c r="Z726"/>
  <c r="Z371" s="1"/>
  <c r="Z725"/>
  <c r="Z708"/>
  <c r="Z659"/>
  <c r="Z660" s="1"/>
  <c r="Z653"/>
  <c r="Z654" s="1"/>
  <c r="Z499"/>
  <c r="Z430"/>
  <c r="Z400"/>
  <c r="Z352"/>
  <c r="Z351"/>
  <c r="Z350"/>
  <c r="Z349"/>
  <c r="Z348"/>
  <c r="Z347"/>
  <c r="Z486"/>
  <c r="Z485"/>
  <c r="Z484"/>
  <c r="Z483"/>
  <c r="Z482"/>
  <c r="Z481"/>
  <c r="Z372"/>
  <c r="Z365"/>
  <c r="Z40"/>
  <c r="AA2"/>
  <c r="Z30"/>
  <c r="Z26"/>
  <c r="Z25"/>
  <c r="Z23"/>
  <c r="Z19"/>
  <c r="Y366"/>
  <c r="Y505"/>
  <c r="Y509"/>
  <c r="Y513"/>
  <c r="Y533"/>
  <c r="Y537"/>
  <c r="Y557"/>
  <c r="Y561"/>
  <c r="Y565"/>
  <c r="Y506"/>
  <c r="Y510"/>
  <c r="Y534"/>
  <c r="Y538"/>
  <c r="Y558"/>
  <c r="Y562"/>
  <c r="Y500"/>
  <c r="Y11" i="8"/>
  <c r="W668"/>
  <c r="W671" s="1"/>
  <c r="V63"/>
  <c r="W27"/>
  <c r="W691"/>
  <c r="W676" s="1"/>
  <c r="W60" s="1"/>
  <c r="W467"/>
  <c r="W471"/>
  <c r="W475"/>
  <c r="W495"/>
  <c r="W499"/>
  <c r="W519"/>
  <c r="W523"/>
  <c r="W527"/>
  <c r="W470"/>
  <c r="W474"/>
  <c r="W494"/>
  <c r="W498"/>
  <c r="W518"/>
  <c r="W522"/>
  <c r="W526"/>
  <c r="W723"/>
  <c r="W708" s="1"/>
  <c r="W61" s="1"/>
  <c r="W755"/>
  <c r="W740" s="1"/>
  <c r="W62" s="1"/>
  <c r="X766"/>
  <c r="X765"/>
  <c r="X763"/>
  <c r="X762"/>
  <c r="X761"/>
  <c r="X760"/>
  <c r="X759"/>
  <c r="X757"/>
  <c r="X754"/>
  <c r="X753"/>
  <c r="X391" s="1"/>
  <c r="X752"/>
  <c r="X390" s="1"/>
  <c r="X751"/>
  <c r="X389" s="1"/>
  <c r="X750"/>
  <c r="X388" s="1"/>
  <c r="X749"/>
  <c r="X387" s="1"/>
  <c r="X748"/>
  <c r="X386" s="1"/>
  <c r="X747"/>
  <c r="X385" s="1"/>
  <c r="X746"/>
  <c r="X384" s="1"/>
  <c r="X745"/>
  <c r="X383" s="1"/>
  <c r="X734"/>
  <c r="X733"/>
  <c r="X732"/>
  <c r="X731"/>
  <c r="X730"/>
  <c r="X729"/>
  <c r="X728"/>
  <c r="X727"/>
  <c r="X725"/>
  <c r="X722"/>
  <c r="X366" s="1"/>
  <c r="X721"/>
  <c r="X720"/>
  <c r="X364" s="1"/>
  <c r="X719"/>
  <c r="X363" s="1"/>
  <c r="X718"/>
  <c r="X362" s="1"/>
  <c r="X717"/>
  <c r="X361" s="1"/>
  <c r="X716"/>
  <c r="X360" s="1"/>
  <c r="X715"/>
  <c r="X359" s="1"/>
  <c r="X714"/>
  <c r="X358" s="1"/>
  <c r="X713"/>
  <c r="X702"/>
  <c r="X701"/>
  <c r="X700"/>
  <c r="X699"/>
  <c r="X698"/>
  <c r="X697"/>
  <c r="X696"/>
  <c r="X695"/>
  <c r="X693"/>
  <c r="X690"/>
  <c r="X689"/>
  <c r="X688"/>
  <c r="X339" s="1"/>
  <c r="X687"/>
  <c r="X338" s="1"/>
  <c r="X686"/>
  <c r="X337" s="1"/>
  <c r="X685"/>
  <c r="X336" s="1"/>
  <c r="X684"/>
  <c r="X335" s="1"/>
  <c r="X683"/>
  <c r="X334" s="1"/>
  <c r="X682"/>
  <c r="X333" s="1"/>
  <c r="X681"/>
  <c r="X332" s="1"/>
  <c r="X621"/>
  <c r="X622" s="1"/>
  <c r="X615"/>
  <c r="X616" s="1"/>
  <c r="X670"/>
  <c r="X54" s="1"/>
  <c r="X461"/>
  <c r="X392"/>
  <c r="X341"/>
  <c r="X448"/>
  <c r="X447"/>
  <c r="X446"/>
  <c r="X445"/>
  <c r="X444"/>
  <c r="X443"/>
  <c r="X365"/>
  <c r="X357"/>
  <c r="X340"/>
  <c r="X327"/>
  <c r="X314"/>
  <c r="X313"/>
  <c r="X312"/>
  <c r="X311"/>
  <c r="X310"/>
  <c r="X309"/>
  <c r="X40"/>
  <c r="Y2"/>
  <c r="X30"/>
  <c r="X26"/>
  <c r="X25"/>
  <c r="X23"/>
  <c r="X19"/>
  <c r="W328"/>
  <c r="W468"/>
  <c r="W466"/>
  <c r="W469"/>
  <c r="W473"/>
  <c r="W493"/>
  <c r="W497"/>
  <c r="W501"/>
  <c r="W521"/>
  <c r="W525"/>
  <c r="W472"/>
  <c r="W492"/>
  <c r="W496"/>
  <c r="W500"/>
  <c r="W520"/>
  <c r="W524"/>
  <c r="W462"/>
  <c r="V72"/>
  <c r="X599" i="7"/>
  <c r="Y616"/>
  <c r="Y614"/>
  <c r="Y610"/>
  <c r="Y601"/>
  <c r="Y600"/>
  <c r="Y611" s="1"/>
  <c r="Y597"/>
  <c r="Y596"/>
  <c r="Z11"/>
  <c r="X399"/>
  <c r="X256"/>
  <c r="X397"/>
  <c r="X394"/>
  <c r="X398"/>
  <c r="X402"/>
  <c r="X422"/>
  <c r="X426"/>
  <c r="X446"/>
  <c r="X450"/>
  <c r="X454"/>
  <c r="X423"/>
  <c r="X427"/>
  <c r="X447"/>
  <c r="X451"/>
  <c r="X455"/>
  <c r="X615"/>
  <c r="X609"/>
  <c r="Y622"/>
  <c r="X166"/>
  <c r="X130"/>
  <c r="X55"/>
  <c r="W606"/>
  <c r="W80"/>
  <c r="W81" s="1"/>
  <c r="X27"/>
  <c r="X61"/>
  <c r="X651"/>
  <c r="X636" s="1"/>
  <c r="X68" s="1"/>
  <c r="X683"/>
  <c r="X668" s="1"/>
  <c r="X69" s="1"/>
  <c r="X715"/>
  <c r="X700" s="1"/>
  <c r="X70" s="1"/>
  <c r="Y726"/>
  <c r="Y725"/>
  <c r="Y723"/>
  <c r="Y722"/>
  <c r="Y721"/>
  <c r="Y720"/>
  <c r="Y719"/>
  <c r="Y714"/>
  <c r="Y320" s="1"/>
  <c r="Y713"/>
  <c r="Y712"/>
  <c r="Y318" s="1"/>
  <c r="Y711"/>
  <c r="Y710"/>
  <c r="Y316" s="1"/>
  <c r="Y709"/>
  <c r="Y708"/>
  <c r="Y314" s="1"/>
  <c r="Y707"/>
  <c r="Y717"/>
  <c r="Y706"/>
  <c r="Y682"/>
  <c r="Y294" s="1"/>
  <c r="Y681"/>
  <c r="Y680"/>
  <c r="Y292" s="1"/>
  <c r="Y679"/>
  <c r="Y678"/>
  <c r="Y290" s="1"/>
  <c r="Y677"/>
  <c r="Y289" s="1"/>
  <c r="Y676"/>
  <c r="Y288" s="1"/>
  <c r="Y705"/>
  <c r="Y694"/>
  <c r="Y693"/>
  <c r="Y692"/>
  <c r="Y691"/>
  <c r="Y690"/>
  <c r="Y689"/>
  <c r="Y688"/>
  <c r="Y687"/>
  <c r="Y685"/>
  <c r="Y675"/>
  <c r="Y650"/>
  <c r="Y269" s="1"/>
  <c r="Y649"/>
  <c r="Y648"/>
  <c r="Y267" s="1"/>
  <c r="Y647"/>
  <c r="Y646"/>
  <c r="Y265" s="1"/>
  <c r="Y645"/>
  <c r="Y674"/>
  <c r="Y286" s="1"/>
  <c r="Y673"/>
  <c r="Y285" s="1"/>
  <c r="Y662"/>
  <c r="Y661"/>
  <c r="Y660"/>
  <c r="Y659"/>
  <c r="Y658"/>
  <c r="Y657"/>
  <c r="Y656"/>
  <c r="Y655"/>
  <c r="Y653"/>
  <c r="Y644"/>
  <c r="Y630"/>
  <c r="Y62" s="1"/>
  <c r="Y643"/>
  <c r="Y262" s="1"/>
  <c r="Y642"/>
  <c r="Y261" s="1"/>
  <c r="Y641"/>
  <c r="Y260" s="1"/>
  <c r="Y549"/>
  <c r="Y550" s="1"/>
  <c r="Y543"/>
  <c r="Y544" s="1"/>
  <c r="Y376"/>
  <c r="Y375"/>
  <c r="Y374"/>
  <c r="Y373"/>
  <c r="Y372"/>
  <c r="Y371"/>
  <c r="Y319"/>
  <c r="Y317"/>
  <c r="Y315"/>
  <c r="Y313"/>
  <c r="Y311"/>
  <c r="Y293"/>
  <c r="Y291"/>
  <c r="Y287"/>
  <c r="Y389"/>
  <c r="Y312"/>
  <c r="Y263"/>
  <c r="Y266"/>
  <c r="Y255"/>
  <c r="Y268"/>
  <c r="Y264"/>
  <c r="Y242"/>
  <c r="Y241"/>
  <c r="Y240"/>
  <c r="Y239"/>
  <c r="Y238"/>
  <c r="Y237"/>
  <c r="Y40"/>
  <c r="Y30"/>
  <c r="Y26"/>
  <c r="Y25"/>
  <c r="Y23"/>
  <c r="Y19"/>
  <c r="Z2"/>
  <c r="X395"/>
  <c r="X403"/>
  <c r="X401"/>
  <c r="X396"/>
  <c r="X400"/>
  <c r="X420"/>
  <c r="X424"/>
  <c r="X428"/>
  <c r="X448"/>
  <c r="X452"/>
  <c r="X390"/>
  <c r="X421"/>
  <c r="X425"/>
  <c r="X429"/>
  <c r="X449"/>
  <c r="X453"/>
  <c r="L15" i="1"/>
  <c r="L34"/>
  <c r="AJ36" i="2"/>
  <c r="A735"/>
  <c r="Z56" i="10" l="1"/>
  <c r="Z85"/>
  <c r="Z86" s="1"/>
  <c r="AA698"/>
  <c r="AA694"/>
  <c r="AA690"/>
  <c r="AA686"/>
  <c r="Z395"/>
  <c r="Z530" s="1"/>
  <c r="W63" i="8"/>
  <c r="Y660"/>
  <c r="Y656"/>
  <c r="Y652"/>
  <c r="Y648"/>
  <c r="Y65" i="10"/>
  <c r="X179"/>
  <c r="X196" s="1"/>
  <c r="Z58"/>
  <c r="Z180"/>
  <c r="Z197" s="1"/>
  <c r="Y68"/>
  <c r="Y179" s="1"/>
  <c r="Y196" s="1"/>
  <c r="Z141"/>
  <c r="Z153" s="1"/>
  <c r="Z245"/>
  <c r="Z217"/>
  <c r="Z370"/>
  <c r="Y709"/>
  <c r="Z59"/>
  <c r="Z767"/>
  <c r="Z752" s="1"/>
  <c r="Z66" s="1"/>
  <c r="AB11"/>
  <c r="AA714"/>
  <c r="AA181" s="1"/>
  <c r="AA198" s="1"/>
  <c r="AA41"/>
  <c r="AA183" s="1"/>
  <c r="AA200" s="1"/>
  <c r="Z27"/>
  <c r="Z735"/>
  <c r="Z720" s="1"/>
  <c r="Z799"/>
  <c r="Z784" s="1"/>
  <c r="Z67" s="1"/>
  <c r="Z506"/>
  <c r="Z510"/>
  <c r="Z534"/>
  <c r="Z538"/>
  <c r="Z558"/>
  <c r="Z562"/>
  <c r="Z500"/>
  <c r="Z366"/>
  <c r="Z505"/>
  <c r="Z509"/>
  <c r="Z513"/>
  <c r="Z533"/>
  <c r="Z537"/>
  <c r="Z557"/>
  <c r="Z561"/>
  <c r="Z565"/>
  <c r="Z706"/>
  <c r="AA810"/>
  <c r="AA808"/>
  <c r="AA807"/>
  <c r="AA806"/>
  <c r="AA805"/>
  <c r="AA804"/>
  <c r="AA803"/>
  <c r="AA798"/>
  <c r="AA430" s="1"/>
  <c r="AA797"/>
  <c r="AA429" s="1"/>
  <c r="AA796"/>
  <c r="AA428" s="1"/>
  <c r="AA795"/>
  <c r="AA427" s="1"/>
  <c r="AA794"/>
  <c r="AA426" s="1"/>
  <c r="AA793"/>
  <c r="AA425" s="1"/>
  <c r="AA792"/>
  <c r="AA424" s="1"/>
  <c r="AA791"/>
  <c r="AA423" s="1"/>
  <c r="AA790"/>
  <c r="AA422" s="1"/>
  <c r="AA801"/>
  <c r="AA766"/>
  <c r="AA404" s="1"/>
  <c r="AA765"/>
  <c r="AA403" s="1"/>
  <c r="AA764"/>
  <c r="AA763"/>
  <c r="AA401" s="1"/>
  <c r="AA762"/>
  <c r="AA400" s="1"/>
  <c r="AA761"/>
  <c r="AA399" s="1"/>
  <c r="AA760"/>
  <c r="AA398" s="1"/>
  <c r="AA759"/>
  <c r="AA397" s="1"/>
  <c r="AA789"/>
  <c r="AA778"/>
  <c r="AA777"/>
  <c r="AA776"/>
  <c r="AA775"/>
  <c r="AA774"/>
  <c r="AA773"/>
  <c r="AA772"/>
  <c r="AA771"/>
  <c r="AA769"/>
  <c r="AA734"/>
  <c r="AA379" s="1"/>
  <c r="AA733"/>
  <c r="AA378" s="1"/>
  <c r="AA732"/>
  <c r="AA377" s="1"/>
  <c r="AA731"/>
  <c r="AA376" s="1"/>
  <c r="AA730"/>
  <c r="AA375" s="1"/>
  <c r="AA729"/>
  <c r="AA374" s="1"/>
  <c r="AA728"/>
  <c r="AA373" s="1"/>
  <c r="AA758"/>
  <c r="AA396" s="1"/>
  <c r="AA757"/>
  <c r="AA395" s="1"/>
  <c r="AA746"/>
  <c r="AA745"/>
  <c r="AA744"/>
  <c r="AA743"/>
  <c r="AA742"/>
  <c r="AA741"/>
  <c r="AA740"/>
  <c r="AA738"/>
  <c r="AA737"/>
  <c r="AA726"/>
  <c r="AA371" s="1"/>
  <c r="AA659"/>
  <c r="AA660" s="1"/>
  <c r="AA653"/>
  <c r="AA654" s="1"/>
  <c r="AA727"/>
  <c r="AA372" s="1"/>
  <c r="AA725"/>
  <c r="AA708"/>
  <c r="AA486"/>
  <c r="AA485"/>
  <c r="AA484"/>
  <c r="AA483"/>
  <c r="AA482"/>
  <c r="AA481"/>
  <c r="AA421"/>
  <c r="AA365"/>
  <c r="AA499"/>
  <c r="AA402"/>
  <c r="AA352"/>
  <c r="AA351"/>
  <c r="AA350"/>
  <c r="AA349"/>
  <c r="AA348"/>
  <c r="AA347"/>
  <c r="AA30"/>
  <c r="AA26"/>
  <c r="AA25"/>
  <c r="AA23"/>
  <c r="AA19"/>
  <c r="AA40"/>
  <c r="AB2"/>
  <c r="Z508"/>
  <c r="Z512"/>
  <c r="Z532"/>
  <c r="Z536"/>
  <c r="Z556"/>
  <c r="Z560"/>
  <c r="Z564"/>
  <c r="Z507"/>
  <c r="Z511"/>
  <c r="Z531"/>
  <c r="Z535"/>
  <c r="Z539"/>
  <c r="Z559"/>
  <c r="Z563"/>
  <c r="Y715" i="7"/>
  <c r="Y700" s="1"/>
  <c r="Y70" s="1"/>
  <c r="Z11" i="8"/>
  <c r="X668"/>
  <c r="X671" s="1"/>
  <c r="X691"/>
  <c r="X676" s="1"/>
  <c r="X60" s="1"/>
  <c r="X755"/>
  <c r="X740" s="1"/>
  <c r="X62" s="1"/>
  <c r="X723"/>
  <c r="X708" s="1"/>
  <c r="X61" s="1"/>
  <c r="W72"/>
  <c r="Y766"/>
  <c r="Y765"/>
  <c r="Y763"/>
  <c r="Y762"/>
  <c r="Y761"/>
  <c r="Y760"/>
  <c r="Y759"/>
  <c r="Y754"/>
  <c r="Y753"/>
  <c r="Y391" s="1"/>
  <c r="Y752"/>
  <c r="Y390" s="1"/>
  <c r="Y751"/>
  <c r="Y389" s="1"/>
  <c r="Y750"/>
  <c r="Y388" s="1"/>
  <c r="Y749"/>
  <c r="Y387" s="1"/>
  <c r="Y748"/>
  <c r="Y386" s="1"/>
  <c r="Y747"/>
  <c r="Y385" s="1"/>
  <c r="Y746"/>
  <c r="Y745"/>
  <c r="Y383" s="1"/>
  <c r="Y757"/>
  <c r="Y734"/>
  <c r="Y732"/>
  <c r="Y730"/>
  <c r="Y728"/>
  <c r="Y722"/>
  <c r="Y366" s="1"/>
  <c r="Y721"/>
  <c r="Y365" s="1"/>
  <c r="Y720"/>
  <c r="Y364" s="1"/>
  <c r="Y719"/>
  <c r="Y363" s="1"/>
  <c r="Y718"/>
  <c r="Y362" s="1"/>
  <c r="Y717"/>
  <c r="Y361" s="1"/>
  <c r="Y716"/>
  <c r="Y360" s="1"/>
  <c r="Y715"/>
  <c r="Y714"/>
  <c r="Y358" s="1"/>
  <c r="Y713"/>
  <c r="Y357" s="1"/>
  <c r="Y733"/>
  <c r="Y731"/>
  <c r="Y729"/>
  <c r="Y727"/>
  <c r="Y725"/>
  <c r="Y690"/>
  <c r="Y341" s="1"/>
  <c r="Y689"/>
  <c r="Y340" s="1"/>
  <c r="Y688"/>
  <c r="Y339" s="1"/>
  <c r="Y687"/>
  <c r="Y338" s="1"/>
  <c r="Y686"/>
  <c r="Y337" s="1"/>
  <c r="Y685"/>
  <c r="Y336" s="1"/>
  <c r="Y684"/>
  <c r="Y335" s="1"/>
  <c r="Y683"/>
  <c r="Y334" s="1"/>
  <c r="Y682"/>
  <c r="Y333" s="1"/>
  <c r="Y681"/>
  <c r="Y332" s="1"/>
  <c r="Y702"/>
  <c r="Y701"/>
  <c r="Y700"/>
  <c r="Y699"/>
  <c r="Y698"/>
  <c r="Y697"/>
  <c r="Y696"/>
  <c r="Y695"/>
  <c r="Y693"/>
  <c r="Y670"/>
  <c r="Y54" s="1"/>
  <c r="Y621"/>
  <c r="Y622" s="1"/>
  <c r="Y615"/>
  <c r="Y616" s="1"/>
  <c r="Y448"/>
  <c r="Y447"/>
  <c r="Y446"/>
  <c r="Y445"/>
  <c r="Y444"/>
  <c r="Y443"/>
  <c r="Y359"/>
  <c r="Y461"/>
  <c r="Y392"/>
  <c r="Y384"/>
  <c r="Y327"/>
  <c r="Y314"/>
  <c r="Y313"/>
  <c r="Y312"/>
  <c r="Y311"/>
  <c r="Y310"/>
  <c r="Y309"/>
  <c r="Y30"/>
  <c r="Y26"/>
  <c r="Y25"/>
  <c r="Y23"/>
  <c r="Y19"/>
  <c r="Y40"/>
  <c r="Z2"/>
  <c r="X328"/>
  <c r="X469"/>
  <c r="X466"/>
  <c r="X470"/>
  <c r="X474"/>
  <c r="X494"/>
  <c r="X498"/>
  <c r="X518"/>
  <c r="X522"/>
  <c r="X526"/>
  <c r="X473"/>
  <c r="X493"/>
  <c r="X497"/>
  <c r="X501"/>
  <c r="X521"/>
  <c r="X525"/>
  <c r="X27"/>
  <c r="X467"/>
  <c r="X468"/>
  <c r="X472"/>
  <c r="X492"/>
  <c r="X496"/>
  <c r="X500"/>
  <c r="X520"/>
  <c r="X524"/>
  <c r="X462"/>
  <c r="X471"/>
  <c r="X475"/>
  <c r="X495"/>
  <c r="X499"/>
  <c r="X519"/>
  <c r="X523"/>
  <c r="X527"/>
  <c r="Y27" i="7"/>
  <c r="AA11"/>
  <c r="Z616"/>
  <c r="Z614"/>
  <c r="Z610"/>
  <c r="Z601"/>
  <c r="Z600"/>
  <c r="Z597"/>
  <c r="Z596"/>
  <c r="Z726"/>
  <c r="Z725"/>
  <c r="Z723"/>
  <c r="Z722"/>
  <c r="Z721"/>
  <c r="Z720"/>
  <c r="Z719"/>
  <c r="Z717"/>
  <c r="Z714"/>
  <c r="Z713"/>
  <c r="Z712"/>
  <c r="Z318" s="1"/>
  <c r="Z711"/>
  <c r="Z317" s="1"/>
  <c r="Z710"/>
  <c r="Z316" s="1"/>
  <c r="Z709"/>
  <c r="Z708"/>
  <c r="Z314" s="1"/>
  <c r="Z707"/>
  <c r="Z313" s="1"/>
  <c r="Z706"/>
  <c r="Z705"/>
  <c r="Z694"/>
  <c r="Z693"/>
  <c r="Z692"/>
  <c r="Z691"/>
  <c r="Z690"/>
  <c r="Z689"/>
  <c r="Z688"/>
  <c r="Z687"/>
  <c r="Z685"/>
  <c r="Z682"/>
  <c r="Z294" s="1"/>
  <c r="Z681"/>
  <c r="Z293" s="1"/>
  <c r="Z680"/>
  <c r="Z292" s="1"/>
  <c r="Z679"/>
  <c r="Z291" s="1"/>
  <c r="Z678"/>
  <c r="Z290" s="1"/>
  <c r="Z677"/>
  <c r="Z289" s="1"/>
  <c r="Z676"/>
  <c r="Z288" s="1"/>
  <c r="Z675"/>
  <c r="Z674"/>
  <c r="Z286" s="1"/>
  <c r="Z673"/>
  <c r="Z285" s="1"/>
  <c r="Z662"/>
  <c r="Z661"/>
  <c r="Z660"/>
  <c r="Z659"/>
  <c r="Z658"/>
  <c r="Z657"/>
  <c r="Z656"/>
  <c r="Z655"/>
  <c r="Z653"/>
  <c r="Z650"/>
  <c r="Z269" s="1"/>
  <c r="Z649"/>
  <c r="Z648"/>
  <c r="Z267" s="1"/>
  <c r="Z647"/>
  <c r="Z266" s="1"/>
  <c r="Z646"/>
  <c r="Z645"/>
  <c r="Z264" s="1"/>
  <c r="Z644"/>
  <c r="Z263" s="1"/>
  <c r="Z643"/>
  <c r="Z262" s="1"/>
  <c r="Z642"/>
  <c r="Z261" s="1"/>
  <c r="Z641"/>
  <c r="Z260" s="1"/>
  <c r="Z549"/>
  <c r="Z550" s="1"/>
  <c r="Z543"/>
  <c r="Z544" s="1"/>
  <c r="Z630"/>
  <c r="Z62" s="1"/>
  <c r="Z611"/>
  <c r="Z389"/>
  <c r="Z320"/>
  <c r="Z312"/>
  <c r="Z376"/>
  <c r="Z375"/>
  <c r="Z374"/>
  <c r="Z373"/>
  <c r="Z372"/>
  <c r="Z371"/>
  <c r="Z319"/>
  <c r="Z315"/>
  <c r="Z311"/>
  <c r="Z287"/>
  <c r="Z268"/>
  <c r="Z265"/>
  <c r="Z242"/>
  <c r="Z241"/>
  <c r="Z240"/>
  <c r="Z239"/>
  <c r="Z238"/>
  <c r="Z237"/>
  <c r="Z255"/>
  <c r="Z30"/>
  <c r="Z26"/>
  <c r="Z25"/>
  <c r="Z23"/>
  <c r="Z19"/>
  <c r="Z40"/>
  <c r="AA2"/>
  <c r="Y256"/>
  <c r="Y394"/>
  <c r="Y402"/>
  <c r="Y396"/>
  <c r="Y395"/>
  <c r="Y399"/>
  <c r="Y403"/>
  <c r="Y423"/>
  <c r="Y427"/>
  <c r="Y447"/>
  <c r="Y451"/>
  <c r="Y455"/>
  <c r="Y420"/>
  <c r="Y424"/>
  <c r="Y428"/>
  <c r="Y448"/>
  <c r="Y452"/>
  <c r="Y390"/>
  <c r="Y166"/>
  <c r="Y130"/>
  <c r="Y55"/>
  <c r="Y61"/>
  <c r="Y651"/>
  <c r="Y636" s="1"/>
  <c r="Y68" s="1"/>
  <c r="Y599"/>
  <c r="Y683"/>
  <c r="Y668" s="1"/>
  <c r="Y69" s="1"/>
  <c r="X71"/>
  <c r="Y398"/>
  <c r="Y400"/>
  <c r="Y397"/>
  <c r="Y401"/>
  <c r="Y421"/>
  <c r="Y425"/>
  <c r="Y429"/>
  <c r="Y449"/>
  <c r="Y453"/>
  <c r="Y422"/>
  <c r="Y426"/>
  <c r="Y446"/>
  <c r="Y450"/>
  <c r="Y454"/>
  <c r="Y615"/>
  <c r="Y609"/>
  <c r="Z622"/>
  <c r="X606"/>
  <c r="X80"/>
  <c r="X81" s="1"/>
  <c r="Y631"/>
  <c r="Z628" s="1"/>
  <c r="L16" i="1"/>
  <c r="L35"/>
  <c r="AK36" i="2"/>
  <c r="A736"/>
  <c r="Z599" i="7" l="1"/>
  <c r="AA56" i="10"/>
  <c r="AA85"/>
  <c r="AA86" s="1"/>
  <c r="AB698"/>
  <c r="AB694"/>
  <c r="AB690"/>
  <c r="AB686"/>
  <c r="Y75"/>
  <c r="Z648" i="8"/>
  <c r="Z660"/>
  <c r="Z656"/>
  <c r="Z652"/>
  <c r="Z65" i="10"/>
  <c r="AA58"/>
  <c r="AA180"/>
  <c r="AA197" s="1"/>
  <c r="AA370"/>
  <c r="AA141"/>
  <c r="AA153" s="1"/>
  <c r="AA245"/>
  <c r="AA217"/>
  <c r="Z504"/>
  <c r="Z709"/>
  <c r="AA706" s="1"/>
  <c r="AA59"/>
  <c r="AC11"/>
  <c r="AB714"/>
  <c r="AB181" s="1"/>
  <c r="AB198" s="1"/>
  <c r="AB41"/>
  <c r="AB183" s="1"/>
  <c r="AB200" s="1"/>
  <c r="AA799"/>
  <c r="AA784" s="1"/>
  <c r="AA67" s="1"/>
  <c r="AA735"/>
  <c r="AA720" s="1"/>
  <c r="Z68"/>
  <c r="Z75" s="1"/>
  <c r="AA366"/>
  <c r="AA505"/>
  <c r="AA509"/>
  <c r="AA513"/>
  <c r="AA533"/>
  <c r="AA537"/>
  <c r="AA557"/>
  <c r="AA561"/>
  <c r="AA565"/>
  <c r="AA506"/>
  <c r="AA510"/>
  <c r="AA530"/>
  <c r="AA534"/>
  <c r="AA538"/>
  <c r="AA558"/>
  <c r="AA562"/>
  <c r="AA500"/>
  <c r="AA27"/>
  <c r="AA767"/>
  <c r="AA752" s="1"/>
  <c r="AA66" s="1"/>
  <c r="AB810"/>
  <c r="AB808"/>
  <c r="AB807"/>
  <c r="AB806"/>
  <c r="AB805"/>
  <c r="AB804"/>
  <c r="AB803"/>
  <c r="AB801"/>
  <c r="AB798"/>
  <c r="AB797"/>
  <c r="AB796"/>
  <c r="AB428" s="1"/>
  <c r="AB795"/>
  <c r="AB794"/>
  <c r="AB426" s="1"/>
  <c r="AB793"/>
  <c r="AB792"/>
  <c r="AB424" s="1"/>
  <c r="AB791"/>
  <c r="AB790"/>
  <c r="AB422" s="1"/>
  <c r="AB789"/>
  <c r="AB778"/>
  <c r="AB777"/>
  <c r="AB776"/>
  <c r="AB775"/>
  <c r="AB774"/>
  <c r="AB773"/>
  <c r="AB772"/>
  <c r="AB771"/>
  <c r="AB769"/>
  <c r="AB766"/>
  <c r="AB765"/>
  <c r="AB403" s="1"/>
  <c r="AB764"/>
  <c r="AB763"/>
  <c r="AB401" s="1"/>
  <c r="AB762"/>
  <c r="AB761"/>
  <c r="AB399" s="1"/>
  <c r="AB760"/>
  <c r="AB759"/>
  <c r="AB397" s="1"/>
  <c r="AB758"/>
  <c r="AB757"/>
  <c r="AB395" s="1"/>
  <c r="AB746"/>
  <c r="AB745"/>
  <c r="AB744"/>
  <c r="AB743"/>
  <c r="AB742"/>
  <c r="AB741"/>
  <c r="AB740"/>
  <c r="AB738"/>
  <c r="AB737"/>
  <c r="AB734"/>
  <c r="AB379" s="1"/>
  <c r="AB733"/>
  <c r="AB732"/>
  <c r="AB377" s="1"/>
  <c r="AB731"/>
  <c r="AB730"/>
  <c r="AB375" s="1"/>
  <c r="AB729"/>
  <c r="AB728"/>
  <c r="AB373" s="1"/>
  <c r="AB727"/>
  <c r="AB726"/>
  <c r="AB371" s="1"/>
  <c r="AB725"/>
  <c r="AB708"/>
  <c r="AB659"/>
  <c r="AB660" s="1"/>
  <c r="AB653"/>
  <c r="AB654" s="1"/>
  <c r="AB499"/>
  <c r="AB430"/>
  <c r="AB404"/>
  <c r="AB402"/>
  <c r="AB400"/>
  <c r="AB398"/>
  <c r="AB396"/>
  <c r="AB352"/>
  <c r="AB351"/>
  <c r="AB350"/>
  <c r="AB349"/>
  <c r="AB348"/>
  <c r="AB347"/>
  <c r="AB486"/>
  <c r="AB485"/>
  <c r="AB484"/>
  <c r="AB483"/>
  <c r="AB482"/>
  <c r="AB481"/>
  <c r="AB429"/>
  <c r="AB427"/>
  <c r="AB425"/>
  <c r="AB423"/>
  <c r="AB421"/>
  <c r="AB378"/>
  <c r="AB376"/>
  <c r="AB374"/>
  <c r="AB372"/>
  <c r="AB365"/>
  <c r="AB40"/>
  <c r="AB30"/>
  <c r="AB26"/>
  <c r="AB25"/>
  <c r="AB23"/>
  <c r="AB19"/>
  <c r="AC2"/>
  <c r="AA507"/>
  <c r="AA511"/>
  <c r="AA531"/>
  <c r="AA535"/>
  <c r="AA539"/>
  <c r="AA559"/>
  <c r="AA563"/>
  <c r="AA508"/>
  <c r="AA512"/>
  <c r="AA532"/>
  <c r="AA536"/>
  <c r="AA556"/>
  <c r="AA560"/>
  <c r="AA564"/>
  <c r="Z631" i="7"/>
  <c r="AA628" s="1"/>
  <c r="AA11" i="8"/>
  <c r="Y668"/>
  <c r="X63"/>
  <c r="Y671"/>
  <c r="Y755"/>
  <c r="Y740" s="1"/>
  <c r="Y62" s="1"/>
  <c r="Z766"/>
  <c r="Z765"/>
  <c r="Z763"/>
  <c r="Z762"/>
  <c r="Z761"/>
  <c r="Z760"/>
  <c r="Z759"/>
  <c r="Z757"/>
  <c r="Z754"/>
  <c r="Z392" s="1"/>
  <c r="Z753"/>
  <c r="Z752"/>
  <c r="Z751"/>
  <c r="Z750"/>
  <c r="Z388" s="1"/>
  <c r="Z749"/>
  <c r="Z748"/>
  <c r="Z386" s="1"/>
  <c r="Z747"/>
  <c r="Z746"/>
  <c r="Z384" s="1"/>
  <c r="Z745"/>
  <c r="Z734"/>
  <c r="Z733"/>
  <c r="Z732"/>
  <c r="Z731"/>
  <c r="Z730"/>
  <c r="Z729"/>
  <c r="Z728"/>
  <c r="Z727"/>
  <c r="Z725"/>
  <c r="Z722"/>
  <c r="Z721"/>
  <c r="Z365" s="1"/>
  <c r="Z720"/>
  <c r="Z719"/>
  <c r="Z363" s="1"/>
  <c r="Z718"/>
  <c r="Z717"/>
  <c r="Z361" s="1"/>
  <c r="Z716"/>
  <c r="Z715"/>
  <c r="Z359" s="1"/>
  <c r="Z714"/>
  <c r="Z713"/>
  <c r="Z357" s="1"/>
  <c r="Z702"/>
  <c r="Z701"/>
  <c r="Z700"/>
  <c r="Z699"/>
  <c r="Z698"/>
  <c r="Z697"/>
  <c r="Z696"/>
  <c r="Z695"/>
  <c r="Z693"/>
  <c r="Z690"/>
  <c r="Z341" s="1"/>
  <c r="Z689"/>
  <c r="Z688"/>
  <c r="Z339" s="1"/>
  <c r="Z687"/>
  <c r="Z338" s="1"/>
  <c r="Z686"/>
  <c r="Z337" s="1"/>
  <c r="Z685"/>
  <c r="Z684"/>
  <c r="Z335" s="1"/>
  <c r="Z683"/>
  <c r="Z334" s="1"/>
  <c r="Z682"/>
  <c r="Z333" s="1"/>
  <c r="Z681"/>
  <c r="Z621"/>
  <c r="Z622" s="1"/>
  <c r="Z615"/>
  <c r="Z616" s="1"/>
  <c r="Z670"/>
  <c r="Z54" s="1"/>
  <c r="Z461"/>
  <c r="Z390"/>
  <c r="Z366"/>
  <c r="Z364"/>
  <c r="Z362"/>
  <c r="Z360"/>
  <c r="Z358"/>
  <c r="Z448"/>
  <c r="Z447"/>
  <c r="Z446"/>
  <c r="Z445"/>
  <c r="Z444"/>
  <c r="Z443"/>
  <c r="Z391"/>
  <c r="Z389"/>
  <c r="Z387"/>
  <c r="Z385"/>
  <c r="Z383"/>
  <c r="Z340"/>
  <c r="Z336"/>
  <c r="Z332"/>
  <c r="Z327"/>
  <c r="Z314"/>
  <c r="Z313"/>
  <c r="Z312"/>
  <c r="Z311"/>
  <c r="Z310"/>
  <c r="Z309"/>
  <c r="Z40"/>
  <c r="AA2"/>
  <c r="Z30"/>
  <c r="Z26"/>
  <c r="Z25"/>
  <c r="Z23"/>
  <c r="Z19"/>
  <c r="Y328"/>
  <c r="Y468"/>
  <c r="Y469"/>
  <c r="Y473"/>
  <c r="Y493"/>
  <c r="Y497"/>
  <c r="Y501"/>
  <c r="Y521"/>
  <c r="Y525"/>
  <c r="Y472"/>
  <c r="Y492"/>
  <c r="Y496"/>
  <c r="Y500"/>
  <c r="Y520"/>
  <c r="Y524"/>
  <c r="Y462"/>
  <c r="Y27"/>
  <c r="Y691"/>
  <c r="Y676" s="1"/>
  <c r="Y60" s="1"/>
  <c r="Y723"/>
  <c r="Y708" s="1"/>
  <c r="Y61" s="1"/>
  <c r="X72"/>
  <c r="Y466"/>
  <c r="Y467"/>
  <c r="Y471"/>
  <c r="Y475"/>
  <c r="Y495"/>
  <c r="Y499"/>
  <c r="Y519"/>
  <c r="Y523"/>
  <c r="Y527"/>
  <c r="Y470"/>
  <c r="Y474"/>
  <c r="Y494"/>
  <c r="Y498"/>
  <c r="Y518"/>
  <c r="Y522"/>
  <c r="Y526"/>
  <c r="AA616" i="7"/>
  <c r="AA614"/>
  <c r="AA610"/>
  <c r="AA601"/>
  <c r="AA600"/>
  <c r="AA597"/>
  <c r="AA596"/>
  <c r="AB11"/>
  <c r="Y606"/>
  <c r="Y80"/>
  <c r="Y81" s="1"/>
  <c r="AA726"/>
  <c r="AA724"/>
  <c r="AA723"/>
  <c r="AA722"/>
  <c r="AA721"/>
  <c r="AA720"/>
  <c r="AA719"/>
  <c r="AA714"/>
  <c r="AA320" s="1"/>
  <c r="AA713"/>
  <c r="AA712"/>
  <c r="AA318" s="1"/>
  <c r="AA711"/>
  <c r="AA317" s="1"/>
  <c r="AA710"/>
  <c r="AA316" s="1"/>
  <c r="AA709"/>
  <c r="AA315" s="1"/>
  <c r="AA708"/>
  <c r="AA314" s="1"/>
  <c r="AA707"/>
  <c r="AA313" s="1"/>
  <c r="AA717"/>
  <c r="AA705"/>
  <c r="AA311" s="1"/>
  <c r="AA682"/>
  <c r="AA294" s="1"/>
  <c r="AA681"/>
  <c r="AA293" s="1"/>
  <c r="AA680"/>
  <c r="AA292" s="1"/>
  <c r="AA679"/>
  <c r="AA291" s="1"/>
  <c r="AA678"/>
  <c r="AA290" s="1"/>
  <c r="AA677"/>
  <c r="AA289" s="1"/>
  <c r="AA676"/>
  <c r="AA706"/>
  <c r="AA312" s="1"/>
  <c r="AA694"/>
  <c r="AA693"/>
  <c r="AA692"/>
  <c r="AA691"/>
  <c r="AA690"/>
  <c r="AA689"/>
  <c r="AA688"/>
  <c r="AA687"/>
  <c r="AA685"/>
  <c r="AA650"/>
  <c r="AA649"/>
  <c r="AA268" s="1"/>
  <c r="AA648"/>
  <c r="AA267" s="1"/>
  <c r="AA647"/>
  <c r="AA266" s="1"/>
  <c r="AA646"/>
  <c r="AA265" s="1"/>
  <c r="AA645"/>
  <c r="AA264" s="1"/>
  <c r="AA675"/>
  <c r="AA287" s="1"/>
  <c r="AA674"/>
  <c r="AA286" s="1"/>
  <c r="AA673"/>
  <c r="AA285" s="1"/>
  <c r="AA662"/>
  <c r="AA661"/>
  <c r="AA660"/>
  <c r="AA659"/>
  <c r="AA658"/>
  <c r="AA657"/>
  <c r="AA656"/>
  <c r="AA654"/>
  <c r="AA653"/>
  <c r="AA643"/>
  <c r="AA262" s="1"/>
  <c r="AA630"/>
  <c r="AA62" s="1"/>
  <c r="AA611"/>
  <c r="AA644"/>
  <c r="AA263" s="1"/>
  <c r="AA642"/>
  <c r="AA261" s="1"/>
  <c r="AA641"/>
  <c r="AA260" s="1"/>
  <c r="AA549"/>
  <c r="AA550" s="1"/>
  <c r="AA543"/>
  <c r="AA544" s="1"/>
  <c r="AA376"/>
  <c r="AA375"/>
  <c r="AA374"/>
  <c r="AA373"/>
  <c r="AA372"/>
  <c r="AA371"/>
  <c r="AA319"/>
  <c r="AA389"/>
  <c r="AA288"/>
  <c r="AA269"/>
  <c r="AA255"/>
  <c r="AA242"/>
  <c r="AA241"/>
  <c r="AA240"/>
  <c r="AA239"/>
  <c r="AA238"/>
  <c r="AA237"/>
  <c r="AA40"/>
  <c r="AB2"/>
  <c r="AA30"/>
  <c r="AA26"/>
  <c r="AA25"/>
  <c r="AA23"/>
  <c r="AA19"/>
  <c r="Z401"/>
  <c r="Z399"/>
  <c r="Z394"/>
  <c r="Z398"/>
  <c r="Z402"/>
  <c r="Z422"/>
  <c r="Z426"/>
  <c r="Z446"/>
  <c r="Z450"/>
  <c r="Z454"/>
  <c r="Z423"/>
  <c r="Z427"/>
  <c r="Z447"/>
  <c r="Z451"/>
  <c r="Z455"/>
  <c r="Z615"/>
  <c r="Z609"/>
  <c r="AA622"/>
  <c r="Z166"/>
  <c r="Z130"/>
  <c r="Z55"/>
  <c r="AA631"/>
  <c r="AB628" s="1"/>
  <c r="Z27"/>
  <c r="Z61"/>
  <c r="Z651"/>
  <c r="Z636" s="1"/>
  <c r="Z68" s="1"/>
  <c r="Z683"/>
  <c r="Z668" s="1"/>
  <c r="Z69" s="1"/>
  <c r="Z715"/>
  <c r="Z700" s="1"/>
  <c r="Z70" s="1"/>
  <c r="Z397"/>
  <c r="Z256"/>
  <c r="Z395"/>
  <c r="Z403"/>
  <c r="Z396"/>
  <c r="Z400"/>
  <c r="Z420"/>
  <c r="Z424"/>
  <c r="Z428"/>
  <c r="Z448"/>
  <c r="Z452"/>
  <c r="Z390"/>
  <c r="Z421"/>
  <c r="Z425"/>
  <c r="Z429"/>
  <c r="Z449"/>
  <c r="Z453"/>
  <c r="Y71"/>
  <c r="L17" i="1"/>
  <c r="L36"/>
  <c r="AL36" i="2"/>
  <c r="C161" i="1"/>
  <c r="D161"/>
  <c r="E161"/>
  <c r="B161"/>
  <c r="AB56" i="10" l="1"/>
  <c r="AB85"/>
  <c r="AB86" s="1"/>
  <c r="AC698"/>
  <c r="AC694"/>
  <c r="AC690"/>
  <c r="AC686"/>
  <c r="AB370"/>
  <c r="AB504" s="1"/>
  <c r="AA660" i="8"/>
  <c r="AA656"/>
  <c r="AA652"/>
  <c r="AA648"/>
  <c r="AA504" i="10"/>
  <c r="AA65"/>
  <c r="AA68" s="1"/>
  <c r="AA75" s="1"/>
  <c r="Z179"/>
  <c r="Z196" s="1"/>
  <c r="AB58"/>
  <c r="AB180"/>
  <c r="AB197" s="1"/>
  <c r="AB141"/>
  <c r="AB153" s="1"/>
  <c r="AB245"/>
  <c r="AB217"/>
  <c r="AA709"/>
  <c r="AB706" s="1"/>
  <c r="AB59"/>
  <c r="AD11"/>
  <c r="AC714"/>
  <c r="AC181" s="1"/>
  <c r="AC198" s="1"/>
  <c r="AC41"/>
  <c r="AC183" s="1"/>
  <c r="AC200" s="1"/>
  <c r="AB767"/>
  <c r="AB752" s="1"/>
  <c r="AB66" s="1"/>
  <c r="AB735"/>
  <c r="AB720" s="1"/>
  <c r="AB799"/>
  <c r="AB784" s="1"/>
  <c r="AB67" s="1"/>
  <c r="AC810"/>
  <c r="AC808"/>
  <c r="AC807"/>
  <c r="AC806"/>
  <c r="AC805"/>
  <c r="AC804"/>
  <c r="AC803"/>
  <c r="AC798"/>
  <c r="AC430" s="1"/>
  <c r="AC797"/>
  <c r="AC429" s="1"/>
  <c r="AC796"/>
  <c r="AC428" s="1"/>
  <c r="AC795"/>
  <c r="AC427" s="1"/>
  <c r="AC794"/>
  <c r="AC426" s="1"/>
  <c r="AC793"/>
  <c r="AC425" s="1"/>
  <c r="AC792"/>
  <c r="AC424" s="1"/>
  <c r="AC791"/>
  <c r="AC790"/>
  <c r="AC422" s="1"/>
  <c r="AC801"/>
  <c r="AC789"/>
  <c r="AC766"/>
  <c r="AC404" s="1"/>
  <c r="AC765"/>
  <c r="AC403" s="1"/>
  <c r="AC764"/>
  <c r="AC402" s="1"/>
  <c r="AC763"/>
  <c r="AC401" s="1"/>
  <c r="AC762"/>
  <c r="AC761"/>
  <c r="AC399" s="1"/>
  <c r="AC760"/>
  <c r="AC398" s="1"/>
  <c r="AC759"/>
  <c r="AC397" s="1"/>
  <c r="AC778"/>
  <c r="AC777"/>
  <c r="AC776"/>
  <c r="AC775"/>
  <c r="AC774"/>
  <c r="AC773"/>
  <c r="AC772"/>
  <c r="AC771"/>
  <c r="AC769"/>
  <c r="AC734"/>
  <c r="AC379" s="1"/>
  <c r="AC733"/>
  <c r="AC732"/>
  <c r="AC377" s="1"/>
  <c r="AC731"/>
  <c r="AC376" s="1"/>
  <c r="AC730"/>
  <c r="AC375" s="1"/>
  <c r="AC729"/>
  <c r="AC374" s="1"/>
  <c r="AC728"/>
  <c r="AC373" s="1"/>
  <c r="AC758"/>
  <c r="AC396" s="1"/>
  <c r="AC757"/>
  <c r="AC395" s="1"/>
  <c r="AC746"/>
  <c r="AC745"/>
  <c r="AC744"/>
  <c r="AC743"/>
  <c r="AC742"/>
  <c r="AC741"/>
  <c r="AC740"/>
  <c r="AC738"/>
  <c r="AC737"/>
  <c r="AC727"/>
  <c r="AC372" s="1"/>
  <c r="AC725"/>
  <c r="AC659"/>
  <c r="AC660" s="1"/>
  <c r="AC653"/>
  <c r="AC654" s="1"/>
  <c r="AC726"/>
  <c r="AC371" s="1"/>
  <c r="AC708"/>
  <c r="AC486"/>
  <c r="AC485"/>
  <c r="AC484"/>
  <c r="AC483"/>
  <c r="AC482"/>
  <c r="AC481"/>
  <c r="AC423"/>
  <c r="AC421"/>
  <c r="AC378"/>
  <c r="AC365"/>
  <c r="AC499"/>
  <c r="AC400"/>
  <c r="AC352"/>
  <c r="AC351"/>
  <c r="AC350"/>
  <c r="AC349"/>
  <c r="AC348"/>
  <c r="AC347"/>
  <c r="AC30"/>
  <c r="AC26"/>
  <c r="AC25"/>
  <c r="AC23"/>
  <c r="AC19"/>
  <c r="AC40"/>
  <c r="AD2"/>
  <c r="AB506"/>
  <c r="AB510"/>
  <c r="AB530"/>
  <c r="AB534"/>
  <c r="AB538"/>
  <c r="AB558"/>
  <c r="AB562"/>
  <c r="AB500"/>
  <c r="AB366"/>
  <c r="AB505"/>
  <c r="AB509"/>
  <c r="AB513"/>
  <c r="AB533"/>
  <c r="AB537"/>
  <c r="AB557"/>
  <c r="AB561"/>
  <c r="AB565"/>
  <c r="AB27"/>
  <c r="AB508"/>
  <c r="AB512"/>
  <c r="AB532"/>
  <c r="AB536"/>
  <c r="AB556"/>
  <c r="AB560"/>
  <c r="AB564"/>
  <c r="AB507"/>
  <c r="AB511"/>
  <c r="AB531"/>
  <c r="AB535"/>
  <c r="AB539"/>
  <c r="AB559"/>
  <c r="AB563"/>
  <c r="AB11" i="8"/>
  <c r="Z668"/>
  <c r="Z671" s="1"/>
  <c r="Z691"/>
  <c r="Z676" s="1"/>
  <c r="Z60" s="1"/>
  <c r="Z755"/>
  <c r="Z740" s="1"/>
  <c r="Z62" s="1"/>
  <c r="Z723"/>
  <c r="Z708" s="1"/>
  <c r="Z61" s="1"/>
  <c r="Z469"/>
  <c r="Z468"/>
  <c r="Z472"/>
  <c r="Z492"/>
  <c r="Z496"/>
  <c r="Z500"/>
  <c r="Z520"/>
  <c r="Z524"/>
  <c r="Z462"/>
  <c r="Z471"/>
  <c r="Z475"/>
  <c r="Z495"/>
  <c r="Z499"/>
  <c r="Z519"/>
  <c r="Z523"/>
  <c r="Z527"/>
  <c r="Y63"/>
  <c r="Y72"/>
  <c r="AA766"/>
  <c r="AA764"/>
  <c r="AA763"/>
  <c r="AA762"/>
  <c r="AA761"/>
  <c r="AA760"/>
  <c r="AA759"/>
  <c r="AA754"/>
  <c r="AA753"/>
  <c r="AA391" s="1"/>
  <c r="AA752"/>
  <c r="AA390" s="1"/>
  <c r="AA751"/>
  <c r="AA389" s="1"/>
  <c r="AA750"/>
  <c r="AA388" s="1"/>
  <c r="AA749"/>
  <c r="AA387" s="1"/>
  <c r="AA748"/>
  <c r="AA386" s="1"/>
  <c r="AA747"/>
  <c r="AA385" s="1"/>
  <c r="AA746"/>
  <c r="AA384" s="1"/>
  <c r="AA745"/>
  <c r="AA383" s="1"/>
  <c r="AA757"/>
  <c r="AA733"/>
  <c r="AA731"/>
  <c r="AA729"/>
  <c r="AA722"/>
  <c r="AA366" s="1"/>
  <c r="AA721"/>
  <c r="AA365" s="1"/>
  <c r="AA720"/>
  <c r="AA364" s="1"/>
  <c r="AA719"/>
  <c r="AA718"/>
  <c r="AA362" s="1"/>
  <c r="AA717"/>
  <c r="AA361" s="1"/>
  <c r="AA716"/>
  <c r="AA715"/>
  <c r="AA359" s="1"/>
  <c r="AA714"/>
  <c r="AA358" s="1"/>
  <c r="AA713"/>
  <c r="AA357" s="1"/>
  <c r="AA734"/>
  <c r="AA732"/>
  <c r="AA730"/>
  <c r="AA728"/>
  <c r="AA727"/>
  <c r="AA725"/>
  <c r="AA690"/>
  <c r="AA341" s="1"/>
  <c r="AA689"/>
  <c r="AA340" s="1"/>
  <c r="AA688"/>
  <c r="AA339" s="1"/>
  <c r="AA687"/>
  <c r="AA338" s="1"/>
  <c r="AA686"/>
  <c r="AA337" s="1"/>
  <c r="AA685"/>
  <c r="AA336" s="1"/>
  <c r="AA684"/>
  <c r="AA335" s="1"/>
  <c r="AA683"/>
  <c r="AA334" s="1"/>
  <c r="AA682"/>
  <c r="AA333" s="1"/>
  <c r="AA681"/>
  <c r="AA332" s="1"/>
  <c r="AA702"/>
  <c r="AA701"/>
  <c r="AA700"/>
  <c r="AA699"/>
  <c r="AA698"/>
  <c r="AA697"/>
  <c r="AA696"/>
  <c r="AA694"/>
  <c r="AA693"/>
  <c r="AA670"/>
  <c r="AA54" s="1"/>
  <c r="AA621"/>
  <c r="AA622" s="1"/>
  <c r="AA615"/>
  <c r="AA616" s="1"/>
  <c r="AA448"/>
  <c r="AA447"/>
  <c r="AA446"/>
  <c r="AA445"/>
  <c r="AA444"/>
  <c r="AA443"/>
  <c r="AA363"/>
  <c r="AA461"/>
  <c r="AA392"/>
  <c r="AA360"/>
  <c r="AA327"/>
  <c r="AA314"/>
  <c r="AA313"/>
  <c r="AA312"/>
  <c r="AA311"/>
  <c r="AA310"/>
  <c r="AA309"/>
  <c r="AA30"/>
  <c r="AA26"/>
  <c r="AA25"/>
  <c r="AA23"/>
  <c r="AA19"/>
  <c r="AA40"/>
  <c r="AB2"/>
  <c r="Z328"/>
  <c r="Z467"/>
  <c r="Z466"/>
  <c r="Z470"/>
  <c r="Z474"/>
  <c r="Z494"/>
  <c r="Z498"/>
  <c r="Z518"/>
  <c r="Z522"/>
  <c r="Z526"/>
  <c r="Z473"/>
  <c r="Z493"/>
  <c r="Z497"/>
  <c r="Z501"/>
  <c r="Z521"/>
  <c r="Z525"/>
  <c r="AA683" i="7"/>
  <c r="AA668" s="1"/>
  <c r="AA69" s="1"/>
  <c r="Z27" i="8"/>
  <c r="AA651" i="7"/>
  <c r="AA636" s="1"/>
  <c r="AA68" s="1"/>
  <c r="AC11"/>
  <c r="AB616"/>
  <c r="AB614"/>
  <c r="AB610"/>
  <c r="AB601"/>
  <c r="AB600"/>
  <c r="AB611" s="1"/>
  <c r="AB597"/>
  <c r="AB596"/>
  <c r="AA61"/>
  <c r="AB726"/>
  <c r="AB724"/>
  <c r="AB723"/>
  <c r="AB722"/>
  <c r="AB721"/>
  <c r="AB720"/>
  <c r="AB719"/>
  <c r="AB717"/>
  <c r="AB714"/>
  <c r="AB320" s="1"/>
  <c r="AB713"/>
  <c r="AB319" s="1"/>
  <c r="AB712"/>
  <c r="AB711"/>
  <c r="AB317" s="1"/>
  <c r="AB710"/>
  <c r="AB316" s="1"/>
  <c r="AB709"/>
  <c r="AB708"/>
  <c r="AB314" s="1"/>
  <c r="AB707"/>
  <c r="AB313" s="1"/>
  <c r="AB706"/>
  <c r="AB312" s="1"/>
  <c r="AB705"/>
  <c r="AB311" s="1"/>
  <c r="AB694"/>
  <c r="AB693"/>
  <c r="AB692"/>
  <c r="AB691"/>
  <c r="AB690"/>
  <c r="AB689"/>
  <c r="AB688"/>
  <c r="AB687"/>
  <c r="AB685"/>
  <c r="AB682"/>
  <c r="AB294" s="1"/>
  <c r="AB681"/>
  <c r="AB680"/>
  <c r="AB679"/>
  <c r="AB291" s="1"/>
  <c r="AB678"/>
  <c r="AB290" s="1"/>
  <c r="AB677"/>
  <c r="AB289" s="1"/>
  <c r="AB676"/>
  <c r="AB288" s="1"/>
  <c r="AB675"/>
  <c r="AB287" s="1"/>
  <c r="AB674"/>
  <c r="AB286" s="1"/>
  <c r="AB673"/>
  <c r="AB285" s="1"/>
  <c r="AB662"/>
  <c r="AB661"/>
  <c r="AB660"/>
  <c r="AB659"/>
  <c r="AB658"/>
  <c r="AB657"/>
  <c r="AB656"/>
  <c r="AB654"/>
  <c r="AB653"/>
  <c r="AB650"/>
  <c r="AB269" s="1"/>
  <c r="AB649"/>
  <c r="AB268" s="1"/>
  <c r="AB648"/>
  <c r="AB647"/>
  <c r="AB266" s="1"/>
  <c r="AB646"/>
  <c r="AB265" s="1"/>
  <c r="AB645"/>
  <c r="AB264" s="1"/>
  <c r="AB644"/>
  <c r="AB263" s="1"/>
  <c r="AB643"/>
  <c r="AB262" s="1"/>
  <c r="AB642"/>
  <c r="AB261" s="1"/>
  <c r="AB641"/>
  <c r="AB260" s="1"/>
  <c r="AB549"/>
  <c r="AB550" s="1"/>
  <c r="AB543"/>
  <c r="AB544" s="1"/>
  <c r="AB630"/>
  <c r="AB62" s="1"/>
  <c r="AB389"/>
  <c r="AB318"/>
  <c r="AB292"/>
  <c r="AB376"/>
  <c r="AB375"/>
  <c r="AB374"/>
  <c r="AB373"/>
  <c r="AB372"/>
  <c r="AB371"/>
  <c r="AB315"/>
  <c r="AB293"/>
  <c r="AB255"/>
  <c r="AB267"/>
  <c r="AB242"/>
  <c r="AB241"/>
  <c r="AB240"/>
  <c r="AB239"/>
  <c r="AB238"/>
  <c r="AB237"/>
  <c r="AB30"/>
  <c r="AB26"/>
  <c r="AB25"/>
  <c r="AB23"/>
  <c r="AB19"/>
  <c r="AB40"/>
  <c r="AC2"/>
  <c r="AA400"/>
  <c r="AA394"/>
  <c r="AA402"/>
  <c r="AA397"/>
  <c r="AA401"/>
  <c r="AA421"/>
  <c r="AA425"/>
  <c r="AA429"/>
  <c r="AA449"/>
  <c r="AA453"/>
  <c r="AA422"/>
  <c r="AA426"/>
  <c r="AA446"/>
  <c r="AA450"/>
  <c r="AA454"/>
  <c r="AA615"/>
  <c r="AA609"/>
  <c r="AB622"/>
  <c r="Z71"/>
  <c r="AA27"/>
  <c r="AA715"/>
  <c r="AA700" s="1"/>
  <c r="AA70" s="1"/>
  <c r="AA71" s="1"/>
  <c r="Z606"/>
  <c r="Z80"/>
  <c r="Z81" s="1"/>
  <c r="AA256"/>
  <c r="AA396"/>
  <c r="AA398"/>
  <c r="AA395"/>
  <c r="AA399"/>
  <c r="AA403"/>
  <c r="AA423"/>
  <c r="AA427"/>
  <c r="AA447"/>
  <c r="AA451"/>
  <c r="AA455"/>
  <c r="AA420"/>
  <c r="AA424"/>
  <c r="AA428"/>
  <c r="AA448"/>
  <c r="AA452"/>
  <c r="AA390"/>
  <c r="AA166"/>
  <c r="AA130"/>
  <c r="AA55"/>
  <c r="AA599"/>
  <c r="L18" i="1"/>
  <c r="L37"/>
  <c r="AM36" i="2"/>
  <c r="J590"/>
  <c r="B610"/>
  <c r="B607"/>
  <c r="B603"/>
  <c r="B602"/>
  <c r="B596"/>
  <c r="B595"/>
  <c r="C584"/>
  <c r="C585"/>
  <c r="C586"/>
  <c r="C587"/>
  <c r="C588"/>
  <c r="A612"/>
  <c r="J555"/>
  <c r="B574"/>
  <c r="B573"/>
  <c r="B569"/>
  <c r="B568"/>
  <c r="B563"/>
  <c r="B562"/>
  <c r="B561"/>
  <c r="B560"/>
  <c r="C549"/>
  <c r="C550"/>
  <c r="C551"/>
  <c r="C552"/>
  <c r="C553"/>
  <c r="AC56" i="10" l="1"/>
  <c r="AC85"/>
  <c r="AC86" s="1"/>
  <c r="AC370"/>
  <c r="AD698"/>
  <c r="AD694"/>
  <c r="AD690"/>
  <c r="AD686"/>
  <c r="AB648" i="8"/>
  <c r="AB660"/>
  <c r="AB656"/>
  <c r="AB652"/>
  <c r="AB65" i="10"/>
  <c r="AB68" s="1"/>
  <c r="AB75" s="1"/>
  <c r="AA179"/>
  <c r="AA196" s="1"/>
  <c r="AC58"/>
  <c r="AC180"/>
  <c r="AC197" s="1"/>
  <c r="AC141"/>
  <c r="AC153" s="1"/>
  <c r="AC245"/>
  <c r="AC217"/>
  <c r="AC799"/>
  <c r="AC784" s="1"/>
  <c r="AC67" s="1"/>
  <c r="AB709"/>
  <c r="AC706" s="1"/>
  <c r="AC59"/>
  <c r="AE11"/>
  <c r="AD714"/>
  <c r="AD181" s="1"/>
  <c r="AD198" s="1"/>
  <c r="AD41"/>
  <c r="AD183" s="1"/>
  <c r="AD200" s="1"/>
  <c r="AC27"/>
  <c r="AD809"/>
  <c r="AD808"/>
  <c r="AD807"/>
  <c r="AD806"/>
  <c r="AD805"/>
  <c r="AD804"/>
  <c r="AD803"/>
  <c r="AD801"/>
  <c r="AD798"/>
  <c r="AD797"/>
  <c r="AD796"/>
  <c r="AD428" s="1"/>
  <c r="AD795"/>
  <c r="AD427" s="1"/>
  <c r="AD794"/>
  <c r="AD426" s="1"/>
  <c r="AD793"/>
  <c r="AD792"/>
  <c r="AD424" s="1"/>
  <c r="AD791"/>
  <c r="AD423" s="1"/>
  <c r="AD790"/>
  <c r="AD422" s="1"/>
  <c r="AD789"/>
  <c r="AD778"/>
  <c r="AD777"/>
  <c r="AD776"/>
  <c r="AD775"/>
  <c r="AD774"/>
  <c r="AD773"/>
  <c r="AD772"/>
  <c r="AD771"/>
  <c r="AD769"/>
  <c r="AD766"/>
  <c r="AD765"/>
  <c r="AD403" s="1"/>
  <c r="AD764"/>
  <c r="AD402" s="1"/>
  <c r="AD763"/>
  <c r="AD401" s="1"/>
  <c r="AD762"/>
  <c r="AD400" s="1"/>
  <c r="AD761"/>
  <c r="AD399" s="1"/>
  <c r="AD760"/>
  <c r="AD398" s="1"/>
  <c r="AD759"/>
  <c r="AD397" s="1"/>
  <c r="AD758"/>
  <c r="AD396" s="1"/>
  <c r="AD757"/>
  <c r="AD395" s="1"/>
  <c r="AD746"/>
  <c r="AD745"/>
  <c r="AD744"/>
  <c r="AD743"/>
  <c r="AD742"/>
  <c r="AD741"/>
  <c r="AD740"/>
  <c r="AD738"/>
  <c r="AD737"/>
  <c r="AD734"/>
  <c r="AD379" s="1"/>
  <c r="AD733"/>
  <c r="AD378" s="1"/>
  <c r="AD732"/>
  <c r="AD377" s="1"/>
  <c r="AD731"/>
  <c r="AD376" s="1"/>
  <c r="AD730"/>
  <c r="AD375" s="1"/>
  <c r="AD729"/>
  <c r="AD374" s="1"/>
  <c r="AD728"/>
  <c r="AD373" s="1"/>
  <c r="AD727"/>
  <c r="AD372" s="1"/>
  <c r="AD726"/>
  <c r="AD371" s="1"/>
  <c r="AD725"/>
  <c r="AD370" s="1"/>
  <c r="AD708"/>
  <c r="AD659"/>
  <c r="AD660" s="1"/>
  <c r="AD653"/>
  <c r="AD654" s="1"/>
  <c r="AD499"/>
  <c r="AD430"/>
  <c r="AD404"/>
  <c r="AD352"/>
  <c r="AD351"/>
  <c r="AD350"/>
  <c r="AD349"/>
  <c r="AD348"/>
  <c r="AD347"/>
  <c r="AD486"/>
  <c r="AD485"/>
  <c r="AD484"/>
  <c r="AD483"/>
  <c r="AD482"/>
  <c r="AD481"/>
  <c r="AD429"/>
  <c r="AD425"/>
  <c r="AD421"/>
  <c r="AD365"/>
  <c r="AD40"/>
  <c r="AE2"/>
  <c r="AD30"/>
  <c r="AD26"/>
  <c r="AD25"/>
  <c r="AD23"/>
  <c r="AD19"/>
  <c r="AC366"/>
  <c r="AC505"/>
  <c r="AC509"/>
  <c r="AC513"/>
  <c r="AC533"/>
  <c r="AC537"/>
  <c r="AC557"/>
  <c r="AC561"/>
  <c r="AC565"/>
  <c r="AC506"/>
  <c r="AC510"/>
  <c r="AC530"/>
  <c r="AC534"/>
  <c r="AC538"/>
  <c r="AC558"/>
  <c r="AC562"/>
  <c r="AC500"/>
  <c r="AC735"/>
  <c r="AC720" s="1"/>
  <c r="AC767"/>
  <c r="AC752" s="1"/>
  <c r="AC66" s="1"/>
  <c r="AC507"/>
  <c r="AC511"/>
  <c r="AC531"/>
  <c r="AC535"/>
  <c r="AC539"/>
  <c r="AC559"/>
  <c r="AC563"/>
  <c r="AC504"/>
  <c r="AC508"/>
  <c r="AC512"/>
  <c r="AC532"/>
  <c r="AC536"/>
  <c r="AC556"/>
  <c r="AC560"/>
  <c r="AC564"/>
  <c r="AB631" i="7"/>
  <c r="AC628" s="1"/>
  <c r="AC11" i="8"/>
  <c r="AA668"/>
  <c r="AA671" s="1"/>
  <c r="AB651" i="7"/>
  <c r="AB636" s="1"/>
  <c r="AB68" s="1"/>
  <c r="AB715"/>
  <c r="AB700" s="1"/>
  <c r="AB70" s="1"/>
  <c r="Z63" i="8"/>
  <c r="AA27"/>
  <c r="AA691"/>
  <c r="AA676" s="1"/>
  <c r="AA60" s="1"/>
  <c r="AA467"/>
  <c r="AA471"/>
  <c r="AA475"/>
  <c r="AA495"/>
  <c r="AA499"/>
  <c r="AA519"/>
  <c r="AA523"/>
  <c r="AA527"/>
  <c r="AA470"/>
  <c r="AA474"/>
  <c r="AA494"/>
  <c r="AA498"/>
  <c r="AA518"/>
  <c r="AA522"/>
  <c r="AA526"/>
  <c r="Z72"/>
  <c r="AA723"/>
  <c r="AA708" s="1"/>
  <c r="AA61" s="1"/>
  <c r="AA755"/>
  <c r="AA740" s="1"/>
  <c r="AA62" s="1"/>
  <c r="AB766"/>
  <c r="AB764"/>
  <c r="AB763"/>
  <c r="AB762"/>
  <c r="AB761"/>
  <c r="AB760"/>
  <c r="AB759"/>
  <c r="AB757"/>
  <c r="AB754"/>
  <c r="AB392" s="1"/>
  <c r="AB753"/>
  <c r="AB391" s="1"/>
  <c r="AB752"/>
  <c r="AB751"/>
  <c r="AB389" s="1"/>
  <c r="AB750"/>
  <c r="AB388" s="1"/>
  <c r="AB749"/>
  <c r="AB748"/>
  <c r="AB386" s="1"/>
  <c r="AB747"/>
  <c r="AB385" s="1"/>
  <c r="AB746"/>
  <c r="AB384" s="1"/>
  <c r="AB745"/>
  <c r="AB383" s="1"/>
  <c r="AB734"/>
  <c r="AB733"/>
  <c r="AB732"/>
  <c r="AB731"/>
  <c r="AB730"/>
  <c r="AB729"/>
  <c r="AB728"/>
  <c r="AB727"/>
  <c r="AB725"/>
  <c r="AB722"/>
  <c r="AB366" s="1"/>
  <c r="AB721"/>
  <c r="AB365" s="1"/>
  <c r="AB720"/>
  <c r="AB364" s="1"/>
  <c r="AB719"/>
  <c r="AB363" s="1"/>
  <c r="AB718"/>
  <c r="AB362" s="1"/>
  <c r="AB717"/>
  <c r="AB361" s="1"/>
  <c r="AB716"/>
  <c r="AB360" s="1"/>
  <c r="AB715"/>
  <c r="AB359" s="1"/>
  <c r="AB714"/>
  <c r="AB358" s="1"/>
  <c r="AB713"/>
  <c r="AB357" s="1"/>
  <c r="AB702"/>
  <c r="AB701"/>
  <c r="AB700"/>
  <c r="AB699"/>
  <c r="AB698"/>
  <c r="AB697"/>
  <c r="AB696"/>
  <c r="AB694"/>
  <c r="AB693"/>
  <c r="AB690"/>
  <c r="AB341" s="1"/>
  <c r="AB689"/>
  <c r="AB340" s="1"/>
  <c r="AB688"/>
  <c r="AB339" s="1"/>
  <c r="AB687"/>
  <c r="AB338" s="1"/>
  <c r="AB686"/>
  <c r="AB337" s="1"/>
  <c r="AB685"/>
  <c r="AB684"/>
  <c r="AB683"/>
  <c r="AB334" s="1"/>
  <c r="AB682"/>
  <c r="AB333" s="1"/>
  <c r="AB681"/>
  <c r="AB332" s="1"/>
  <c r="AB621"/>
  <c r="AB622" s="1"/>
  <c r="AB615"/>
  <c r="AB616" s="1"/>
  <c r="AB670"/>
  <c r="AB54" s="1"/>
  <c r="AB461"/>
  <c r="AB390"/>
  <c r="AB448"/>
  <c r="AB447"/>
  <c r="AB446"/>
  <c r="AB445"/>
  <c r="AB444"/>
  <c r="AB443"/>
  <c r="AB387"/>
  <c r="AB336"/>
  <c r="AB327"/>
  <c r="AB335"/>
  <c r="AB314"/>
  <c r="AB313"/>
  <c r="AB312"/>
  <c r="AB311"/>
  <c r="AB310"/>
  <c r="AB309"/>
  <c r="AB40"/>
  <c r="AC2"/>
  <c r="AB30"/>
  <c r="AB26"/>
  <c r="AB25"/>
  <c r="AB23"/>
  <c r="AB19"/>
  <c r="AA328"/>
  <c r="AA468"/>
  <c r="AA466"/>
  <c r="AA469"/>
  <c r="AA473"/>
  <c r="AA493"/>
  <c r="AA497"/>
  <c r="AA501"/>
  <c r="AA521"/>
  <c r="AA525"/>
  <c r="AA472"/>
  <c r="AA492"/>
  <c r="AA496"/>
  <c r="AA500"/>
  <c r="AA520"/>
  <c r="AA524"/>
  <c r="AA462"/>
  <c r="AB27" i="7"/>
  <c r="AC616"/>
  <c r="AC614"/>
  <c r="AC610"/>
  <c r="AC601"/>
  <c r="AC600"/>
  <c r="AC597"/>
  <c r="AC596"/>
  <c r="AD11"/>
  <c r="AB683"/>
  <c r="AB668" s="1"/>
  <c r="AB69" s="1"/>
  <c r="AB61"/>
  <c r="AC726"/>
  <c r="AC724"/>
  <c r="AC723"/>
  <c r="AC722"/>
  <c r="AC721"/>
  <c r="AC720"/>
  <c r="AC719"/>
  <c r="AC714"/>
  <c r="AC713"/>
  <c r="AC712"/>
  <c r="AC318" s="1"/>
  <c r="AC711"/>
  <c r="AC317" s="1"/>
  <c r="AC710"/>
  <c r="AC709"/>
  <c r="AC315" s="1"/>
  <c r="AC708"/>
  <c r="AC314" s="1"/>
  <c r="AC707"/>
  <c r="AC313" s="1"/>
  <c r="AC717"/>
  <c r="AC706"/>
  <c r="AC312" s="1"/>
  <c r="AC682"/>
  <c r="AC294" s="1"/>
  <c r="AC681"/>
  <c r="AC293" s="1"/>
  <c r="AC680"/>
  <c r="AC679"/>
  <c r="AC291" s="1"/>
  <c r="AC678"/>
  <c r="AC290" s="1"/>
  <c r="AC677"/>
  <c r="AC289" s="1"/>
  <c r="AC676"/>
  <c r="AC705"/>
  <c r="AC311" s="1"/>
  <c r="AC694"/>
  <c r="AC693"/>
  <c r="AC692"/>
  <c r="AC691"/>
  <c r="AC690"/>
  <c r="AC689"/>
  <c r="AC688"/>
  <c r="AC687"/>
  <c r="AC685"/>
  <c r="AC675"/>
  <c r="AC287" s="1"/>
  <c r="AC650"/>
  <c r="AC649"/>
  <c r="AC268" s="1"/>
  <c r="AC648"/>
  <c r="AC267" s="1"/>
  <c r="AC647"/>
  <c r="AC266" s="1"/>
  <c r="AC646"/>
  <c r="AC645"/>
  <c r="AC264" s="1"/>
  <c r="AC674"/>
  <c r="AC286" s="1"/>
  <c r="AC673"/>
  <c r="AC285" s="1"/>
  <c r="AC662"/>
  <c r="AC661"/>
  <c r="AC660"/>
  <c r="AC659"/>
  <c r="AC658"/>
  <c r="AC657"/>
  <c r="AC656"/>
  <c r="AC654"/>
  <c r="AC653"/>
  <c r="AC644"/>
  <c r="AC263" s="1"/>
  <c r="AC630"/>
  <c r="AC62" s="1"/>
  <c r="AC611"/>
  <c r="AC643"/>
  <c r="AC642"/>
  <c r="AC261" s="1"/>
  <c r="AC641"/>
  <c r="AC260" s="1"/>
  <c r="AC549"/>
  <c r="AC550" s="1"/>
  <c r="AC543"/>
  <c r="AC544" s="1"/>
  <c r="AC376"/>
  <c r="AC375"/>
  <c r="AC374"/>
  <c r="AC373"/>
  <c r="AC372"/>
  <c r="AC371"/>
  <c r="AC319"/>
  <c r="AC389"/>
  <c r="AC320"/>
  <c r="AC316"/>
  <c r="AC292"/>
  <c r="AC288"/>
  <c r="AC269"/>
  <c r="AC265"/>
  <c r="AC262"/>
  <c r="AC255"/>
  <c r="AC242"/>
  <c r="AC241"/>
  <c r="AC240"/>
  <c r="AC239"/>
  <c r="AC238"/>
  <c r="AC237"/>
  <c r="AC40"/>
  <c r="AC30"/>
  <c r="AC26"/>
  <c r="AC25"/>
  <c r="AC23"/>
  <c r="AC19"/>
  <c r="AD2"/>
  <c r="AB399"/>
  <c r="AB256"/>
  <c r="AB397"/>
  <c r="AB396"/>
  <c r="AB400"/>
  <c r="AB420"/>
  <c r="AB424"/>
  <c r="AB428"/>
  <c r="AB448"/>
  <c r="AB452"/>
  <c r="AB390"/>
  <c r="AB421"/>
  <c r="AB425"/>
  <c r="AB429"/>
  <c r="AB449"/>
  <c r="AB453"/>
  <c r="AC631"/>
  <c r="AD628" s="1"/>
  <c r="AB599"/>
  <c r="AA606"/>
  <c r="AA80"/>
  <c r="AA81" s="1"/>
  <c r="AB395"/>
  <c r="AB403"/>
  <c r="AB401"/>
  <c r="AB394"/>
  <c r="AB398"/>
  <c r="AB402"/>
  <c r="AB422"/>
  <c r="AB426"/>
  <c r="AB446"/>
  <c r="AB450"/>
  <c r="AB454"/>
  <c r="AB423"/>
  <c r="AB427"/>
  <c r="AB447"/>
  <c r="AB451"/>
  <c r="AB455"/>
  <c r="AB615"/>
  <c r="AB609"/>
  <c r="AC622"/>
  <c r="AB166"/>
  <c r="AB130"/>
  <c r="AB55"/>
  <c r="L19" i="1"/>
  <c r="L38"/>
  <c r="AN36" i="2"/>
  <c r="B599"/>
  <c r="E590" s="1"/>
  <c r="B564"/>
  <c r="AD56" i="10" l="1"/>
  <c r="AD85"/>
  <c r="AD86" s="1"/>
  <c r="AE698"/>
  <c r="AE694"/>
  <c r="AE690"/>
  <c r="AE686"/>
  <c r="AC660" i="8"/>
  <c r="AC656"/>
  <c r="AC652"/>
  <c r="AC648"/>
  <c r="AC65" i="10"/>
  <c r="AB179"/>
  <c r="AB196" s="1"/>
  <c r="AD58"/>
  <c r="AD180"/>
  <c r="AD197" s="1"/>
  <c r="AD141"/>
  <c r="AD153" s="1"/>
  <c r="AD245"/>
  <c r="AD217"/>
  <c r="AD59"/>
  <c r="AC709"/>
  <c r="AF11"/>
  <c r="AE714"/>
  <c r="AE181" s="1"/>
  <c r="AE198" s="1"/>
  <c r="AE41"/>
  <c r="AE183" s="1"/>
  <c r="AE200" s="1"/>
  <c r="AD799"/>
  <c r="AD784" s="1"/>
  <c r="AD67" s="1"/>
  <c r="AD27"/>
  <c r="AD735"/>
  <c r="AD720" s="1"/>
  <c r="AD767"/>
  <c r="AD752" s="1"/>
  <c r="AD66" s="1"/>
  <c r="AD706"/>
  <c r="AE809"/>
  <c r="AE808"/>
  <c r="AE807"/>
  <c r="AE806"/>
  <c r="AE805"/>
  <c r="AE804"/>
  <c r="AE803"/>
  <c r="AE801"/>
  <c r="AE798"/>
  <c r="AE430" s="1"/>
  <c r="AE797"/>
  <c r="AE796"/>
  <c r="AE428" s="1"/>
  <c r="AE795"/>
  <c r="AE427" s="1"/>
  <c r="AE794"/>
  <c r="AE426" s="1"/>
  <c r="AE793"/>
  <c r="AE425" s="1"/>
  <c r="AE792"/>
  <c r="AE424" s="1"/>
  <c r="AE791"/>
  <c r="AE423" s="1"/>
  <c r="AE790"/>
  <c r="AE422" s="1"/>
  <c r="AE766"/>
  <c r="AE404" s="1"/>
  <c r="AE765"/>
  <c r="AE764"/>
  <c r="AE402" s="1"/>
  <c r="AE763"/>
  <c r="AE401" s="1"/>
  <c r="AE762"/>
  <c r="AE400" s="1"/>
  <c r="AE761"/>
  <c r="AE399" s="1"/>
  <c r="AE760"/>
  <c r="AE398" s="1"/>
  <c r="AE759"/>
  <c r="AE397" s="1"/>
  <c r="AE789"/>
  <c r="AE778"/>
  <c r="AE777"/>
  <c r="AE776"/>
  <c r="AE775"/>
  <c r="AE774"/>
  <c r="AE773"/>
  <c r="AE772"/>
  <c r="AE771"/>
  <c r="AE769"/>
  <c r="AE734"/>
  <c r="AE379" s="1"/>
  <c r="AE733"/>
  <c r="AE378" s="1"/>
  <c r="AE732"/>
  <c r="AE377" s="1"/>
  <c r="AE731"/>
  <c r="AE376" s="1"/>
  <c r="AE730"/>
  <c r="AE375" s="1"/>
  <c r="AE729"/>
  <c r="AE374" s="1"/>
  <c r="AE728"/>
  <c r="AE373" s="1"/>
  <c r="AE758"/>
  <c r="AE396" s="1"/>
  <c r="AE757"/>
  <c r="AE395" s="1"/>
  <c r="AE746"/>
  <c r="AE745"/>
  <c r="AE744"/>
  <c r="AE743"/>
  <c r="AE742"/>
  <c r="AE741"/>
  <c r="AE740"/>
  <c r="AE738"/>
  <c r="AE737"/>
  <c r="AE726"/>
  <c r="AE371" s="1"/>
  <c r="AE659"/>
  <c r="AE660" s="1"/>
  <c r="AE653"/>
  <c r="AE654" s="1"/>
  <c r="AE727"/>
  <c r="AE372" s="1"/>
  <c r="AE725"/>
  <c r="AE708"/>
  <c r="AE486"/>
  <c r="AE485"/>
  <c r="AE484"/>
  <c r="AE483"/>
  <c r="AE482"/>
  <c r="AE481"/>
  <c r="AE429"/>
  <c r="AE403"/>
  <c r="AE365"/>
  <c r="AE499"/>
  <c r="AE352"/>
  <c r="AE351"/>
  <c r="AE350"/>
  <c r="AE349"/>
  <c r="AE348"/>
  <c r="AE347"/>
  <c r="AE30"/>
  <c r="AE26"/>
  <c r="AE25"/>
  <c r="AE23"/>
  <c r="AE19"/>
  <c r="AE40"/>
  <c r="AF2"/>
  <c r="AD504"/>
  <c r="AD508"/>
  <c r="AD512"/>
  <c r="AD532"/>
  <c r="AD536"/>
  <c r="AD556"/>
  <c r="AD560"/>
  <c r="AD564"/>
  <c r="AD507"/>
  <c r="AD511"/>
  <c r="AD531"/>
  <c r="AD535"/>
  <c r="AD539"/>
  <c r="AD559"/>
  <c r="AD563"/>
  <c r="AC68"/>
  <c r="AC75" s="1"/>
  <c r="AD506"/>
  <c r="AD510"/>
  <c r="AD530"/>
  <c r="AD534"/>
  <c r="AD538"/>
  <c r="AD558"/>
  <c r="AD562"/>
  <c r="AD500"/>
  <c r="AD366"/>
  <c r="AD505"/>
  <c r="AD509"/>
  <c r="AD513"/>
  <c r="AD533"/>
  <c r="AD537"/>
  <c r="AD557"/>
  <c r="AD561"/>
  <c r="AD565"/>
  <c r="AB71" i="7"/>
  <c r="AD11" i="8"/>
  <c r="AB668"/>
  <c r="AB671" s="1"/>
  <c r="AA63"/>
  <c r="AC715" i="7"/>
  <c r="AC700" s="1"/>
  <c r="AC70" s="1"/>
  <c r="AB27" i="8"/>
  <c r="AB467"/>
  <c r="AB468"/>
  <c r="AB472"/>
  <c r="AB492"/>
  <c r="AB496"/>
  <c r="AB500"/>
  <c r="AB520"/>
  <c r="AB524"/>
  <c r="AB462"/>
  <c r="AB471"/>
  <c r="AB475"/>
  <c r="AB495"/>
  <c r="AB499"/>
  <c r="AB519"/>
  <c r="AB523"/>
  <c r="AB527"/>
  <c r="AB691"/>
  <c r="AB676" s="1"/>
  <c r="AB60" s="1"/>
  <c r="AB723"/>
  <c r="AB708" s="1"/>
  <c r="AB61" s="1"/>
  <c r="AB755"/>
  <c r="AB740" s="1"/>
  <c r="AB62" s="1"/>
  <c r="AA72"/>
  <c r="AC766"/>
  <c r="AC764"/>
  <c r="AC763"/>
  <c r="AC762"/>
  <c r="AC761"/>
  <c r="AC760"/>
  <c r="AC759"/>
  <c r="AC757"/>
  <c r="AC754"/>
  <c r="AC753"/>
  <c r="AC752"/>
  <c r="AC390" s="1"/>
  <c r="AC751"/>
  <c r="AC389" s="1"/>
  <c r="AC750"/>
  <c r="AC388" s="1"/>
  <c r="AC749"/>
  <c r="AC387" s="1"/>
  <c r="AC748"/>
  <c r="AC386" s="1"/>
  <c r="AC747"/>
  <c r="AC385" s="1"/>
  <c r="AC746"/>
  <c r="AC745"/>
  <c r="AC383" s="1"/>
  <c r="AC734"/>
  <c r="AC732"/>
  <c r="AC730"/>
  <c r="AC728"/>
  <c r="AC722"/>
  <c r="AC366" s="1"/>
  <c r="AC721"/>
  <c r="AC365" s="1"/>
  <c r="AC720"/>
  <c r="AC364" s="1"/>
  <c r="AC719"/>
  <c r="AC363" s="1"/>
  <c r="AC718"/>
  <c r="AC362" s="1"/>
  <c r="AC717"/>
  <c r="AC361" s="1"/>
  <c r="AC716"/>
  <c r="AC715"/>
  <c r="AC359" s="1"/>
  <c r="AC714"/>
  <c r="AC358" s="1"/>
  <c r="AC713"/>
  <c r="AC357" s="1"/>
  <c r="AC733"/>
  <c r="AC731"/>
  <c r="AC729"/>
  <c r="AC727"/>
  <c r="AC725"/>
  <c r="AC690"/>
  <c r="AC341" s="1"/>
  <c r="AC689"/>
  <c r="AC340" s="1"/>
  <c r="AC688"/>
  <c r="AC339" s="1"/>
  <c r="AC687"/>
  <c r="AC338" s="1"/>
  <c r="AC686"/>
  <c r="AC337" s="1"/>
  <c r="AC685"/>
  <c r="AC684"/>
  <c r="AC335" s="1"/>
  <c r="AC683"/>
  <c r="AC334" s="1"/>
  <c r="AC682"/>
  <c r="AC333" s="1"/>
  <c r="AC681"/>
  <c r="AC332" s="1"/>
  <c r="AC702"/>
  <c r="AC701"/>
  <c r="AC700"/>
  <c r="AC699"/>
  <c r="AC698"/>
  <c r="AC697"/>
  <c r="AC696"/>
  <c r="AC694"/>
  <c r="AC693"/>
  <c r="AC670"/>
  <c r="AC54" s="1"/>
  <c r="AC621"/>
  <c r="AC622" s="1"/>
  <c r="AC615"/>
  <c r="AC616" s="1"/>
  <c r="AC448"/>
  <c r="AC447"/>
  <c r="AC446"/>
  <c r="AC445"/>
  <c r="AC444"/>
  <c r="AC443"/>
  <c r="AC391"/>
  <c r="AC336"/>
  <c r="AC461"/>
  <c r="AC392"/>
  <c r="AC384"/>
  <c r="AC360"/>
  <c r="AC327"/>
  <c r="AC314"/>
  <c r="AC313"/>
  <c r="AC312"/>
  <c r="AC311"/>
  <c r="AC310"/>
  <c r="AC309"/>
  <c r="AC30"/>
  <c r="AC26"/>
  <c r="AC25"/>
  <c r="AC23"/>
  <c r="AC19"/>
  <c r="AC40"/>
  <c r="AD2"/>
  <c r="AB328"/>
  <c r="AB469"/>
  <c r="AB466"/>
  <c r="AB470"/>
  <c r="AB474"/>
  <c r="AB494"/>
  <c r="AB498"/>
  <c r="AB518"/>
  <c r="AB522"/>
  <c r="AB526"/>
  <c r="AB473"/>
  <c r="AB493"/>
  <c r="AB497"/>
  <c r="AB501"/>
  <c r="AB521"/>
  <c r="AB525"/>
  <c r="AC27" i="7"/>
  <c r="AE11"/>
  <c r="AD616"/>
  <c r="AD614"/>
  <c r="AD610"/>
  <c r="AD601"/>
  <c r="AD600"/>
  <c r="AD597"/>
  <c r="AD596"/>
  <c r="AB606"/>
  <c r="AB80"/>
  <c r="AB81" s="1"/>
  <c r="AD725"/>
  <c r="AD724"/>
  <c r="AD723"/>
  <c r="AD722"/>
  <c r="AD721"/>
  <c r="AD720"/>
  <c r="AD719"/>
  <c r="AD717"/>
  <c r="AD714"/>
  <c r="AD320" s="1"/>
  <c r="AD713"/>
  <c r="AD319" s="1"/>
  <c r="AD712"/>
  <c r="AD711"/>
  <c r="AD317" s="1"/>
  <c r="AD710"/>
  <c r="AD316" s="1"/>
  <c r="AD709"/>
  <c r="AD315" s="1"/>
  <c r="AD708"/>
  <c r="AD707"/>
  <c r="AD313" s="1"/>
  <c r="AD706"/>
  <c r="AD312" s="1"/>
  <c r="AD705"/>
  <c r="AD311" s="1"/>
  <c r="AD694"/>
  <c r="AD693"/>
  <c r="AD692"/>
  <c r="AD691"/>
  <c r="AD690"/>
  <c r="AD689"/>
  <c r="AD688"/>
  <c r="AD687"/>
  <c r="AD685"/>
  <c r="AD682"/>
  <c r="AD681"/>
  <c r="AD293" s="1"/>
  <c r="AD680"/>
  <c r="AD292" s="1"/>
  <c r="AD679"/>
  <c r="AD678"/>
  <c r="AD290" s="1"/>
  <c r="AD677"/>
  <c r="AD289" s="1"/>
  <c r="AD676"/>
  <c r="AD288" s="1"/>
  <c r="AD675"/>
  <c r="AD287" s="1"/>
  <c r="AD674"/>
  <c r="AD286" s="1"/>
  <c r="AD673"/>
  <c r="AD285" s="1"/>
  <c r="AD662"/>
  <c r="AD661"/>
  <c r="AD660"/>
  <c r="AD659"/>
  <c r="AD658"/>
  <c r="AD657"/>
  <c r="AD656"/>
  <c r="AD654"/>
  <c r="AD653"/>
  <c r="AD650"/>
  <c r="AD269" s="1"/>
  <c r="AD649"/>
  <c r="AD268" s="1"/>
  <c r="AD648"/>
  <c r="AD647"/>
  <c r="AD266" s="1"/>
  <c r="AD646"/>
  <c r="AD265" s="1"/>
  <c r="AD645"/>
  <c r="AD264" s="1"/>
  <c r="AD644"/>
  <c r="AD263" s="1"/>
  <c r="AD643"/>
  <c r="AD262" s="1"/>
  <c r="AD642"/>
  <c r="AD261" s="1"/>
  <c r="AD641"/>
  <c r="AD260" s="1"/>
  <c r="AD549"/>
  <c r="AD550" s="1"/>
  <c r="AD543"/>
  <c r="AD544" s="1"/>
  <c r="AD630"/>
  <c r="AD62" s="1"/>
  <c r="AD611"/>
  <c r="AD389"/>
  <c r="AD318"/>
  <c r="AD314"/>
  <c r="AD294"/>
  <c r="AD376"/>
  <c r="AD375"/>
  <c r="AD374"/>
  <c r="AD373"/>
  <c r="AD372"/>
  <c r="AD371"/>
  <c r="AD291"/>
  <c r="AD255"/>
  <c r="AD242"/>
  <c r="AD241"/>
  <c r="AD240"/>
  <c r="AD239"/>
  <c r="AD238"/>
  <c r="AD237"/>
  <c r="AD267"/>
  <c r="AD30"/>
  <c r="AD26"/>
  <c r="AD25"/>
  <c r="AD23"/>
  <c r="AD19"/>
  <c r="AD40"/>
  <c r="AE2"/>
  <c r="AC256"/>
  <c r="AC398"/>
  <c r="AC396"/>
  <c r="AC395"/>
  <c r="AC399"/>
  <c r="AC403"/>
  <c r="AC423"/>
  <c r="AC427"/>
  <c r="AC447"/>
  <c r="AC451"/>
  <c r="AC455"/>
  <c r="AC420"/>
  <c r="AC424"/>
  <c r="AC428"/>
  <c r="AC448"/>
  <c r="AC452"/>
  <c r="AC390"/>
  <c r="AC166"/>
  <c r="AC130"/>
  <c r="AC55"/>
  <c r="AC61"/>
  <c r="AC651"/>
  <c r="AC636" s="1"/>
  <c r="AC68" s="1"/>
  <c r="AC599"/>
  <c r="AC683"/>
  <c r="AC668" s="1"/>
  <c r="AC69" s="1"/>
  <c r="AC394"/>
  <c r="AC402"/>
  <c r="AC400"/>
  <c r="AC397"/>
  <c r="AC401"/>
  <c r="AC421"/>
  <c r="AC425"/>
  <c r="AC429"/>
  <c r="AC449"/>
  <c r="AC453"/>
  <c r="AC422"/>
  <c r="AC426"/>
  <c r="AC446"/>
  <c r="AC450"/>
  <c r="AC454"/>
  <c r="AC615"/>
  <c r="AC609"/>
  <c r="AD622"/>
  <c r="L20" i="1"/>
  <c r="L39"/>
  <c r="AO36" i="2"/>
  <c r="B439"/>
  <c r="B436"/>
  <c r="B433"/>
  <c r="B432"/>
  <c r="B427"/>
  <c r="B426"/>
  <c r="B425"/>
  <c r="B424"/>
  <c r="A441"/>
  <c r="G42" i="4"/>
  <c r="B305" i="2"/>
  <c r="B303"/>
  <c r="B298"/>
  <c r="B297"/>
  <c r="B293"/>
  <c r="B292"/>
  <c r="B291"/>
  <c r="B290"/>
  <c r="A306"/>
  <c r="A300"/>
  <c r="A301"/>
  <c r="A294"/>
  <c r="A288"/>
  <c r="A554"/>
  <c r="A589" s="1"/>
  <c r="A279"/>
  <c r="A312" s="1"/>
  <c r="A319" s="1"/>
  <c r="A280"/>
  <c r="A313" s="1"/>
  <c r="A320" s="1"/>
  <c r="A281"/>
  <c r="A314" s="1"/>
  <c r="A321" s="1"/>
  <c r="A282"/>
  <c r="A315" s="1"/>
  <c r="A322" s="1"/>
  <c r="A283"/>
  <c r="A316" s="1"/>
  <c r="A323" s="1"/>
  <c r="A278"/>
  <c r="A311" s="1"/>
  <c r="AE56" i="10" l="1"/>
  <c r="AE85"/>
  <c r="AE86" s="1"/>
  <c r="AF698"/>
  <c r="AF694"/>
  <c r="AF690"/>
  <c r="AF686"/>
  <c r="AD648" i="8"/>
  <c r="AD660"/>
  <c r="AD656"/>
  <c r="AD652"/>
  <c r="AD65" i="10"/>
  <c r="AD68" s="1"/>
  <c r="AD75" s="1"/>
  <c r="AC179"/>
  <c r="AC196" s="1"/>
  <c r="AE58"/>
  <c r="AE180"/>
  <c r="AE197" s="1"/>
  <c r="AE141"/>
  <c r="AE153" s="1"/>
  <c r="AE245"/>
  <c r="AE217"/>
  <c r="AE735"/>
  <c r="AE720" s="1"/>
  <c r="AE799"/>
  <c r="AE784" s="1"/>
  <c r="AE67" s="1"/>
  <c r="AE421"/>
  <c r="AE556" s="1"/>
  <c r="AD709"/>
  <c r="AE706" s="1"/>
  <c r="AE59"/>
  <c r="AG11"/>
  <c r="AF41"/>
  <c r="AF183" s="1"/>
  <c r="AF200" s="1"/>
  <c r="AE370"/>
  <c r="AE366"/>
  <c r="AE505"/>
  <c r="AE509"/>
  <c r="AE513"/>
  <c r="AE533"/>
  <c r="AE537"/>
  <c r="AE557"/>
  <c r="AE561"/>
  <c r="AE565"/>
  <c r="AE506"/>
  <c r="AE510"/>
  <c r="AE530"/>
  <c r="AE534"/>
  <c r="AE538"/>
  <c r="AE558"/>
  <c r="AE562"/>
  <c r="AE500"/>
  <c r="AD631" i="7"/>
  <c r="AE628" s="1"/>
  <c r="AD599"/>
  <c r="AE27" i="10"/>
  <c r="AE767"/>
  <c r="AE752" s="1"/>
  <c r="AE66" s="1"/>
  <c r="AF809"/>
  <c r="AF808"/>
  <c r="AF807"/>
  <c r="AF806"/>
  <c r="AF805"/>
  <c r="AF804"/>
  <c r="AF803"/>
  <c r="AF801"/>
  <c r="AF798"/>
  <c r="AF430" s="1"/>
  <c r="AF797"/>
  <c r="AF429" s="1"/>
  <c r="AF796"/>
  <c r="AF428" s="1"/>
  <c r="AF795"/>
  <c r="AF794"/>
  <c r="AF426" s="1"/>
  <c r="AF793"/>
  <c r="AF425" s="1"/>
  <c r="AF792"/>
  <c r="AF424" s="1"/>
  <c r="AF791"/>
  <c r="AF423" s="1"/>
  <c r="AF790"/>
  <c r="AF422" s="1"/>
  <c r="AF789"/>
  <c r="AF778"/>
  <c r="AF777"/>
  <c r="AF776"/>
  <c r="AF775"/>
  <c r="AF774"/>
  <c r="AF773"/>
  <c r="AF772"/>
  <c r="AF771"/>
  <c r="AF769"/>
  <c r="AF766"/>
  <c r="AF404" s="1"/>
  <c r="AF765"/>
  <c r="AF403" s="1"/>
  <c r="AF764"/>
  <c r="AF402" s="1"/>
  <c r="AF763"/>
  <c r="AF401" s="1"/>
  <c r="AF762"/>
  <c r="AF400" s="1"/>
  <c r="AF761"/>
  <c r="AF399" s="1"/>
  <c r="AF760"/>
  <c r="AF398" s="1"/>
  <c r="AF759"/>
  <c r="AF397" s="1"/>
  <c r="AF758"/>
  <c r="AF396" s="1"/>
  <c r="AF757"/>
  <c r="AF395" s="1"/>
  <c r="AF746"/>
  <c r="AF745"/>
  <c r="AF744"/>
  <c r="AF743"/>
  <c r="AF742"/>
  <c r="AF741"/>
  <c r="AF740"/>
  <c r="AF738"/>
  <c r="AF737"/>
  <c r="AF734"/>
  <c r="AF379" s="1"/>
  <c r="AF733"/>
  <c r="AF378" s="1"/>
  <c r="AF732"/>
  <c r="AF377" s="1"/>
  <c r="AF731"/>
  <c r="AF376" s="1"/>
  <c r="AF730"/>
  <c r="AF375" s="1"/>
  <c r="AF729"/>
  <c r="AF374" s="1"/>
  <c r="AF728"/>
  <c r="AF373" s="1"/>
  <c r="AF727"/>
  <c r="AF372" s="1"/>
  <c r="AF726"/>
  <c r="AF371" s="1"/>
  <c r="AF725"/>
  <c r="AF659"/>
  <c r="AF660" s="1"/>
  <c r="AF653"/>
  <c r="AF654" s="1"/>
  <c r="AF499"/>
  <c r="AF352"/>
  <c r="AF351"/>
  <c r="AF350"/>
  <c r="AF349"/>
  <c r="AF348"/>
  <c r="AF347"/>
  <c r="AF486"/>
  <c r="AF485"/>
  <c r="AF484"/>
  <c r="AF483"/>
  <c r="AF482"/>
  <c r="AF481"/>
  <c r="AF427"/>
  <c r="AF365"/>
  <c r="AF40"/>
  <c r="AF30"/>
  <c r="AF26"/>
  <c r="AF25"/>
  <c r="AF23"/>
  <c r="AF19"/>
  <c r="AG2"/>
  <c r="AE507"/>
  <c r="AE511"/>
  <c r="AE531"/>
  <c r="AE535"/>
  <c r="AE539"/>
  <c r="AE559"/>
  <c r="AE563"/>
  <c r="AE508"/>
  <c r="AE512"/>
  <c r="AE532"/>
  <c r="AE536"/>
  <c r="AE560"/>
  <c r="AE564"/>
  <c r="AE11" i="8"/>
  <c r="AC668"/>
  <c r="AC671" s="1"/>
  <c r="AC27"/>
  <c r="AC691"/>
  <c r="AC676" s="1"/>
  <c r="AC60" s="1"/>
  <c r="AC723"/>
  <c r="AC708" s="1"/>
  <c r="AC61" s="1"/>
  <c r="AC755"/>
  <c r="AC740" s="1"/>
  <c r="AC62" s="1"/>
  <c r="AC466"/>
  <c r="AC467"/>
  <c r="AC471"/>
  <c r="AC475"/>
  <c r="AC495"/>
  <c r="AC499"/>
  <c r="AC519"/>
  <c r="AC523"/>
  <c r="AC527"/>
  <c r="AC470"/>
  <c r="AC474"/>
  <c r="AC494"/>
  <c r="AC498"/>
  <c r="AC518"/>
  <c r="AC522"/>
  <c r="AC526"/>
  <c r="AD765"/>
  <c r="AD764"/>
  <c r="AD763"/>
  <c r="AD762"/>
  <c r="AD761"/>
  <c r="AD760"/>
  <c r="AD759"/>
  <c r="AD757"/>
  <c r="AD754"/>
  <c r="AD753"/>
  <c r="AD391" s="1"/>
  <c r="AD752"/>
  <c r="AD390" s="1"/>
  <c r="AD751"/>
  <c r="AD750"/>
  <c r="AD388" s="1"/>
  <c r="AD749"/>
  <c r="AD387" s="1"/>
  <c r="AD748"/>
  <c r="AD386" s="1"/>
  <c r="AD747"/>
  <c r="AD746"/>
  <c r="AD384" s="1"/>
  <c r="AD745"/>
  <c r="AD383" s="1"/>
  <c r="AD734"/>
  <c r="AD733"/>
  <c r="AD732"/>
  <c r="AD731"/>
  <c r="AD730"/>
  <c r="AD729"/>
  <c r="AD728"/>
  <c r="AD727"/>
  <c r="AD725"/>
  <c r="AD722"/>
  <c r="AD366" s="1"/>
  <c r="AD721"/>
  <c r="AD365" s="1"/>
  <c r="AD720"/>
  <c r="AD719"/>
  <c r="AD363" s="1"/>
  <c r="AD718"/>
  <c r="AD362" s="1"/>
  <c r="AD717"/>
  <c r="AD361" s="1"/>
  <c r="AD716"/>
  <c r="AD360" s="1"/>
  <c r="AD715"/>
  <c r="AD359" s="1"/>
  <c r="AD714"/>
  <c r="AD358" s="1"/>
  <c r="AD713"/>
  <c r="AD702"/>
  <c r="AD701"/>
  <c r="AD700"/>
  <c r="AD699"/>
  <c r="AD698"/>
  <c r="AD697"/>
  <c r="AD696"/>
  <c r="AD694"/>
  <c r="AD693"/>
  <c r="AD690"/>
  <c r="AD341" s="1"/>
  <c r="AD689"/>
  <c r="AD340" s="1"/>
  <c r="AD688"/>
  <c r="AD339" s="1"/>
  <c r="AD687"/>
  <c r="AD338" s="1"/>
  <c r="AD686"/>
  <c r="AD337" s="1"/>
  <c r="AD685"/>
  <c r="AD336" s="1"/>
  <c r="AD684"/>
  <c r="AD335" s="1"/>
  <c r="AD683"/>
  <c r="AD334" s="1"/>
  <c r="AD682"/>
  <c r="AD333" s="1"/>
  <c r="AD681"/>
  <c r="AD332" s="1"/>
  <c r="AD621"/>
  <c r="AD622" s="1"/>
  <c r="AD615"/>
  <c r="AD616" s="1"/>
  <c r="AD670"/>
  <c r="AD54" s="1"/>
  <c r="AD461"/>
  <c r="AD392"/>
  <c r="AD364"/>
  <c r="AD448"/>
  <c r="AD447"/>
  <c r="AD446"/>
  <c r="AD445"/>
  <c r="AD444"/>
  <c r="AD443"/>
  <c r="AD389"/>
  <c r="AD385"/>
  <c r="AD357"/>
  <c r="AD327"/>
  <c r="AD314"/>
  <c r="AD313"/>
  <c r="AD312"/>
  <c r="AD311"/>
  <c r="AD310"/>
  <c r="AD309"/>
  <c r="AD40"/>
  <c r="AE2"/>
  <c r="AD30"/>
  <c r="AD26"/>
  <c r="AD25"/>
  <c r="AD23"/>
  <c r="AD19"/>
  <c r="AC328"/>
  <c r="AC468"/>
  <c r="AC469"/>
  <c r="AC473"/>
  <c r="AC493"/>
  <c r="AC497"/>
  <c r="AC501"/>
  <c r="AC521"/>
  <c r="AC525"/>
  <c r="AC472"/>
  <c r="AC492"/>
  <c r="AC496"/>
  <c r="AC500"/>
  <c r="AC520"/>
  <c r="AC524"/>
  <c r="AC462"/>
  <c r="AB72"/>
  <c r="AB63"/>
  <c r="AE616" i="7"/>
  <c r="AE614"/>
  <c r="AE610"/>
  <c r="AE601"/>
  <c r="AE600"/>
  <c r="AE597"/>
  <c r="AE596"/>
  <c r="AF11"/>
  <c r="AC606"/>
  <c r="AC80"/>
  <c r="AC81" s="1"/>
  <c r="AE725"/>
  <c r="AE724"/>
  <c r="AE723"/>
  <c r="AE722"/>
  <c r="AE721"/>
  <c r="AE720"/>
  <c r="AE719"/>
  <c r="AE717"/>
  <c r="AE714"/>
  <c r="AE713"/>
  <c r="AE319" s="1"/>
  <c r="AE712"/>
  <c r="AE711"/>
  <c r="AE710"/>
  <c r="AE709"/>
  <c r="AE315" s="1"/>
  <c r="AE708"/>
  <c r="AE707"/>
  <c r="AE705"/>
  <c r="AE682"/>
  <c r="AE294" s="1"/>
  <c r="AE681"/>
  <c r="AE293" s="1"/>
  <c r="AE680"/>
  <c r="AE292" s="1"/>
  <c r="AE679"/>
  <c r="AE678"/>
  <c r="AE290" s="1"/>
  <c r="AE677"/>
  <c r="AE289" s="1"/>
  <c r="AE676"/>
  <c r="AE706"/>
  <c r="AE312" s="1"/>
  <c r="AE694"/>
  <c r="AE693"/>
  <c r="AE692"/>
  <c r="AE691"/>
  <c r="AE690"/>
  <c r="AE689"/>
  <c r="AE688"/>
  <c r="AE687"/>
  <c r="AE685"/>
  <c r="AE650"/>
  <c r="AE649"/>
  <c r="AE648"/>
  <c r="AE267" s="1"/>
  <c r="AE647"/>
  <c r="AE266" s="1"/>
  <c r="AE646"/>
  <c r="AE265" s="1"/>
  <c r="AE645"/>
  <c r="AE264" s="1"/>
  <c r="AE675"/>
  <c r="AE674"/>
  <c r="AE286" s="1"/>
  <c r="AE673"/>
  <c r="AE285" s="1"/>
  <c r="AE662"/>
  <c r="AE661"/>
  <c r="AE660"/>
  <c r="AE659"/>
  <c r="AE658"/>
  <c r="AE657"/>
  <c r="AE656"/>
  <c r="AE654"/>
  <c r="AE653"/>
  <c r="AE643"/>
  <c r="AE630"/>
  <c r="AE62" s="1"/>
  <c r="AE611"/>
  <c r="AE644"/>
  <c r="AE263" s="1"/>
  <c r="AE642"/>
  <c r="AE261" s="1"/>
  <c r="AE641"/>
  <c r="AE260" s="1"/>
  <c r="AE549"/>
  <c r="AE550" s="1"/>
  <c r="AE543"/>
  <c r="AE544" s="1"/>
  <c r="AE376"/>
  <c r="AE375"/>
  <c r="AE374"/>
  <c r="AE373"/>
  <c r="AE372"/>
  <c r="AE371"/>
  <c r="AE317"/>
  <c r="AE313"/>
  <c r="AE311"/>
  <c r="AE291"/>
  <c r="AE287"/>
  <c r="AE389"/>
  <c r="AE320"/>
  <c r="AE318"/>
  <c r="AE316"/>
  <c r="AE314"/>
  <c r="AE288"/>
  <c r="AE269"/>
  <c r="AE268"/>
  <c r="AE255"/>
  <c r="AE262"/>
  <c r="AE242"/>
  <c r="AE241"/>
  <c r="AE240"/>
  <c r="AE239"/>
  <c r="AE238"/>
  <c r="AE237"/>
  <c r="AE40"/>
  <c r="AE30"/>
  <c r="AE26"/>
  <c r="AE25"/>
  <c r="AE23"/>
  <c r="AE19"/>
  <c r="AF2"/>
  <c r="AD397"/>
  <c r="AD256"/>
  <c r="AD395"/>
  <c r="AD403"/>
  <c r="AD394"/>
  <c r="AD398"/>
  <c r="AD402"/>
  <c r="AD422"/>
  <c r="AD426"/>
  <c r="AD446"/>
  <c r="AD450"/>
  <c r="AD454"/>
  <c r="AD423"/>
  <c r="AD427"/>
  <c r="AD447"/>
  <c r="AD451"/>
  <c r="AD455"/>
  <c r="AD615"/>
  <c r="AD609"/>
  <c r="AE622"/>
  <c r="AD166"/>
  <c r="AD130"/>
  <c r="AD55"/>
  <c r="AD27"/>
  <c r="AD61"/>
  <c r="AD651"/>
  <c r="AD636" s="1"/>
  <c r="AD68" s="1"/>
  <c r="AD683"/>
  <c r="AD668" s="1"/>
  <c r="AD69" s="1"/>
  <c r="AD715"/>
  <c r="AD700" s="1"/>
  <c r="AD70" s="1"/>
  <c r="AD401"/>
  <c r="AD399"/>
  <c r="AD396"/>
  <c r="AD400"/>
  <c r="AD420"/>
  <c r="AD424"/>
  <c r="AD428"/>
  <c r="AD448"/>
  <c r="AD452"/>
  <c r="AD390"/>
  <c r="AD421"/>
  <c r="AD425"/>
  <c r="AD429"/>
  <c r="AD449"/>
  <c r="AD453"/>
  <c r="AC71"/>
  <c r="L21" i="1"/>
  <c r="L40"/>
  <c r="AP36" i="2"/>
  <c r="A318"/>
  <c r="A422"/>
  <c r="A558"/>
  <c r="A593" s="1"/>
  <c r="A435"/>
  <c r="A571"/>
  <c r="A606" s="1"/>
  <c r="A440"/>
  <c r="A576"/>
  <c r="A611" s="1"/>
  <c r="A428"/>
  <c r="A564"/>
  <c r="A599" s="1"/>
  <c r="A434"/>
  <c r="A570"/>
  <c r="A605" s="1"/>
  <c r="B428"/>
  <c r="A416"/>
  <c r="A414"/>
  <c r="A412"/>
  <c r="A417"/>
  <c r="A415"/>
  <c r="A413"/>
  <c r="B294"/>
  <c r="AF56" i="10" l="1"/>
  <c r="AF85"/>
  <c r="AF86" s="1"/>
  <c r="AF421"/>
  <c r="AG698"/>
  <c r="AG694"/>
  <c r="AG690"/>
  <c r="AG686"/>
  <c r="AE660" i="8"/>
  <c r="AE656"/>
  <c r="AE652"/>
  <c r="AE648"/>
  <c r="AE65" i="10"/>
  <c r="AD179"/>
  <c r="AD196" s="1"/>
  <c r="AF141"/>
  <c r="AF153" s="1"/>
  <c r="AF245"/>
  <c r="AF217"/>
  <c r="AE68"/>
  <c r="AE75" s="1"/>
  <c r="AE709"/>
  <c r="AF706" s="1"/>
  <c r="AH11"/>
  <c r="AG41"/>
  <c r="AG183" s="1"/>
  <c r="AG200" s="1"/>
  <c r="AG714"/>
  <c r="AG181" s="1"/>
  <c r="AG198" s="1"/>
  <c r="AF370"/>
  <c r="AF504" s="1"/>
  <c r="AE504"/>
  <c r="AF27"/>
  <c r="AF507"/>
  <c r="AF511"/>
  <c r="AF531"/>
  <c r="AF535"/>
  <c r="AF539"/>
  <c r="AG815"/>
  <c r="AG810"/>
  <c r="AG809"/>
  <c r="AG808"/>
  <c r="AG807"/>
  <c r="AG806"/>
  <c r="AG805"/>
  <c r="AG804"/>
  <c r="AG803"/>
  <c r="AG798"/>
  <c r="AG797"/>
  <c r="AG796"/>
  <c r="AG795"/>
  <c r="AG794"/>
  <c r="AG793"/>
  <c r="AG792"/>
  <c r="AG791"/>
  <c r="AG790"/>
  <c r="AG801"/>
  <c r="AG789"/>
  <c r="AG766"/>
  <c r="AG765"/>
  <c r="AG764"/>
  <c r="AG763"/>
  <c r="AG762"/>
  <c r="AG761"/>
  <c r="AG760"/>
  <c r="AG759"/>
  <c r="AG778"/>
  <c r="AG777"/>
  <c r="AG776"/>
  <c r="AG775"/>
  <c r="AG774"/>
  <c r="AG773"/>
  <c r="AG772"/>
  <c r="AG770"/>
  <c r="AG769"/>
  <c r="AG758"/>
  <c r="AG734"/>
  <c r="AG733"/>
  <c r="AG732"/>
  <c r="AG731"/>
  <c r="AG730"/>
  <c r="AG729"/>
  <c r="AG728"/>
  <c r="AG757"/>
  <c r="AG746"/>
  <c r="AG745"/>
  <c r="AG744"/>
  <c r="AG743"/>
  <c r="AG742"/>
  <c r="AG741"/>
  <c r="AG740"/>
  <c r="AG738"/>
  <c r="AG737"/>
  <c r="AG727"/>
  <c r="AG725"/>
  <c r="AG659"/>
  <c r="AG660" s="1"/>
  <c r="AG653"/>
  <c r="AG654" s="1"/>
  <c r="AG726"/>
  <c r="AG708"/>
  <c r="AG486"/>
  <c r="AG485"/>
  <c r="AG484"/>
  <c r="AG483"/>
  <c r="AG482"/>
  <c r="AG481"/>
  <c r="AG429"/>
  <c r="AG427"/>
  <c r="AG425"/>
  <c r="AG423"/>
  <c r="AG421"/>
  <c r="AG403"/>
  <c r="AG401"/>
  <c r="AG399"/>
  <c r="AG397"/>
  <c r="AG395"/>
  <c r="AG378"/>
  <c r="AG376"/>
  <c r="AG374"/>
  <c r="AG372"/>
  <c r="AG370"/>
  <c r="AG365"/>
  <c r="AG499"/>
  <c r="AG430"/>
  <c r="AG428"/>
  <c r="AG426"/>
  <c r="AG424"/>
  <c r="AG422"/>
  <c r="AG404"/>
  <c r="AG402"/>
  <c r="AG400"/>
  <c r="AG398"/>
  <c r="AG396"/>
  <c r="AG379"/>
  <c r="AG377"/>
  <c r="AG375"/>
  <c r="AG373"/>
  <c r="AG371"/>
  <c r="AG352"/>
  <c r="AG351"/>
  <c r="AG350"/>
  <c r="AG349"/>
  <c r="AG348"/>
  <c r="AG347"/>
  <c r="AG246"/>
  <c r="AG218"/>
  <c r="AG33"/>
  <c r="AG35" s="1"/>
  <c r="AG37" s="1"/>
  <c r="AG30"/>
  <c r="AG26"/>
  <c r="AG25"/>
  <c r="AG23"/>
  <c r="AG19"/>
  <c r="AG5"/>
  <c r="AG40"/>
  <c r="AH2"/>
  <c r="AF506"/>
  <c r="AF510"/>
  <c r="AF530"/>
  <c r="AF534"/>
  <c r="AF538"/>
  <c r="AF558"/>
  <c r="AF562"/>
  <c r="AF500"/>
  <c r="AF366"/>
  <c r="AF505"/>
  <c r="AF509"/>
  <c r="AF513"/>
  <c r="AF533"/>
  <c r="AF537"/>
  <c r="AF557"/>
  <c r="AF561"/>
  <c r="AF565"/>
  <c r="AF508"/>
  <c r="AF512"/>
  <c r="AF532"/>
  <c r="AF536"/>
  <c r="AF556"/>
  <c r="AF560"/>
  <c r="AF564"/>
  <c r="AF559"/>
  <c r="AF563"/>
  <c r="AF735"/>
  <c r="AF720" s="1"/>
  <c r="AF767"/>
  <c r="AF752" s="1"/>
  <c r="AF66" s="1"/>
  <c r="AF799"/>
  <c r="AF784" s="1"/>
  <c r="AF67" s="1"/>
  <c r="AE631" i="7"/>
  <c r="AF628" s="1"/>
  <c r="AF11" i="8"/>
  <c r="AD668"/>
  <c r="AC63"/>
  <c r="AD723"/>
  <c r="AD708" s="1"/>
  <c r="AD61" s="1"/>
  <c r="AD691"/>
  <c r="AD676" s="1"/>
  <c r="AD60" s="1"/>
  <c r="AD755"/>
  <c r="AD740" s="1"/>
  <c r="AD62" s="1"/>
  <c r="AC72"/>
  <c r="AE765"/>
  <c r="AE764"/>
  <c r="AE763"/>
  <c r="AE762"/>
  <c r="AE761"/>
  <c r="AE760"/>
  <c r="AE759"/>
  <c r="AE757"/>
  <c r="AE754"/>
  <c r="AE392" s="1"/>
  <c r="AE753"/>
  <c r="AE752"/>
  <c r="AE751"/>
  <c r="AE389" s="1"/>
  <c r="AE750"/>
  <c r="AE388" s="1"/>
  <c r="AE749"/>
  <c r="AE387" s="1"/>
  <c r="AE748"/>
  <c r="AE747"/>
  <c r="AE385" s="1"/>
  <c r="AE746"/>
  <c r="AE384" s="1"/>
  <c r="AE745"/>
  <c r="AE383" s="1"/>
  <c r="AE733"/>
  <c r="AE731"/>
  <c r="AE729"/>
  <c r="AE722"/>
  <c r="AE366" s="1"/>
  <c r="AE721"/>
  <c r="AE720"/>
  <c r="AE364" s="1"/>
  <c r="AE719"/>
  <c r="AE363" s="1"/>
  <c r="AE718"/>
  <c r="AE362" s="1"/>
  <c r="AE717"/>
  <c r="AE716"/>
  <c r="AE715"/>
  <c r="AE359" s="1"/>
  <c r="AE714"/>
  <c r="AE358" s="1"/>
  <c r="AE713"/>
  <c r="AE734"/>
  <c r="AE732"/>
  <c r="AE730"/>
  <c r="AE728"/>
  <c r="AE727"/>
  <c r="AE725"/>
  <c r="AE690"/>
  <c r="AE341" s="1"/>
  <c r="AE689"/>
  <c r="AE340" s="1"/>
  <c r="AE688"/>
  <c r="AE339" s="1"/>
  <c r="AE687"/>
  <c r="AE686"/>
  <c r="AE337" s="1"/>
  <c r="AE685"/>
  <c r="AE336" s="1"/>
  <c r="AE684"/>
  <c r="AE335" s="1"/>
  <c r="AE683"/>
  <c r="AE334" s="1"/>
  <c r="AE682"/>
  <c r="AE333" s="1"/>
  <c r="AE681"/>
  <c r="AE332" s="1"/>
  <c r="AE702"/>
  <c r="AE701"/>
  <c r="AE700"/>
  <c r="AE699"/>
  <c r="AE698"/>
  <c r="AE697"/>
  <c r="AE696"/>
  <c r="AE694"/>
  <c r="AE693"/>
  <c r="AE670"/>
  <c r="AE54" s="1"/>
  <c r="AE621"/>
  <c r="AE622" s="1"/>
  <c r="AE615"/>
  <c r="AE616" s="1"/>
  <c r="AE448"/>
  <c r="AE447"/>
  <c r="AE446"/>
  <c r="AE445"/>
  <c r="AE444"/>
  <c r="AE443"/>
  <c r="AE391"/>
  <c r="AE365"/>
  <c r="AE361"/>
  <c r="AE357"/>
  <c r="AE338"/>
  <c r="AE461"/>
  <c r="AE390"/>
  <c r="AE386"/>
  <c r="AE360"/>
  <c r="AE327"/>
  <c r="AE314"/>
  <c r="AE313"/>
  <c r="AE312"/>
  <c r="AE311"/>
  <c r="AE310"/>
  <c r="AE309"/>
  <c r="AE30"/>
  <c r="AE26"/>
  <c r="AE25"/>
  <c r="AE23"/>
  <c r="AE19"/>
  <c r="AE40"/>
  <c r="AF2"/>
  <c r="AD328"/>
  <c r="AD467"/>
  <c r="AD466"/>
  <c r="AD470"/>
  <c r="AD474"/>
  <c r="AD494"/>
  <c r="AD498"/>
  <c r="AD518"/>
  <c r="AD522"/>
  <c r="AD526"/>
  <c r="AD473"/>
  <c r="AD493"/>
  <c r="AD497"/>
  <c r="AD501"/>
  <c r="AD521"/>
  <c r="AD525"/>
  <c r="AD27"/>
  <c r="AD469"/>
  <c r="AD468"/>
  <c r="AD472"/>
  <c r="AD492"/>
  <c r="AD496"/>
  <c r="AD500"/>
  <c r="AD520"/>
  <c r="AD524"/>
  <c r="AD462"/>
  <c r="AD471"/>
  <c r="AD475"/>
  <c r="AD495"/>
  <c r="AD499"/>
  <c r="AD519"/>
  <c r="AD523"/>
  <c r="AD527"/>
  <c r="AD671"/>
  <c r="AG11" i="7"/>
  <c r="AF616"/>
  <c r="AF614"/>
  <c r="AF610"/>
  <c r="AF601"/>
  <c r="AF600"/>
  <c r="AF611" s="1"/>
  <c r="AF597"/>
  <c r="AF596"/>
  <c r="AE651"/>
  <c r="AE636" s="1"/>
  <c r="AE68" s="1"/>
  <c r="AE683"/>
  <c r="AE668" s="1"/>
  <c r="AE69" s="1"/>
  <c r="AE61"/>
  <c r="AE400"/>
  <c r="AE394"/>
  <c r="AE402"/>
  <c r="AE397"/>
  <c r="AE401"/>
  <c r="AE421"/>
  <c r="AE425"/>
  <c r="AE429"/>
  <c r="AE449"/>
  <c r="AE453"/>
  <c r="AE422"/>
  <c r="AE426"/>
  <c r="AE446"/>
  <c r="AE450"/>
  <c r="AE454"/>
  <c r="AE615"/>
  <c r="AE609"/>
  <c r="AF622"/>
  <c r="AE27"/>
  <c r="AE715"/>
  <c r="AE700" s="1"/>
  <c r="AE70" s="1"/>
  <c r="AD606"/>
  <c r="AD80"/>
  <c r="AD81" s="1"/>
  <c r="AF725"/>
  <c r="AF724"/>
  <c r="AF723"/>
  <c r="AF722"/>
  <c r="AF721"/>
  <c r="AF720"/>
  <c r="AF719"/>
  <c r="AF717"/>
  <c r="AF714"/>
  <c r="AF320" s="1"/>
  <c r="AF713"/>
  <c r="AF319" s="1"/>
  <c r="AF712"/>
  <c r="AF711"/>
  <c r="AF317" s="1"/>
  <c r="AF710"/>
  <c r="AF316" s="1"/>
  <c r="AF709"/>
  <c r="AF708"/>
  <c r="AF314" s="1"/>
  <c r="AF707"/>
  <c r="AF313" s="1"/>
  <c r="AF706"/>
  <c r="AF312" s="1"/>
  <c r="AF705"/>
  <c r="AF311" s="1"/>
  <c r="AF694"/>
  <c r="AF693"/>
  <c r="AF692"/>
  <c r="AF691"/>
  <c r="AF690"/>
  <c r="AF689"/>
  <c r="AF688"/>
  <c r="AF687"/>
  <c r="AF685"/>
  <c r="AF682"/>
  <c r="AF294" s="1"/>
  <c r="AF681"/>
  <c r="AF293" s="1"/>
  <c r="AF680"/>
  <c r="AF292" s="1"/>
  <c r="AF679"/>
  <c r="AF291" s="1"/>
  <c r="AF678"/>
  <c r="AF290" s="1"/>
  <c r="AF677"/>
  <c r="AF289" s="1"/>
  <c r="AF676"/>
  <c r="AF675"/>
  <c r="AF287" s="1"/>
  <c r="AF674"/>
  <c r="AF286" s="1"/>
  <c r="AF673"/>
  <c r="AF662"/>
  <c r="AF661"/>
  <c r="AF660"/>
  <c r="AF659"/>
  <c r="AF658"/>
  <c r="AF657"/>
  <c r="AF656"/>
  <c r="AF654"/>
  <c r="AF653"/>
  <c r="AF650"/>
  <c r="AF269" s="1"/>
  <c r="AF649"/>
  <c r="AF268" s="1"/>
  <c r="AF648"/>
  <c r="AF647"/>
  <c r="AF266" s="1"/>
  <c r="AF646"/>
  <c r="AF265" s="1"/>
  <c r="AF645"/>
  <c r="AF264" s="1"/>
  <c r="AF644"/>
  <c r="AF263" s="1"/>
  <c r="AF643"/>
  <c r="AF262" s="1"/>
  <c r="AF642"/>
  <c r="AF641"/>
  <c r="AF260" s="1"/>
  <c r="AF549"/>
  <c r="AF550" s="1"/>
  <c r="AF543"/>
  <c r="AF544" s="1"/>
  <c r="AF630"/>
  <c r="AF62" s="1"/>
  <c r="AF389"/>
  <c r="AF318"/>
  <c r="AF288"/>
  <c r="AF376"/>
  <c r="AF375"/>
  <c r="AF374"/>
  <c r="AF373"/>
  <c r="AF372"/>
  <c r="AF371"/>
  <c r="AF315"/>
  <c r="AF285"/>
  <c r="AF255"/>
  <c r="AF267"/>
  <c r="AF242"/>
  <c r="AF241"/>
  <c r="AF240"/>
  <c r="AF239"/>
  <c r="AF238"/>
  <c r="AF237"/>
  <c r="AF261"/>
  <c r="AF30"/>
  <c r="AF26"/>
  <c r="AF25"/>
  <c r="AF23"/>
  <c r="AF19"/>
  <c r="AF40"/>
  <c r="AG2"/>
  <c r="AE256"/>
  <c r="AE396"/>
  <c r="AE398"/>
  <c r="AE395"/>
  <c r="AE399"/>
  <c r="AE403"/>
  <c r="AE423"/>
  <c r="AE427"/>
  <c r="AE447"/>
  <c r="AE451"/>
  <c r="AE455"/>
  <c r="AE420"/>
  <c r="AE424"/>
  <c r="AE428"/>
  <c r="AE448"/>
  <c r="AE452"/>
  <c r="AE390"/>
  <c r="AE166"/>
  <c r="AE130"/>
  <c r="AE55"/>
  <c r="AD71"/>
  <c r="AE599"/>
  <c r="L22" i="1"/>
  <c r="L41"/>
  <c r="A446" i="2"/>
  <c r="A549"/>
  <c r="A584" s="1"/>
  <c r="A450"/>
  <c r="A457" s="1"/>
  <c r="A553"/>
  <c r="A588" s="1"/>
  <c r="A447"/>
  <c r="A454" s="1"/>
  <c r="A550"/>
  <c r="A585" s="1"/>
  <c r="A448"/>
  <c r="A455" s="1"/>
  <c r="A551"/>
  <c r="A586" s="1"/>
  <c r="A445"/>
  <c r="A548"/>
  <c r="A583" s="1"/>
  <c r="A449"/>
  <c r="A456" s="1"/>
  <c r="A552"/>
  <c r="A587" s="1"/>
  <c r="A453"/>
  <c r="G3" i="4"/>
  <c r="C218" i="1"/>
  <c r="D218"/>
  <c r="D219" s="1"/>
  <c r="E218"/>
  <c r="E219" s="1"/>
  <c r="B218"/>
  <c r="B219" s="1"/>
  <c r="C219"/>
  <c r="AG56" i="10" l="1"/>
  <c r="AG85"/>
  <c r="AG86" s="1"/>
  <c r="AH698"/>
  <c r="AH694"/>
  <c r="AH690"/>
  <c r="AH686"/>
  <c r="AF648" i="8"/>
  <c r="AF660"/>
  <c r="AF656"/>
  <c r="AF652"/>
  <c r="AF65" i="10"/>
  <c r="AE179"/>
  <c r="AE196" s="1"/>
  <c r="AG58"/>
  <c r="AG180"/>
  <c r="AG197" s="1"/>
  <c r="AG141"/>
  <c r="AG153" s="1"/>
  <c r="AG245"/>
  <c r="AG217"/>
  <c r="AG39"/>
  <c r="AG59"/>
  <c r="AI11"/>
  <c r="AH714"/>
  <c r="AH181" s="1"/>
  <c r="AH198" s="1"/>
  <c r="AH41"/>
  <c r="AH183" s="1"/>
  <c r="AH200" s="1"/>
  <c r="AG27"/>
  <c r="AG767"/>
  <c r="AG752" s="1"/>
  <c r="AG66" s="1"/>
  <c r="AG735"/>
  <c r="AG720" s="1"/>
  <c r="AF708"/>
  <c r="AG695"/>
  <c r="AG696" s="1"/>
  <c r="AG687"/>
  <c r="AG688" s="1"/>
  <c r="AG661"/>
  <c r="AG662" s="1"/>
  <c r="AG655"/>
  <c r="AG656" s="1"/>
  <c r="AG699"/>
  <c r="AG700" s="1"/>
  <c r="AG691"/>
  <c r="AG130"/>
  <c r="AG29"/>
  <c r="AG31" s="1"/>
  <c r="AG10"/>
  <c r="AG12" s="1"/>
  <c r="AG274" s="1"/>
  <c r="AG292" s="1"/>
  <c r="AG507"/>
  <c r="AG511"/>
  <c r="AG531"/>
  <c r="AG535"/>
  <c r="AG539"/>
  <c r="AG559"/>
  <c r="AG563"/>
  <c r="AG504"/>
  <c r="AG508"/>
  <c r="AG512"/>
  <c r="AG532"/>
  <c r="AG536"/>
  <c r="AG556"/>
  <c r="AG560"/>
  <c r="AG564"/>
  <c r="AG49"/>
  <c r="AG275" s="1"/>
  <c r="AG293" s="1"/>
  <c r="AE71" i="7"/>
  <c r="AF68" i="10"/>
  <c r="AF179" s="1"/>
  <c r="AF196" s="1"/>
  <c r="AG799"/>
  <c r="AG784" s="1"/>
  <c r="AG67" s="1"/>
  <c r="AH810"/>
  <c r="AH809"/>
  <c r="AH808"/>
  <c r="AH807"/>
  <c r="AH806"/>
  <c r="AH805"/>
  <c r="AH804"/>
  <c r="AH803"/>
  <c r="AH801"/>
  <c r="AH815"/>
  <c r="AH798"/>
  <c r="AH797"/>
  <c r="AH796"/>
  <c r="AH795"/>
  <c r="AH794"/>
  <c r="AH793"/>
  <c r="AH792"/>
  <c r="AH791"/>
  <c r="AH790"/>
  <c r="AH789"/>
  <c r="AH778"/>
  <c r="AH777"/>
  <c r="AH776"/>
  <c r="AH775"/>
  <c r="AH774"/>
  <c r="AH773"/>
  <c r="AH772"/>
  <c r="AH770"/>
  <c r="AH769"/>
  <c r="AH766"/>
  <c r="AH765"/>
  <c r="AH764"/>
  <c r="AH763"/>
  <c r="AH762"/>
  <c r="AH761"/>
  <c r="AH760"/>
  <c r="AH759"/>
  <c r="AH758"/>
  <c r="AH757"/>
  <c r="AH746"/>
  <c r="AH745"/>
  <c r="AH744"/>
  <c r="AH743"/>
  <c r="AH742"/>
  <c r="AH741"/>
  <c r="AH740"/>
  <c r="AH738"/>
  <c r="AH737"/>
  <c r="AH734"/>
  <c r="AH733"/>
  <c r="AH732"/>
  <c r="AH731"/>
  <c r="AH730"/>
  <c r="AH729"/>
  <c r="AH728"/>
  <c r="AH727"/>
  <c r="AH726"/>
  <c r="AH725"/>
  <c r="AH708"/>
  <c r="AH659"/>
  <c r="AH660" s="1"/>
  <c r="AH653"/>
  <c r="AH654" s="1"/>
  <c r="AH499"/>
  <c r="AH430"/>
  <c r="AH428"/>
  <c r="AH426"/>
  <c r="AH424"/>
  <c r="AH422"/>
  <c r="AH404"/>
  <c r="AH402"/>
  <c r="AH400"/>
  <c r="AH398"/>
  <c r="AH396"/>
  <c r="AH379"/>
  <c r="AH377"/>
  <c r="AH375"/>
  <c r="AH373"/>
  <c r="AH371"/>
  <c r="AH352"/>
  <c r="AH351"/>
  <c r="AH350"/>
  <c r="AH349"/>
  <c r="AH348"/>
  <c r="AH347"/>
  <c r="AH486"/>
  <c r="AH485"/>
  <c r="AH484"/>
  <c r="AH483"/>
  <c r="AH482"/>
  <c r="AH481"/>
  <c r="AH429"/>
  <c r="AH427"/>
  <c r="AH425"/>
  <c r="AH423"/>
  <c r="AH421"/>
  <c r="AH403"/>
  <c r="AH401"/>
  <c r="AH399"/>
  <c r="AH397"/>
  <c r="AH395"/>
  <c r="AH378"/>
  <c r="AH376"/>
  <c r="AH374"/>
  <c r="AH372"/>
  <c r="AH370"/>
  <c r="AH365"/>
  <c r="AH246"/>
  <c r="AH218"/>
  <c r="AH40"/>
  <c r="AI2"/>
  <c r="AH33"/>
  <c r="AH35" s="1"/>
  <c r="AH37" s="1"/>
  <c r="AH30"/>
  <c r="AH26"/>
  <c r="AH25"/>
  <c r="AH23"/>
  <c r="AH19"/>
  <c r="AH5"/>
  <c r="AG366"/>
  <c r="AG505"/>
  <c r="AG509"/>
  <c r="AG513"/>
  <c r="AG533"/>
  <c r="AG537"/>
  <c r="AG557"/>
  <c r="AG561"/>
  <c r="AG565"/>
  <c r="AG506"/>
  <c r="AG510"/>
  <c r="AG530"/>
  <c r="AG534"/>
  <c r="AG538"/>
  <c r="AG558"/>
  <c r="AG562"/>
  <c r="AG500"/>
  <c r="AG692"/>
  <c r="AG11" i="8"/>
  <c r="AE668"/>
  <c r="AE671" s="1"/>
  <c r="AE723"/>
  <c r="AE708" s="1"/>
  <c r="AE61" s="1"/>
  <c r="AD63"/>
  <c r="AE467"/>
  <c r="AE471"/>
  <c r="AE475"/>
  <c r="AE495"/>
  <c r="AE499"/>
  <c r="AE519"/>
  <c r="AE523"/>
  <c r="AE527"/>
  <c r="AE470"/>
  <c r="AE474"/>
  <c r="AE494"/>
  <c r="AE498"/>
  <c r="AE518"/>
  <c r="AE522"/>
  <c r="AE526"/>
  <c r="AD72"/>
  <c r="AF765"/>
  <c r="AF764"/>
  <c r="AF763"/>
  <c r="AF762"/>
  <c r="AF761"/>
  <c r="AF760"/>
  <c r="AF759"/>
  <c r="AF757"/>
  <c r="AF754"/>
  <c r="AF392" s="1"/>
  <c r="AF753"/>
  <c r="AF391" s="1"/>
  <c r="AF752"/>
  <c r="AF390" s="1"/>
  <c r="AF751"/>
  <c r="AF389" s="1"/>
  <c r="AF750"/>
  <c r="AF388" s="1"/>
  <c r="AF749"/>
  <c r="AF748"/>
  <c r="AF747"/>
  <c r="AF385" s="1"/>
  <c r="AF746"/>
  <c r="AF384" s="1"/>
  <c r="AF745"/>
  <c r="AF383" s="1"/>
  <c r="AF734"/>
  <c r="AF733"/>
  <c r="AF732"/>
  <c r="AF731"/>
  <c r="AF730"/>
  <c r="AF729"/>
  <c r="AF728"/>
  <c r="AF727"/>
  <c r="AF725"/>
  <c r="AF722"/>
  <c r="AF721"/>
  <c r="AF365" s="1"/>
  <c r="AF720"/>
  <c r="AF364" s="1"/>
  <c r="AF719"/>
  <c r="AF718"/>
  <c r="AF362" s="1"/>
  <c r="AF717"/>
  <c r="AF361" s="1"/>
  <c r="AF716"/>
  <c r="AF360" s="1"/>
  <c r="AF715"/>
  <c r="AF359" s="1"/>
  <c r="AF714"/>
  <c r="AF358" s="1"/>
  <c r="AF713"/>
  <c r="AF357" s="1"/>
  <c r="AF702"/>
  <c r="AF701"/>
  <c r="AF700"/>
  <c r="AF699"/>
  <c r="AF698"/>
  <c r="AF697"/>
  <c r="AF696"/>
  <c r="AF694"/>
  <c r="AF693"/>
  <c r="AF690"/>
  <c r="AF341" s="1"/>
  <c r="AF689"/>
  <c r="AF340" s="1"/>
  <c r="AF688"/>
  <c r="AF339" s="1"/>
  <c r="AF687"/>
  <c r="AF338" s="1"/>
  <c r="AF686"/>
  <c r="AF337" s="1"/>
  <c r="AF685"/>
  <c r="AF336" s="1"/>
  <c r="AF684"/>
  <c r="AF335" s="1"/>
  <c r="AF683"/>
  <c r="AF334" s="1"/>
  <c r="AF682"/>
  <c r="AF333" s="1"/>
  <c r="AF681"/>
  <c r="AF332" s="1"/>
  <c r="AF621"/>
  <c r="AF622" s="1"/>
  <c r="AF615"/>
  <c r="AF616" s="1"/>
  <c r="AF461"/>
  <c r="AF386"/>
  <c r="AF366"/>
  <c r="AF448"/>
  <c r="AF447"/>
  <c r="AF446"/>
  <c r="AF445"/>
  <c r="AF444"/>
  <c r="AF443"/>
  <c r="AF387"/>
  <c r="AF363"/>
  <c r="AF327"/>
  <c r="AF314"/>
  <c r="AF313"/>
  <c r="AF312"/>
  <c r="AF311"/>
  <c r="AF310"/>
  <c r="AF309"/>
  <c r="AF40"/>
  <c r="AG2"/>
  <c r="AF30"/>
  <c r="AF26"/>
  <c r="AF25"/>
  <c r="AF23"/>
  <c r="AF19"/>
  <c r="AE328"/>
  <c r="AE468"/>
  <c r="AE466"/>
  <c r="AE469"/>
  <c r="AE473"/>
  <c r="AE493"/>
  <c r="AE497"/>
  <c r="AE501"/>
  <c r="AE521"/>
  <c r="AE525"/>
  <c r="AE472"/>
  <c r="AE492"/>
  <c r="AE496"/>
  <c r="AE500"/>
  <c r="AE520"/>
  <c r="AE524"/>
  <c r="AE462"/>
  <c r="AE27"/>
  <c r="AE691"/>
  <c r="AE676" s="1"/>
  <c r="AE60" s="1"/>
  <c r="AE755"/>
  <c r="AE740" s="1"/>
  <c r="AE62" s="1"/>
  <c r="AF683" i="7"/>
  <c r="AF668" s="1"/>
  <c r="AF69" s="1"/>
  <c r="AG616"/>
  <c r="AG614"/>
  <c r="AG610"/>
  <c r="AG601"/>
  <c r="AG600"/>
  <c r="AG611" s="1"/>
  <c r="AG597"/>
  <c r="AG596"/>
  <c r="AH11"/>
  <c r="AF27"/>
  <c r="AF651"/>
  <c r="AF636" s="1"/>
  <c r="AF68" s="1"/>
  <c r="AF715"/>
  <c r="AF700" s="1"/>
  <c r="AF70" s="1"/>
  <c r="AF61"/>
  <c r="AG731"/>
  <c r="AG726"/>
  <c r="AG725"/>
  <c r="AG724"/>
  <c r="AG723"/>
  <c r="AG722"/>
  <c r="AG721"/>
  <c r="AG720"/>
  <c r="AG719"/>
  <c r="AG714"/>
  <c r="AG713"/>
  <c r="AG712"/>
  <c r="AG711"/>
  <c r="AG710"/>
  <c r="AG709"/>
  <c r="AG708"/>
  <c r="AG707"/>
  <c r="AG717"/>
  <c r="AG706"/>
  <c r="AG682"/>
  <c r="AG681"/>
  <c r="AG680"/>
  <c r="AG679"/>
  <c r="AG678"/>
  <c r="AG677"/>
  <c r="AG676"/>
  <c r="AG705"/>
  <c r="AG694"/>
  <c r="AG693"/>
  <c r="AG692"/>
  <c r="AG691"/>
  <c r="AG690"/>
  <c r="AG689"/>
  <c r="AG688"/>
  <c r="AG686"/>
  <c r="AG685"/>
  <c r="AG675"/>
  <c r="AG650"/>
  <c r="AG649"/>
  <c r="AG648"/>
  <c r="AG647"/>
  <c r="AG646"/>
  <c r="AG645"/>
  <c r="AG674"/>
  <c r="AG673"/>
  <c r="AG662"/>
  <c r="AG661"/>
  <c r="AG660"/>
  <c r="AG659"/>
  <c r="AG658"/>
  <c r="AG657"/>
  <c r="AG656"/>
  <c r="AG654"/>
  <c r="AG653"/>
  <c r="AG644"/>
  <c r="AG630"/>
  <c r="AG62" s="1"/>
  <c r="AG643"/>
  <c r="AG642"/>
  <c r="AG641"/>
  <c r="AG549"/>
  <c r="AG550" s="1"/>
  <c r="AG543"/>
  <c r="AG544" s="1"/>
  <c r="AG376"/>
  <c r="AG375"/>
  <c r="AG374"/>
  <c r="AG373"/>
  <c r="AG372"/>
  <c r="AG371"/>
  <c r="AG319"/>
  <c r="AG317"/>
  <c r="AG315"/>
  <c r="AG313"/>
  <c r="AG311"/>
  <c r="AG293"/>
  <c r="AG291"/>
  <c r="AG289"/>
  <c r="AG287"/>
  <c r="AG285"/>
  <c r="AG389"/>
  <c r="AG320"/>
  <c r="AG318"/>
  <c r="AG316"/>
  <c r="AG314"/>
  <c r="AG312"/>
  <c r="AG294"/>
  <c r="AG292"/>
  <c r="AG290"/>
  <c r="AG288"/>
  <c r="AG286"/>
  <c r="AG269"/>
  <c r="AG267"/>
  <c r="AG265"/>
  <c r="AG263"/>
  <c r="AG261"/>
  <c r="AG266"/>
  <c r="AG262"/>
  <c r="AG167"/>
  <c r="AG131"/>
  <c r="AG268"/>
  <c r="AG264"/>
  <c r="AG260"/>
  <c r="AG255"/>
  <c r="AG242"/>
  <c r="AG241"/>
  <c r="AG240"/>
  <c r="AG239"/>
  <c r="AG238"/>
  <c r="AG237"/>
  <c r="AG40"/>
  <c r="AG33"/>
  <c r="AG35" s="1"/>
  <c r="AG37" s="1"/>
  <c r="AG39" s="1"/>
  <c r="AG30"/>
  <c r="AG26"/>
  <c r="AG25"/>
  <c r="AG23"/>
  <c r="AG19"/>
  <c r="AG5"/>
  <c r="AH2"/>
  <c r="AF399"/>
  <c r="AF256"/>
  <c r="AF397"/>
  <c r="AF396"/>
  <c r="AF400"/>
  <c r="AF420"/>
  <c r="AF424"/>
  <c r="AF428"/>
  <c r="AF448"/>
  <c r="AF452"/>
  <c r="AF390"/>
  <c r="AF421"/>
  <c r="AF425"/>
  <c r="AF429"/>
  <c r="AF449"/>
  <c r="AF453"/>
  <c r="AF599"/>
  <c r="AF631"/>
  <c r="AG628" s="1"/>
  <c r="AF395"/>
  <c r="AF403"/>
  <c r="AF401"/>
  <c r="AF394"/>
  <c r="AF398"/>
  <c r="AF402"/>
  <c r="AF422"/>
  <c r="AF426"/>
  <c r="AF446"/>
  <c r="AF450"/>
  <c r="AF454"/>
  <c r="AF423"/>
  <c r="AF427"/>
  <c r="AF447"/>
  <c r="AF451"/>
  <c r="AF455"/>
  <c r="AF615"/>
  <c r="AF609"/>
  <c r="AG622"/>
  <c r="AF166"/>
  <c r="AF130"/>
  <c r="AF55"/>
  <c r="AE606"/>
  <c r="AE80"/>
  <c r="AE81" s="1"/>
  <c r="L42" i="1"/>
  <c r="L23"/>
  <c r="A452" i="2"/>
  <c r="AH56" i="10" l="1"/>
  <c r="AH85"/>
  <c r="AH86" s="1"/>
  <c r="AI698"/>
  <c r="AI694"/>
  <c r="AI690"/>
  <c r="AI686"/>
  <c r="AG660" i="8"/>
  <c r="AG656"/>
  <c r="AG652"/>
  <c r="AG648"/>
  <c r="AG65" i="10"/>
  <c r="AG68" s="1"/>
  <c r="AG179" s="1"/>
  <c r="AG196" s="1"/>
  <c r="AF58"/>
  <c r="AF180"/>
  <c r="AF197" s="1"/>
  <c r="AH58"/>
  <c r="AH180"/>
  <c r="AH197" s="1"/>
  <c r="AH141"/>
  <c r="AH153" s="1"/>
  <c r="AH245"/>
  <c r="AH217"/>
  <c r="AG161"/>
  <c r="AG162"/>
  <c r="AG283"/>
  <c r="AG302"/>
  <c r="AG284"/>
  <c r="AG303"/>
  <c r="AG286"/>
  <c r="AG305"/>
  <c r="AG285"/>
  <c r="AG304"/>
  <c r="AH39"/>
  <c r="AH59"/>
  <c r="AG42"/>
  <c r="AG279"/>
  <c r="AG297" s="1"/>
  <c r="AJ11"/>
  <c r="AI41"/>
  <c r="AI183" s="1"/>
  <c r="AI200" s="1"/>
  <c r="AI714"/>
  <c r="AI181" s="1"/>
  <c r="AI198" s="1"/>
  <c r="C5"/>
  <c r="D5"/>
  <c r="E5"/>
  <c r="F5"/>
  <c r="G5"/>
  <c r="H5"/>
  <c r="I5"/>
  <c r="J5"/>
  <c r="K5"/>
  <c r="L5"/>
  <c r="M5"/>
  <c r="N5"/>
  <c r="O5"/>
  <c r="P5"/>
  <c r="Q5"/>
  <c r="R5"/>
  <c r="S5"/>
  <c r="T5"/>
  <c r="U5"/>
  <c r="V5"/>
  <c r="W5"/>
  <c r="X5"/>
  <c r="Y5"/>
  <c r="Z5"/>
  <c r="AA5"/>
  <c r="AB5"/>
  <c r="AC5"/>
  <c r="AD5"/>
  <c r="AE5"/>
  <c r="AF5"/>
  <c r="AF709"/>
  <c r="AG118"/>
  <c r="AG15"/>
  <c r="AI815"/>
  <c r="AI810"/>
  <c r="AI809"/>
  <c r="AI808"/>
  <c r="AI807"/>
  <c r="AI806"/>
  <c r="AI805"/>
  <c r="AI804"/>
  <c r="AI803"/>
  <c r="AI801"/>
  <c r="AI798"/>
  <c r="AI797"/>
  <c r="AI796"/>
  <c r="AI795"/>
  <c r="AI794"/>
  <c r="AI793"/>
  <c r="AI792"/>
  <c r="AI791"/>
  <c r="AI790"/>
  <c r="AI766"/>
  <c r="AI765"/>
  <c r="AI764"/>
  <c r="AI763"/>
  <c r="AI762"/>
  <c r="AI761"/>
  <c r="AI760"/>
  <c r="AI759"/>
  <c r="AI789"/>
  <c r="AI778"/>
  <c r="AI777"/>
  <c r="AI776"/>
  <c r="AI775"/>
  <c r="AI774"/>
  <c r="AI773"/>
  <c r="AI772"/>
  <c r="AI770"/>
  <c r="AI769"/>
  <c r="AI734"/>
  <c r="AI733"/>
  <c r="AI732"/>
  <c r="AI731"/>
  <c r="AI730"/>
  <c r="AI729"/>
  <c r="AI728"/>
  <c r="AI758"/>
  <c r="AI757"/>
  <c r="AI746"/>
  <c r="AI745"/>
  <c r="AI744"/>
  <c r="AI743"/>
  <c r="AI742"/>
  <c r="AI741"/>
  <c r="AI740"/>
  <c r="AI738"/>
  <c r="AI737"/>
  <c r="AI726"/>
  <c r="AI659"/>
  <c r="AI660" s="1"/>
  <c r="AI653"/>
  <c r="AI654" s="1"/>
  <c r="AI727"/>
  <c r="AI725"/>
  <c r="AI708"/>
  <c r="AI486"/>
  <c r="AI485"/>
  <c r="AI484"/>
  <c r="AI483"/>
  <c r="AI482"/>
  <c r="AI481"/>
  <c r="AI429"/>
  <c r="AI427"/>
  <c r="AI425"/>
  <c r="AI423"/>
  <c r="AI421"/>
  <c r="AI403"/>
  <c r="AI401"/>
  <c r="AI399"/>
  <c r="AI397"/>
  <c r="AI395"/>
  <c r="AI378"/>
  <c r="AI376"/>
  <c r="AI374"/>
  <c r="AI372"/>
  <c r="AI370"/>
  <c r="AI365"/>
  <c r="AI499"/>
  <c r="AI430"/>
  <c r="AI428"/>
  <c r="AI426"/>
  <c r="AI424"/>
  <c r="AI422"/>
  <c r="AI404"/>
  <c r="AI402"/>
  <c r="AI400"/>
  <c r="AI398"/>
  <c r="AI396"/>
  <c r="AI379"/>
  <c r="AI377"/>
  <c r="AI375"/>
  <c r="AI373"/>
  <c r="AI371"/>
  <c r="AI352"/>
  <c r="AI351"/>
  <c r="AI350"/>
  <c r="AI349"/>
  <c r="AI348"/>
  <c r="AI347"/>
  <c r="AI246"/>
  <c r="AI218"/>
  <c r="AI33"/>
  <c r="AI35" s="1"/>
  <c r="AI37" s="1"/>
  <c r="AI30"/>
  <c r="AI26"/>
  <c r="AI25"/>
  <c r="AI23"/>
  <c r="AI19"/>
  <c r="AI40"/>
  <c r="AJ2"/>
  <c r="AI5"/>
  <c r="AH504"/>
  <c r="AH508"/>
  <c r="AH512"/>
  <c r="AH532"/>
  <c r="AH536"/>
  <c r="AH556"/>
  <c r="AH560"/>
  <c r="AH564"/>
  <c r="AH507"/>
  <c r="AH511"/>
  <c r="AH531"/>
  <c r="AH535"/>
  <c r="AH539"/>
  <c r="AH559"/>
  <c r="AH563"/>
  <c r="AH49"/>
  <c r="AH275" s="1"/>
  <c r="AH293" s="1"/>
  <c r="AH27"/>
  <c r="AH735"/>
  <c r="AH720" s="1"/>
  <c r="AH767"/>
  <c r="AH752" s="1"/>
  <c r="AH66" s="1"/>
  <c r="AH799"/>
  <c r="AH784" s="1"/>
  <c r="AH67" s="1"/>
  <c r="AG702"/>
  <c r="AG14"/>
  <c r="AH699"/>
  <c r="AH700" s="1"/>
  <c r="AH691"/>
  <c r="AH692" s="1"/>
  <c r="AH695"/>
  <c r="AH696" s="1"/>
  <c r="AH687"/>
  <c r="AH688" s="1"/>
  <c r="AH661"/>
  <c r="AH662" s="1"/>
  <c r="AH655"/>
  <c r="AH656" s="1"/>
  <c r="AH130"/>
  <c r="AH29"/>
  <c r="AH31" s="1"/>
  <c r="AH10"/>
  <c r="AH12" s="1"/>
  <c r="AH274" s="1"/>
  <c r="AH292" s="1"/>
  <c r="AH506"/>
  <c r="AH510"/>
  <c r="AH530"/>
  <c r="AH534"/>
  <c r="AH538"/>
  <c r="AH558"/>
  <c r="AH562"/>
  <c r="AH500"/>
  <c r="AH366"/>
  <c r="AH505"/>
  <c r="AH509"/>
  <c r="AH513"/>
  <c r="AH533"/>
  <c r="AH537"/>
  <c r="AH557"/>
  <c r="AH561"/>
  <c r="AH565"/>
  <c r="AG16"/>
  <c r="AG17"/>
  <c r="AG129"/>
  <c r="AG706"/>
  <c r="AH11" i="8"/>
  <c r="AF668"/>
  <c r="AF670" s="1"/>
  <c r="AF54" s="1"/>
  <c r="L43" i="1"/>
  <c r="C5" i="8"/>
  <c r="D5" i="7"/>
  <c r="C5"/>
  <c r="D5" i="8"/>
  <c r="E5" i="7"/>
  <c r="F5"/>
  <c r="E5" i="8"/>
  <c r="F5"/>
  <c r="G5" i="7"/>
  <c r="H5"/>
  <c r="G5" i="8"/>
  <c r="H5"/>
  <c r="I5" i="7"/>
  <c r="I5" i="8"/>
  <c r="J5" i="7"/>
  <c r="K5"/>
  <c r="J5" i="8"/>
  <c r="L5" i="7"/>
  <c r="K5" i="8"/>
  <c r="L5"/>
  <c r="M5" i="7"/>
  <c r="M5" i="8"/>
  <c r="N5" i="7"/>
  <c r="N5" i="8"/>
  <c r="O5" i="7"/>
  <c r="P5"/>
  <c r="O5" i="8"/>
  <c r="P5"/>
  <c r="Q5" i="7"/>
  <c r="R5"/>
  <c r="Q5" i="8"/>
  <c r="R5"/>
  <c r="S5" i="7"/>
  <c r="S5" i="8"/>
  <c r="T5" i="7"/>
  <c r="T5" i="8"/>
  <c r="U5" i="7"/>
  <c r="U5" i="8"/>
  <c r="V5" i="7"/>
  <c r="V5" i="8"/>
  <c r="W5" i="7"/>
  <c r="W5" i="8"/>
  <c r="X5" i="7"/>
  <c r="X5" i="8"/>
  <c r="Y5" i="7"/>
  <c r="Y5" i="8"/>
  <c r="Z5" i="7"/>
  <c r="Z5" i="8"/>
  <c r="AA5" i="7"/>
  <c r="AA5" i="8"/>
  <c r="AB5" i="7"/>
  <c r="AB5" i="8"/>
  <c r="AC5" i="7"/>
  <c r="AC5" i="8"/>
  <c r="AD5" i="7"/>
  <c r="AD5" i="8"/>
  <c r="AE5" i="7"/>
  <c r="AE5" i="8"/>
  <c r="AF5" i="7"/>
  <c r="AF5" i="8"/>
  <c r="AF649" s="1"/>
  <c r="AF650" s="1"/>
  <c r="AF14" s="1"/>
  <c r="AG631" i="7"/>
  <c r="AH628" s="1"/>
  <c r="AF27" i="8"/>
  <c r="AF467"/>
  <c r="AF468"/>
  <c r="AF472"/>
  <c r="AF492"/>
  <c r="AF496"/>
  <c r="AF500"/>
  <c r="AF520"/>
  <c r="AF524"/>
  <c r="AF462"/>
  <c r="AF471"/>
  <c r="AF475"/>
  <c r="AF495"/>
  <c r="AF499"/>
  <c r="AF519"/>
  <c r="AF523"/>
  <c r="AF527"/>
  <c r="AG715" i="7"/>
  <c r="AG700" s="1"/>
  <c r="AG70" s="1"/>
  <c r="AF71"/>
  <c r="AE63" i="8"/>
  <c r="AF691"/>
  <c r="AF676" s="1"/>
  <c r="AF60" s="1"/>
  <c r="AF723"/>
  <c r="AF708" s="1"/>
  <c r="AF61" s="1"/>
  <c r="AF755"/>
  <c r="AF740" s="1"/>
  <c r="AF62" s="1"/>
  <c r="AF671"/>
  <c r="AE72"/>
  <c r="AG771"/>
  <c r="AG766"/>
  <c r="AG765"/>
  <c r="AG764"/>
  <c r="AG763"/>
  <c r="AG762"/>
  <c r="AG761"/>
  <c r="AG760"/>
  <c r="AG759"/>
  <c r="AG757"/>
  <c r="AG754"/>
  <c r="AG753"/>
  <c r="AG752"/>
  <c r="AG751"/>
  <c r="AG750"/>
  <c r="AG749"/>
  <c r="AG748"/>
  <c r="AG747"/>
  <c r="AG746"/>
  <c r="AG745"/>
  <c r="AG734"/>
  <c r="AG732"/>
  <c r="AG730"/>
  <c r="AG728"/>
  <c r="AG722"/>
  <c r="AG721"/>
  <c r="AG720"/>
  <c r="AG719"/>
  <c r="AG718"/>
  <c r="AG717"/>
  <c r="AG716"/>
  <c r="AG715"/>
  <c r="AG714"/>
  <c r="AG713"/>
  <c r="AG733"/>
  <c r="AG731"/>
  <c r="AG729"/>
  <c r="AG726"/>
  <c r="AG725"/>
  <c r="AG690"/>
  <c r="AG689"/>
  <c r="AG688"/>
  <c r="AG687"/>
  <c r="AG686"/>
  <c r="AG685"/>
  <c r="AG684"/>
  <c r="AG683"/>
  <c r="AG682"/>
  <c r="AG681"/>
  <c r="AG702"/>
  <c r="AG701"/>
  <c r="AG700"/>
  <c r="AG699"/>
  <c r="AG698"/>
  <c r="AG697"/>
  <c r="AG696"/>
  <c r="AG694"/>
  <c r="AG693"/>
  <c r="AG670"/>
  <c r="AG54" s="1"/>
  <c r="AG621"/>
  <c r="AG622" s="1"/>
  <c r="AG615"/>
  <c r="AG616" s="1"/>
  <c r="AG448"/>
  <c r="AG447"/>
  <c r="AG446"/>
  <c r="AG445"/>
  <c r="AG444"/>
  <c r="AG443"/>
  <c r="AG391"/>
  <c r="AG389"/>
  <c r="AG387"/>
  <c r="AG385"/>
  <c r="AG383"/>
  <c r="AG365"/>
  <c r="AG363"/>
  <c r="AG361"/>
  <c r="AG359"/>
  <c r="AG357"/>
  <c r="AG340"/>
  <c r="AG338"/>
  <c r="AG336"/>
  <c r="AG461"/>
  <c r="AG392"/>
  <c r="AG390"/>
  <c r="AG388"/>
  <c r="AG386"/>
  <c r="AG384"/>
  <c r="AG366"/>
  <c r="AG364"/>
  <c r="AG362"/>
  <c r="AG360"/>
  <c r="AG358"/>
  <c r="AG341"/>
  <c r="AG339"/>
  <c r="AG337"/>
  <c r="AG335"/>
  <c r="AG333"/>
  <c r="AG334"/>
  <c r="AG239"/>
  <c r="AG204"/>
  <c r="AG332"/>
  <c r="AG327"/>
  <c r="AG314"/>
  <c r="AG313"/>
  <c r="AG312"/>
  <c r="AG311"/>
  <c r="AG310"/>
  <c r="AG309"/>
  <c r="AG33"/>
  <c r="AG35" s="1"/>
  <c r="AG37" s="1"/>
  <c r="AG39" s="1"/>
  <c r="AG30"/>
  <c r="AG26"/>
  <c r="AG25"/>
  <c r="AG23"/>
  <c r="AG19"/>
  <c r="AG5"/>
  <c r="AG40"/>
  <c r="AH2"/>
  <c r="AF328"/>
  <c r="AF469"/>
  <c r="AF466"/>
  <c r="AF470"/>
  <c r="AF474"/>
  <c r="AF494"/>
  <c r="AF498"/>
  <c r="AF518"/>
  <c r="AF522"/>
  <c r="AF526"/>
  <c r="AF473"/>
  <c r="AF493"/>
  <c r="AF497"/>
  <c r="AF501"/>
  <c r="AF521"/>
  <c r="AF525"/>
  <c r="AI11" i="7"/>
  <c r="AH616"/>
  <c r="AH614"/>
  <c r="AH610"/>
  <c r="AH601"/>
  <c r="AH600"/>
  <c r="AH611" s="1"/>
  <c r="AH597"/>
  <c r="AH596"/>
  <c r="AF606"/>
  <c r="AF80"/>
  <c r="AF81" s="1"/>
  <c r="AH726"/>
  <c r="AH725"/>
  <c r="AH724"/>
  <c r="AH723"/>
  <c r="AH722"/>
  <c r="AH721"/>
  <c r="AH720"/>
  <c r="AH719"/>
  <c r="AH717"/>
  <c r="AH731"/>
  <c r="AH714"/>
  <c r="AH713"/>
  <c r="AH712"/>
  <c r="AH711"/>
  <c r="AH710"/>
  <c r="AH709"/>
  <c r="AH708"/>
  <c r="AH707"/>
  <c r="AH706"/>
  <c r="AH705"/>
  <c r="AH694"/>
  <c r="AH693"/>
  <c r="AH692"/>
  <c r="AH691"/>
  <c r="AH690"/>
  <c r="AH689"/>
  <c r="AH688"/>
  <c r="AH686"/>
  <c r="AH685"/>
  <c r="AH682"/>
  <c r="AH681"/>
  <c r="AH680"/>
  <c r="AH679"/>
  <c r="AH678"/>
  <c r="AH677"/>
  <c r="AH676"/>
  <c r="AH675"/>
  <c r="AH674"/>
  <c r="AH673"/>
  <c r="AH662"/>
  <c r="AH661"/>
  <c r="AH660"/>
  <c r="AH659"/>
  <c r="AH658"/>
  <c r="AH657"/>
  <c r="AH656"/>
  <c r="AH654"/>
  <c r="AH653"/>
  <c r="AH650"/>
  <c r="AH649"/>
  <c r="AH648"/>
  <c r="AH647"/>
  <c r="AH646"/>
  <c r="AH645"/>
  <c r="AH644"/>
  <c r="AH643"/>
  <c r="AH642"/>
  <c r="AH641"/>
  <c r="AH549"/>
  <c r="AH550" s="1"/>
  <c r="AH543"/>
  <c r="AH544" s="1"/>
  <c r="AH630"/>
  <c r="AH62" s="1"/>
  <c r="AH389"/>
  <c r="AH320"/>
  <c r="AH318"/>
  <c r="AH316"/>
  <c r="AH314"/>
  <c r="AH312"/>
  <c r="AH294"/>
  <c r="AH292"/>
  <c r="AH290"/>
  <c r="AH288"/>
  <c r="AH286"/>
  <c r="AH376"/>
  <c r="AH375"/>
  <c r="AH374"/>
  <c r="AH373"/>
  <c r="AH372"/>
  <c r="AH371"/>
  <c r="AH319"/>
  <c r="AH317"/>
  <c r="AH315"/>
  <c r="AH313"/>
  <c r="AH311"/>
  <c r="AH293"/>
  <c r="AH291"/>
  <c r="AH289"/>
  <c r="AH287"/>
  <c r="AH285"/>
  <c r="AH268"/>
  <c r="AH266"/>
  <c r="AH264"/>
  <c r="AH262"/>
  <c r="AH260"/>
  <c r="AH255"/>
  <c r="AH269"/>
  <c r="AH265"/>
  <c r="AH261"/>
  <c r="AH242"/>
  <c r="AH241"/>
  <c r="AH240"/>
  <c r="AH239"/>
  <c r="AH238"/>
  <c r="AH237"/>
  <c r="AH267"/>
  <c r="AH263"/>
  <c r="AH167"/>
  <c r="AH131"/>
  <c r="AH33"/>
  <c r="AH35" s="1"/>
  <c r="AH37" s="1"/>
  <c r="AH39" s="1"/>
  <c r="AH30"/>
  <c r="AH26"/>
  <c r="AH25"/>
  <c r="AH23"/>
  <c r="AH19"/>
  <c r="AH40"/>
  <c r="AI2"/>
  <c r="AH5"/>
  <c r="AG256"/>
  <c r="AG398"/>
  <c r="AG396"/>
  <c r="AG395"/>
  <c r="AG399"/>
  <c r="AG403"/>
  <c r="AG423"/>
  <c r="AG427"/>
  <c r="AG447"/>
  <c r="AG451"/>
  <c r="AG455"/>
  <c r="AG420"/>
  <c r="AG424"/>
  <c r="AG428"/>
  <c r="AG448"/>
  <c r="AG452"/>
  <c r="AG390"/>
  <c r="AG166"/>
  <c r="AG130"/>
  <c r="AG55"/>
  <c r="AG165"/>
  <c r="AG129"/>
  <c r="AG54"/>
  <c r="AG27"/>
  <c r="AG61"/>
  <c r="AG651"/>
  <c r="AG636" s="1"/>
  <c r="AG68" s="1"/>
  <c r="AG599"/>
  <c r="AG683"/>
  <c r="AG668" s="1"/>
  <c r="AG69" s="1"/>
  <c r="AG589"/>
  <c r="AG590" s="1"/>
  <c r="AG581"/>
  <c r="AG582" s="1"/>
  <c r="AG585"/>
  <c r="AG586" s="1"/>
  <c r="AG577"/>
  <c r="AG578" s="1"/>
  <c r="AG14" s="1"/>
  <c r="AG18" s="1"/>
  <c r="AG551"/>
  <c r="AG545"/>
  <c r="AG546" s="1"/>
  <c r="AG103" s="1"/>
  <c r="AG120"/>
  <c r="AG29"/>
  <c r="AG31" s="1"/>
  <c r="AG41" s="1"/>
  <c r="AG10"/>
  <c r="AG12" s="1"/>
  <c r="AG394"/>
  <c r="AG402"/>
  <c r="AG400"/>
  <c r="AG397"/>
  <c r="AG401"/>
  <c r="AG421"/>
  <c r="AG425"/>
  <c r="AG429"/>
  <c r="AG449"/>
  <c r="AG453"/>
  <c r="AG422"/>
  <c r="AG426"/>
  <c r="AG446"/>
  <c r="AG450"/>
  <c r="AG454"/>
  <c r="AG615"/>
  <c r="AG609"/>
  <c r="AH622"/>
  <c r="AG552"/>
  <c r="AG104" s="1"/>
  <c r="A228" i="2"/>
  <c r="A229"/>
  <c r="A230"/>
  <c r="A227"/>
  <c r="A226"/>
  <c r="A222"/>
  <c r="A223"/>
  <c r="A224"/>
  <c r="A221"/>
  <c r="A220"/>
  <c r="A216"/>
  <c r="A217"/>
  <c r="A218"/>
  <c r="A215"/>
  <c r="A214"/>
  <c r="A210"/>
  <c r="A211"/>
  <c r="A212"/>
  <c r="A209"/>
  <c r="A208"/>
  <c r="A207"/>
  <c r="AH631" i="7" l="1"/>
  <c r="AI628" s="1"/>
  <c r="AI85" i="10"/>
  <c r="AI86" s="1"/>
  <c r="AI56"/>
  <c r="AJ698"/>
  <c r="AJ694"/>
  <c r="AJ690"/>
  <c r="AJ686"/>
  <c r="AG75"/>
  <c r="AH648" i="8"/>
  <c r="AH660"/>
  <c r="AH656"/>
  <c r="AH652"/>
  <c r="AH65" i="10"/>
  <c r="AI58"/>
  <c r="AI180"/>
  <c r="AI197" s="1"/>
  <c r="AI141"/>
  <c r="AI153" s="1"/>
  <c r="AI245"/>
  <c r="AI217"/>
  <c r="AH162"/>
  <c r="AH161"/>
  <c r="AH279"/>
  <c r="AH297" s="1"/>
  <c r="AH285"/>
  <c r="AH304"/>
  <c r="AH286"/>
  <c r="AH305"/>
  <c r="AH283"/>
  <c r="AH302"/>
  <c r="AH284"/>
  <c r="AH303"/>
  <c r="AG709"/>
  <c r="AH706" s="1"/>
  <c r="AI39"/>
  <c r="AI59"/>
  <c r="AK11"/>
  <c r="AJ714"/>
  <c r="AJ181" s="1"/>
  <c r="AJ198" s="1"/>
  <c r="AJ41"/>
  <c r="AJ183" s="1"/>
  <c r="AJ200" s="1"/>
  <c r="AH42"/>
  <c r="AE695"/>
  <c r="AE696" s="1"/>
  <c r="AE661"/>
  <c r="AE662" s="1"/>
  <c r="AE699"/>
  <c r="AE700" s="1"/>
  <c r="AE130"/>
  <c r="AE10"/>
  <c r="AE12" s="1"/>
  <c r="AE687"/>
  <c r="AE688" s="1"/>
  <c r="AE655"/>
  <c r="AE656" s="1"/>
  <c r="AE691"/>
  <c r="AE692" s="1"/>
  <c r="AE29"/>
  <c r="AE31" s="1"/>
  <c r="AC687"/>
  <c r="AC688" s="1"/>
  <c r="AC655"/>
  <c r="AC656" s="1"/>
  <c r="AC691"/>
  <c r="AC692" s="1"/>
  <c r="AC29"/>
  <c r="AC31" s="1"/>
  <c r="AC695"/>
  <c r="AC696" s="1"/>
  <c r="AC661"/>
  <c r="AC662" s="1"/>
  <c r="AC699"/>
  <c r="AC700" s="1"/>
  <c r="AC130"/>
  <c r="AC10"/>
  <c r="AC12" s="1"/>
  <c r="AA695"/>
  <c r="AA696" s="1"/>
  <c r="AA661"/>
  <c r="AA662" s="1"/>
  <c r="AA699"/>
  <c r="AA700" s="1"/>
  <c r="AA130"/>
  <c r="AA10"/>
  <c r="AA12" s="1"/>
  <c r="AA687"/>
  <c r="AA688" s="1"/>
  <c r="AA655"/>
  <c r="AA656" s="1"/>
  <c r="AA691"/>
  <c r="AA692" s="1"/>
  <c r="AA29"/>
  <c r="AA31" s="1"/>
  <c r="Y687"/>
  <c r="Y688" s="1"/>
  <c r="Y655"/>
  <c r="Y656" s="1"/>
  <c r="Y691"/>
  <c r="Y692" s="1"/>
  <c r="Y29"/>
  <c r="Y31" s="1"/>
  <c r="Y695"/>
  <c r="Y696" s="1"/>
  <c r="Y661"/>
  <c r="Y662" s="1"/>
  <c r="Y699"/>
  <c r="Y700" s="1"/>
  <c r="Y130"/>
  <c r="Y10"/>
  <c r="Y12" s="1"/>
  <c r="W695"/>
  <c r="W696" s="1"/>
  <c r="W661"/>
  <c r="W662" s="1"/>
  <c r="W699"/>
  <c r="W700" s="1"/>
  <c r="W130"/>
  <c r="W10"/>
  <c r="W12" s="1"/>
  <c r="W687"/>
  <c r="W688" s="1"/>
  <c r="W655"/>
  <c r="W656" s="1"/>
  <c r="W691"/>
  <c r="W692" s="1"/>
  <c r="W29"/>
  <c r="W31" s="1"/>
  <c r="U695"/>
  <c r="U696" s="1"/>
  <c r="U661"/>
  <c r="U662" s="1"/>
  <c r="U699"/>
  <c r="U700" s="1"/>
  <c r="U130"/>
  <c r="U10"/>
  <c r="U12" s="1"/>
  <c r="U274" s="1"/>
  <c r="U292" s="1"/>
  <c r="U687"/>
  <c r="U688" s="1"/>
  <c r="U655"/>
  <c r="U656" s="1"/>
  <c r="U691"/>
  <c r="U692" s="1"/>
  <c r="U29"/>
  <c r="U31" s="1"/>
  <c r="S695"/>
  <c r="S696" s="1"/>
  <c r="S661"/>
  <c r="S662" s="1"/>
  <c r="S699"/>
  <c r="S700" s="1"/>
  <c r="S130"/>
  <c r="S10"/>
  <c r="S12" s="1"/>
  <c r="S687"/>
  <c r="S688" s="1"/>
  <c r="S655"/>
  <c r="S656" s="1"/>
  <c r="S691"/>
  <c r="S692" s="1"/>
  <c r="S29"/>
  <c r="S31" s="1"/>
  <c r="Q687"/>
  <c r="Q688" s="1"/>
  <c r="Q655"/>
  <c r="Q656" s="1"/>
  <c r="Q691"/>
  <c r="Q692" s="1"/>
  <c r="Q29"/>
  <c r="Q31" s="1"/>
  <c r="Q695"/>
  <c r="Q696" s="1"/>
  <c r="Q661"/>
  <c r="Q662" s="1"/>
  <c r="Q699"/>
  <c r="Q700" s="1"/>
  <c r="Q130"/>
  <c r="Q10"/>
  <c r="Q12" s="1"/>
  <c r="O695"/>
  <c r="O696" s="1"/>
  <c r="O661"/>
  <c r="O662" s="1"/>
  <c r="O699"/>
  <c r="O700" s="1"/>
  <c r="O130"/>
  <c r="O10"/>
  <c r="O12" s="1"/>
  <c r="O687"/>
  <c r="O688" s="1"/>
  <c r="O655"/>
  <c r="O656" s="1"/>
  <c r="O691"/>
  <c r="O692" s="1"/>
  <c r="O29"/>
  <c r="O31" s="1"/>
  <c r="M687"/>
  <c r="M688" s="1"/>
  <c r="M655"/>
  <c r="M656" s="1"/>
  <c r="M691"/>
  <c r="M692" s="1"/>
  <c r="M29"/>
  <c r="M31" s="1"/>
  <c r="M695"/>
  <c r="M696" s="1"/>
  <c r="M661"/>
  <c r="M662" s="1"/>
  <c r="M699"/>
  <c r="M700" s="1"/>
  <c r="M130"/>
  <c r="M10"/>
  <c r="M12" s="1"/>
  <c r="K695"/>
  <c r="K696" s="1"/>
  <c r="K661"/>
  <c r="K662" s="1"/>
  <c r="K699"/>
  <c r="K700" s="1"/>
  <c r="K130"/>
  <c r="K10"/>
  <c r="K12" s="1"/>
  <c r="K687"/>
  <c r="K688" s="1"/>
  <c r="K655"/>
  <c r="K656" s="1"/>
  <c r="K691"/>
  <c r="K692" s="1"/>
  <c r="K29"/>
  <c r="K31" s="1"/>
  <c r="I695"/>
  <c r="I696" s="1"/>
  <c r="I661"/>
  <c r="I662" s="1"/>
  <c r="I699"/>
  <c r="I700" s="1"/>
  <c r="I130"/>
  <c r="I10"/>
  <c r="I12" s="1"/>
  <c r="I687"/>
  <c r="I688" s="1"/>
  <c r="I655"/>
  <c r="I656" s="1"/>
  <c r="I691"/>
  <c r="I692" s="1"/>
  <c r="I29"/>
  <c r="I31" s="1"/>
  <c r="G687"/>
  <c r="G688" s="1"/>
  <c r="G655"/>
  <c r="G656" s="1"/>
  <c r="G691"/>
  <c r="G692" s="1"/>
  <c r="G29"/>
  <c r="G31" s="1"/>
  <c r="G695"/>
  <c r="G696" s="1"/>
  <c r="G661"/>
  <c r="G662" s="1"/>
  <c r="G699"/>
  <c r="G700" s="1"/>
  <c r="G130"/>
  <c r="G10"/>
  <c r="G12" s="1"/>
  <c r="E687"/>
  <c r="E688" s="1"/>
  <c r="E655"/>
  <c r="E656" s="1"/>
  <c r="E691"/>
  <c r="E692" s="1"/>
  <c r="E29"/>
  <c r="E31" s="1"/>
  <c r="E695"/>
  <c r="E696" s="1"/>
  <c r="E661"/>
  <c r="E662" s="1"/>
  <c r="E699"/>
  <c r="E700" s="1"/>
  <c r="E130"/>
  <c r="E10"/>
  <c r="E12" s="1"/>
  <c r="C695"/>
  <c r="C661"/>
  <c r="C662" s="1"/>
  <c r="C699"/>
  <c r="C130"/>
  <c r="C10"/>
  <c r="C12" s="1"/>
  <c r="C687"/>
  <c r="C688" s="1"/>
  <c r="C655"/>
  <c r="C656" s="1"/>
  <c r="C691"/>
  <c r="C692" s="1"/>
  <c r="C29"/>
  <c r="C31" s="1"/>
  <c r="AF699"/>
  <c r="AF700" s="1"/>
  <c r="AF695"/>
  <c r="AF696" s="1"/>
  <c r="AF661"/>
  <c r="AF662" s="1"/>
  <c r="AF130"/>
  <c r="AF10"/>
  <c r="AF12" s="1"/>
  <c r="AF691"/>
  <c r="AF692" s="1"/>
  <c r="AF687"/>
  <c r="AF688" s="1"/>
  <c r="AF29"/>
  <c r="AF31" s="1"/>
  <c r="AF655"/>
  <c r="AF656" s="1"/>
  <c r="AD691"/>
  <c r="AD692" s="1"/>
  <c r="AD687"/>
  <c r="AD688" s="1"/>
  <c r="AD655"/>
  <c r="AD656" s="1"/>
  <c r="AD29"/>
  <c r="AD31" s="1"/>
  <c r="AD699"/>
  <c r="AD700" s="1"/>
  <c r="AD695"/>
  <c r="AD696" s="1"/>
  <c r="AD661"/>
  <c r="AD662" s="1"/>
  <c r="AD130"/>
  <c r="AD10"/>
  <c r="AD12" s="1"/>
  <c r="AB691"/>
  <c r="AB692" s="1"/>
  <c r="AB687"/>
  <c r="AB688" s="1"/>
  <c r="AB655"/>
  <c r="AB656" s="1"/>
  <c r="AB29"/>
  <c r="AB31" s="1"/>
  <c r="AB699"/>
  <c r="AB700" s="1"/>
  <c r="AB695"/>
  <c r="AB696" s="1"/>
  <c r="AB661"/>
  <c r="AB662" s="1"/>
  <c r="AB130"/>
  <c r="AB10"/>
  <c r="AB12" s="1"/>
  <c r="Z691"/>
  <c r="Z692" s="1"/>
  <c r="Z687"/>
  <c r="Z688" s="1"/>
  <c r="Z655"/>
  <c r="Z656" s="1"/>
  <c r="Z29"/>
  <c r="Z31" s="1"/>
  <c r="Z699"/>
  <c r="Z700" s="1"/>
  <c r="Z695"/>
  <c r="Z696" s="1"/>
  <c r="Z661"/>
  <c r="Z662" s="1"/>
  <c r="Z130"/>
  <c r="Z10"/>
  <c r="Z12" s="1"/>
  <c r="X691"/>
  <c r="X692" s="1"/>
  <c r="X687"/>
  <c r="X688" s="1"/>
  <c r="X655"/>
  <c r="X656" s="1"/>
  <c r="X29"/>
  <c r="X31" s="1"/>
  <c r="X699"/>
  <c r="X700" s="1"/>
  <c r="X695"/>
  <c r="X696" s="1"/>
  <c r="X661"/>
  <c r="X662" s="1"/>
  <c r="X130"/>
  <c r="X10"/>
  <c r="X12" s="1"/>
  <c r="V691"/>
  <c r="V692" s="1"/>
  <c r="V687"/>
  <c r="V688" s="1"/>
  <c r="V655"/>
  <c r="V656" s="1"/>
  <c r="V29"/>
  <c r="V31" s="1"/>
  <c r="V699"/>
  <c r="V700" s="1"/>
  <c r="V695"/>
  <c r="V696" s="1"/>
  <c r="V661"/>
  <c r="V662" s="1"/>
  <c r="V130"/>
  <c r="V10"/>
  <c r="V12" s="1"/>
  <c r="T691"/>
  <c r="T692" s="1"/>
  <c r="T687"/>
  <c r="T688" s="1"/>
  <c r="T655"/>
  <c r="T656" s="1"/>
  <c r="T29"/>
  <c r="T31" s="1"/>
  <c r="T699"/>
  <c r="T700" s="1"/>
  <c r="T695"/>
  <c r="T696" s="1"/>
  <c r="T661"/>
  <c r="T662" s="1"/>
  <c r="T130"/>
  <c r="T10"/>
  <c r="T12" s="1"/>
  <c r="R691"/>
  <c r="R692" s="1"/>
  <c r="R687"/>
  <c r="R688" s="1"/>
  <c r="R655"/>
  <c r="R656" s="1"/>
  <c r="R29"/>
  <c r="R31" s="1"/>
  <c r="R699"/>
  <c r="R700" s="1"/>
  <c r="R695"/>
  <c r="R696" s="1"/>
  <c r="R661"/>
  <c r="R662" s="1"/>
  <c r="R130"/>
  <c r="R10"/>
  <c r="R12" s="1"/>
  <c r="R274" s="1"/>
  <c r="R292" s="1"/>
  <c r="P691"/>
  <c r="P692" s="1"/>
  <c r="P687"/>
  <c r="P688" s="1"/>
  <c r="P655"/>
  <c r="P656" s="1"/>
  <c r="P29"/>
  <c r="P31" s="1"/>
  <c r="P699"/>
  <c r="P700" s="1"/>
  <c r="P695"/>
  <c r="P696" s="1"/>
  <c r="P661"/>
  <c r="P662" s="1"/>
  <c r="P130"/>
  <c r="P10"/>
  <c r="P12" s="1"/>
  <c r="N699"/>
  <c r="N700" s="1"/>
  <c r="N695"/>
  <c r="N696" s="1"/>
  <c r="N661"/>
  <c r="N662" s="1"/>
  <c r="N130"/>
  <c r="N10"/>
  <c r="N12" s="1"/>
  <c r="N691"/>
  <c r="N692" s="1"/>
  <c r="N687"/>
  <c r="N688" s="1"/>
  <c r="N655"/>
  <c r="N656" s="1"/>
  <c r="N29"/>
  <c r="N31" s="1"/>
  <c r="L691"/>
  <c r="L692" s="1"/>
  <c r="L687"/>
  <c r="L688" s="1"/>
  <c r="L655"/>
  <c r="L656" s="1"/>
  <c r="L29"/>
  <c r="L31" s="1"/>
  <c r="L699"/>
  <c r="L700" s="1"/>
  <c r="L695"/>
  <c r="L696" s="1"/>
  <c r="L661"/>
  <c r="L662" s="1"/>
  <c r="L130"/>
  <c r="L10"/>
  <c r="L12" s="1"/>
  <c r="J691"/>
  <c r="J692" s="1"/>
  <c r="J687"/>
  <c r="J688" s="1"/>
  <c r="J655"/>
  <c r="J656" s="1"/>
  <c r="J29"/>
  <c r="J31" s="1"/>
  <c r="J699"/>
  <c r="J700" s="1"/>
  <c r="J695"/>
  <c r="J696" s="1"/>
  <c r="J661"/>
  <c r="J662" s="1"/>
  <c r="J130"/>
  <c r="J10"/>
  <c r="J12" s="1"/>
  <c r="H699"/>
  <c r="H700" s="1"/>
  <c r="H695"/>
  <c r="H696" s="1"/>
  <c r="H661"/>
  <c r="H662" s="1"/>
  <c r="H130"/>
  <c r="H10"/>
  <c r="H12" s="1"/>
  <c r="H691"/>
  <c r="H692" s="1"/>
  <c r="H687"/>
  <c r="H688" s="1"/>
  <c r="H655"/>
  <c r="H656" s="1"/>
  <c r="H29"/>
  <c r="H31" s="1"/>
  <c r="F691"/>
  <c r="F692" s="1"/>
  <c r="F687"/>
  <c r="F688" s="1"/>
  <c r="F655"/>
  <c r="F656" s="1"/>
  <c r="F29"/>
  <c r="F31" s="1"/>
  <c r="F699"/>
  <c r="F700" s="1"/>
  <c r="F695"/>
  <c r="F696" s="1"/>
  <c r="F661"/>
  <c r="F662" s="1"/>
  <c r="F130"/>
  <c r="F10"/>
  <c r="F12" s="1"/>
  <c r="D699"/>
  <c r="D700" s="1"/>
  <c r="D695"/>
  <c r="D696" s="1"/>
  <c r="D661"/>
  <c r="D662" s="1"/>
  <c r="D130"/>
  <c r="D10"/>
  <c r="D12" s="1"/>
  <c r="D691"/>
  <c r="D692" s="1"/>
  <c r="D687"/>
  <c r="D688" s="1"/>
  <c r="D655"/>
  <c r="D656" s="1"/>
  <c r="D29"/>
  <c r="D31" s="1"/>
  <c r="AI799"/>
  <c r="AI784" s="1"/>
  <c r="AI67" s="1"/>
  <c r="AI735"/>
  <c r="AI720" s="1"/>
  <c r="AH16"/>
  <c r="AH17"/>
  <c r="AH15"/>
  <c r="AH118"/>
  <c r="AI695"/>
  <c r="AI696" s="1"/>
  <c r="AI687"/>
  <c r="AI688" s="1"/>
  <c r="AI661"/>
  <c r="AI655"/>
  <c r="AI656" s="1"/>
  <c r="AI699"/>
  <c r="AI700" s="1"/>
  <c r="AI691"/>
  <c r="AI130"/>
  <c r="AI29"/>
  <c r="AI31" s="1"/>
  <c r="AI10"/>
  <c r="AI12" s="1"/>
  <c r="AI274" s="1"/>
  <c r="AI292" s="1"/>
  <c r="AI366"/>
  <c r="AI505"/>
  <c r="AI509"/>
  <c r="AI513"/>
  <c r="AI533"/>
  <c r="AI537"/>
  <c r="AI557"/>
  <c r="AI561"/>
  <c r="AI565"/>
  <c r="AI506"/>
  <c r="AI510"/>
  <c r="AI530"/>
  <c r="AI534"/>
  <c r="AI538"/>
  <c r="AI558"/>
  <c r="AI562"/>
  <c r="AI500"/>
  <c r="AG18"/>
  <c r="AG20" s="1"/>
  <c r="AG44" s="1"/>
  <c r="AG306"/>
  <c r="AI27"/>
  <c r="AI692"/>
  <c r="AI662"/>
  <c r="AI767"/>
  <c r="AI752" s="1"/>
  <c r="AI66" s="1"/>
  <c r="AH702"/>
  <c r="AH14"/>
  <c r="AH129"/>
  <c r="AJ810"/>
  <c r="AJ809"/>
  <c r="AJ808"/>
  <c r="AJ807"/>
  <c r="AJ806"/>
  <c r="AJ805"/>
  <c r="AJ804"/>
  <c r="AJ803"/>
  <c r="AJ801"/>
  <c r="AJ815"/>
  <c r="AJ798"/>
  <c r="AJ797"/>
  <c r="AJ796"/>
  <c r="AJ795"/>
  <c r="AJ794"/>
  <c r="AJ793"/>
  <c r="AJ792"/>
  <c r="AJ791"/>
  <c r="AJ790"/>
  <c r="AJ789"/>
  <c r="AJ778"/>
  <c r="AJ777"/>
  <c r="AJ776"/>
  <c r="AJ775"/>
  <c r="AJ774"/>
  <c r="AJ773"/>
  <c r="AJ772"/>
  <c r="AJ770"/>
  <c r="AJ769"/>
  <c r="AJ766"/>
  <c r="AJ765"/>
  <c r="AJ764"/>
  <c r="AJ763"/>
  <c r="AJ762"/>
  <c r="AJ761"/>
  <c r="AJ760"/>
  <c r="AJ759"/>
  <c r="AJ758"/>
  <c r="AJ757"/>
  <c r="AJ746"/>
  <c r="AJ745"/>
  <c r="AJ744"/>
  <c r="AJ743"/>
  <c r="AJ742"/>
  <c r="AJ741"/>
  <c r="AJ740"/>
  <c r="AJ738"/>
  <c r="AJ737"/>
  <c r="AJ734"/>
  <c r="AJ733"/>
  <c r="AJ732"/>
  <c r="AJ731"/>
  <c r="AJ730"/>
  <c r="AJ729"/>
  <c r="AJ728"/>
  <c r="AJ727"/>
  <c r="AJ726"/>
  <c r="AJ725"/>
  <c r="AJ708"/>
  <c r="AJ659"/>
  <c r="AJ660" s="1"/>
  <c r="AJ653"/>
  <c r="AJ654" s="1"/>
  <c r="AJ499"/>
  <c r="AJ430"/>
  <c r="AJ428"/>
  <c r="AJ426"/>
  <c r="AJ424"/>
  <c r="AJ422"/>
  <c r="AJ404"/>
  <c r="AJ402"/>
  <c r="AJ400"/>
  <c r="AJ398"/>
  <c r="AJ396"/>
  <c r="AJ379"/>
  <c r="AJ377"/>
  <c r="AJ375"/>
  <c r="AJ373"/>
  <c r="AJ371"/>
  <c r="AJ352"/>
  <c r="AJ351"/>
  <c r="AJ350"/>
  <c r="AJ349"/>
  <c r="AJ348"/>
  <c r="AJ347"/>
  <c r="AJ486"/>
  <c r="AJ485"/>
  <c r="AJ484"/>
  <c r="AJ483"/>
  <c r="AJ482"/>
  <c r="AJ481"/>
  <c r="AJ429"/>
  <c r="AJ427"/>
  <c r="AJ425"/>
  <c r="AJ423"/>
  <c r="AJ421"/>
  <c r="AJ403"/>
  <c r="AJ401"/>
  <c r="AJ399"/>
  <c r="AJ397"/>
  <c r="AJ395"/>
  <c r="AJ378"/>
  <c r="AJ376"/>
  <c r="AJ374"/>
  <c r="AJ372"/>
  <c r="AJ370"/>
  <c r="AJ365"/>
  <c r="AJ246"/>
  <c r="AJ218"/>
  <c r="AJ40"/>
  <c r="AJ33"/>
  <c r="AJ35" s="1"/>
  <c r="AJ37" s="1"/>
  <c r="AJ30"/>
  <c r="AJ26"/>
  <c r="AJ25"/>
  <c r="AJ23"/>
  <c r="AJ19"/>
  <c r="AJ5"/>
  <c r="AK2"/>
  <c r="AI507"/>
  <c r="AI511"/>
  <c r="AI531"/>
  <c r="AI535"/>
  <c r="AI539"/>
  <c r="AI559"/>
  <c r="AI563"/>
  <c r="AI504"/>
  <c r="AI508"/>
  <c r="AI512"/>
  <c r="AI532"/>
  <c r="AI536"/>
  <c r="AI556"/>
  <c r="AI560"/>
  <c r="AI564"/>
  <c r="AI49"/>
  <c r="AI275" s="1"/>
  <c r="AI293" s="1"/>
  <c r="AG287"/>
  <c r="AH68"/>
  <c r="AH75" s="1"/>
  <c r="AI11" i="8"/>
  <c r="AG668"/>
  <c r="AG671" s="1"/>
  <c r="AF657"/>
  <c r="AF658" s="1"/>
  <c r="AF16" s="1"/>
  <c r="AF10"/>
  <c r="AF12" s="1"/>
  <c r="AF107" s="1"/>
  <c r="AF661"/>
  <c r="AF662" s="1"/>
  <c r="AF17" s="1"/>
  <c r="AF108"/>
  <c r="AF623"/>
  <c r="AF624" s="1"/>
  <c r="AF95" s="1"/>
  <c r="AF29"/>
  <c r="AF31" s="1"/>
  <c r="AF653"/>
  <c r="AF654" s="1"/>
  <c r="AF15" s="1"/>
  <c r="AF617"/>
  <c r="AF618" s="1"/>
  <c r="AF94" s="1"/>
  <c r="AE653"/>
  <c r="AE654" s="1"/>
  <c r="AE15" s="1"/>
  <c r="AE649"/>
  <c r="AE650" s="1"/>
  <c r="AE14" s="1"/>
  <c r="AE617"/>
  <c r="AE618" s="1"/>
  <c r="AE94" s="1"/>
  <c r="AE29"/>
  <c r="AE31" s="1"/>
  <c r="AE661"/>
  <c r="AE662" s="1"/>
  <c r="AE17" s="1"/>
  <c r="AE657"/>
  <c r="AE658" s="1"/>
  <c r="AE16" s="1"/>
  <c r="AE623"/>
  <c r="AE624" s="1"/>
  <c r="AE95" s="1"/>
  <c r="AE108"/>
  <c r="AE10"/>
  <c r="AE12" s="1"/>
  <c r="AD657"/>
  <c r="AD658" s="1"/>
  <c r="AD16" s="1"/>
  <c r="AD623"/>
  <c r="AD624" s="1"/>
  <c r="AD95" s="1"/>
  <c r="AD661"/>
  <c r="AD662" s="1"/>
  <c r="AD17" s="1"/>
  <c r="AD108"/>
  <c r="AD10"/>
  <c r="AD12" s="1"/>
  <c r="AD649"/>
  <c r="AD650" s="1"/>
  <c r="AD14" s="1"/>
  <c r="AD617"/>
  <c r="AD618" s="1"/>
  <c r="AD94" s="1"/>
  <c r="AD653"/>
  <c r="AD654" s="1"/>
  <c r="AD15" s="1"/>
  <c r="AD29"/>
  <c r="AD31" s="1"/>
  <c r="AC653"/>
  <c r="AC654" s="1"/>
  <c r="AC15" s="1"/>
  <c r="AC649"/>
  <c r="AC650" s="1"/>
  <c r="AC14" s="1"/>
  <c r="AC617"/>
  <c r="AC618" s="1"/>
  <c r="AC94" s="1"/>
  <c r="AC29"/>
  <c r="AC31" s="1"/>
  <c r="AC661"/>
  <c r="AC662" s="1"/>
  <c r="AC17" s="1"/>
  <c r="AC657"/>
  <c r="AC658" s="1"/>
  <c r="AC16" s="1"/>
  <c r="AC623"/>
  <c r="AC624" s="1"/>
  <c r="AC95" s="1"/>
  <c r="AC108"/>
  <c r="AC10"/>
  <c r="AC12" s="1"/>
  <c r="AB649"/>
  <c r="AB650" s="1"/>
  <c r="AB14" s="1"/>
  <c r="AB617"/>
  <c r="AB618" s="1"/>
  <c r="AB94" s="1"/>
  <c r="AB653"/>
  <c r="AB654" s="1"/>
  <c r="AB15" s="1"/>
  <c r="AB29"/>
  <c r="AB31" s="1"/>
  <c r="AB657"/>
  <c r="AB658" s="1"/>
  <c r="AB16" s="1"/>
  <c r="AB623"/>
  <c r="AB624" s="1"/>
  <c r="AB95" s="1"/>
  <c r="AB661"/>
  <c r="AB662" s="1"/>
  <c r="AB17" s="1"/>
  <c r="AB108"/>
  <c r="AB10"/>
  <c r="AB12" s="1"/>
  <c r="AA653"/>
  <c r="AA654" s="1"/>
  <c r="AA15" s="1"/>
  <c r="AA649"/>
  <c r="AA650" s="1"/>
  <c r="AA14" s="1"/>
  <c r="AA617"/>
  <c r="AA618" s="1"/>
  <c r="AA94" s="1"/>
  <c r="AA29"/>
  <c r="AA31" s="1"/>
  <c r="AA661"/>
  <c r="AA662" s="1"/>
  <c r="AA17" s="1"/>
  <c r="AA657"/>
  <c r="AA658" s="1"/>
  <c r="AA16" s="1"/>
  <c r="AA623"/>
  <c r="AA624" s="1"/>
  <c r="AA95" s="1"/>
  <c r="AA108"/>
  <c r="AA10"/>
  <c r="AA12" s="1"/>
  <c r="Z649"/>
  <c r="Z650" s="1"/>
  <c r="Z14" s="1"/>
  <c r="Z617"/>
  <c r="Z618" s="1"/>
  <c r="Z94" s="1"/>
  <c r="Z653"/>
  <c r="Z654" s="1"/>
  <c r="Z15" s="1"/>
  <c r="Z29"/>
  <c r="Z31" s="1"/>
  <c r="Z657"/>
  <c r="Z658" s="1"/>
  <c r="Z16" s="1"/>
  <c r="Z623"/>
  <c r="Z624" s="1"/>
  <c r="Z95" s="1"/>
  <c r="Z661"/>
  <c r="Z662" s="1"/>
  <c r="Z17" s="1"/>
  <c r="Z108"/>
  <c r="Z10"/>
  <c r="Z12" s="1"/>
  <c r="Y661"/>
  <c r="Y662" s="1"/>
  <c r="Y17" s="1"/>
  <c r="Y657"/>
  <c r="Y658" s="1"/>
  <c r="Y16" s="1"/>
  <c r="Y623"/>
  <c r="Y624" s="1"/>
  <c r="Y95" s="1"/>
  <c r="Y108"/>
  <c r="Y10"/>
  <c r="Y12" s="1"/>
  <c r="Y653"/>
  <c r="Y654" s="1"/>
  <c r="Y15" s="1"/>
  <c r="Y649"/>
  <c r="Y650" s="1"/>
  <c r="Y14" s="1"/>
  <c r="Y617"/>
  <c r="Y618" s="1"/>
  <c r="Y94" s="1"/>
  <c r="Y29"/>
  <c r="Y31" s="1"/>
  <c r="X657"/>
  <c r="X658" s="1"/>
  <c r="X16" s="1"/>
  <c r="X623"/>
  <c r="X624" s="1"/>
  <c r="X95" s="1"/>
  <c r="X661"/>
  <c r="X662" s="1"/>
  <c r="X17" s="1"/>
  <c r="X108"/>
  <c r="X10"/>
  <c r="X12" s="1"/>
  <c r="X649"/>
  <c r="X650" s="1"/>
  <c r="X14" s="1"/>
  <c r="X617"/>
  <c r="X618" s="1"/>
  <c r="X94" s="1"/>
  <c r="X653"/>
  <c r="X654" s="1"/>
  <c r="X15" s="1"/>
  <c r="X29"/>
  <c r="X31" s="1"/>
  <c r="W653"/>
  <c r="W654" s="1"/>
  <c r="W15" s="1"/>
  <c r="W649"/>
  <c r="W650" s="1"/>
  <c r="W14" s="1"/>
  <c r="W617"/>
  <c r="W618" s="1"/>
  <c r="W94" s="1"/>
  <c r="W29"/>
  <c r="W31" s="1"/>
  <c r="W661"/>
  <c r="W662" s="1"/>
  <c r="W17" s="1"/>
  <c r="W657"/>
  <c r="W658" s="1"/>
  <c r="W16" s="1"/>
  <c r="W623"/>
  <c r="W624" s="1"/>
  <c r="W95" s="1"/>
  <c r="W108"/>
  <c r="W10"/>
  <c r="W12" s="1"/>
  <c r="V657"/>
  <c r="V658" s="1"/>
  <c r="V16" s="1"/>
  <c r="V623"/>
  <c r="V624" s="1"/>
  <c r="V95" s="1"/>
  <c r="V661"/>
  <c r="V662" s="1"/>
  <c r="V17" s="1"/>
  <c r="V108"/>
  <c r="V10"/>
  <c r="V12" s="1"/>
  <c r="V649"/>
  <c r="V650" s="1"/>
  <c r="V14" s="1"/>
  <c r="V617"/>
  <c r="V618" s="1"/>
  <c r="V94" s="1"/>
  <c r="V653"/>
  <c r="V654" s="1"/>
  <c r="V15" s="1"/>
  <c r="V29"/>
  <c r="V31" s="1"/>
  <c r="U653"/>
  <c r="U654" s="1"/>
  <c r="U15" s="1"/>
  <c r="U649"/>
  <c r="U650" s="1"/>
  <c r="U14" s="1"/>
  <c r="U617"/>
  <c r="U618" s="1"/>
  <c r="U94" s="1"/>
  <c r="U29"/>
  <c r="U31" s="1"/>
  <c r="U661"/>
  <c r="U662" s="1"/>
  <c r="U17" s="1"/>
  <c r="U657"/>
  <c r="U658" s="1"/>
  <c r="U16" s="1"/>
  <c r="U623"/>
  <c r="U624" s="1"/>
  <c r="U95" s="1"/>
  <c r="U108"/>
  <c r="U10"/>
  <c r="U12" s="1"/>
  <c r="T657"/>
  <c r="T658" s="1"/>
  <c r="T16" s="1"/>
  <c r="T623"/>
  <c r="T624" s="1"/>
  <c r="T95" s="1"/>
  <c r="T661"/>
  <c r="T662" s="1"/>
  <c r="T17" s="1"/>
  <c r="T108"/>
  <c r="T10"/>
  <c r="T12" s="1"/>
  <c r="T649"/>
  <c r="T650" s="1"/>
  <c r="T14" s="1"/>
  <c r="T617"/>
  <c r="T618" s="1"/>
  <c r="T94" s="1"/>
  <c r="T653"/>
  <c r="T654" s="1"/>
  <c r="T15" s="1"/>
  <c r="T29"/>
  <c r="T31" s="1"/>
  <c r="S661"/>
  <c r="S662" s="1"/>
  <c r="S17" s="1"/>
  <c r="S657"/>
  <c r="S658" s="1"/>
  <c r="S16" s="1"/>
  <c r="S623"/>
  <c r="S624" s="1"/>
  <c r="S95" s="1"/>
  <c r="S108"/>
  <c r="S10"/>
  <c r="S12" s="1"/>
  <c r="S653"/>
  <c r="S654" s="1"/>
  <c r="S15" s="1"/>
  <c r="S649"/>
  <c r="S650" s="1"/>
  <c r="S14" s="1"/>
  <c r="S617"/>
  <c r="S618" s="1"/>
  <c r="S94" s="1"/>
  <c r="S29"/>
  <c r="S31" s="1"/>
  <c r="R649"/>
  <c r="R650" s="1"/>
  <c r="R14" s="1"/>
  <c r="R617"/>
  <c r="R618" s="1"/>
  <c r="R94" s="1"/>
  <c r="R653"/>
  <c r="R654" s="1"/>
  <c r="R15" s="1"/>
  <c r="R29"/>
  <c r="R31" s="1"/>
  <c r="R657"/>
  <c r="R658" s="1"/>
  <c r="R16" s="1"/>
  <c r="R623"/>
  <c r="R624" s="1"/>
  <c r="R95" s="1"/>
  <c r="R661"/>
  <c r="R662" s="1"/>
  <c r="R17" s="1"/>
  <c r="R108"/>
  <c r="R10"/>
  <c r="R12" s="1"/>
  <c r="R589" i="7"/>
  <c r="R590" s="1"/>
  <c r="R577"/>
  <c r="R578" s="1"/>
  <c r="R14" s="1"/>
  <c r="R18" s="1"/>
  <c r="R545"/>
  <c r="R546" s="1"/>
  <c r="R103" s="1"/>
  <c r="R581"/>
  <c r="R582" s="1"/>
  <c r="R29"/>
  <c r="R31" s="1"/>
  <c r="R585"/>
  <c r="R586" s="1"/>
  <c r="R551"/>
  <c r="R552" s="1"/>
  <c r="R104" s="1"/>
  <c r="R120"/>
  <c r="R10"/>
  <c r="R12" s="1"/>
  <c r="P657" i="8"/>
  <c r="P658" s="1"/>
  <c r="P16" s="1"/>
  <c r="P623"/>
  <c r="P624" s="1"/>
  <c r="P95" s="1"/>
  <c r="P661"/>
  <c r="P662" s="1"/>
  <c r="P17" s="1"/>
  <c r="P108"/>
  <c r="P10"/>
  <c r="P12" s="1"/>
  <c r="P649"/>
  <c r="P650" s="1"/>
  <c r="P14" s="1"/>
  <c r="P617"/>
  <c r="P618" s="1"/>
  <c r="P94" s="1"/>
  <c r="P653"/>
  <c r="P654" s="1"/>
  <c r="P15" s="1"/>
  <c r="P29"/>
  <c r="P31" s="1"/>
  <c r="P577" i="7"/>
  <c r="P578" s="1"/>
  <c r="P14" s="1"/>
  <c r="P18" s="1"/>
  <c r="P545"/>
  <c r="P546" s="1"/>
  <c r="P103" s="1"/>
  <c r="P581"/>
  <c r="P582" s="1"/>
  <c r="P29"/>
  <c r="P31" s="1"/>
  <c r="P585"/>
  <c r="P586" s="1"/>
  <c r="P551"/>
  <c r="P552" s="1"/>
  <c r="P104" s="1"/>
  <c r="P589"/>
  <c r="P590" s="1"/>
  <c r="P120"/>
  <c r="P10"/>
  <c r="P12" s="1"/>
  <c r="N657" i="8"/>
  <c r="N658" s="1"/>
  <c r="N16" s="1"/>
  <c r="N623"/>
  <c r="N624" s="1"/>
  <c r="N95" s="1"/>
  <c r="N661"/>
  <c r="N662" s="1"/>
  <c r="N17" s="1"/>
  <c r="N108"/>
  <c r="N10"/>
  <c r="N12" s="1"/>
  <c r="N649"/>
  <c r="N650" s="1"/>
  <c r="N14" s="1"/>
  <c r="N617"/>
  <c r="N618" s="1"/>
  <c r="N94" s="1"/>
  <c r="N653"/>
  <c r="N654" s="1"/>
  <c r="N15" s="1"/>
  <c r="N29"/>
  <c r="N31" s="1"/>
  <c r="M653"/>
  <c r="M654" s="1"/>
  <c r="M15" s="1"/>
  <c r="M649"/>
  <c r="M650" s="1"/>
  <c r="M14" s="1"/>
  <c r="M617"/>
  <c r="M618" s="1"/>
  <c r="M94" s="1"/>
  <c r="M29"/>
  <c r="M31" s="1"/>
  <c r="M661"/>
  <c r="M662" s="1"/>
  <c r="M17" s="1"/>
  <c r="M657"/>
  <c r="M658" s="1"/>
  <c r="M16" s="1"/>
  <c r="M623"/>
  <c r="M624" s="1"/>
  <c r="M95" s="1"/>
  <c r="M108"/>
  <c r="M10"/>
  <c r="M12" s="1"/>
  <c r="L649"/>
  <c r="L650" s="1"/>
  <c r="L14" s="1"/>
  <c r="L617"/>
  <c r="L618" s="1"/>
  <c r="L94" s="1"/>
  <c r="L653"/>
  <c r="L654" s="1"/>
  <c r="L15" s="1"/>
  <c r="L29"/>
  <c r="L31" s="1"/>
  <c r="L657"/>
  <c r="L658" s="1"/>
  <c r="L16" s="1"/>
  <c r="L623"/>
  <c r="L624" s="1"/>
  <c r="L95" s="1"/>
  <c r="L661"/>
  <c r="L662" s="1"/>
  <c r="L17" s="1"/>
  <c r="L108"/>
  <c r="L10"/>
  <c r="L12" s="1"/>
  <c r="L577" i="7"/>
  <c r="L578" s="1"/>
  <c r="L14" s="1"/>
  <c r="L18" s="1"/>
  <c r="L545"/>
  <c r="L546" s="1"/>
  <c r="L103" s="1"/>
  <c r="L581"/>
  <c r="L582" s="1"/>
  <c r="L29"/>
  <c r="L31" s="1"/>
  <c r="L585"/>
  <c r="L586" s="1"/>
  <c r="L551"/>
  <c r="L552" s="1"/>
  <c r="L104" s="1"/>
  <c r="L589"/>
  <c r="L590" s="1"/>
  <c r="L120"/>
  <c r="L10"/>
  <c r="L12" s="1"/>
  <c r="K589"/>
  <c r="K590" s="1"/>
  <c r="K585"/>
  <c r="K586" s="1"/>
  <c r="K551"/>
  <c r="K552" s="1"/>
  <c r="K104" s="1"/>
  <c r="K120"/>
  <c r="K10"/>
  <c r="K12" s="1"/>
  <c r="K581"/>
  <c r="K582" s="1"/>
  <c r="K545"/>
  <c r="K546" s="1"/>
  <c r="K103" s="1"/>
  <c r="K105" s="1"/>
  <c r="K29"/>
  <c r="K31" s="1"/>
  <c r="K577"/>
  <c r="K578" s="1"/>
  <c r="K14" s="1"/>
  <c r="K18" s="1"/>
  <c r="I661" i="8"/>
  <c r="I662" s="1"/>
  <c r="I17" s="1"/>
  <c r="I657"/>
  <c r="I658" s="1"/>
  <c r="I16" s="1"/>
  <c r="I623"/>
  <c r="I624" s="1"/>
  <c r="I95" s="1"/>
  <c r="I108"/>
  <c r="I10"/>
  <c r="I12" s="1"/>
  <c r="I653"/>
  <c r="I654" s="1"/>
  <c r="I15" s="1"/>
  <c r="I649"/>
  <c r="I650" s="1"/>
  <c r="I14" s="1"/>
  <c r="I617"/>
  <c r="I618" s="1"/>
  <c r="I94" s="1"/>
  <c r="I29"/>
  <c r="I31" s="1"/>
  <c r="H649"/>
  <c r="H650" s="1"/>
  <c r="H14" s="1"/>
  <c r="H617"/>
  <c r="H618" s="1"/>
  <c r="H94" s="1"/>
  <c r="H653"/>
  <c r="H654" s="1"/>
  <c r="H15" s="1"/>
  <c r="H29"/>
  <c r="H31" s="1"/>
  <c r="H657"/>
  <c r="H658" s="1"/>
  <c r="H16" s="1"/>
  <c r="H623"/>
  <c r="H624" s="1"/>
  <c r="H95" s="1"/>
  <c r="H661"/>
  <c r="H662" s="1"/>
  <c r="H17" s="1"/>
  <c r="H108"/>
  <c r="H10"/>
  <c r="H12" s="1"/>
  <c r="H577" i="7"/>
  <c r="H578" s="1"/>
  <c r="H14" s="1"/>
  <c r="H18" s="1"/>
  <c r="H545"/>
  <c r="H546" s="1"/>
  <c r="H103" s="1"/>
  <c r="H581"/>
  <c r="H582" s="1"/>
  <c r="H29"/>
  <c r="H31" s="1"/>
  <c r="H585"/>
  <c r="H586" s="1"/>
  <c r="H551"/>
  <c r="H552" s="1"/>
  <c r="H104" s="1"/>
  <c r="H589"/>
  <c r="H590" s="1"/>
  <c r="H120"/>
  <c r="H10"/>
  <c r="H12" s="1"/>
  <c r="F657" i="8"/>
  <c r="F658" s="1"/>
  <c r="F16" s="1"/>
  <c r="F623"/>
  <c r="F624" s="1"/>
  <c r="F95" s="1"/>
  <c r="F661"/>
  <c r="F662" s="1"/>
  <c r="F17" s="1"/>
  <c r="F108"/>
  <c r="F10"/>
  <c r="F12" s="1"/>
  <c r="F649"/>
  <c r="F650" s="1"/>
  <c r="F14" s="1"/>
  <c r="F617"/>
  <c r="F618" s="1"/>
  <c r="F94" s="1"/>
  <c r="F653"/>
  <c r="F654" s="1"/>
  <c r="F15" s="1"/>
  <c r="F29"/>
  <c r="F31" s="1"/>
  <c r="F585" i="7"/>
  <c r="F586" s="1"/>
  <c r="F551"/>
  <c r="F552" s="1"/>
  <c r="F104" s="1"/>
  <c r="F589"/>
  <c r="F590" s="1"/>
  <c r="F120"/>
  <c r="F10"/>
  <c r="F12" s="1"/>
  <c r="F577"/>
  <c r="F578" s="1"/>
  <c r="F14" s="1"/>
  <c r="F18" s="1"/>
  <c r="F545"/>
  <c r="F546" s="1"/>
  <c r="F103" s="1"/>
  <c r="F581"/>
  <c r="F582" s="1"/>
  <c r="F29"/>
  <c r="F31" s="1"/>
  <c r="D657" i="8"/>
  <c r="D658" s="1"/>
  <c r="D16" s="1"/>
  <c r="D623"/>
  <c r="D624" s="1"/>
  <c r="D95" s="1"/>
  <c r="D661"/>
  <c r="D662" s="1"/>
  <c r="D17" s="1"/>
  <c r="D108"/>
  <c r="D10"/>
  <c r="D12" s="1"/>
  <c r="D649"/>
  <c r="D650" s="1"/>
  <c r="D14" s="1"/>
  <c r="D617"/>
  <c r="D618" s="1"/>
  <c r="D94" s="1"/>
  <c r="D653"/>
  <c r="D654" s="1"/>
  <c r="D15" s="1"/>
  <c r="D29"/>
  <c r="D31" s="1"/>
  <c r="D585" i="7"/>
  <c r="D586" s="1"/>
  <c r="D551"/>
  <c r="D552" s="1"/>
  <c r="D104" s="1"/>
  <c r="D589"/>
  <c r="D590" s="1"/>
  <c r="D120"/>
  <c r="D10"/>
  <c r="D12" s="1"/>
  <c r="D577"/>
  <c r="D578" s="1"/>
  <c r="D14" s="1"/>
  <c r="D18" s="1"/>
  <c r="D545"/>
  <c r="D546" s="1"/>
  <c r="D103" s="1"/>
  <c r="D581"/>
  <c r="D582" s="1"/>
  <c r="D29"/>
  <c r="D31" s="1"/>
  <c r="AF577"/>
  <c r="AF578" s="1"/>
  <c r="AF14" s="1"/>
  <c r="AF18" s="1"/>
  <c r="AF545"/>
  <c r="AF546" s="1"/>
  <c r="AF103" s="1"/>
  <c r="AF581"/>
  <c r="AF582" s="1"/>
  <c r="AF29"/>
  <c r="AF31" s="1"/>
  <c r="AF585"/>
  <c r="AF586" s="1"/>
  <c r="AF551"/>
  <c r="AF552" s="1"/>
  <c r="AF104" s="1"/>
  <c r="AF589"/>
  <c r="AF590" s="1"/>
  <c r="AF120"/>
  <c r="AF10"/>
  <c r="AF12" s="1"/>
  <c r="AE589"/>
  <c r="AE590" s="1"/>
  <c r="AE585"/>
  <c r="AE586" s="1"/>
  <c r="AE551"/>
  <c r="AE552" s="1"/>
  <c r="AE104" s="1"/>
  <c r="AE120"/>
  <c r="AE10"/>
  <c r="AE12" s="1"/>
  <c r="AE581"/>
  <c r="AE582" s="1"/>
  <c r="AE577"/>
  <c r="AE578" s="1"/>
  <c r="AE14" s="1"/>
  <c r="AE18" s="1"/>
  <c r="AE545"/>
  <c r="AE546" s="1"/>
  <c r="AE103" s="1"/>
  <c r="AE29"/>
  <c r="AE31" s="1"/>
  <c r="AD577"/>
  <c r="AD578" s="1"/>
  <c r="AD14" s="1"/>
  <c r="AD18" s="1"/>
  <c r="AD545"/>
  <c r="AD546" s="1"/>
  <c r="AD103" s="1"/>
  <c r="AD581"/>
  <c r="AD582" s="1"/>
  <c r="AD29"/>
  <c r="AD31" s="1"/>
  <c r="AD585"/>
  <c r="AD586" s="1"/>
  <c r="AD551"/>
  <c r="AD552" s="1"/>
  <c r="AD104" s="1"/>
  <c r="AD589"/>
  <c r="AD590" s="1"/>
  <c r="AD120"/>
  <c r="AD10"/>
  <c r="AD12" s="1"/>
  <c r="AC589"/>
  <c r="AC590" s="1"/>
  <c r="AC585"/>
  <c r="AC586" s="1"/>
  <c r="AC551"/>
  <c r="AC552" s="1"/>
  <c r="AC104" s="1"/>
  <c r="AC120"/>
  <c r="AC10"/>
  <c r="AC12" s="1"/>
  <c r="AC581"/>
  <c r="AC582" s="1"/>
  <c r="AC577"/>
  <c r="AC578" s="1"/>
  <c r="AC14" s="1"/>
  <c r="AC18" s="1"/>
  <c r="AC545"/>
  <c r="AC546" s="1"/>
  <c r="AC103" s="1"/>
  <c r="AC29"/>
  <c r="AC31" s="1"/>
  <c r="AB577"/>
  <c r="AB578" s="1"/>
  <c r="AB14" s="1"/>
  <c r="AB18" s="1"/>
  <c r="AB585"/>
  <c r="AB586" s="1"/>
  <c r="AB551"/>
  <c r="AB552" s="1"/>
  <c r="AB104" s="1"/>
  <c r="AB589"/>
  <c r="AB590" s="1"/>
  <c r="AB120"/>
  <c r="AB10"/>
  <c r="AB12" s="1"/>
  <c r="AB545"/>
  <c r="AB546" s="1"/>
  <c r="AB103" s="1"/>
  <c r="AB105" s="1"/>
  <c r="AB581"/>
  <c r="AB582" s="1"/>
  <c r="AB29"/>
  <c r="AB31" s="1"/>
  <c r="AA581"/>
  <c r="AA582" s="1"/>
  <c r="AA577"/>
  <c r="AA578" s="1"/>
  <c r="AA14" s="1"/>
  <c r="AA18" s="1"/>
  <c r="AA545"/>
  <c r="AA546" s="1"/>
  <c r="AA103" s="1"/>
  <c r="AA29"/>
  <c r="AA31" s="1"/>
  <c r="AA589"/>
  <c r="AA590" s="1"/>
  <c r="AA585"/>
  <c r="AA586" s="1"/>
  <c r="AA551"/>
  <c r="AA552" s="1"/>
  <c r="AA104" s="1"/>
  <c r="AA120"/>
  <c r="AA10"/>
  <c r="AA12" s="1"/>
  <c r="Z585"/>
  <c r="Z586" s="1"/>
  <c r="Z551"/>
  <c r="Z552" s="1"/>
  <c r="Z104" s="1"/>
  <c r="Z10"/>
  <c r="Z12" s="1"/>
  <c r="Z577"/>
  <c r="Z578" s="1"/>
  <c r="Z14" s="1"/>
  <c r="Z18" s="1"/>
  <c r="Z545"/>
  <c r="Z546" s="1"/>
  <c r="Z103" s="1"/>
  <c r="Z581"/>
  <c r="Z582" s="1"/>
  <c r="Z29"/>
  <c r="Z31" s="1"/>
  <c r="Z589"/>
  <c r="Z590" s="1"/>
  <c r="Z120"/>
  <c r="Y589"/>
  <c r="Y590" s="1"/>
  <c r="Y585"/>
  <c r="Y586" s="1"/>
  <c r="Y551"/>
  <c r="Y552" s="1"/>
  <c r="Y104" s="1"/>
  <c r="Y120"/>
  <c r="Y10"/>
  <c r="Y12" s="1"/>
  <c r="Y581"/>
  <c r="Y582" s="1"/>
  <c r="Y577"/>
  <c r="Y578" s="1"/>
  <c r="Y14" s="1"/>
  <c r="Y18" s="1"/>
  <c r="Y545"/>
  <c r="Y546" s="1"/>
  <c r="Y103" s="1"/>
  <c r="Y29"/>
  <c r="Y31" s="1"/>
  <c r="X577"/>
  <c r="X578" s="1"/>
  <c r="X14" s="1"/>
  <c r="X18" s="1"/>
  <c r="X545"/>
  <c r="X546" s="1"/>
  <c r="X103" s="1"/>
  <c r="X581"/>
  <c r="X582" s="1"/>
  <c r="X29"/>
  <c r="X31" s="1"/>
  <c r="X585"/>
  <c r="X586" s="1"/>
  <c r="X551"/>
  <c r="X552" s="1"/>
  <c r="X104" s="1"/>
  <c r="X589"/>
  <c r="X590" s="1"/>
  <c r="X120"/>
  <c r="X10"/>
  <c r="X12" s="1"/>
  <c r="W581"/>
  <c r="W582" s="1"/>
  <c r="W577"/>
  <c r="W578" s="1"/>
  <c r="W14" s="1"/>
  <c r="W18" s="1"/>
  <c r="W545"/>
  <c r="W546" s="1"/>
  <c r="W103" s="1"/>
  <c r="W29"/>
  <c r="W31" s="1"/>
  <c r="W589"/>
  <c r="W590" s="1"/>
  <c r="W585"/>
  <c r="W586" s="1"/>
  <c r="W551"/>
  <c r="W552" s="1"/>
  <c r="W104" s="1"/>
  <c r="W120"/>
  <c r="W10"/>
  <c r="W12" s="1"/>
  <c r="V585"/>
  <c r="V586" s="1"/>
  <c r="V551"/>
  <c r="V552" s="1"/>
  <c r="V104" s="1"/>
  <c r="V589"/>
  <c r="V590" s="1"/>
  <c r="V10"/>
  <c r="V12" s="1"/>
  <c r="V577"/>
  <c r="V578" s="1"/>
  <c r="V14" s="1"/>
  <c r="V18" s="1"/>
  <c r="V545"/>
  <c r="V546" s="1"/>
  <c r="V103" s="1"/>
  <c r="V105" s="1"/>
  <c r="V581"/>
  <c r="V582" s="1"/>
  <c r="V29"/>
  <c r="V31" s="1"/>
  <c r="V120"/>
  <c r="U589"/>
  <c r="U590" s="1"/>
  <c r="U585"/>
  <c r="U586" s="1"/>
  <c r="U551"/>
  <c r="U552" s="1"/>
  <c r="U104" s="1"/>
  <c r="U120"/>
  <c r="U10"/>
  <c r="U12" s="1"/>
  <c r="U545"/>
  <c r="U546" s="1"/>
  <c r="U103" s="1"/>
  <c r="U581"/>
  <c r="U582" s="1"/>
  <c r="U577"/>
  <c r="U578" s="1"/>
  <c r="U14" s="1"/>
  <c r="U18" s="1"/>
  <c r="U29"/>
  <c r="U31" s="1"/>
  <c r="T545"/>
  <c r="T546" s="1"/>
  <c r="T103" s="1"/>
  <c r="T585"/>
  <c r="T586" s="1"/>
  <c r="T551"/>
  <c r="T552" s="1"/>
  <c r="T104" s="1"/>
  <c r="T589"/>
  <c r="T590" s="1"/>
  <c r="T120"/>
  <c r="T10"/>
  <c r="T12" s="1"/>
  <c r="T577"/>
  <c r="T578" s="1"/>
  <c r="T14" s="1"/>
  <c r="T18" s="1"/>
  <c r="T581"/>
  <c r="T582" s="1"/>
  <c r="T29"/>
  <c r="T31" s="1"/>
  <c r="S581"/>
  <c r="S582" s="1"/>
  <c r="S577"/>
  <c r="S578" s="1"/>
  <c r="S14" s="1"/>
  <c r="S18" s="1"/>
  <c r="S545"/>
  <c r="S546" s="1"/>
  <c r="S103" s="1"/>
  <c r="S29"/>
  <c r="S31" s="1"/>
  <c r="S589"/>
  <c r="S590" s="1"/>
  <c r="S585"/>
  <c r="S586" s="1"/>
  <c r="S551"/>
  <c r="S552" s="1"/>
  <c r="S104" s="1"/>
  <c r="S120"/>
  <c r="S10"/>
  <c r="S12" s="1"/>
  <c r="Q653" i="8"/>
  <c r="Q654" s="1"/>
  <c r="Q15" s="1"/>
  <c r="Q649"/>
  <c r="Q650" s="1"/>
  <c r="Q14" s="1"/>
  <c r="Q617"/>
  <c r="Q618" s="1"/>
  <c r="Q94" s="1"/>
  <c r="Q29"/>
  <c r="Q31" s="1"/>
  <c r="Q661"/>
  <c r="Q662" s="1"/>
  <c r="Q17" s="1"/>
  <c r="Q657"/>
  <c r="Q658" s="1"/>
  <c r="Q16" s="1"/>
  <c r="Q623"/>
  <c r="Q624" s="1"/>
  <c r="Q95" s="1"/>
  <c r="Q108"/>
  <c r="Q10"/>
  <c r="Q12" s="1"/>
  <c r="Q589" i="7"/>
  <c r="Q590" s="1"/>
  <c r="Q585"/>
  <c r="Q586" s="1"/>
  <c r="Q551"/>
  <c r="Q552" s="1"/>
  <c r="Q104" s="1"/>
  <c r="Q120"/>
  <c r="Q10"/>
  <c r="Q12" s="1"/>
  <c r="Q581"/>
  <c r="Q582" s="1"/>
  <c r="Q577"/>
  <c r="Q578" s="1"/>
  <c r="Q14" s="1"/>
  <c r="Q18" s="1"/>
  <c r="Q545"/>
  <c r="Q546" s="1"/>
  <c r="Q103" s="1"/>
  <c r="Q29"/>
  <c r="Q31" s="1"/>
  <c r="O653" i="8"/>
  <c r="O654" s="1"/>
  <c r="O15" s="1"/>
  <c r="O649"/>
  <c r="O650" s="1"/>
  <c r="O14" s="1"/>
  <c r="O617"/>
  <c r="O618" s="1"/>
  <c r="O94" s="1"/>
  <c r="O29"/>
  <c r="O31" s="1"/>
  <c r="O661"/>
  <c r="O662" s="1"/>
  <c r="O17" s="1"/>
  <c r="O657"/>
  <c r="O658" s="1"/>
  <c r="O16" s="1"/>
  <c r="O623"/>
  <c r="O624" s="1"/>
  <c r="O95" s="1"/>
  <c r="O108"/>
  <c r="O10"/>
  <c r="O12" s="1"/>
  <c r="O589" i="7"/>
  <c r="O590" s="1"/>
  <c r="O585"/>
  <c r="O586" s="1"/>
  <c r="O120"/>
  <c r="O581"/>
  <c r="O582" s="1"/>
  <c r="O577"/>
  <c r="O578" s="1"/>
  <c r="O14" s="1"/>
  <c r="O18" s="1"/>
  <c r="O545"/>
  <c r="O546" s="1"/>
  <c r="O103" s="1"/>
  <c r="O29"/>
  <c r="O31" s="1"/>
  <c r="O551"/>
  <c r="O552" s="1"/>
  <c r="O104" s="1"/>
  <c r="O10"/>
  <c r="O12" s="1"/>
  <c r="N577"/>
  <c r="N578" s="1"/>
  <c r="N14" s="1"/>
  <c r="N18" s="1"/>
  <c r="N545"/>
  <c r="N546" s="1"/>
  <c r="N103" s="1"/>
  <c r="N581"/>
  <c r="N582" s="1"/>
  <c r="N29"/>
  <c r="N31" s="1"/>
  <c r="N585"/>
  <c r="N586" s="1"/>
  <c r="N551"/>
  <c r="N552" s="1"/>
  <c r="N104" s="1"/>
  <c r="N589"/>
  <c r="N590" s="1"/>
  <c r="N120"/>
  <c r="N10"/>
  <c r="N12" s="1"/>
  <c r="M589"/>
  <c r="M590" s="1"/>
  <c r="M551"/>
  <c r="M552" s="1"/>
  <c r="M104" s="1"/>
  <c r="M581"/>
  <c r="M582" s="1"/>
  <c r="M577"/>
  <c r="M578" s="1"/>
  <c r="M14" s="1"/>
  <c r="M18" s="1"/>
  <c r="M545"/>
  <c r="M546" s="1"/>
  <c r="M103" s="1"/>
  <c r="M29"/>
  <c r="M31" s="1"/>
  <c r="M585"/>
  <c r="M586" s="1"/>
  <c r="M120"/>
  <c r="M10"/>
  <c r="M12" s="1"/>
  <c r="K653" i="8"/>
  <c r="K654" s="1"/>
  <c r="K15" s="1"/>
  <c r="K649"/>
  <c r="K650" s="1"/>
  <c r="K14" s="1"/>
  <c r="K617"/>
  <c r="K618" s="1"/>
  <c r="K94" s="1"/>
  <c r="K29"/>
  <c r="K31" s="1"/>
  <c r="K661"/>
  <c r="K662" s="1"/>
  <c r="K17" s="1"/>
  <c r="K657"/>
  <c r="K658" s="1"/>
  <c r="K16" s="1"/>
  <c r="K623"/>
  <c r="K624" s="1"/>
  <c r="K95" s="1"/>
  <c r="K108"/>
  <c r="K10"/>
  <c r="K12" s="1"/>
  <c r="J657"/>
  <c r="J658" s="1"/>
  <c r="J16" s="1"/>
  <c r="J623"/>
  <c r="J624" s="1"/>
  <c r="J95" s="1"/>
  <c r="J661"/>
  <c r="J662" s="1"/>
  <c r="J17" s="1"/>
  <c r="J108"/>
  <c r="J10"/>
  <c r="J12" s="1"/>
  <c r="J649"/>
  <c r="J650" s="1"/>
  <c r="J14" s="1"/>
  <c r="J617"/>
  <c r="J618" s="1"/>
  <c r="J94" s="1"/>
  <c r="J29"/>
  <c r="J31" s="1"/>
  <c r="J653"/>
  <c r="J654" s="1"/>
  <c r="J15" s="1"/>
  <c r="J577" i="7"/>
  <c r="J578" s="1"/>
  <c r="J14" s="1"/>
  <c r="J18" s="1"/>
  <c r="J545"/>
  <c r="J546" s="1"/>
  <c r="J103" s="1"/>
  <c r="J581"/>
  <c r="J582" s="1"/>
  <c r="J29"/>
  <c r="J31" s="1"/>
  <c r="J585"/>
  <c r="J586" s="1"/>
  <c r="J551"/>
  <c r="J552" s="1"/>
  <c r="J104" s="1"/>
  <c r="J589"/>
  <c r="J590" s="1"/>
  <c r="J120"/>
  <c r="J10"/>
  <c r="J12" s="1"/>
  <c r="I581"/>
  <c r="I582" s="1"/>
  <c r="I577"/>
  <c r="I578" s="1"/>
  <c r="I14" s="1"/>
  <c r="I18" s="1"/>
  <c r="I545"/>
  <c r="I546" s="1"/>
  <c r="I103" s="1"/>
  <c r="I29"/>
  <c r="I31" s="1"/>
  <c r="I589"/>
  <c r="I590" s="1"/>
  <c r="I585"/>
  <c r="I586" s="1"/>
  <c r="I551"/>
  <c r="I552" s="1"/>
  <c r="I104" s="1"/>
  <c r="I120"/>
  <c r="I10"/>
  <c r="I12" s="1"/>
  <c r="G653" i="8"/>
  <c r="G654" s="1"/>
  <c r="G15" s="1"/>
  <c r="G649"/>
  <c r="G650" s="1"/>
  <c r="G14" s="1"/>
  <c r="G617"/>
  <c r="G618" s="1"/>
  <c r="G94" s="1"/>
  <c r="G29"/>
  <c r="G31" s="1"/>
  <c r="G661"/>
  <c r="G662" s="1"/>
  <c r="G17" s="1"/>
  <c r="G657"/>
  <c r="G658" s="1"/>
  <c r="G16" s="1"/>
  <c r="G623"/>
  <c r="G624" s="1"/>
  <c r="G95" s="1"/>
  <c r="G108"/>
  <c r="G10"/>
  <c r="G12" s="1"/>
  <c r="G589" i="7"/>
  <c r="G590" s="1"/>
  <c r="G585"/>
  <c r="G586" s="1"/>
  <c r="G551"/>
  <c r="G552" s="1"/>
  <c r="G104" s="1"/>
  <c r="G120"/>
  <c r="G10"/>
  <c r="G12" s="1"/>
  <c r="G581"/>
  <c r="G582" s="1"/>
  <c r="G577"/>
  <c r="G578" s="1"/>
  <c r="G14" s="1"/>
  <c r="G18" s="1"/>
  <c r="G545"/>
  <c r="G546" s="1"/>
  <c r="G103" s="1"/>
  <c r="G29"/>
  <c r="G31" s="1"/>
  <c r="E653" i="8"/>
  <c r="E654" s="1"/>
  <c r="E15" s="1"/>
  <c r="E649"/>
  <c r="E650" s="1"/>
  <c r="E14" s="1"/>
  <c r="E617"/>
  <c r="E618" s="1"/>
  <c r="E94" s="1"/>
  <c r="E29"/>
  <c r="E31" s="1"/>
  <c r="E661"/>
  <c r="E662" s="1"/>
  <c r="E17" s="1"/>
  <c r="E657"/>
  <c r="E658" s="1"/>
  <c r="E16" s="1"/>
  <c r="E623"/>
  <c r="E624" s="1"/>
  <c r="E95" s="1"/>
  <c r="E108"/>
  <c r="E10"/>
  <c r="E12" s="1"/>
  <c r="E589" i="7"/>
  <c r="E590" s="1"/>
  <c r="E585"/>
  <c r="E586" s="1"/>
  <c r="E551"/>
  <c r="E552" s="1"/>
  <c r="E104" s="1"/>
  <c r="E120"/>
  <c r="E10"/>
  <c r="E12" s="1"/>
  <c r="E581"/>
  <c r="E582" s="1"/>
  <c r="E577"/>
  <c r="E578" s="1"/>
  <c r="E14" s="1"/>
  <c r="E18" s="1"/>
  <c r="E545"/>
  <c r="E546" s="1"/>
  <c r="E103" s="1"/>
  <c r="E29"/>
  <c r="E31" s="1"/>
  <c r="C581"/>
  <c r="C582" s="1"/>
  <c r="C577"/>
  <c r="C578" s="1"/>
  <c r="C14" s="1"/>
  <c r="C18" s="1"/>
  <c r="C545"/>
  <c r="C546" s="1"/>
  <c r="C103" s="1"/>
  <c r="C29"/>
  <c r="C31" s="1"/>
  <c r="C589"/>
  <c r="C590" s="1"/>
  <c r="C585"/>
  <c r="C586" s="1"/>
  <c r="C551"/>
  <c r="C552" s="1"/>
  <c r="C104" s="1"/>
  <c r="C120"/>
  <c r="C10"/>
  <c r="C12" s="1"/>
  <c r="C661" i="8"/>
  <c r="C662" s="1"/>
  <c r="C17" s="1"/>
  <c r="C657"/>
  <c r="C658" s="1"/>
  <c r="C16" s="1"/>
  <c r="C623"/>
  <c r="C624" s="1"/>
  <c r="C95" s="1"/>
  <c r="C108"/>
  <c r="C10"/>
  <c r="C12" s="1"/>
  <c r="C653"/>
  <c r="C654" s="1"/>
  <c r="C15" s="1"/>
  <c r="C649"/>
  <c r="C650" s="1"/>
  <c r="C14" s="1"/>
  <c r="C617"/>
  <c r="C618" s="1"/>
  <c r="C94" s="1"/>
  <c r="C29"/>
  <c r="C31" s="1"/>
  <c r="AG661"/>
  <c r="AG662" s="1"/>
  <c r="AG17" s="1"/>
  <c r="AG653"/>
  <c r="AG654" s="1"/>
  <c r="AG15" s="1"/>
  <c r="AG657"/>
  <c r="AG658" s="1"/>
  <c r="AG16" s="1"/>
  <c r="AG649"/>
  <c r="AG650" s="1"/>
  <c r="AG14" s="1"/>
  <c r="AG623"/>
  <c r="AG624" s="1"/>
  <c r="AG95" s="1"/>
  <c r="AG617"/>
  <c r="AG108"/>
  <c r="AG29"/>
  <c r="AG31" s="1"/>
  <c r="AG10"/>
  <c r="AG12" s="1"/>
  <c r="AG466"/>
  <c r="AG467"/>
  <c r="AG471"/>
  <c r="AG475"/>
  <c r="AG495"/>
  <c r="AG499"/>
  <c r="AG519"/>
  <c r="AG523"/>
  <c r="AG527"/>
  <c r="AG470"/>
  <c r="AG474"/>
  <c r="AG494"/>
  <c r="AG498"/>
  <c r="AG518"/>
  <c r="AG522"/>
  <c r="AG526"/>
  <c r="AF664"/>
  <c r="AF72"/>
  <c r="AF63"/>
  <c r="AH766"/>
  <c r="AH765"/>
  <c r="AH764"/>
  <c r="AH763"/>
  <c r="AH762"/>
  <c r="AH761"/>
  <c r="AH760"/>
  <c r="AH759"/>
  <c r="AH771"/>
  <c r="AH757"/>
  <c r="AH754"/>
  <c r="AH753"/>
  <c r="AH752"/>
  <c r="AH751"/>
  <c r="AH750"/>
  <c r="AH749"/>
  <c r="AH748"/>
  <c r="AH747"/>
  <c r="AH746"/>
  <c r="AH745"/>
  <c r="AH734"/>
  <c r="AH733"/>
  <c r="AH732"/>
  <c r="AH731"/>
  <c r="AH730"/>
  <c r="AH729"/>
  <c r="AH728"/>
  <c r="AH726"/>
  <c r="AH725"/>
  <c r="AH722"/>
  <c r="AH721"/>
  <c r="AH720"/>
  <c r="AH719"/>
  <c r="AH718"/>
  <c r="AH717"/>
  <c r="AH716"/>
  <c r="AH715"/>
  <c r="AH714"/>
  <c r="AH713"/>
  <c r="AH702"/>
  <c r="AH701"/>
  <c r="AH700"/>
  <c r="AH699"/>
  <c r="AH698"/>
  <c r="AH697"/>
  <c r="AH696"/>
  <c r="AH694"/>
  <c r="AH693"/>
  <c r="AH690"/>
  <c r="AH689"/>
  <c r="AH688"/>
  <c r="AH687"/>
  <c r="AH686"/>
  <c r="AH685"/>
  <c r="AH684"/>
  <c r="AH683"/>
  <c r="AH682"/>
  <c r="AH681"/>
  <c r="AH621"/>
  <c r="AH622" s="1"/>
  <c r="AH615"/>
  <c r="AH616" s="1"/>
  <c r="AH670"/>
  <c r="AH54" s="1"/>
  <c r="AH461"/>
  <c r="AH392"/>
  <c r="AH390"/>
  <c r="AH388"/>
  <c r="AH386"/>
  <c r="AH384"/>
  <c r="AH366"/>
  <c r="AH364"/>
  <c r="AH362"/>
  <c r="AH360"/>
  <c r="AH358"/>
  <c r="AH341"/>
  <c r="AH339"/>
  <c r="AH337"/>
  <c r="AH448"/>
  <c r="AH447"/>
  <c r="AH446"/>
  <c r="AH445"/>
  <c r="AH444"/>
  <c r="AH443"/>
  <c r="AH391"/>
  <c r="AH389"/>
  <c r="AH387"/>
  <c r="AH385"/>
  <c r="AH383"/>
  <c r="AH365"/>
  <c r="AH363"/>
  <c r="AH361"/>
  <c r="AH359"/>
  <c r="AH357"/>
  <c r="AH340"/>
  <c r="AH338"/>
  <c r="AH336"/>
  <c r="AH334"/>
  <c r="AH332"/>
  <c r="AH327"/>
  <c r="AH333"/>
  <c r="AH314"/>
  <c r="AH313"/>
  <c r="AH312"/>
  <c r="AH311"/>
  <c r="AH310"/>
  <c r="AH309"/>
  <c r="AH335"/>
  <c r="AH239"/>
  <c r="AH204"/>
  <c r="AH40"/>
  <c r="AI2"/>
  <c r="AH33"/>
  <c r="AH35" s="1"/>
  <c r="AH37" s="1"/>
  <c r="AH39" s="1"/>
  <c r="AH30"/>
  <c r="AH26"/>
  <c r="AH25"/>
  <c r="AH23"/>
  <c r="AH19"/>
  <c r="AH5"/>
  <c r="AG328"/>
  <c r="AG468"/>
  <c r="AG469"/>
  <c r="AG473"/>
  <c r="AG493"/>
  <c r="AG497"/>
  <c r="AG501"/>
  <c r="AG521"/>
  <c r="AG525"/>
  <c r="AG472"/>
  <c r="AG492"/>
  <c r="AG496"/>
  <c r="AG500"/>
  <c r="AG520"/>
  <c r="AG524"/>
  <c r="AG462"/>
  <c r="AG238"/>
  <c r="AG203"/>
  <c r="AG48"/>
  <c r="AH599" i="7"/>
  <c r="AG27" i="8"/>
  <c r="AG618"/>
  <c r="AG94" s="1"/>
  <c r="AG691"/>
  <c r="AG676" s="1"/>
  <c r="AG60" s="1"/>
  <c r="AG723"/>
  <c r="AG708" s="1"/>
  <c r="AG61" s="1"/>
  <c r="AG755"/>
  <c r="AG740" s="1"/>
  <c r="AG62" s="1"/>
  <c r="AI616" i="7"/>
  <c r="AI614"/>
  <c r="AI610"/>
  <c r="AI601"/>
  <c r="AI600"/>
  <c r="AI611" s="1"/>
  <c r="AI597"/>
  <c r="AI596"/>
  <c r="AJ11"/>
  <c r="AH27"/>
  <c r="AH651"/>
  <c r="AH636" s="1"/>
  <c r="AH68" s="1"/>
  <c r="AH61"/>
  <c r="AG105"/>
  <c r="AG592"/>
  <c r="AG190"/>
  <c r="AG153"/>
  <c r="AG49"/>
  <c r="AG191"/>
  <c r="AG154"/>
  <c r="AG50"/>
  <c r="AG192"/>
  <c r="AG155"/>
  <c r="AG51"/>
  <c r="AG606"/>
  <c r="AG80"/>
  <c r="AG81" s="1"/>
  <c r="AG119"/>
  <c r="AG20"/>
  <c r="AG43" s="1"/>
  <c r="AI731"/>
  <c r="AI726"/>
  <c r="AI725"/>
  <c r="AI724"/>
  <c r="AI723"/>
  <c r="AI722"/>
  <c r="AI721"/>
  <c r="AI720"/>
  <c r="AI719"/>
  <c r="AI717"/>
  <c r="AI714"/>
  <c r="AI713"/>
  <c r="AI712"/>
  <c r="AI711"/>
  <c r="AI710"/>
  <c r="AI709"/>
  <c r="AI708"/>
  <c r="AI707"/>
  <c r="AI705"/>
  <c r="AI682"/>
  <c r="AI681"/>
  <c r="AI680"/>
  <c r="AI679"/>
  <c r="AI678"/>
  <c r="AI677"/>
  <c r="AI676"/>
  <c r="AI706"/>
  <c r="AI694"/>
  <c r="AI693"/>
  <c r="AI692"/>
  <c r="AI691"/>
  <c r="AI690"/>
  <c r="AI689"/>
  <c r="AI688"/>
  <c r="AI686"/>
  <c r="AI685"/>
  <c r="AI650"/>
  <c r="AI649"/>
  <c r="AI648"/>
  <c r="AI647"/>
  <c r="AI646"/>
  <c r="AI645"/>
  <c r="AI675"/>
  <c r="AI674"/>
  <c r="AI673"/>
  <c r="AI662"/>
  <c r="AI661"/>
  <c r="AI660"/>
  <c r="AI659"/>
  <c r="AI658"/>
  <c r="AI657"/>
  <c r="AI656"/>
  <c r="AI654"/>
  <c r="AI653"/>
  <c r="AI643"/>
  <c r="AI630"/>
  <c r="AI62" s="1"/>
  <c r="AI644"/>
  <c r="AI642"/>
  <c r="AI641"/>
  <c r="AI549"/>
  <c r="AI550" s="1"/>
  <c r="AI543"/>
  <c r="AI544" s="1"/>
  <c r="AI376"/>
  <c r="AI375"/>
  <c r="AI374"/>
  <c r="AI373"/>
  <c r="AI372"/>
  <c r="AI371"/>
  <c r="AI319"/>
  <c r="AI317"/>
  <c r="AI315"/>
  <c r="AI313"/>
  <c r="AI311"/>
  <c r="AI293"/>
  <c r="AI291"/>
  <c r="AI289"/>
  <c r="AI287"/>
  <c r="AI285"/>
  <c r="AI389"/>
  <c r="AI320"/>
  <c r="AI318"/>
  <c r="AI316"/>
  <c r="AI314"/>
  <c r="AI312"/>
  <c r="AI294"/>
  <c r="AI292"/>
  <c r="AI290"/>
  <c r="AI288"/>
  <c r="AI286"/>
  <c r="AI269"/>
  <c r="AI267"/>
  <c r="AI265"/>
  <c r="AI263"/>
  <c r="AI261"/>
  <c r="AI268"/>
  <c r="AI264"/>
  <c r="AI260"/>
  <c r="AI255"/>
  <c r="AI167"/>
  <c r="AI131"/>
  <c r="AI266"/>
  <c r="AI262"/>
  <c r="AI242"/>
  <c r="AI241"/>
  <c r="AI240"/>
  <c r="AI239"/>
  <c r="AI238"/>
  <c r="AI237"/>
  <c r="AI40"/>
  <c r="AJ2"/>
  <c r="AI33"/>
  <c r="AI35" s="1"/>
  <c r="AI37" s="1"/>
  <c r="AI39" s="1"/>
  <c r="AI30"/>
  <c r="AI26"/>
  <c r="AI25"/>
  <c r="AI23"/>
  <c r="AI19"/>
  <c r="AI5"/>
  <c r="AH401"/>
  <c r="AH399"/>
  <c r="AH396"/>
  <c r="AH400"/>
  <c r="AH420"/>
  <c r="AH424"/>
  <c r="AH428"/>
  <c r="AH448"/>
  <c r="AH452"/>
  <c r="AH390"/>
  <c r="AH421"/>
  <c r="AH425"/>
  <c r="AH429"/>
  <c r="AH449"/>
  <c r="AH453"/>
  <c r="AG71"/>
  <c r="AG193"/>
  <c r="AG156"/>
  <c r="AG52"/>
  <c r="AH585"/>
  <c r="AH586" s="1"/>
  <c r="AH577"/>
  <c r="AH578" s="1"/>
  <c r="AH14" s="1"/>
  <c r="AH18" s="1"/>
  <c r="AH551"/>
  <c r="AH552" s="1"/>
  <c r="AH104" s="1"/>
  <c r="AH545"/>
  <c r="AH546" s="1"/>
  <c r="AH103" s="1"/>
  <c r="AH589"/>
  <c r="AH590" s="1"/>
  <c r="AH581"/>
  <c r="AH120"/>
  <c r="AH29"/>
  <c r="AH31" s="1"/>
  <c r="AH10"/>
  <c r="AH12" s="1"/>
  <c r="AH397"/>
  <c r="AH256"/>
  <c r="AH395"/>
  <c r="AH403"/>
  <c r="AH394"/>
  <c r="AH398"/>
  <c r="AH402"/>
  <c r="AH422"/>
  <c r="AH426"/>
  <c r="AH446"/>
  <c r="AH450"/>
  <c r="AH454"/>
  <c r="AH423"/>
  <c r="AH427"/>
  <c r="AH447"/>
  <c r="AH451"/>
  <c r="AH455"/>
  <c r="AH615"/>
  <c r="AH609"/>
  <c r="AI622"/>
  <c r="AH166"/>
  <c r="AH130"/>
  <c r="AH55"/>
  <c r="AH165"/>
  <c r="AH129"/>
  <c r="AH54"/>
  <c r="AH582"/>
  <c r="AH683"/>
  <c r="AH668" s="1"/>
  <c r="AH69" s="1"/>
  <c r="AH715"/>
  <c r="AH700" s="1"/>
  <c r="AH70" s="1"/>
  <c r="D16" i="2"/>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C16"/>
  <c r="A643"/>
  <c r="A303" s="1"/>
  <c r="A644"/>
  <c r="A304" s="1"/>
  <c r="A645"/>
  <c r="A305" s="1"/>
  <c r="A642"/>
  <c r="A302" s="1"/>
  <c r="C633"/>
  <c r="C632"/>
  <c r="C631"/>
  <c r="C630"/>
  <c r="A630"/>
  <c r="A290" s="1"/>
  <c r="A631"/>
  <c r="A291" s="1"/>
  <c r="A632"/>
  <c r="A292" s="1"/>
  <c r="A633"/>
  <c r="A293" s="1"/>
  <c r="A635"/>
  <c r="A295" s="1"/>
  <c r="A636"/>
  <c r="A296" s="1"/>
  <c r="A637"/>
  <c r="A297" s="1"/>
  <c r="A638"/>
  <c r="A298" s="1"/>
  <c r="A639"/>
  <c r="A299" s="1"/>
  <c r="A629"/>
  <c r="A289" s="1"/>
  <c r="A653"/>
  <c r="A657"/>
  <c r="A661"/>
  <c r="A649"/>
  <c r="B608"/>
  <c r="B609"/>
  <c r="A261"/>
  <c r="A263"/>
  <c r="A264"/>
  <c r="A265"/>
  <c r="A266"/>
  <c r="A267"/>
  <c r="A252"/>
  <c r="A253"/>
  <c r="A254"/>
  <c r="A255"/>
  <c r="A257"/>
  <c r="A258"/>
  <c r="A259"/>
  <c r="A260"/>
  <c r="A247"/>
  <c r="A248"/>
  <c r="A249"/>
  <c r="A251"/>
  <c r="A246"/>
  <c r="A245"/>
  <c r="A244"/>
  <c r="AJ56" i="10" l="1"/>
  <c r="AJ85"/>
  <c r="AJ86" s="1"/>
  <c r="AK698"/>
  <c r="AK694"/>
  <c r="AK690"/>
  <c r="AK686"/>
  <c r="AI660" i="8"/>
  <c r="AI656"/>
  <c r="AI652"/>
  <c r="AI648"/>
  <c r="AF18"/>
  <c r="AI65" i="10"/>
  <c r="AH179"/>
  <c r="AH196" s="1"/>
  <c r="AJ58"/>
  <c r="AJ180"/>
  <c r="AJ197" s="1"/>
  <c r="AJ141"/>
  <c r="AJ153" s="1"/>
  <c r="AJ245"/>
  <c r="AJ217"/>
  <c r="AI68"/>
  <c r="AI75" s="1"/>
  <c r="AI162"/>
  <c r="D161"/>
  <c r="F162"/>
  <c r="F161"/>
  <c r="H161"/>
  <c r="J162"/>
  <c r="J161"/>
  <c r="N162"/>
  <c r="R162"/>
  <c r="R161"/>
  <c r="V162"/>
  <c r="V161"/>
  <c r="Z162"/>
  <c r="Z161"/>
  <c r="AD162"/>
  <c r="AD161"/>
  <c r="C161"/>
  <c r="E162"/>
  <c r="E161"/>
  <c r="I162"/>
  <c r="K161"/>
  <c r="M162"/>
  <c r="M161"/>
  <c r="O161"/>
  <c r="Q162"/>
  <c r="Q161"/>
  <c r="S161"/>
  <c r="U162"/>
  <c r="W161"/>
  <c r="Y162"/>
  <c r="Y161"/>
  <c r="AA161"/>
  <c r="AC162"/>
  <c r="AC161"/>
  <c r="AE161"/>
  <c r="AI161"/>
  <c r="D162"/>
  <c r="H162"/>
  <c r="L162"/>
  <c r="L161"/>
  <c r="N161"/>
  <c r="P162"/>
  <c r="P161"/>
  <c r="T162"/>
  <c r="T161"/>
  <c r="X162"/>
  <c r="X161"/>
  <c r="AB162"/>
  <c r="AB161"/>
  <c r="AF161"/>
  <c r="AF162"/>
  <c r="C162"/>
  <c r="G162"/>
  <c r="G161"/>
  <c r="I161"/>
  <c r="K162"/>
  <c r="O162"/>
  <c r="S162"/>
  <c r="U161"/>
  <c r="W162"/>
  <c r="AA162"/>
  <c r="AE162"/>
  <c r="C700"/>
  <c r="C305" s="1"/>
  <c r="C696"/>
  <c r="C304" s="1"/>
  <c r="AI284"/>
  <c r="AI303"/>
  <c r="AI283"/>
  <c r="AI302"/>
  <c r="D283"/>
  <c r="D302"/>
  <c r="D286"/>
  <c r="D305"/>
  <c r="F285"/>
  <c r="F304"/>
  <c r="F283"/>
  <c r="F302"/>
  <c r="H283"/>
  <c r="H302"/>
  <c r="H286"/>
  <c r="H305"/>
  <c r="J285"/>
  <c r="J304"/>
  <c r="J283"/>
  <c r="J302"/>
  <c r="L286"/>
  <c r="L305"/>
  <c r="L284"/>
  <c r="L303"/>
  <c r="N284"/>
  <c r="N303"/>
  <c r="N285"/>
  <c r="N304"/>
  <c r="P286"/>
  <c r="P305"/>
  <c r="P284"/>
  <c r="P303"/>
  <c r="R285"/>
  <c r="R304"/>
  <c r="R283"/>
  <c r="R302"/>
  <c r="T286"/>
  <c r="T305"/>
  <c r="T284"/>
  <c r="T303"/>
  <c r="V285"/>
  <c r="V304"/>
  <c r="V283"/>
  <c r="V302"/>
  <c r="X286"/>
  <c r="X305"/>
  <c r="X284"/>
  <c r="X303"/>
  <c r="Z285"/>
  <c r="Z304"/>
  <c r="Z283"/>
  <c r="Z302"/>
  <c r="AB286"/>
  <c r="AB305"/>
  <c r="AB284"/>
  <c r="AB303"/>
  <c r="AD285"/>
  <c r="AD304"/>
  <c r="AD283"/>
  <c r="AD302"/>
  <c r="AF283"/>
  <c r="AF302"/>
  <c r="AF286"/>
  <c r="AF305"/>
  <c r="C284"/>
  <c r="C303"/>
  <c r="C283"/>
  <c r="C302"/>
  <c r="E286"/>
  <c r="E305"/>
  <c r="E285"/>
  <c r="E304"/>
  <c r="E284"/>
  <c r="E303"/>
  <c r="E283"/>
  <c r="E302"/>
  <c r="I286"/>
  <c r="I305"/>
  <c r="I285"/>
  <c r="I304"/>
  <c r="K284"/>
  <c r="K303"/>
  <c r="K283"/>
  <c r="K302"/>
  <c r="M286"/>
  <c r="M305"/>
  <c r="M285"/>
  <c r="M304"/>
  <c r="M284"/>
  <c r="M303"/>
  <c r="M283"/>
  <c r="M302"/>
  <c r="O284"/>
  <c r="O303"/>
  <c r="O283"/>
  <c r="O302"/>
  <c r="Q286"/>
  <c r="Q305"/>
  <c r="Q285"/>
  <c r="Q304"/>
  <c r="Q284"/>
  <c r="Q303"/>
  <c r="Q283"/>
  <c r="Q302"/>
  <c r="S284"/>
  <c r="S303"/>
  <c r="S283"/>
  <c r="S302"/>
  <c r="U286"/>
  <c r="U305"/>
  <c r="U285"/>
  <c r="U304"/>
  <c r="W284"/>
  <c r="W303"/>
  <c r="W283"/>
  <c r="W302"/>
  <c r="Y286"/>
  <c r="Y305"/>
  <c r="Y285"/>
  <c r="Y304"/>
  <c r="Y284"/>
  <c r="Y303"/>
  <c r="Y283"/>
  <c r="Y302"/>
  <c r="AA284"/>
  <c r="AA303"/>
  <c r="AA283"/>
  <c r="AA302"/>
  <c r="AC286"/>
  <c r="AC305"/>
  <c r="AC285"/>
  <c r="AC304"/>
  <c r="AC284"/>
  <c r="AC303"/>
  <c r="AC283"/>
  <c r="AC302"/>
  <c r="AE284"/>
  <c r="AE303"/>
  <c r="AE283"/>
  <c r="AE302"/>
  <c r="AI286"/>
  <c r="AI305"/>
  <c r="AI285"/>
  <c r="AI304"/>
  <c r="D284"/>
  <c r="D303"/>
  <c r="D285"/>
  <c r="D304"/>
  <c r="F286"/>
  <c r="F305"/>
  <c r="F284"/>
  <c r="F303"/>
  <c r="H284"/>
  <c r="H303"/>
  <c r="H285"/>
  <c r="H304"/>
  <c r="J286"/>
  <c r="J305"/>
  <c r="J284"/>
  <c r="J303"/>
  <c r="L285"/>
  <c r="L304"/>
  <c r="L283"/>
  <c r="L302"/>
  <c r="N283"/>
  <c r="N302"/>
  <c r="N286"/>
  <c r="N305"/>
  <c r="P285"/>
  <c r="P304"/>
  <c r="P283"/>
  <c r="P302"/>
  <c r="R286"/>
  <c r="R305"/>
  <c r="R284"/>
  <c r="R303"/>
  <c r="T285"/>
  <c r="T304"/>
  <c r="T283"/>
  <c r="T302"/>
  <c r="V286"/>
  <c r="V305"/>
  <c r="V284"/>
  <c r="V303"/>
  <c r="X285"/>
  <c r="X304"/>
  <c r="X283"/>
  <c r="X302"/>
  <c r="Z286"/>
  <c r="Z305"/>
  <c r="Z284"/>
  <c r="Z303"/>
  <c r="AB285"/>
  <c r="AB304"/>
  <c r="AB283"/>
  <c r="AB302"/>
  <c r="AD286"/>
  <c r="AD305"/>
  <c r="AD284"/>
  <c r="AD303"/>
  <c r="AF284"/>
  <c r="AF303"/>
  <c r="AF285"/>
  <c r="AF304"/>
  <c r="C286"/>
  <c r="C285"/>
  <c r="G286"/>
  <c r="G305"/>
  <c r="G285"/>
  <c r="G304"/>
  <c r="G284"/>
  <c r="G303"/>
  <c r="G283"/>
  <c r="G302"/>
  <c r="I284"/>
  <c r="I303"/>
  <c r="I283"/>
  <c r="I302"/>
  <c r="K286"/>
  <c r="K305"/>
  <c r="K285"/>
  <c r="K304"/>
  <c r="O286"/>
  <c r="O305"/>
  <c r="O285"/>
  <c r="O304"/>
  <c r="S286"/>
  <c r="S305"/>
  <c r="S285"/>
  <c r="S304"/>
  <c r="U284"/>
  <c r="U303"/>
  <c r="U283"/>
  <c r="U302"/>
  <c r="W286"/>
  <c r="W305"/>
  <c r="W285"/>
  <c r="W304"/>
  <c r="AA286"/>
  <c r="AA305"/>
  <c r="AA285"/>
  <c r="AA304"/>
  <c r="AE286"/>
  <c r="AE305"/>
  <c r="AE285"/>
  <c r="AE304"/>
  <c r="AE118"/>
  <c r="AJ39"/>
  <c r="AH709"/>
  <c r="AI706" s="1"/>
  <c r="AJ59"/>
  <c r="AI279"/>
  <c r="AI297" s="1"/>
  <c r="F129"/>
  <c r="F274"/>
  <c r="F292" s="1"/>
  <c r="J129"/>
  <c r="J274"/>
  <c r="J292" s="1"/>
  <c r="N129"/>
  <c r="N274"/>
  <c r="N292" s="1"/>
  <c r="V129"/>
  <c r="V274"/>
  <c r="V292" s="1"/>
  <c r="Z129"/>
  <c r="Z274"/>
  <c r="Z292" s="1"/>
  <c r="AD129"/>
  <c r="AD274"/>
  <c r="AD292" s="1"/>
  <c r="C129"/>
  <c r="C274"/>
  <c r="C292" s="1"/>
  <c r="G129"/>
  <c r="G274"/>
  <c r="G292" s="1"/>
  <c r="K129"/>
  <c r="K274"/>
  <c r="K292" s="1"/>
  <c r="O129"/>
  <c r="O274"/>
  <c r="O292" s="1"/>
  <c r="S129"/>
  <c r="S274"/>
  <c r="S292" s="1"/>
  <c r="W129"/>
  <c r="W274"/>
  <c r="W292" s="1"/>
  <c r="AA129"/>
  <c r="AA274"/>
  <c r="AA292" s="1"/>
  <c r="AE129"/>
  <c r="AE274"/>
  <c r="AE292" s="1"/>
  <c r="D129"/>
  <c r="D274"/>
  <c r="D292" s="1"/>
  <c r="H129"/>
  <c r="H274"/>
  <c r="H292" s="1"/>
  <c r="L129"/>
  <c r="L274"/>
  <c r="L292" s="1"/>
  <c r="P129"/>
  <c r="P274"/>
  <c r="P292" s="1"/>
  <c r="T129"/>
  <c r="T274"/>
  <c r="T292" s="1"/>
  <c r="X129"/>
  <c r="X274"/>
  <c r="X292" s="1"/>
  <c r="AB129"/>
  <c r="AB274"/>
  <c r="AB292" s="1"/>
  <c r="AF129"/>
  <c r="AF274"/>
  <c r="AF292" s="1"/>
  <c r="E129"/>
  <c r="E274"/>
  <c r="E292" s="1"/>
  <c r="I129"/>
  <c r="I274"/>
  <c r="I292" s="1"/>
  <c r="M129"/>
  <c r="M274"/>
  <c r="M292" s="1"/>
  <c r="Q129"/>
  <c r="Q274"/>
  <c r="Q292" s="1"/>
  <c r="Y129"/>
  <c r="Y274"/>
  <c r="Y292" s="1"/>
  <c r="AC129"/>
  <c r="AC274"/>
  <c r="AC292" s="1"/>
  <c r="S118"/>
  <c r="W118"/>
  <c r="AA118"/>
  <c r="D118"/>
  <c r="H118"/>
  <c r="C118"/>
  <c r="K118"/>
  <c r="O118"/>
  <c r="AL11"/>
  <c r="AK41"/>
  <c r="AK183" s="1"/>
  <c r="AK200" s="1"/>
  <c r="AK714"/>
  <c r="AK181" s="1"/>
  <c r="AK198" s="1"/>
  <c r="AI42"/>
  <c r="D15"/>
  <c r="D16"/>
  <c r="F17"/>
  <c r="F15"/>
  <c r="H15"/>
  <c r="H16"/>
  <c r="J17"/>
  <c r="J15"/>
  <c r="L16"/>
  <c r="L14"/>
  <c r="L702"/>
  <c r="N14"/>
  <c r="N702"/>
  <c r="N17"/>
  <c r="P16"/>
  <c r="P702"/>
  <c r="P14"/>
  <c r="R129"/>
  <c r="R17"/>
  <c r="R15"/>
  <c r="T16"/>
  <c r="T702"/>
  <c r="T14"/>
  <c r="V17"/>
  <c r="V15"/>
  <c r="X16"/>
  <c r="X702"/>
  <c r="X14"/>
  <c r="Z17"/>
  <c r="Z15"/>
  <c r="AB16"/>
  <c r="AB14"/>
  <c r="AB702"/>
  <c r="AD17"/>
  <c r="AD15"/>
  <c r="AF15"/>
  <c r="AF16"/>
  <c r="C16"/>
  <c r="G17"/>
  <c r="G16"/>
  <c r="G15"/>
  <c r="G14"/>
  <c r="G702"/>
  <c r="I15"/>
  <c r="I702"/>
  <c r="I14"/>
  <c r="K17"/>
  <c r="K16"/>
  <c r="O17"/>
  <c r="O16"/>
  <c r="S17"/>
  <c r="S16"/>
  <c r="U15"/>
  <c r="U14"/>
  <c r="U702"/>
  <c r="W17"/>
  <c r="W16"/>
  <c r="AA17"/>
  <c r="AA16"/>
  <c r="AE17"/>
  <c r="AE16"/>
  <c r="F118"/>
  <c r="J118"/>
  <c r="R118"/>
  <c r="V118"/>
  <c r="Z118"/>
  <c r="AD118"/>
  <c r="E118"/>
  <c r="M118"/>
  <c r="Q118"/>
  <c r="Y118"/>
  <c r="AC118"/>
  <c r="D14"/>
  <c r="D702"/>
  <c r="D17"/>
  <c r="F16"/>
  <c r="F14"/>
  <c r="F702"/>
  <c r="H14"/>
  <c r="H702"/>
  <c r="H17"/>
  <c r="J16"/>
  <c r="J14"/>
  <c r="J702"/>
  <c r="L17"/>
  <c r="L15"/>
  <c r="N15"/>
  <c r="N16"/>
  <c r="P17"/>
  <c r="P15"/>
  <c r="R16"/>
  <c r="R14"/>
  <c r="R702"/>
  <c r="T17"/>
  <c r="T15"/>
  <c r="V16"/>
  <c r="V702"/>
  <c r="V14"/>
  <c r="X17"/>
  <c r="X15"/>
  <c r="Z16"/>
  <c r="Z702"/>
  <c r="Z14"/>
  <c r="AB17"/>
  <c r="AB15"/>
  <c r="AD16"/>
  <c r="AD702"/>
  <c r="AD14"/>
  <c r="AF14"/>
  <c r="AF702"/>
  <c r="AF17"/>
  <c r="C15"/>
  <c r="C14"/>
  <c r="E17"/>
  <c r="E16"/>
  <c r="E15"/>
  <c r="E306"/>
  <c r="E14"/>
  <c r="E702"/>
  <c r="I17"/>
  <c r="I16"/>
  <c r="K15"/>
  <c r="K702"/>
  <c r="K14"/>
  <c r="M17"/>
  <c r="M16"/>
  <c r="M15"/>
  <c r="M14"/>
  <c r="M702"/>
  <c r="O15"/>
  <c r="O14"/>
  <c r="O702"/>
  <c r="Q17"/>
  <c r="Q16"/>
  <c r="Q15"/>
  <c r="Q14"/>
  <c r="Q702"/>
  <c r="S15"/>
  <c r="S702"/>
  <c r="S14"/>
  <c r="U129"/>
  <c r="U17"/>
  <c r="U16"/>
  <c r="W15"/>
  <c r="W14"/>
  <c r="W702"/>
  <c r="Y17"/>
  <c r="Y16"/>
  <c r="Y15"/>
  <c r="Y702"/>
  <c r="Y14"/>
  <c r="AA15"/>
  <c r="AA14"/>
  <c r="AA702"/>
  <c r="AC17"/>
  <c r="AC16"/>
  <c r="AC15"/>
  <c r="AC14"/>
  <c r="AC702"/>
  <c r="AE15"/>
  <c r="AE702"/>
  <c r="AE14"/>
  <c r="C18" i="8"/>
  <c r="C20" s="1"/>
  <c r="I18"/>
  <c r="S18"/>
  <c r="Y18"/>
  <c r="Y20" s="1"/>
  <c r="AF20"/>
  <c r="AJ27" i="10"/>
  <c r="AH18"/>
  <c r="AH20" s="1"/>
  <c r="AH44" s="1"/>
  <c r="AH306"/>
  <c r="L118"/>
  <c r="N118"/>
  <c r="P118"/>
  <c r="T118"/>
  <c r="X118"/>
  <c r="AB118"/>
  <c r="G118"/>
  <c r="I118"/>
  <c r="U118"/>
  <c r="AH287"/>
  <c r="AI118"/>
  <c r="AI17"/>
  <c r="AJ699"/>
  <c r="AJ700" s="1"/>
  <c r="AJ691"/>
  <c r="AJ692" s="1"/>
  <c r="AJ695"/>
  <c r="AJ696" s="1"/>
  <c r="AJ687"/>
  <c r="AJ688" s="1"/>
  <c r="AJ661"/>
  <c r="AJ662" s="1"/>
  <c r="AJ655"/>
  <c r="AJ656" s="1"/>
  <c r="AJ130"/>
  <c r="AJ29"/>
  <c r="AJ31" s="1"/>
  <c r="AJ10"/>
  <c r="AJ12" s="1"/>
  <c r="AJ274" s="1"/>
  <c r="AJ292" s="1"/>
  <c r="AJ504"/>
  <c r="AJ508"/>
  <c r="AJ512"/>
  <c r="AJ532"/>
  <c r="AJ536"/>
  <c r="AJ556"/>
  <c r="AJ560"/>
  <c r="AJ564"/>
  <c r="AJ507"/>
  <c r="AJ511"/>
  <c r="AJ531"/>
  <c r="AJ535"/>
  <c r="AJ539"/>
  <c r="AJ559"/>
  <c r="AJ563"/>
  <c r="AJ49"/>
  <c r="AJ275" s="1"/>
  <c r="AJ293" s="1"/>
  <c r="AI16"/>
  <c r="AG48"/>
  <c r="AG50" s="1"/>
  <c r="AI129"/>
  <c r="AJ735"/>
  <c r="AJ720" s="1"/>
  <c r="AJ767"/>
  <c r="AJ752" s="1"/>
  <c r="AJ66" s="1"/>
  <c r="AJ799"/>
  <c r="AJ784" s="1"/>
  <c r="AJ67" s="1"/>
  <c r="AI702"/>
  <c r="AI14"/>
  <c r="AK815"/>
  <c r="AK810"/>
  <c r="AK809"/>
  <c r="AK808"/>
  <c r="AK807"/>
  <c r="AK806"/>
  <c r="AK805"/>
  <c r="AK804"/>
  <c r="AK803"/>
  <c r="AK798"/>
  <c r="AK797"/>
  <c r="AK796"/>
  <c r="AK795"/>
  <c r="AK794"/>
  <c r="AK793"/>
  <c r="AK792"/>
  <c r="AK791"/>
  <c r="AK790"/>
  <c r="AK801"/>
  <c r="AK789"/>
  <c r="AK766"/>
  <c r="AK765"/>
  <c r="AK764"/>
  <c r="AK763"/>
  <c r="AK762"/>
  <c r="AK761"/>
  <c r="AK760"/>
  <c r="AK759"/>
  <c r="AK778"/>
  <c r="AK777"/>
  <c r="AK776"/>
  <c r="AK775"/>
  <c r="AK774"/>
  <c r="AK773"/>
  <c r="AK772"/>
  <c r="AK770"/>
  <c r="AK769"/>
  <c r="AK758"/>
  <c r="AK734"/>
  <c r="AK733"/>
  <c r="AK732"/>
  <c r="AK731"/>
  <c r="AK730"/>
  <c r="AK729"/>
  <c r="AK728"/>
  <c r="AK757"/>
  <c r="AK746"/>
  <c r="AK745"/>
  <c r="AK744"/>
  <c r="AK743"/>
  <c r="AK742"/>
  <c r="AK741"/>
  <c r="AK740"/>
  <c r="AK738"/>
  <c r="AK737"/>
  <c r="AK727"/>
  <c r="AK725"/>
  <c r="AK659"/>
  <c r="AK660" s="1"/>
  <c r="AK653"/>
  <c r="AK654" s="1"/>
  <c r="AK726"/>
  <c r="AK708"/>
  <c r="AK486"/>
  <c r="AK485"/>
  <c r="AK484"/>
  <c r="AK483"/>
  <c r="AK482"/>
  <c r="AK481"/>
  <c r="AK429"/>
  <c r="AK427"/>
  <c r="AK425"/>
  <c r="AK423"/>
  <c r="AK421"/>
  <c r="AK403"/>
  <c r="AK401"/>
  <c r="AK399"/>
  <c r="AK397"/>
  <c r="AK395"/>
  <c r="AK378"/>
  <c r="AK376"/>
  <c r="AK374"/>
  <c r="AK372"/>
  <c r="AK370"/>
  <c r="AK365"/>
  <c r="AK499"/>
  <c r="AK430"/>
  <c r="AK428"/>
  <c r="AK426"/>
  <c r="AK424"/>
  <c r="AK422"/>
  <c r="AK404"/>
  <c r="AK402"/>
  <c r="AK400"/>
  <c r="AK398"/>
  <c r="AK396"/>
  <c r="AK379"/>
  <c r="AK377"/>
  <c r="AK375"/>
  <c r="AK373"/>
  <c r="AK371"/>
  <c r="AK352"/>
  <c r="AK351"/>
  <c r="AK350"/>
  <c r="AK349"/>
  <c r="AK348"/>
  <c r="AK347"/>
  <c r="AK246"/>
  <c r="AK218"/>
  <c r="AK33"/>
  <c r="AK35" s="1"/>
  <c r="AK37" s="1"/>
  <c r="AK30"/>
  <c r="AK26"/>
  <c r="AK25"/>
  <c r="AK23"/>
  <c r="AK19"/>
  <c r="AK5"/>
  <c r="AK40"/>
  <c r="AL2"/>
  <c r="AJ506"/>
  <c r="AJ510"/>
  <c r="AJ530"/>
  <c r="AJ534"/>
  <c r="AJ538"/>
  <c r="AJ558"/>
  <c r="AJ562"/>
  <c r="AJ500"/>
  <c r="AJ366"/>
  <c r="AJ505"/>
  <c r="AJ509"/>
  <c r="AJ513"/>
  <c r="AJ533"/>
  <c r="AJ537"/>
  <c r="AJ557"/>
  <c r="AJ561"/>
  <c r="AJ565"/>
  <c r="AI15"/>
  <c r="AG18" i="8"/>
  <c r="E18"/>
  <c r="G18"/>
  <c r="G20" s="1"/>
  <c r="K18"/>
  <c r="O18"/>
  <c r="O20" s="1"/>
  <c r="Q18"/>
  <c r="D18"/>
  <c r="D20" s="1"/>
  <c r="F18"/>
  <c r="N18"/>
  <c r="N20" s="1"/>
  <c r="P18"/>
  <c r="T18"/>
  <c r="V18"/>
  <c r="X18"/>
  <c r="X20" s="1"/>
  <c r="AD18"/>
  <c r="J18"/>
  <c r="J20" s="1"/>
  <c r="H18"/>
  <c r="H20" s="1"/>
  <c r="L18"/>
  <c r="M18"/>
  <c r="R18"/>
  <c r="R20" s="1"/>
  <c r="U18"/>
  <c r="W18"/>
  <c r="W20" s="1"/>
  <c r="Z18"/>
  <c r="AA18"/>
  <c r="AA20" s="1"/>
  <c r="AB18"/>
  <c r="AC18"/>
  <c r="AC20" s="1"/>
  <c r="AE18"/>
  <c r="AH41" i="7"/>
  <c r="AG41" i="8"/>
  <c r="E105" i="7"/>
  <c r="G105"/>
  <c r="Q105"/>
  <c r="U105"/>
  <c r="Y105"/>
  <c r="Z105"/>
  <c r="AC105"/>
  <c r="AE105"/>
  <c r="AF96" i="8"/>
  <c r="AJ11"/>
  <c r="AH668"/>
  <c r="AH671" s="1"/>
  <c r="C96"/>
  <c r="D96"/>
  <c r="F96"/>
  <c r="I96"/>
  <c r="N96"/>
  <c r="P96"/>
  <c r="X96"/>
  <c r="Y96"/>
  <c r="AD96"/>
  <c r="S96"/>
  <c r="T96"/>
  <c r="V96"/>
  <c r="C664"/>
  <c r="C107"/>
  <c r="C192" i="7"/>
  <c r="C51"/>
  <c r="C155"/>
  <c r="C190"/>
  <c r="C49"/>
  <c r="C592"/>
  <c r="C153"/>
  <c r="E592"/>
  <c r="E153"/>
  <c r="E190"/>
  <c r="E49"/>
  <c r="E119"/>
  <c r="E20"/>
  <c r="E156"/>
  <c r="E193"/>
  <c r="E52"/>
  <c r="E664" i="8"/>
  <c r="G592" i="7"/>
  <c r="G153"/>
  <c r="G190"/>
  <c r="G49"/>
  <c r="G20"/>
  <c r="G119"/>
  <c r="G156"/>
  <c r="G193"/>
  <c r="G52"/>
  <c r="G664" i="8"/>
  <c r="I20" i="7"/>
  <c r="I119"/>
  <c r="I156"/>
  <c r="I193"/>
  <c r="I52"/>
  <c r="I154"/>
  <c r="I191"/>
  <c r="I50"/>
  <c r="J107" i="8"/>
  <c r="K664"/>
  <c r="M20" i="7"/>
  <c r="M119"/>
  <c r="M192"/>
  <c r="M51"/>
  <c r="M155"/>
  <c r="M154"/>
  <c r="M191"/>
  <c r="M50"/>
  <c r="M193"/>
  <c r="M52"/>
  <c r="M156"/>
  <c r="O20"/>
  <c r="O119"/>
  <c r="O592"/>
  <c r="O153"/>
  <c r="O190"/>
  <c r="O49"/>
  <c r="O156"/>
  <c r="O193"/>
  <c r="O52"/>
  <c r="O664" i="8"/>
  <c r="Q190" i="7"/>
  <c r="Q49"/>
  <c r="Q592"/>
  <c r="Q153"/>
  <c r="Q119"/>
  <c r="Q20"/>
  <c r="Q193"/>
  <c r="Q156"/>
  <c r="Q52"/>
  <c r="Q664" i="8"/>
  <c r="S119" i="7"/>
  <c r="S20"/>
  <c r="S156"/>
  <c r="S193"/>
  <c r="S52"/>
  <c r="S191"/>
  <c r="S154"/>
  <c r="S50"/>
  <c r="T154"/>
  <c r="T191"/>
  <c r="T50"/>
  <c r="T20"/>
  <c r="T119"/>
  <c r="T193"/>
  <c r="T52"/>
  <c r="T156"/>
  <c r="T192"/>
  <c r="T51"/>
  <c r="T155"/>
  <c r="U191"/>
  <c r="U50"/>
  <c r="U154"/>
  <c r="U119"/>
  <c r="U20"/>
  <c r="U156"/>
  <c r="U193"/>
  <c r="U52"/>
  <c r="V119"/>
  <c r="V20"/>
  <c r="W20"/>
  <c r="W119"/>
  <c r="W193"/>
  <c r="W52"/>
  <c r="W156"/>
  <c r="W191"/>
  <c r="W50"/>
  <c r="W154"/>
  <c r="Y190"/>
  <c r="Y49"/>
  <c r="Y592"/>
  <c r="Y153"/>
  <c r="Y119"/>
  <c r="Y20"/>
  <c r="Y193"/>
  <c r="Y52"/>
  <c r="Y156"/>
  <c r="Z193"/>
  <c r="Z52"/>
  <c r="Z156"/>
  <c r="Z154"/>
  <c r="Z191"/>
  <c r="Z50"/>
  <c r="Z190"/>
  <c r="Z49"/>
  <c r="Z592"/>
  <c r="Z153"/>
  <c r="AA119"/>
  <c r="AA20"/>
  <c r="AA193"/>
  <c r="AA52"/>
  <c r="AA156"/>
  <c r="AA154"/>
  <c r="AA191"/>
  <c r="AA50"/>
  <c r="AB191"/>
  <c r="AB50"/>
  <c r="AB154"/>
  <c r="AB119"/>
  <c r="AB20"/>
  <c r="AB156"/>
  <c r="AB193"/>
  <c r="AB52"/>
  <c r="AB155"/>
  <c r="AB192"/>
  <c r="AB51"/>
  <c r="AC190"/>
  <c r="AC49"/>
  <c r="AC592"/>
  <c r="AC153"/>
  <c r="AC20"/>
  <c r="AC119"/>
  <c r="AC193"/>
  <c r="AC52"/>
  <c r="AC156"/>
  <c r="AE190"/>
  <c r="AE49"/>
  <c r="AE592"/>
  <c r="AE153"/>
  <c r="AE20"/>
  <c r="AE119"/>
  <c r="AE193"/>
  <c r="AE52"/>
  <c r="AE156"/>
  <c r="D20"/>
  <c r="D119"/>
  <c r="D156"/>
  <c r="D193"/>
  <c r="D52"/>
  <c r="D192"/>
  <c r="D51"/>
  <c r="D155"/>
  <c r="D664" i="8"/>
  <c r="F20" i="7"/>
  <c r="F119"/>
  <c r="F193"/>
  <c r="F52"/>
  <c r="F156"/>
  <c r="F155"/>
  <c r="F192"/>
  <c r="F51"/>
  <c r="F664" i="8"/>
  <c r="H119" i="7"/>
  <c r="H20"/>
  <c r="H156"/>
  <c r="H193"/>
  <c r="H52"/>
  <c r="H192"/>
  <c r="H51"/>
  <c r="H155"/>
  <c r="H154"/>
  <c r="H191"/>
  <c r="H50"/>
  <c r="H190"/>
  <c r="H194" s="1"/>
  <c r="H195" s="1"/>
  <c r="H49"/>
  <c r="H53" s="1"/>
  <c r="H592"/>
  <c r="H153"/>
  <c r="I664" i="8"/>
  <c r="I20"/>
  <c r="I107"/>
  <c r="K154" i="7"/>
  <c r="K191"/>
  <c r="K50"/>
  <c r="K192"/>
  <c r="K51"/>
  <c r="K155"/>
  <c r="L119"/>
  <c r="L20"/>
  <c r="L156"/>
  <c r="L193"/>
  <c r="L52"/>
  <c r="L192"/>
  <c r="L51"/>
  <c r="L155"/>
  <c r="L154"/>
  <c r="L191"/>
  <c r="L50"/>
  <c r="L592"/>
  <c r="L153"/>
  <c r="L190"/>
  <c r="L194" s="1"/>
  <c r="L195" s="1"/>
  <c r="L49"/>
  <c r="L53" s="1"/>
  <c r="M107" i="8"/>
  <c r="M20"/>
  <c r="N664"/>
  <c r="P119" i="7"/>
  <c r="P20"/>
  <c r="P156"/>
  <c r="P193"/>
  <c r="P52"/>
  <c r="P192"/>
  <c r="P51"/>
  <c r="P155"/>
  <c r="P154"/>
  <c r="P191"/>
  <c r="P50"/>
  <c r="P190"/>
  <c r="P194" s="1"/>
  <c r="P195" s="1"/>
  <c r="P49"/>
  <c r="P53" s="1"/>
  <c r="P592"/>
  <c r="P153"/>
  <c r="P664" i="8"/>
  <c r="R119" i="7"/>
  <c r="R20"/>
  <c r="R193"/>
  <c r="R52"/>
  <c r="R156"/>
  <c r="S664" i="8"/>
  <c r="S107"/>
  <c r="S20"/>
  <c r="T664"/>
  <c r="U20"/>
  <c r="U107"/>
  <c r="V664"/>
  <c r="W107"/>
  <c r="X664"/>
  <c r="Y664"/>
  <c r="Y107"/>
  <c r="AA107"/>
  <c r="AC107"/>
  <c r="AD664"/>
  <c r="AE20"/>
  <c r="AE107"/>
  <c r="I105" i="7"/>
  <c r="J105"/>
  <c r="J96" i="8"/>
  <c r="M105" i="7"/>
  <c r="N105"/>
  <c r="S105"/>
  <c r="W105"/>
  <c r="X105"/>
  <c r="AA105"/>
  <c r="AD105"/>
  <c r="AF105"/>
  <c r="D105"/>
  <c r="F105"/>
  <c r="H96" i="8"/>
  <c r="L96"/>
  <c r="M96"/>
  <c r="R105" i="7"/>
  <c r="R96" i="8"/>
  <c r="U96"/>
  <c r="W96"/>
  <c r="Z96"/>
  <c r="AA96"/>
  <c r="AB96"/>
  <c r="AC96"/>
  <c r="AE96"/>
  <c r="C20" i="7"/>
  <c r="C119"/>
  <c r="C193"/>
  <c r="C52"/>
  <c r="C156"/>
  <c r="C154"/>
  <c r="C191"/>
  <c r="C50"/>
  <c r="E154"/>
  <c r="E191"/>
  <c r="E50"/>
  <c r="E155"/>
  <c r="E192"/>
  <c r="E51"/>
  <c r="E20" i="8"/>
  <c r="E107"/>
  <c r="G154" i="7"/>
  <c r="G191"/>
  <c r="G50"/>
  <c r="G192"/>
  <c r="G51"/>
  <c r="G155"/>
  <c r="G107" i="8"/>
  <c r="I192" i="7"/>
  <c r="I51"/>
  <c r="I155"/>
  <c r="I190"/>
  <c r="I49"/>
  <c r="I592"/>
  <c r="I153"/>
  <c r="I157" s="1"/>
  <c r="I158" s="1"/>
  <c r="J119"/>
  <c r="J20"/>
  <c r="J193"/>
  <c r="J52"/>
  <c r="J156"/>
  <c r="J192"/>
  <c r="J51"/>
  <c r="J155"/>
  <c r="J154"/>
  <c r="J191"/>
  <c r="J50"/>
  <c r="J592"/>
  <c r="J153"/>
  <c r="J190"/>
  <c r="J49"/>
  <c r="J664" i="8"/>
  <c r="J230"/>
  <c r="J231" s="1"/>
  <c r="K20"/>
  <c r="K107"/>
  <c r="M190" i="7"/>
  <c r="M194" s="1"/>
  <c r="M195" s="1"/>
  <c r="M49"/>
  <c r="M53" s="1"/>
  <c r="M592"/>
  <c r="M153"/>
  <c r="M157" s="1"/>
  <c r="M158" s="1"/>
  <c r="N20"/>
  <c r="N119"/>
  <c r="N156"/>
  <c r="N193"/>
  <c r="N52"/>
  <c r="N192"/>
  <c r="N51"/>
  <c r="N155"/>
  <c r="N154"/>
  <c r="N191"/>
  <c r="N50"/>
  <c r="N190"/>
  <c r="N194" s="1"/>
  <c r="N195" s="1"/>
  <c r="N49"/>
  <c r="N592"/>
  <c r="N153"/>
  <c r="O191"/>
  <c r="O50"/>
  <c r="O154"/>
  <c r="O192"/>
  <c r="O51"/>
  <c r="O155"/>
  <c r="O107" i="8"/>
  <c r="Q191" i="7"/>
  <c r="Q50"/>
  <c r="Q154"/>
  <c r="Q51"/>
  <c r="Q155"/>
  <c r="Q192"/>
  <c r="Q20" i="8"/>
  <c r="Q107"/>
  <c r="S192" i="7"/>
  <c r="S51"/>
  <c r="S155"/>
  <c r="S49"/>
  <c r="S592"/>
  <c r="S153"/>
  <c r="S190"/>
  <c r="S194" s="1"/>
  <c r="S195" s="1"/>
  <c r="T592"/>
  <c r="T153"/>
  <c r="T157" s="1"/>
  <c r="T158" s="1"/>
  <c r="T190"/>
  <c r="T49"/>
  <c r="T53" s="1"/>
  <c r="U190"/>
  <c r="U49"/>
  <c r="U592"/>
  <c r="U153"/>
  <c r="U192"/>
  <c r="U51"/>
  <c r="U155"/>
  <c r="V191"/>
  <c r="V50"/>
  <c r="V154"/>
  <c r="V592"/>
  <c r="V153"/>
  <c r="V190"/>
  <c r="V49"/>
  <c r="V156"/>
  <c r="V193"/>
  <c r="V52"/>
  <c r="V192"/>
  <c r="V51"/>
  <c r="V155"/>
  <c r="W192"/>
  <c r="W51"/>
  <c r="W155"/>
  <c r="W190"/>
  <c r="W49"/>
  <c r="W592"/>
  <c r="W153"/>
  <c r="W157" s="1"/>
  <c r="W158" s="1"/>
  <c r="X119"/>
  <c r="X20"/>
  <c r="X156"/>
  <c r="X193"/>
  <c r="X52"/>
  <c r="X192"/>
  <c r="X51"/>
  <c r="X155"/>
  <c r="X191"/>
  <c r="X50"/>
  <c r="X154"/>
  <c r="X592"/>
  <c r="X153"/>
  <c r="X190"/>
  <c r="X49"/>
  <c r="Y154"/>
  <c r="Y191"/>
  <c r="Y50"/>
  <c r="Y192"/>
  <c r="Y51"/>
  <c r="Y155"/>
  <c r="Z20"/>
  <c r="Z119"/>
  <c r="Z155"/>
  <c r="Z192"/>
  <c r="Z51"/>
  <c r="AA192"/>
  <c r="AA51"/>
  <c r="AA155"/>
  <c r="AA592"/>
  <c r="AA153"/>
  <c r="AA157" s="1"/>
  <c r="AA158" s="1"/>
  <c r="AA190"/>
  <c r="AA49"/>
  <c r="AB190"/>
  <c r="AB194" s="1"/>
  <c r="AB195" s="1"/>
  <c r="AB49"/>
  <c r="AB53" s="1"/>
  <c r="AB592"/>
  <c r="AB153"/>
  <c r="AB157" s="1"/>
  <c r="AB158" s="1"/>
  <c r="AC154"/>
  <c r="AC191"/>
  <c r="AC50"/>
  <c r="AC192"/>
  <c r="AC51"/>
  <c r="AC155"/>
  <c r="AD20"/>
  <c r="AD119"/>
  <c r="AD156"/>
  <c r="AD193"/>
  <c r="AD52"/>
  <c r="AD192"/>
  <c r="AD51"/>
  <c r="AD155"/>
  <c r="AD191"/>
  <c r="AD50"/>
  <c r="AD154"/>
  <c r="AD592"/>
  <c r="AD153"/>
  <c r="AD190"/>
  <c r="AD49"/>
  <c r="AE191"/>
  <c r="AE50"/>
  <c r="AE154"/>
  <c r="AE155"/>
  <c r="AE192"/>
  <c r="AE51"/>
  <c r="AF119"/>
  <c r="AF20"/>
  <c r="AF193"/>
  <c r="AF52"/>
  <c r="AF156"/>
  <c r="AF192"/>
  <c r="AF51"/>
  <c r="AF155"/>
  <c r="AF154"/>
  <c r="AF191"/>
  <c r="AF50"/>
  <c r="AF190"/>
  <c r="AF49"/>
  <c r="AF592"/>
  <c r="AF153"/>
  <c r="D191"/>
  <c r="D50"/>
  <c r="D154"/>
  <c r="D592"/>
  <c r="D153"/>
  <c r="D157" s="1"/>
  <c r="D158" s="1"/>
  <c r="D190"/>
  <c r="D49"/>
  <c r="D107" i="8"/>
  <c r="F191" i="7"/>
  <c r="F50"/>
  <c r="F154"/>
  <c r="F592"/>
  <c r="F153"/>
  <c r="F157" s="1"/>
  <c r="F158" s="1"/>
  <c r="F190"/>
  <c r="F49"/>
  <c r="F20" i="8"/>
  <c r="F107"/>
  <c r="H107"/>
  <c r="H664"/>
  <c r="K190" i="7"/>
  <c r="K49"/>
  <c r="K592"/>
  <c r="K153"/>
  <c r="K20"/>
  <c r="K119"/>
  <c r="K193"/>
  <c r="K52"/>
  <c r="K156"/>
  <c r="L20" i="8"/>
  <c r="L107"/>
  <c r="L664"/>
  <c r="M664"/>
  <c r="M230"/>
  <c r="M231" s="1"/>
  <c r="N107"/>
  <c r="P20"/>
  <c r="P107"/>
  <c r="R155" i="7"/>
  <c r="R192"/>
  <c r="R51"/>
  <c r="R191"/>
  <c r="R50"/>
  <c r="R154"/>
  <c r="R190"/>
  <c r="R49"/>
  <c r="R592"/>
  <c r="R153"/>
  <c r="R107" i="8"/>
  <c r="R664"/>
  <c r="T20"/>
  <c r="T107"/>
  <c r="U664"/>
  <c r="V107"/>
  <c r="V20"/>
  <c r="W664"/>
  <c r="X107"/>
  <c r="Z107"/>
  <c r="Z20"/>
  <c r="Z664"/>
  <c r="AA664"/>
  <c r="AB107"/>
  <c r="AB20"/>
  <c r="AB664"/>
  <c r="AC664"/>
  <c r="AD107"/>
  <c r="AD20"/>
  <c r="AE664"/>
  <c r="C105" i="7"/>
  <c r="E96" i="8"/>
  <c r="G96"/>
  <c r="K96"/>
  <c r="O105" i="7"/>
  <c r="O96" i="8"/>
  <c r="Q96"/>
  <c r="T105" i="7"/>
  <c r="H105"/>
  <c r="L105"/>
  <c r="P105"/>
  <c r="AH27" i="8"/>
  <c r="AH755"/>
  <c r="AH740" s="1"/>
  <c r="AH62" s="1"/>
  <c r="AG96"/>
  <c r="AG72"/>
  <c r="AI771"/>
  <c r="AI766"/>
  <c r="AI765"/>
  <c r="AI764"/>
  <c r="AI763"/>
  <c r="AI762"/>
  <c r="AI761"/>
  <c r="AI760"/>
  <c r="AI759"/>
  <c r="AI757"/>
  <c r="AI754"/>
  <c r="AI753"/>
  <c r="AI752"/>
  <c r="AI751"/>
  <c r="AI750"/>
  <c r="AI749"/>
  <c r="AI748"/>
  <c r="AI747"/>
  <c r="AI746"/>
  <c r="AI745"/>
  <c r="AI733"/>
  <c r="AI731"/>
  <c r="AI729"/>
  <c r="AI722"/>
  <c r="AI721"/>
  <c r="AI720"/>
  <c r="AI719"/>
  <c r="AI718"/>
  <c r="AI717"/>
  <c r="AI716"/>
  <c r="AI715"/>
  <c r="AI714"/>
  <c r="AI713"/>
  <c r="AI734"/>
  <c r="AI732"/>
  <c r="AI730"/>
  <c r="AI728"/>
  <c r="AI726"/>
  <c r="AI725"/>
  <c r="AI690"/>
  <c r="AI689"/>
  <c r="AI688"/>
  <c r="AI687"/>
  <c r="AI686"/>
  <c r="AI685"/>
  <c r="AI684"/>
  <c r="AI683"/>
  <c r="AI682"/>
  <c r="AI681"/>
  <c r="AI702"/>
  <c r="AI701"/>
  <c r="AI700"/>
  <c r="AI699"/>
  <c r="AI698"/>
  <c r="AI697"/>
  <c r="AI696"/>
  <c r="AI694"/>
  <c r="AI693"/>
  <c r="AI670"/>
  <c r="AI54" s="1"/>
  <c r="AI621"/>
  <c r="AI622" s="1"/>
  <c r="AI615"/>
  <c r="AI616" s="1"/>
  <c r="AI448"/>
  <c r="AI447"/>
  <c r="AI446"/>
  <c r="AI445"/>
  <c r="AI444"/>
  <c r="AI443"/>
  <c r="AI391"/>
  <c r="AI389"/>
  <c r="AI387"/>
  <c r="AI385"/>
  <c r="AI383"/>
  <c r="AI365"/>
  <c r="AI363"/>
  <c r="AI361"/>
  <c r="AI359"/>
  <c r="AI357"/>
  <c r="AI340"/>
  <c r="AI338"/>
  <c r="AI336"/>
  <c r="AI461"/>
  <c r="AI392"/>
  <c r="AI390"/>
  <c r="AI388"/>
  <c r="AI386"/>
  <c r="AI384"/>
  <c r="AI366"/>
  <c r="AI364"/>
  <c r="AI362"/>
  <c r="AI360"/>
  <c r="AI358"/>
  <c r="AI341"/>
  <c r="AI339"/>
  <c r="AI337"/>
  <c r="AI335"/>
  <c r="AI333"/>
  <c r="AI332"/>
  <c r="AI327"/>
  <c r="AI239"/>
  <c r="AI204"/>
  <c r="AI334"/>
  <c r="AI314"/>
  <c r="AI313"/>
  <c r="AI312"/>
  <c r="AI311"/>
  <c r="AI310"/>
  <c r="AI309"/>
  <c r="AI33"/>
  <c r="AI35" s="1"/>
  <c r="AI37" s="1"/>
  <c r="AI39" s="1"/>
  <c r="AI30"/>
  <c r="AI26"/>
  <c r="AI25"/>
  <c r="AI23"/>
  <c r="AI19"/>
  <c r="AI5"/>
  <c r="AI40"/>
  <c r="AJ2"/>
  <c r="AH328"/>
  <c r="AH467"/>
  <c r="AH466"/>
  <c r="AH470"/>
  <c r="AH474"/>
  <c r="AH494"/>
  <c r="AH498"/>
  <c r="AH518"/>
  <c r="AH522"/>
  <c r="AH526"/>
  <c r="AH473"/>
  <c r="AH493"/>
  <c r="AH497"/>
  <c r="AH501"/>
  <c r="AH521"/>
  <c r="AH525"/>
  <c r="AH238"/>
  <c r="AH203"/>
  <c r="AH48"/>
  <c r="AG107"/>
  <c r="AG20"/>
  <c r="AG43" s="1"/>
  <c r="AF266"/>
  <c r="AF267" s="1"/>
  <c r="AG664"/>
  <c r="AH657"/>
  <c r="AH658" s="1"/>
  <c r="AH16" s="1"/>
  <c r="AH649"/>
  <c r="AH650" s="1"/>
  <c r="AH14" s="1"/>
  <c r="AH623"/>
  <c r="AH624" s="1"/>
  <c r="AH95" s="1"/>
  <c r="AH617"/>
  <c r="AH618" s="1"/>
  <c r="AH94" s="1"/>
  <c r="AH661"/>
  <c r="AH662" s="1"/>
  <c r="AH17" s="1"/>
  <c r="AH653"/>
  <c r="AH654" s="1"/>
  <c r="AH15" s="1"/>
  <c r="AH108"/>
  <c r="AH29"/>
  <c r="AH31" s="1"/>
  <c r="AH10"/>
  <c r="AH12" s="1"/>
  <c r="AH469"/>
  <c r="AH468"/>
  <c r="AH472"/>
  <c r="AH492"/>
  <c r="AH496"/>
  <c r="AH500"/>
  <c r="AH520"/>
  <c r="AH524"/>
  <c r="AH462"/>
  <c r="AH471"/>
  <c r="AH475"/>
  <c r="AH495"/>
  <c r="AH499"/>
  <c r="AH519"/>
  <c r="AH523"/>
  <c r="AH527"/>
  <c r="AI631" i="7"/>
  <c r="AJ628" s="1"/>
  <c r="AG63" i="8"/>
  <c r="AH691"/>
  <c r="AH676" s="1"/>
  <c r="AH60" s="1"/>
  <c r="AH723"/>
  <c r="AH708" s="1"/>
  <c r="AH61" s="1"/>
  <c r="AF230"/>
  <c r="AF231" s="1"/>
  <c r="AH71" i="7"/>
  <c r="AK11"/>
  <c r="AJ616"/>
  <c r="AJ614"/>
  <c r="AJ610"/>
  <c r="AJ601"/>
  <c r="AJ600"/>
  <c r="AJ597"/>
  <c r="AJ596"/>
  <c r="AH193"/>
  <c r="AH156"/>
  <c r="AH52"/>
  <c r="AH192"/>
  <c r="AH155"/>
  <c r="AH51"/>
  <c r="AH105"/>
  <c r="AH606"/>
  <c r="AH80"/>
  <c r="AH81" s="1"/>
  <c r="AH119"/>
  <c r="AH20"/>
  <c r="AH43" s="1"/>
  <c r="AJ726"/>
  <c r="AJ725"/>
  <c r="AJ724"/>
  <c r="AJ723"/>
  <c r="AJ722"/>
  <c r="AJ721"/>
  <c r="AJ720"/>
  <c r="AJ719"/>
  <c r="AJ717"/>
  <c r="AJ731"/>
  <c r="AJ714"/>
  <c r="AJ713"/>
  <c r="AJ712"/>
  <c r="AJ711"/>
  <c r="AJ710"/>
  <c r="AJ709"/>
  <c r="AJ708"/>
  <c r="AJ707"/>
  <c r="AJ706"/>
  <c r="AJ705"/>
  <c r="AJ694"/>
  <c r="AJ693"/>
  <c r="AJ692"/>
  <c r="AJ691"/>
  <c r="AJ690"/>
  <c r="AJ689"/>
  <c r="AJ688"/>
  <c r="AJ686"/>
  <c r="AJ685"/>
  <c r="AJ682"/>
  <c r="AJ681"/>
  <c r="AJ680"/>
  <c r="AJ679"/>
  <c r="AJ678"/>
  <c r="AJ677"/>
  <c r="AJ676"/>
  <c r="AJ675"/>
  <c r="AJ674"/>
  <c r="AJ673"/>
  <c r="AJ662"/>
  <c r="AJ661"/>
  <c r="AJ660"/>
  <c r="AJ659"/>
  <c r="AJ658"/>
  <c r="AJ657"/>
  <c r="AJ656"/>
  <c r="AJ654"/>
  <c r="AJ653"/>
  <c r="AJ650"/>
  <c r="AJ649"/>
  <c r="AJ648"/>
  <c r="AJ647"/>
  <c r="AJ646"/>
  <c r="AJ645"/>
  <c r="AJ644"/>
  <c r="AJ643"/>
  <c r="AJ642"/>
  <c r="AJ641"/>
  <c r="AJ549"/>
  <c r="AJ550" s="1"/>
  <c r="AJ543"/>
  <c r="AJ544" s="1"/>
  <c r="AJ630"/>
  <c r="AJ62" s="1"/>
  <c r="AJ611"/>
  <c r="AJ389"/>
  <c r="AJ320"/>
  <c r="AJ318"/>
  <c r="AJ316"/>
  <c r="AJ314"/>
  <c r="AJ312"/>
  <c r="AJ294"/>
  <c r="AJ292"/>
  <c r="AJ290"/>
  <c r="AJ288"/>
  <c r="AJ286"/>
  <c r="AJ376"/>
  <c r="AJ375"/>
  <c r="AJ374"/>
  <c r="AJ373"/>
  <c r="AJ372"/>
  <c r="AJ371"/>
  <c r="AJ319"/>
  <c r="AJ317"/>
  <c r="AJ315"/>
  <c r="AJ313"/>
  <c r="AJ311"/>
  <c r="AJ293"/>
  <c r="AJ291"/>
  <c r="AJ289"/>
  <c r="AJ287"/>
  <c r="AJ285"/>
  <c r="AJ268"/>
  <c r="AJ266"/>
  <c r="AJ264"/>
  <c r="AJ262"/>
  <c r="AJ260"/>
  <c r="AJ255"/>
  <c r="AJ267"/>
  <c r="AJ263"/>
  <c r="AJ242"/>
  <c r="AJ241"/>
  <c r="AJ240"/>
  <c r="AJ239"/>
  <c r="AJ238"/>
  <c r="AJ237"/>
  <c r="AJ269"/>
  <c r="AJ265"/>
  <c r="AJ261"/>
  <c r="AJ167"/>
  <c r="AJ131"/>
  <c r="AJ33"/>
  <c r="AJ35" s="1"/>
  <c r="AJ37" s="1"/>
  <c r="AJ39" s="1"/>
  <c r="AJ30"/>
  <c r="AJ26"/>
  <c r="AJ25"/>
  <c r="AJ23"/>
  <c r="AJ19"/>
  <c r="AJ5"/>
  <c r="AJ40"/>
  <c r="AK2"/>
  <c r="AI256"/>
  <c r="AI396"/>
  <c r="AI398"/>
  <c r="AI395"/>
  <c r="AI399"/>
  <c r="AI403"/>
  <c r="AI423"/>
  <c r="AI427"/>
  <c r="AI447"/>
  <c r="AI451"/>
  <c r="AI455"/>
  <c r="AI420"/>
  <c r="AI424"/>
  <c r="AI428"/>
  <c r="AI448"/>
  <c r="AI452"/>
  <c r="AI390"/>
  <c r="AI166"/>
  <c r="AI130"/>
  <c r="AI55"/>
  <c r="AI165"/>
  <c r="AI129"/>
  <c r="AI54"/>
  <c r="AI27"/>
  <c r="AI61"/>
  <c r="AI651"/>
  <c r="AI636" s="1"/>
  <c r="AI68" s="1"/>
  <c r="AI599"/>
  <c r="AI683"/>
  <c r="AI668" s="1"/>
  <c r="AI69" s="1"/>
  <c r="AG157"/>
  <c r="AG158" s="1"/>
  <c r="AH592"/>
  <c r="AH190"/>
  <c r="AH153"/>
  <c r="AH49"/>
  <c r="AH191"/>
  <c r="AH154"/>
  <c r="AH50"/>
  <c r="AI589"/>
  <c r="AI590" s="1"/>
  <c r="AI581"/>
  <c r="AI582" s="1"/>
  <c r="AI585"/>
  <c r="AI586" s="1"/>
  <c r="AI577"/>
  <c r="AI578" s="1"/>
  <c r="AI14" s="1"/>
  <c r="AI18" s="1"/>
  <c r="AI551"/>
  <c r="AI552" s="1"/>
  <c r="AI104" s="1"/>
  <c r="AI545"/>
  <c r="AI546" s="1"/>
  <c r="AI103" s="1"/>
  <c r="AI120"/>
  <c r="AI29"/>
  <c r="AI31" s="1"/>
  <c r="AI10"/>
  <c r="AI12" s="1"/>
  <c r="AI400"/>
  <c r="AI394"/>
  <c r="AI402"/>
  <c r="AI397"/>
  <c r="AI401"/>
  <c r="AI421"/>
  <c r="AI425"/>
  <c r="AI429"/>
  <c r="AI449"/>
  <c r="AI453"/>
  <c r="AI422"/>
  <c r="AI426"/>
  <c r="AI446"/>
  <c r="AI450"/>
  <c r="AI454"/>
  <c r="AI615"/>
  <c r="AI609"/>
  <c r="AJ622"/>
  <c r="AG164"/>
  <c r="AG128"/>
  <c r="AG132" s="1"/>
  <c r="AG160" s="1"/>
  <c r="AG161" s="1"/>
  <c r="AG47"/>
  <c r="AI715"/>
  <c r="AI700" s="1"/>
  <c r="AI70" s="1"/>
  <c r="AG53"/>
  <c r="AG194"/>
  <c r="AG195" s="1"/>
  <c r="B572" i="2"/>
  <c r="D163" i="1"/>
  <c r="B92" i="10" s="1"/>
  <c r="B163" i="1"/>
  <c r="C163"/>
  <c r="E163"/>
  <c r="B77" i="7" s="1"/>
  <c r="B611" i="2"/>
  <c r="F590" s="1"/>
  <c r="C645"/>
  <c r="C261" s="1"/>
  <c r="B575"/>
  <c r="A423"/>
  <c r="A559"/>
  <c r="A594" s="1"/>
  <c r="A432"/>
  <c r="A568"/>
  <c r="A603" s="1"/>
  <c r="A430"/>
  <c r="A566"/>
  <c r="A601" s="1"/>
  <c r="A427"/>
  <c r="A563"/>
  <c r="A598" s="1"/>
  <c r="A425"/>
  <c r="A561"/>
  <c r="A596" s="1"/>
  <c r="A436"/>
  <c r="A572"/>
  <c r="A607" s="1"/>
  <c r="A438"/>
  <c r="A574"/>
  <c r="A609" s="1"/>
  <c r="A433"/>
  <c r="A569"/>
  <c r="A604" s="1"/>
  <c r="A431"/>
  <c r="A567"/>
  <c r="A602" s="1"/>
  <c r="A429"/>
  <c r="A565"/>
  <c r="A600" s="1"/>
  <c r="A426"/>
  <c r="A562"/>
  <c r="A597" s="1"/>
  <c r="A424"/>
  <c r="A560"/>
  <c r="A595" s="1"/>
  <c r="A439"/>
  <c r="A575"/>
  <c r="A610" s="1"/>
  <c r="A437"/>
  <c r="A573"/>
  <c r="A608" s="1"/>
  <c r="C642"/>
  <c r="C221" s="1"/>
  <c r="B302"/>
  <c r="C644"/>
  <c r="B438"/>
  <c r="B304"/>
  <c r="C643"/>
  <c r="C222" s="1"/>
  <c r="B437"/>
  <c r="C246"/>
  <c r="C209"/>
  <c r="C248"/>
  <c r="C211"/>
  <c r="C247"/>
  <c r="C210"/>
  <c r="C249"/>
  <c r="C212"/>
  <c r="C634"/>
  <c r="B140" i="10" l="1"/>
  <c r="B152" s="1"/>
  <c r="N53" i="7"/>
  <c r="T194"/>
  <c r="T195" s="1"/>
  <c r="S53"/>
  <c r="AK56" i="10"/>
  <c r="AK85"/>
  <c r="AK86" s="1"/>
  <c r="Z306"/>
  <c r="V306"/>
  <c r="F306"/>
  <c r="Z287"/>
  <c r="C702"/>
  <c r="C17"/>
  <c r="AL698"/>
  <c r="AL694"/>
  <c r="AL690"/>
  <c r="AL686"/>
  <c r="AJ648" i="8"/>
  <c r="AJ660"/>
  <c r="AJ656"/>
  <c r="AJ652"/>
  <c r="AA306" i="10"/>
  <c r="S306"/>
  <c r="AJ65"/>
  <c r="AJ68" s="1"/>
  <c r="AJ75" s="1"/>
  <c r="AI179"/>
  <c r="AI196" s="1"/>
  <c r="AK58"/>
  <c r="AK180"/>
  <c r="AK197" s="1"/>
  <c r="AK141"/>
  <c r="AK153" s="1"/>
  <c r="AK245"/>
  <c r="AK217"/>
  <c r="AJ162"/>
  <c r="AJ161"/>
  <c r="AH48"/>
  <c r="AH50" s="1"/>
  <c r="AF118"/>
  <c r="S287"/>
  <c r="O287"/>
  <c r="K287"/>
  <c r="C287"/>
  <c r="R287"/>
  <c r="J287"/>
  <c r="AE287"/>
  <c r="AA287"/>
  <c r="W287"/>
  <c r="AD287"/>
  <c r="V287"/>
  <c r="F287"/>
  <c r="W18"/>
  <c r="W20" s="1"/>
  <c r="V18"/>
  <c r="V20" s="1"/>
  <c r="F18"/>
  <c r="F20" s="1"/>
  <c r="AJ283"/>
  <c r="AJ302"/>
  <c r="AJ284"/>
  <c r="AJ303"/>
  <c r="AE18"/>
  <c r="AE20" s="1"/>
  <c r="S18"/>
  <c r="S20" s="1"/>
  <c r="O18"/>
  <c r="O20" s="1"/>
  <c r="E18"/>
  <c r="E20" s="1"/>
  <c r="AJ285"/>
  <c r="AJ304"/>
  <c r="AJ286"/>
  <c r="AJ305"/>
  <c r="Y306"/>
  <c r="AK39"/>
  <c r="AI709"/>
  <c r="AJ706" s="1"/>
  <c r="AK59"/>
  <c r="AC306"/>
  <c r="AE306"/>
  <c r="AA18"/>
  <c r="AA20" s="1"/>
  <c r="O306"/>
  <c r="Z18"/>
  <c r="Z20" s="1"/>
  <c r="AJ279"/>
  <c r="AJ297" s="1"/>
  <c r="AK767"/>
  <c r="AK752" s="1"/>
  <c r="AK66" s="1"/>
  <c r="AJ42"/>
  <c r="AM11"/>
  <c r="AL714"/>
  <c r="AL181" s="1"/>
  <c r="AL198" s="1"/>
  <c r="AL41"/>
  <c r="AL183" s="1"/>
  <c r="AL200" s="1"/>
  <c r="Q287"/>
  <c r="Q18"/>
  <c r="Q20" s="1"/>
  <c r="M287"/>
  <c r="M18"/>
  <c r="M20" s="1"/>
  <c r="K306"/>
  <c r="E287"/>
  <c r="C306"/>
  <c r="AD306"/>
  <c r="R18"/>
  <c r="R20" s="1"/>
  <c r="J306"/>
  <c r="H306"/>
  <c r="D306"/>
  <c r="G287"/>
  <c r="G18"/>
  <c r="G20" s="1"/>
  <c r="AF306"/>
  <c r="U287"/>
  <c r="U18"/>
  <c r="U20" s="1"/>
  <c r="I306"/>
  <c r="AB306"/>
  <c r="X18"/>
  <c r="X20" s="1"/>
  <c r="X287"/>
  <c r="T306"/>
  <c r="P18"/>
  <c r="P20" s="1"/>
  <c r="P287"/>
  <c r="N287"/>
  <c r="N18"/>
  <c r="N20" s="1"/>
  <c r="L287"/>
  <c r="L18"/>
  <c r="L20" s="1"/>
  <c r="AC287"/>
  <c r="AC18"/>
  <c r="AC20" s="1"/>
  <c r="Y18"/>
  <c r="Y20" s="1"/>
  <c r="Y287"/>
  <c r="W306"/>
  <c r="Q306"/>
  <c r="M306"/>
  <c r="K18"/>
  <c r="K20" s="1"/>
  <c r="C18"/>
  <c r="C20" s="1"/>
  <c r="AF287"/>
  <c r="AF18"/>
  <c r="AF20" s="1"/>
  <c r="AD18"/>
  <c r="AD20" s="1"/>
  <c r="R306"/>
  <c r="J18"/>
  <c r="J20" s="1"/>
  <c r="H287"/>
  <c r="H18"/>
  <c r="H20" s="1"/>
  <c r="D287"/>
  <c r="D18"/>
  <c r="D20" s="1"/>
  <c r="U306"/>
  <c r="I18"/>
  <c r="I20" s="1"/>
  <c r="I287"/>
  <c r="G306"/>
  <c r="AB287"/>
  <c r="AB18"/>
  <c r="AB20" s="1"/>
  <c r="X306"/>
  <c r="T18"/>
  <c r="T20" s="1"/>
  <c r="T287"/>
  <c r="P306"/>
  <c r="N306"/>
  <c r="L306"/>
  <c r="AI41" i="7"/>
  <c r="AA266" i="8"/>
  <c r="AA267" s="1"/>
  <c r="U230"/>
  <c r="U231" s="1"/>
  <c r="R266"/>
  <c r="R267" s="1"/>
  <c r="AK27" i="10"/>
  <c r="AK735"/>
  <c r="AK720" s="1"/>
  <c r="AJ15"/>
  <c r="AJ118"/>
  <c r="AK695"/>
  <c r="AK696" s="1"/>
  <c r="AK687"/>
  <c r="AK688" s="1"/>
  <c r="AK661"/>
  <c r="AK662" s="1"/>
  <c r="AK655"/>
  <c r="AK656" s="1"/>
  <c r="AK699"/>
  <c r="AK700" s="1"/>
  <c r="AK691"/>
  <c r="AK692" s="1"/>
  <c r="AK130"/>
  <c r="AK29"/>
  <c r="AK31" s="1"/>
  <c r="AK10"/>
  <c r="AK12" s="1"/>
  <c r="AK274" s="1"/>
  <c r="AK292" s="1"/>
  <c r="AK507"/>
  <c r="AK511"/>
  <c r="AK531"/>
  <c r="AK535"/>
  <c r="AK539"/>
  <c r="AK559"/>
  <c r="AK563"/>
  <c r="AK504"/>
  <c r="AK508"/>
  <c r="AK512"/>
  <c r="AK532"/>
  <c r="AK536"/>
  <c r="AK556"/>
  <c r="AK560"/>
  <c r="AK564"/>
  <c r="AK49"/>
  <c r="AK275" s="1"/>
  <c r="AK293" s="1"/>
  <c r="AJ16"/>
  <c r="AJ631" i="7"/>
  <c r="AK628" s="1"/>
  <c r="AK799" i="10"/>
  <c r="AK784" s="1"/>
  <c r="AK67" s="1"/>
  <c r="AI287"/>
  <c r="AJ702"/>
  <c r="AJ14"/>
  <c r="AL810"/>
  <c r="AL809"/>
  <c r="AL808"/>
  <c r="AL807"/>
  <c r="AL806"/>
  <c r="AL805"/>
  <c r="AL804"/>
  <c r="AL803"/>
  <c r="AL801"/>
  <c r="AL815"/>
  <c r="AL798"/>
  <c r="AL797"/>
  <c r="AL796"/>
  <c r="AL795"/>
  <c r="AL794"/>
  <c r="AL793"/>
  <c r="AL792"/>
  <c r="AL791"/>
  <c r="AL790"/>
  <c r="AL789"/>
  <c r="AL778"/>
  <c r="AL777"/>
  <c r="AL776"/>
  <c r="AL775"/>
  <c r="AL774"/>
  <c r="AL773"/>
  <c r="AL772"/>
  <c r="AL770"/>
  <c r="AL769"/>
  <c r="AL766"/>
  <c r="AL765"/>
  <c r="AL764"/>
  <c r="AL763"/>
  <c r="AL762"/>
  <c r="AL761"/>
  <c r="AL760"/>
  <c r="AL759"/>
  <c r="AL758"/>
  <c r="AL757"/>
  <c r="AL746"/>
  <c r="AL745"/>
  <c r="AL744"/>
  <c r="AL743"/>
  <c r="AL742"/>
  <c r="AL741"/>
  <c r="AL740"/>
  <c r="AL738"/>
  <c r="AL737"/>
  <c r="AL734"/>
  <c r="AL733"/>
  <c r="AL732"/>
  <c r="AL731"/>
  <c r="AL730"/>
  <c r="AL729"/>
  <c r="AL728"/>
  <c r="AL727"/>
  <c r="AL726"/>
  <c r="AL725"/>
  <c r="AL708"/>
  <c r="AL659"/>
  <c r="AL660" s="1"/>
  <c r="AL653"/>
  <c r="AL654" s="1"/>
  <c r="AL499"/>
  <c r="AL430"/>
  <c r="AL428"/>
  <c r="AL426"/>
  <c r="AL424"/>
  <c r="AL422"/>
  <c r="AL404"/>
  <c r="AL402"/>
  <c r="AL400"/>
  <c r="AL398"/>
  <c r="AL396"/>
  <c r="AL379"/>
  <c r="AL377"/>
  <c r="AL375"/>
  <c r="AL373"/>
  <c r="AL371"/>
  <c r="AL352"/>
  <c r="AL351"/>
  <c r="AL350"/>
  <c r="AL349"/>
  <c r="AL348"/>
  <c r="AL347"/>
  <c r="AL486"/>
  <c r="AL485"/>
  <c r="AL484"/>
  <c r="AL483"/>
  <c r="AL482"/>
  <c r="AL481"/>
  <c r="AL429"/>
  <c r="AL427"/>
  <c r="AL425"/>
  <c r="AL423"/>
  <c r="AL421"/>
  <c r="AL403"/>
  <c r="AL401"/>
  <c r="AL399"/>
  <c r="AL397"/>
  <c r="AL395"/>
  <c r="AL378"/>
  <c r="AL376"/>
  <c r="AL374"/>
  <c r="AL372"/>
  <c r="AL370"/>
  <c r="AL365"/>
  <c r="AL246"/>
  <c r="AL218"/>
  <c r="AL40"/>
  <c r="AL33"/>
  <c r="AL35" s="1"/>
  <c r="AL37" s="1"/>
  <c r="AL30"/>
  <c r="AL26"/>
  <c r="AL25"/>
  <c r="AL23"/>
  <c r="AL19"/>
  <c r="AL5"/>
  <c r="AM2"/>
  <c r="AK366"/>
  <c r="AK505"/>
  <c r="AK509"/>
  <c r="AK513"/>
  <c r="AK533"/>
  <c r="AK537"/>
  <c r="AK557"/>
  <c r="AK561"/>
  <c r="AK565"/>
  <c r="AK506"/>
  <c r="AK510"/>
  <c r="AK530"/>
  <c r="AK534"/>
  <c r="AK538"/>
  <c r="AK558"/>
  <c r="AK562"/>
  <c r="AK500"/>
  <c r="AJ17"/>
  <c r="AJ129"/>
  <c r="AI18"/>
  <c r="AI20" s="1"/>
  <c r="AI44" s="1"/>
  <c r="AI306"/>
  <c r="AH18" i="8"/>
  <c r="AH20" s="1"/>
  <c r="AE230"/>
  <c r="AE231" s="1"/>
  <c r="B69"/>
  <c r="R194" i="7"/>
  <c r="R195" s="1"/>
  <c r="K157"/>
  <c r="K158" s="1"/>
  <c r="F194"/>
  <c r="F195" s="1"/>
  <c r="D53"/>
  <c r="AF194"/>
  <c r="AF195" s="1"/>
  <c r="AD53"/>
  <c r="AD157"/>
  <c r="AD158" s="1"/>
  <c r="AA194"/>
  <c r="AA195" s="1"/>
  <c r="X194"/>
  <c r="X195" s="1"/>
  <c r="W53"/>
  <c r="V194"/>
  <c r="V195" s="1"/>
  <c r="S157"/>
  <c r="S158" s="1"/>
  <c r="N157"/>
  <c r="N158" s="1"/>
  <c r="J194"/>
  <c r="J195" s="1"/>
  <c r="I53"/>
  <c r="P157"/>
  <c r="P158" s="1"/>
  <c r="L157"/>
  <c r="L158" s="1"/>
  <c r="H157"/>
  <c r="H158" s="1"/>
  <c r="AC230" i="8"/>
  <c r="AC231" s="1"/>
  <c r="AA230"/>
  <c r="AA231" s="1"/>
  <c r="W230"/>
  <c r="W231" s="1"/>
  <c r="U266"/>
  <c r="U267" s="1"/>
  <c r="AK11"/>
  <c r="J266"/>
  <c r="J267" s="1"/>
  <c r="AI668"/>
  <c r="AI671" s="1"/>
  <c r="AE266"/>
  <c r="AE267" s="1"/>
  <c r="AB266"/>
  <c r="AB267" s="1"/>
  <c r="Z266"/>
  <c r="Z267" s="1"/>
  <c r="R230"/>
  <c r="R231" s="1"/>
  <c r="M266"/>
  <c r="M267" s="1"/>
  <c r="L230"/>
  <c r="L231" s="1"/>
  <c r="H230"/>
  <c r="H231" s="1"/>
  <c r="AH41"/>
  <c r="K53" i="7"/>
  <c r="U194"/>
  <c r="U195" s="1"/>
  <c r="AD230" i="8"/>
  <c r="AD231" s="1"/>
  <c r="Y230"/>
  <c r="Y231" s="1"/>
  <c r="X230"/>
  <c r="X231" s="1"/>
  <c r="V266"/>
  <c r="V267" s="1"/>
  <c r="T230"/>
  <c r="T231" s="1"/>
  <c r="S230"/>
  <c r="S231" s="1"/>
  <c r="P266"/>
  <c r="P267" s="1"/>
  <c r="N266"/>
  <c r="N267" s="1"/>
  <c r="I230"/>
  <c r="I231" s="1"/>
  <c r="F266"/>
  <c r="F267" s="1"/>
  <c r="D230"/>
  <c r="D231" s="1"/>
  <c r="AE157" i="7"/>
  <c r="AE158" s="1"/>
  <c r="AE53"/>
  <c r="AC194"/>
  <c r="AC195" s="1"/>
  <c r="Z157"/>
  <c r="Z158" s="1"/>
  <c r="Z53"/>
  <c r="Y194"/>
  <c r="Y195" s="1"/>
  <c r="Q230" i="8"/>
  <c r="Q231" s="1"/>
  <c r="Q157" i="7"/>
  <c r="Q158" s="1"/>
  <c r="Q53"/>
  <c r="O230" i="8"/>
  <c r="O231" s="1"/>
  <c r="O53" i="7"/>
  <c r="O157"/>
  <c r="O158" s="1"/>
  <c r="K266" i="8"/>
  <c r="K267" s="1"/>
  <c r="G266"/>
  <c r="G267" s="1"/>
  <c r="G194" i="7"/>
  <c r="G195" s="1"/>
  <c r="E266" i="8"/>
  <c r="E267" s="1"/>
  <c r="E194" i="7"/>
  <c r="E195" s="1"/>
  <c r="C194"/>
  <c r="C266" i="8"/>
  <c r="AC266"/>
  <c r="AC267" s="1"/>
  <c r="AB230"/>
  <c r="AB231" s="1"/>
  <c r="Z230"/>
  <c r="Z231" s="1"/>
  <c r="W266"/>
  <c r="W267" s="1"/>
  <c r="R157" i="7"/>
  <c r="R158" s="1"/>
  <c r="R53"/>
  <c r="L266" i="8"/>
  <c r="L267" s="1"/>
  <c r="K194" i="7"/>
  <c r="K195" s="1"/>
  <c r="H266" i="8"/>
  <c r="H267" s="1"/>
  <c r="F53" i="7"/>
  <c r="D194"/>
  <c r="D195" s="1"/>
  <c r="AF157"/>
  <c r="AF158" s="1"/>
  <c r="AF53"/>
  <c r="AD194"/>
  <c r="AD195" s="1"/>
  <c r="AA53"/>
  <c r="X53"/>
  <c r="X157"/>
  <c r="X158" s="1"/>
  <c r="W194"/>
  <c r="W195" s="1"/>
  <c r="V53"/>
  <c r="V157"/>
  <c r="V158" s="1"/>
  <c r="U157"/>
  <c r="U158" s="1"/>
  <c r="U53"/>
  <c r="J53"/>
  <c r="J157"/>
  <c r="J158" s="1"/>
  <c r="I194"/>
  <c r="I195" s="1"/>
  <c r="AD266" i="8"/>
  <c r="AD267" s="1"/>
  <c r="Y266"/>
  <c r="Y267" s="1"/>
  <c r="X266"/>
  <c r="X267" s="1"/>
  <c r="V230"/>
  <c r="V231" s="1"/>
  <c r="T266"/>
  <c r="T267" s="1"/>
  <c r="S266"/>
  <c r="S267" s="1"/>
  <c r="P230"/>
  <c r="P231" s="1"/>
  <c r="N230"/>
  <c r="N231" s="1"/>
  <c r="I266"/>
  <c r="I267" s="1"/>
  <c r="F230"/>
  <c r="F231" s="1"/>
  <c r="D266"/>
  <c r="D267" s="1"/>
  <c r="AE194" i="7"/>
  <c r="AE195" s="1"/>
  <c r="AC157"/>
  <c r="AC158" s="1"/>
  <c r="AC53"/>
  <c r="Z194"/>
  <c r="Z195" s="1"/>
  <c r="Y157"/>
  <c r="Y158" s="1"/>
  <c r="Y53"/>
  <c r="Q266" i="8"/>
  <c r="Q267" s="1"/>
  <c r="Q194" i="7"/>
  <c r="Q195" s="1"/>
  <c r="O266" i="8"/>
  <c r="O267" s="1"/>
  <c r="O194" i="7"/>
  <c r="O195" s="1"/>
  <c r="K230" i="8"/>
  <c r="K231" s="1"/>
  <c r="G230"/>
  <c r="G231" s="1"/>
  <c r="G53" i="7"/>
  <c r="G157"/>
  <c r="G158" s="1"/>
  <c r="E230" i="8"/>
  <c r="E231" s="1"/>
  <c r="E53" i="7"/>
  <c r="E157"/>
  <c r="E158" s="1"/>
  <c r="C157"/>
  <c r="C53"/>
  <c r="C230" i="8"/>
  <c r="AI723"/>
  <c r="AI708" s="1"/>
  <c r="AI61" s="1"/>
  <c r="AI27"/>
  <c r="AH664"/>
  <c r="AH72"/>
  <c r="AH107"/>
  <c r="AG237"/>
  <c r="AG202"/>
  <c r="AG205" s="1"/>
  <c r="AG47"/>
  <c r="AG49" s="1"/>
  <c r="AJ766"/>
  <c r="AJ765"/>
  <c r="AJ764"/>
  <c r="AJ763"/>
  <c r="AJ762"/>
  <c r="AJ761"/>
  <c r="AJ760"/>
  <c r="AJ759"/>
  <c r="AJ771"/>
  <c r="AJ757"/>
  <c r="AJ754"/>
  <c r="AJ753"/>
  <c r="AJ752"/>
  <c r="AJ751"/>
  <c r="AJ750"/>
  <c r="AJ749"/>
  <c r="AJ748"/>
  <c r="AJ747"/>
  <c r="AJ746"/>
  <c r="AJ745"/>
  <c r="AJ734"/>
  <c r="AJ733"/>
  <c r="AJ732"/>
  <c r="AJ731"/>
  <c r="AJ730"/>
  <c r="AJ729"/>
  <c r="AJ728"/>
  <c r="AJ726"/>
  <c r="AJ725"/>
  <c r="AJ722"/>
  <c r="AJ721"/>
  <c r="AJ720"/>
  <c r="AJ719"/>
  <c r="AJ718"/>
  <c r="AJ717"/>
  <c r="AJ716"/>
  <c r="AJ715"/>
  <c r="AJ714"/>
  <c r="AJ713"/>
  <c r="AJ702"/>
  <c r="AJ701"/>
  <c r="AJ700"/>
  <c r="AJ699"/>
  <c r="AJ698"/>
  <c r="AJ697"/>
  <c r="AJ696"/>
  <c r="AJ694"/>
  <c r="AJ693"/>
  <c r="AJ690"/>
  <c r="AJ689"/>
  <c r="AJ688"/>
  <c r="AJ687"/>
  <c r="AJ686"/>
  <c r="AJ685"/>
  <c r="AJ684"/>
  <c r="AJ683"/>
  <c r="AJ682"/>
  <c r="AJ681"/>
  <c r="AJ621"/>
  <c r="AJ622" s="1"/>
  <c r="AJ615"/>
  <c r="AJ616" s="1"/>
  <c r="AJ670"/>
  <c r="AJ54" s="1"/>
  <c r="AJ461"/>
  <c r="AJ392"/>
  <c r="AJ390"/>
  <c r="AJ388"/>
  <c r="AJ386"/>
  <c r="AJ384"/>
  <c r="AJ366"/>
  <c r="AJ364"/>
  <c r="AJ362"/>
  <c r="AJ360"/>
  <c r="AJ358"/>
  <c r="AJ341"/>
  <c r="AJ339"/>
  <c r="AJ337"/>
  <c r="AJ448"/>
  <c r="AJ447"/>
  <c r="AJ446"/>
  <c r="AJ445"/>
  <c r="AJ444"/>
  <c r="AJ443"/>
  <c r="AJ391"/>
  <c r="AJ389"/>
  <c r="AJ387"/>
  <c r="AJ385"/>
  <c r="AJ383"/>
  <c r="AJ365"/>
  <c r="AJ363"/>
  <c r="AJ361"/>
  <c r="AJ359"/>
  <c r="AJ357"/>
  <c r="AJ340"/>
  <c r="AJ338"/>
  <c r="AJ336"/>
  <c r="AJ334"/>
  <c r="AJ332"/>
  <c r="AJ327"/>
  <c r="AJ335"/>
  <c r="AJ314"/>
  <c r="AJ313"/>
  <c r="AJ312"/>
  <c r="AJ311"/>
  <c r="AJ310"/>
  <c r="AJ309"/>
  <c r="AJ333"/>
  <c r="AJ239"/>
  <c r="AJ204"/>
  <c r="AJ40"/>
  <c r="AK2"/>
  <c r="AJ33"/>
  <c r="AJ35" s="1"/>
  <c r="AJ37" s="1"/>
  <c r="AJ39" s="1"/>
  <c r="AJ30"/>
  <c r="AJ26"/>
  <c r="AJ25"/>
  <c r="AJ23"/>
  <c r="AJ19"/>
  <c r="AJ5"/>
  <c r="AI328"/>
  <c r="AI468"/>
  <c r="AI466"/>
  <c r="AI469"/>
  <c r="AI473"/>
  <c r="AI493"/>
  <c r="AI497"/>
  <c r="AI501"/>
  <c r="AI521"/>
  <c r="AI525"/>
  <c r="AI472"/>
  <c r="AI492"/>
  <c r="AI496"/>
  <c r="AI500"/>
  <c r="AI520"/>
  <c r="AI524"/>
  <c r="AI462"/>
  <c r="AI238"/>
  <c r="AI203"/>
  <c r="AI48"/>
  <c r="AH63"/>
  <c r="AG230"/>
  <c r="AG231" s="1"/>
  <c r="AI691"/>
  <c r="AI676" s="1"/>
  <c r="AI60" s="1"/>
  <c r="AI755"/>
  <c r="AI740" s="1"/>
  <c r="AI62" s="1"/>
  <c r="AH96"/>
  <c r="AI661"/>
  <c r="AI662" s="1"/>
  <c r="AI17" s="1"/>
  <c r="AI653"/>
  <c r="AI654" s="1"/>
  <c r="AI15" s="1"/>
  <c r="AI657"/>
  <c r="AI658" s="1"/>
  <c r="AI16" s="1"/>
  <c r="AI649"/>
  <c r="AI650" s="1"/>
  <c r="AI14" s="1"/>
  <c r="AI623"/>
  <c r="AI624" s="1"/>
  <c r="AI95" s="1"/>
  <c r="AI617"/>
  <c r="AI618" s="1"/>
  <c r="AI94" s="1"/>
  <c r="AI108"/>
  <c r="AI29"/>
  <c r="AI31" s="1"/>
  <c r="AI10"/>
  <c r="AI12" s="1"/>
  <c r="AI467"/>
  <c r="AI471"/>
  <c r="AI475"/>
  <c r="AI495"/>
  <c r="AI499"/>
  <c r="AI519"/>
  <c r="AI523"/>
  <c r="AI527"/>
  <c r="AI470"/>
  <c r="AI474"/>
  <c r="AI494"/>
  <c r="AI498"/>
  <c r="AI518"/>
  <c r="AI522"/>
  <c r="AI526"/>
  <c r="AG266"/>
  <c r="AG267" s="1"/>
  <c r="AK616" i="7"/>
  <c r="AK614"/>
  <c r="AK610"/>
  <c r="AK601"/>
  <c r="AK600"/>
  <c r="AK611" s="1"/>
  <c r="AK597"/>
  <c r="AK596"/>
  <c r="AL11"/>
  <c r="AH157"/>
  <c r="AH158" s="1"/>
  <c r="AJ599"/>
  <c r="AI193"/>
  <c r="AI156"/>
  <c r="AI52"/>
  <c r="AI105"/>
  <c r="AI592"/>
  <c r="AI190"/>
  <c r="AI153"/>
  <c r="AI49"/>
  <c r="AI191"/>
  <c r="AI154"/>
  <c r="AI50"/>
  <c r="AI192"/>
  <c r="AI155"/>
  <c r="AI51"/>
  <c r="AG168"/>
  <c r="AG169" s="1"/>
  <c r="AG197" s="1"/>
  <c r="AG198" s="1"/>
  <c r="AG108" s="1"/>
  <c r="AG107"/>
  <c r="AI606"/>
  <c r="AI80"/>
  <c r="AI81" s="1"/>
  <c r="AI119"/>
  <c r="AI20"/>
  <c r="AI43" s="1"/>
  <c r="AK731"/>
  <c r="AK726"/>
  <c r="AK725"/>
  <c r="AK724"/>
  <c r="AK723"/>
  <c r="AK722"/>
  <c r="AK721"/>
  <c r="AK720"/>
  <c r="AK719"/>
  <c r="AK714"/>
  <c r="AK713"/>
  <c r="AK712"/>
  <c r="AK711"/>
  <c r="AK710"/>
  <c r="AK709"/>
  <c r="AK708"/>
  <c r="AK707"/>
  <c r="AK717"/>
  <c r="AK706"/>
  <c r="AK682"/>
  <c r="AK681"/>
  <c r="AK680"/>
  <c r="AK679"/>
  <c r="AK678"/>
  <c r="AK677"/>
  <c r="AK676"/>
  <c r="AK705"/>
  <c r="AK694"/>
  <c r="AK693"/>
  <c r="AK692"/>
  <c r="AK691"/>
  <c r="AK690"/>
  <c r="AK689"/>
  <c r="AK688"/>
  <c r="AK686"/>
  <c r="AK685"/>
  <c r="AK675"/>
  <c r="AK650"/>
  <c r="AK649"/>
  <c r="AK648"/>
  <c r="AK647"/>
  <c r="AK646"/>
  <c r="AK645"/>
  <c r="AK674"/>
  <c r="AK673"/>
  <c r="AK662"/>
  <c r="AK661"/>
  <c r="AK660"/>
  <c r="AK659"/>
  <c r="AK658"/>
  <c r="AK657"/>
  <c r="AK656"/>
  <c r="AK654"/>
  <c r="AK653"/>
  <c r="AK644"/>
  <c r="AK630"/>
  <c r="AK62" s="1"/>
  <c r="AK643"/>
  <c r="AK642"/>
  <c r="AK641"/>
  <c r="AK549"/>
  <c r="AK550" s="1"/>
  <c r="AK543"/>
  <c r="AK544" s="1"/>
  <c r="AK376"/>
  <c r="AK375"/>
  <c r="AK374"/>
  <c r="AK373"/>
  <c r="AK372"/>
  <c r="AK371"/>
  <c r="AK319"/>
  <c r="AK317"/>
  <c r="AK315"/>
  <c r="AK313"/>
  <c r="AK311"/>
  <c r="AK293"/>
  <c r="AK291"/>
  <c r="AK289"/>
  <c r="AK287"/>
  <c r="AK285"/>
  <c r="AK389"/>
  <c r="AK320"/>
  <c r="AK318"/>
  <c r="AK316"/>
  <c r="AK314"/>
  <c r="AK312"/>
  <c r="AK294"/>
  <c r="AK292"/>
  <c r="AK290"/>
  <c r="AK288"/>
  <c r="AK286"/>
  <c r="AK269"/>
  <c r="AK267"/>
  <c r="AK265"/>
  <c r="AK263"/>
  <c r="AK261"/>
  <c r="AK266"/>
  <c r="AK262"/>
  <c r="AK167"/>
  <c r="AK131"/>
  <c r="AK268"/>
  <c r="AK264"/>
  <c r="AK260"/>
  <c r="AK255"/>
  <c r="AK242"/>
  <c r="AK241"/>
  <c r="AK240"/>
  <c r="AK239"/>
  <c r="AK238"/>
  <c r="AK237"/>
  <c r="AK40"/>
  <c r="AK33"/>
  <c r="AK35" s="1"/>
  <c r="AK37" s="1"/>
  <c r="AK39" s="1"/>
  <c r="AK30"/>
  <c r="AK26"/>
  <c r="AK25"/>
  <c r="AK23"/>
  <c r="AK19"/>
  <c r="AK5"/>
  <c r="AL2"/>
  <c r="AJ395"/>
  <c r="AJ403"/>
  <c r="AJ401"/>
  <c r="AJ394"/>
  <c r="AJ398"/>
  <c r="AJ402"/>
  <c r="AJ422"/>
  <c r="AJ426"/>
  <c r="AJ446"/>
  <c r="AJ450"/>
  <c r="AJ454"/>
  <c r="AJ423"/>
  <c r="AJ427"/>
  <c r="AJ447"/>
  <c r="AJ451"/>
  <c r="AJ455"/>
  <c r="AJ615"/>
  <c r="AJ609"/>
  <c r="AK622"/>
  <c r="AJ166"/>
  <c r="AJ130"/>
  <c r="AJ55"/>
  <c r="AJ165"/>
  <c r="AJ129"/>
  <c r="AJ54"/>
  <c r="AH53"/>
  <c r="AH194"/>
  <c r="AH195" s="1"/>
  <c r="AJ27"/>
  <c r="AJ61"/>
  <c r="AJ651"/>
  <c r="AJ636" s="1"/>
  <c r="AJ68" s="1"/>
  <c r="AJ683"/>
  <c r="AJ668" s="1"/>
  <c r="AJ69" s="1"/>
  <c r="AJ715"/>
  <c r="AJ700" s="1"/>
  <c r="AJ70" s="1"/>
  <c r="AJ585"/>
  <c r="AJ586" s="1"/>
  <c r="AJ577"/>
  <c r="AJ578" s="1"/>
  <c r="AJ14" s="1"/>
  <c r="AJ18" s="1"/>
  <c r="AJ551"/>
  <c r="AJ552" s="1"/>
  <c r="AJ104" s="1"/>
  <c r="AJ545"/>
  <c r="AJ546" s="1"/>
  <c r="AJ103" s="1"/>
  <c r="AJ589"/>
  <c r="AJ590" s="1"/>
  <c r="AJ581"/>
  <c r="AJ582" s="1"/>
  <c r="AJ120"/>
  <c r="AJ29"/>
  <c r="AJ31" s="1"/>
  <c r="AJ41" s="1"/>
  <c r="AJ10"/>
  <c r="AJ12" s="1"/>
  <c r="AJ399"/>
  <c r="AJ256"/>
  <c r="AJ397"/>
  <c r="AJ396"/>
  <c r="AJ400"/>
  <c r="AJ420"/>
  <c r="AJ424"/>
  <c r="AJ428"/>
  <c r="AJ448"/>
  <c r="AJ452"/>
  <c r="AJ390"/>
  <c r="AJ421"/>
  <c r="AJ425"/>
  <c r="AJ429"/>
  <c r="AJ449"/>
  <c r="AJ453"/>
  <c r="AH164"/>
  <c r="AH128"/>
  <c r="AH132" s="1"/>
  <c r="AH160" s="1"/>
  <c r="AH161" s="1"/>
  <c r="AH47"/>
  <c r="AH56" s="1"/>
  <c r="AG56"/>
  <c r="AI71"/>
  <c r="B77" i="2"/>
  <c r="C223"/>
  <c r="C258"/>
  <c r="C224"/>
  <c r="B576"/>
  <c r="F555" s="1"/>
  <c r="C259"/>
  <c r="C260"/>
  <c r="C646"/>
  <c r="B440"/>
  <c r="E419" s="1"/>
  <c r="B306"/>
  <c r="E285" s="1"/>
  <c r="C250"/>
  <c r="C213"/>
  <c r="A15"/>
  <c r="A50" s="1"/>
  <c r="A16"/>
  <c r="A51" s="1"/>
  <c r="A17"/>
  <c r="A52" s="1"/>
  <c r="A14"/>
  <c r="A49" s="1"/>
  <c r="AL56" i="10" l="1"/>
  <c r="AL85"/>
  <c r="AL86" s="1"/>
  <c r="AM698"/>
  <c r="AM694"/>
  <c r="AM690"/>
  <c r="AM686"/>
  <c r="AK660" i="8"/>
  <c r="AK656"/>
  <c r="AK652"/>
  <c r="AK648"/>
  <c r="AH43"/>
  <c r="AH237" s="1"/>
  <c r="AK65" i="10"/>
  <c r="AK68" s="1"/>
  <c r="AK179" s="1"/>
  <c r="AK196" s="1"/>
  <c r="AJ179"/>
  <c r="AJ196" s="1"/>
  <c r="AL58"/>
  <c r="AL180"/>
  <c r="AL197" s="1"/>
  <c r="AL141"/>
  <c r="AL153" s="1"/>
  <c r="AL245"/>
  <c r="AL217"/>
  <c r="AK161"/>
  <c r="AK162"/>
  <c r="AH122"/>
  <c r="AK286"/>
  <c r="AK305"/>
  <c r="AK285"/>
  <c r="AK304"/>
  <c r="AK284"/>
  <c r="AK303"/>
  <c r="AK283"/>
  <c r="AK302"/>
  <c r="AK279"/>
  <c r="AK297" s="1"/>
  <c r="AL39"/>
  <c r="AJ709"/>
  <c r="AK706" s="1"/>
  <c r="AL59"/>
  <c r="AN11"/>
  <c r="AM41"/>
  <c r="AM183" s="1"/>
  <c r="AM200" s="1"/>
  <c r="AM714"/>
  <c r="AM181" s="1"/>
  <c r="AM198" s="1"/>
  <c r="AL735"/>
  <c r="AL720" s="1"/>
  <c r="AL799"/>
  <c r="AL784" s="1"/>
  <c r="AL67" s="1"/>
  <c r="AI18" i="8"/>
  <c r="AI20" s="1"/>
  <c r="AK42" i="10"/>
  <c r="AL767"/>
  <c r="AL752" s="1"/>
  <c r="AL66" s="1"/>
  <c r="AK118"/>
  <c r="AK15"/>
  <c r="AM815"/>
  <c r="AM810"/>
  <c r="AM809"/>
  <c r="AM808"/>
  <c r="AM807"/>
  <c r="AM806"/>
  <c r="AM805"/>
  <c r="AM804"/>
  <c r="AM803"/>
  <c r="AM801"/>
  <c r="AM798"/>
  <c r="AM797"/>
  <c r="AM796"/>
  <c r="AM795"/>
  <c r="AM794"/>
  <c r="AM793"/>
  <c r="AM792"/>
  <c r="AM791"/>
  <c r="AM790"/>
  <c r="AM766"/>
  <c r="AM765"/>
  <c r="AM764"/>
  <c r="AM763"/>
  <c r="AM762"/>
  <c r="AM761"/>
  <c r="AM760"/>
  <c r="AM759"/>
  <c r="AM789"/>
  <c r="AM778"/>
  <c r="AM777"/>
  <c r="AM776"/>
  <c r="AM775"/>
  <c r="AM774"/>
  <c r="AM773"/>
  <c r="AM772"/>
  <c r="AM770"/>
  <c r="AM769"/>
  <c r="AM734"/>
  <c r="AM733"/>
  <c r="AM732"/>
  <c r="AM731"/>
  <c r="AM730"/>
  <c r="AM729"/>
  <c r="AM728"/>
  <c r="AM758"/>
  <c r="AM757"/>
  <c r="AM746"/>
  <c r="AM745"/>
  <c r="AM744"/>
  <c r="AM743"/>
  <c r="AM742"/>
  <c r="AM741"/>
  <c r="AM739"/>
  <c r="AM738"/>
  <c r="AM737"/>
  <c r="AM726"/>
  <c r="AM659"/>
  <c r="AM660" s="1"/>
  <c r="AM653"/>
  <c r="AM654" s="1"/>
  <c r="AM727"/>
  <c r="AM725"/>
  <c r="AM708"/>
  <c r="AM486"/>
  <c r="AM485"/>
  <c r="AM484"/>
  <c r="AM483"/>
  <c r="AM482"/>
  <c r="AM481"/>
  <c r="AM429"/>
  <c r="AM427"/>
  <c r="AM425"/>
  <c r="AM423"/>
  <c r="AM421"/>
  <c r="AM403"/>
  <c r="AM401"/>
  <c r="AM399"/>
  <c r="AM397"/>
  <c r="AM395"/>
  <c r="AM378"/>
  <c r="AM376"/>
  <c r="AM374"/>
  <c r="AM372"/>
  <c r="AM370"/>
  <c r="AM365"/>
  <c r="AM499"/>
  <c r="AM430"/>
  <c r="AM428"/>
  <c r="AM426"/>
  <c r="AM424"/>
  <c r="AM422"/>
  <c r="AM404"/>
  <c r="AM402"/>
  <c r="AM400"/>
  <c r="AM398"/>
  <c r="AM396"/>
  <c r="AM379"/>
  <c r="AM377"/>
  <c r="AM375"/>
  <c r="AM373"/>
  <c r="AM371"/>
  <c r="AM352"/>
  <c r="AM351"/>
  <c r="AM350"/>
  <c r="AM349"/>
  <c r="AM348"/>
  <c r="AM347"/>
  <c r="AM246"/>
  <c r="AM218"/>
  <c r="AM33"/>
  <c r="AM35" s="1"/>
  <c r="AM37" s="1"/>
  <c r="AM30"/>
  <c r="AM26"/>
  <c r="AM25"/>
  <c r="AM23"/>
  <c r="AM19"/>
  <c r="AM40"/>
  <c r="AN2"/>
  <c r="AM5"/>
  <c r="AL506"/>
  <c r="AL510"/>
  <c r="AL530"/>
  <c r="AL534"/>
  <c r="AL538"/>
  <c r="AL558"/>
  <c r="AL562"/>
  <c r="AL500"/>
  <c r="AL366"/>
  <c r="AL505"/>
  <c r="AL509"/>
  <c r="AL513"/>
  <c r="AL533"/>
  <c r="AL537"/>
  <c r="AL557"/>
  <c r="AL561"/>
  <c r="AL565"/>
  <c r="AL27"/>
  <c r="AJ18"/>
  <c r="AJ20" s="1"/>
  <c r="AJ44" s="1"/>
  <c r="AJ306"/>
  <c r="AI48"/>
  <c r="AI50" s="1"/>
  <c r="AK702"/>
  <c r="AK14"/>
  <c r="AG122"/>
  <c r="AL699"/>
  <c r="AL700" s="1"/>
  <c r="AL691"/>
  <c r="AL692" s="1"/>
  <c r="AL695"/>
  <c r="AL696" s="1"/>
  <c r="AL687"/>
  <c r="AL688" s="1"/>
  <c r="AL661"/>
  <c r="AL662" s="1"/>
  <c r="AL655"/>
  <c r="AL656" s="1"/>
  <c r="AL130"/>
  <c r="AL29"/>
  <c r="AL31" s="1"/>
  <c r="AL10"/>
  <c r="AL12" s="1"/>
  <c r="AL274" s="1"/>
  <c r="AL292" s="1"/>
  <c r="AL504"/>
  <c r="AL508"/>
  <c r="AL512"/>
  <c r="AL532"/>
  <c r="AL536"/>
  <c r="AL556"/>
  <c r="AL560"/>
  <c r="AL564"/>
  <c r="AL507"/>
  <c r="AL511"/>
  <c r="AL531"/>
  <c r="AL535"/>
  <c r="AL539"/>
  <c r="AL559"/>
  <c r="AL563"/>
  <c r="AL49"/>
  <c r="AL275" s="1"/>
  <c r="AL293" s="1"/>
  <c r="AK16"/>
  <c r="AK17"/>
  <c r="AK129"/>
  <c r="AJ287"/>
  <c r="AL11" i="8"/>
  <c r="AJ668"/>
  <c r="AJ671" s="1"/>
  <c r="AI41"/>
  <c r="AK631" i="7"/>
  <c r="AL628" s="1"/>
  <c r="AJ723" i="8"/>
  <c r="AJ708" s="1"/>
  <c r="AJ61" s="1"/>
  <c r="AJ691"/>
  <c r="AJ676" s="1"/>
  <c r="AJ60" s="1"/>
  <c r="AJ755"/>
  <c r="AJ740" s="1"/>
  <c r="AJ62" s="1"/>
  <c r="AI96"/>
  <c r="AI72"/>
  <c r="AK771"/>
  <c r="AK766"/>
  <c r="AK765"/>
  <c r="AK764"/>
  <c r="AK763"/>
  <c r="AK762"/>
  <c r="AK761"/>
  <c r="AK760"/>
  <c r="AK759"/>
  <c r="AK757"/>
  <c r="AK754"/>
  <c r="AK753"/>
  <c r="AK752"/>
  <c r="AK751"/>
  <c r="AK750"/>
  <c r="AK749"/>
  <c r="AK748"/>
  <c r="AK747"/>
  <c r="AK746"/>
  <c r="AK745"/>
  <c r="AK734"/>
  <c r="AK732"/>
  <c r="AK730"/>
  <c r="AK728"/>
  <c r="AK722"/>
  <c r="AK721"/>
  <c r="AK720"/>
  <c r="AK719"/>
  <c r="AK718"/>
  <c r="AK717"/>
  <c r="AK716"/>
  <c r="AK715"/>
  <c r="AK714"/>
  <c r="AK713"/>
  <c r="AK733"/>
  <c r="AK731"/>
  <c r="AK729"/>
  <c r="AK726"/>
  <c r="AK725"/>
  <c r="AK690"/>
  <c r="AK689"/>
  <c r="AK688"/>
  <c r="AK687"/>
  <c r="AK686"/>
  <c r="AK685"/>
  <c r="AK684"/>
  <c r="AK683"/>
  <c r="AK682"/>
  <c r="AK681"/>
  <c r="AK702"/>
  <c r="AK701"/>
  <c r="AK700"/>
  <c r="AK699"/>
  <c r="AK698"/>
  <c r="AK697"/>
  <c r="AK696"/>
  <c r="AK694"/>
  <c r="AK693"/>
  <c r="AK670"/>
  <c r="AK54" s="1"/>
  <c r="AK621"/>
  <c r="AK622" s="1"/>
  <c r="AK615"/>
  <c r="AK616" s="1"/>
  <c r="AK448"/>
  <c r="AK447"/>
  <c r="AK446"/>
  <c r="AK445"/>
  <c r="AK444"/>
  <c r="AK443"/>
  <c r="AK391"/>
  <c r="AK389"/>
  <c r="AK387"/>
  <c r="AK385"/>
  <c r="AK383"/>
  <c r="AK365"/>
  <c r="AK363"/>
  <c r="AK361"/>
  <c r="AK359"/>
  <c r="AK357"/>
  <c r="AK340"/>
  <c r="AK338"/>
  <c r="AK336"/>
  <c r="AK461"/>
  <c r="AK392"/>
  <c r="AK390"/>
  <c r="AK388"/>
  <c r="AK386"/>
  <c r="AK384"/>
  <c r="AK366"/>
  <c r="AK364"/>
  <c r="AK362"/>
  <c r="AK360"/>
  <c r="AK358"/>
  <c r="AK341"/>
  <c r="AK339"/>
  <c r="AK337"/>
  <c r="AK335"/>
  <c r="AK333"/>
  <c r="AK334"/>
  <c r="AK239"/>
  <c r="AK204"/>
  <c r="AK332"/>
  <c r="AK327"/>
  <c r="AK314"/>
  <c r="AK313"/>
  <c r="AK312"/>
  <c r="AK311"/>
  <c r="AK310"/>
  <c r="AK309"/>
  <c r="AK33"/>
  <c r="AK35" s="1"/>
  <c r="AK37" s="1"/>
  <c r="AK39" s="1"/>
  <c r="AK30"/>
  <c r="AK26"/>
  <c r="AK25"/>
  <c r="AK23"/>
  <c r="AK19"/>
  <c r="AK5"/>
  <c r="AK40"/>
  <c r="AL2"/>
  <c r="AJ328"/>
  <c r="AJ469"/>
  <c r="AJ466"/>
  <c r="AJ470"/>
  <c r="AJ474"/>
  <c r="AJ494"/>
  <c r="AJ498"/>
  <c r="AJ518"/>
  <c r="AJ522"/>
  <c r="AJ526"/>
  <c r="AJ473"/>
  <c r="AJ493"/>
  <c r="AJ497"/>
  <c r="AJ501"/>
  <c r="AJ521"/>
  <c r="AJ525"/>
  <c r="AJ238"/>
  <c r="AJ203"/>
  <c r="AJ48"/>
  <c r="AJ27"/>
  <c r="AH266"/>
  <c r="AH267" s="1"/>
  <c r="AI107"/>
  <c r="AI664"/>
  <c r="AJ657"/>
  <c r="AJ658" s="1"/>
  <c r="AJ16" s="1"/>
  <c r="AJ649"/>
  <c r="AJ650" s="1"/>
  <c r="AJ14" s="1"/>
  <c r="AJ623"/>
  <c r="AJ624" s="1"/>
  <c r="AJ95" s="1"/>
  <c r="AJ617"/>
  <c r="AJ618" s="1"/>
  <c r="AJ94" s="1"/>
  <c r="AJ661"/>
  <c r="AJ662" s="1"/>
  <c r="AJ17" s="1"/>
  <c r="AJ653"/>
  <c r="AJ654" s="1"/>
  <c r="AJ15" s="1"/>
  <c r="AJ108"/>
  <c r="AJ29"/>
  <c r="AJ31" s="1"/>
  <c r="AJ10"/>
  <c r="AJ12" s="1"/>
  <c r="AJ467"/>
  <c r="AJ468"/>
  <c r="AJ472"/>
  <c r="AJ492"/>
  <c r="AJ496"/>
  <c r="AJ500"/>
  <c r="AJ520"/>
  <c r="AJ524"/>
  <c r="AJ462"/>
  <c r="AJ471"/>
  <c r="AJ475"/>
  <c r="AJ495"/>
  <c r="AJ499"/>
  <c r="AJ519"/>
  <c r="AJ523"/>
  <c r="AJ527"/>
  <c r="AI63"/>
  <c r="AG233"/>
  <c r="AG234" s="1"/>
  <c r="AH230"/>
  <c r="AH231" s="1"/>
  <c r="AK715" i="7"/>
  <c r="AK700" s="1"/>
  <c r="AK70" s="1"/>
  <c r="AM11"/>
  <c r="AL616"/>
  <c r="AL614"/>
  <c r="AL610"/>
  <c r="AL601"/>
  <c r="AL600"/>
  <c r="AL597"/>
  <c r="AL596"/>
  <c r="AK27"/>
  <c r="AJ191"/>
  <c r="AJ154"/>
  <c r="AJ50"/>
  <c r="AJ592"/>
  <c r="AJ190"/>
  <c r="AJ153"/>
  <c r="AJ49"/>
  <c r="AH168"/>
  <c r="AH169" s="1"/>
  <c r="AH197" s="1"/>
  <c r="AH198" s="1"/>
  <c r="AH108" s="1"/>
  <c r="AH107"/>
  <c r="AJ119"/>
  <c r="AJ20"/>
  <c r="AJ43" s="1"/>
  <c r="AJ105"/>
  <c r="AK394"/>
  <c r="AK402"/>
  <c r="AK400"/>
  <c r="AK397"/>
  <c r="AK401"/>
  <c r="AK421"/>
  <c r="AK425"/>
  <c r="AK429"/>
  <c r="AK449"/>
  <c r="AK453"/>
  <c r="AK422"/>
  <c r="AK426"/>
  <c r="AK446"/>
  <c r="AK450"/>
  <c r="AK454"/>
  <c r="AK615"/>
  <c r="AK609"/>
  <c r="AL622"/>
  <c r="AI164"/>
  <c r="AI128"/>
  <c r="AI132" s="1"/>
  <c r="AI47"/>
  <c r="AG109"/>
  <c r="AI53"/>
  <c r="AI194"/>
  <c r="AI195" s="1"/>
  <c r="AJ192"/>
  <c r="AJ155"/>
  <c r="AJ51"/>
  <c r="AJ193"/>
  <c r="AJ156"/>
  <c r="AJ52"/>
  <c r="AJ606"/>
  <c r="AJ80"/>
  <c r="AJ81" s="1"/>
  <c r="AL726"/>
  <c r="AL725"/>
  <c r="AL724"/>
  <c r="AL723"/>
  <c r="AL722"/>
  <c r="AL721"/>
  <c r="AL720"/>
  <c r="AL719"/>
  <c r="AL717"/>
  <c r="AL731"/>
  <c r="AL714"/>
  <c r="AL713"/>
  <c r="AL712"/>
  <c r="AL711"/>
  <c r="AL710"/>
  <c r="AL709"/>
  <c r="AL708"/>
  <c r="AL707"/>
  <c r="AL706"/>
  <c r="AL705"/>
  <c r="AL694"/>
  <c r="AL693"/>
  <c r="AL692"/>
  <c r="AL691"/>
  <c r="AL690"/>
  <c r="AL689"/>
  <c r="AL688"/>
  <c r="AL686"/>
  <c r="AL685"/>
  <c r="AL682"/>
  <c r="AL681"/>
  <c r="AL680"/>
  <c r="AL679"/>
  <c r="AL678"/>
  <c r="AL677"/>
  <c r="AL676"/>
  <c r="AL675"/>
  <c r="AL674"/>
  <c r="AL673"/>
  <c r="AL662"/>
  <c r="AL661"/>
  <c r="AL660"/>
  <c r="AL659"/>
  <c r="AL658"/>
  <c r="AL657"/>
  <c r="AL656"/>
  <c r="AL654"/>
  <c r="AL653"/>
  <c r="AL650"/>
  <c r="AL649"/>
  <c r="AL648"/>
  <c r="AL647"/>
  <c r="AL646"/>
  <c r="AL645"/>
  <c r="AL644"/>
  <c r="AL643"/>
  <c r="AL642"/>
  <c r="AL641"/>
  <c r="AL549"/>
  <c r="AL550" s="1"/>
  <c r="AL543"/>
  <c r="AL544" s="1"/>
  <c r="AL630"/>
  <c r="AL62" s="1"/>
  <c r="AL611"/>
  <c r="AL389"/>
  <c r="AL320"/>
  <c r="AL318"/>
  <c r="AL316"/>
  <c r="AL314"/>
  <c r="AL312"/>
  <c r="AL294"/>
  <c r="AL292"/>
  <c r="AL290"/>
  <c r="AL288"/>
  <c r="AL286"/>
  <c r="AL376"/>
  <c r="AL375"/>
  <c r="AL374"/>
  <c r="AL373"/>
  <c r="AL372"/>
  <c r="AL371"/>
  <c r="AL319"/>
  <c r="AL317"/>
  <c r="AL315"/>
  <c r="AL313"/>
  <c r="AL311"/>
  <c r="AL293"/>
  <c r="AL291"/>
  <c r="AL289"/>
  <c r="AL287"/>
  <c r="AL285"/>
  <c r="AL268"/>
  <c r="AL266"/>
  <c r="AL264"/>
  <c r="AL262"/>
  <c r="AL260"/>
  <c r="AL255"/>
  <c r="AL269"/>
  <c r="AL265"/>
  <c r="AL261"/>
  <c r="AL242"/>
  <c r="AL241"/>
  <c r="AL240"/>
  <c r="AL239"/>
  <c r="AL238"/>
  <c r="AL237"/>
  <c r="AL267"/>
  <c r="AL263"/>
  <c r="AL167"/>
  <c r="AL131"/>
  <c r="AL33"/>
  <c r="AL35" s="1"/>
  <c r="AL37" s="1"/>
  <c r="AL39" s="1"/>
  <c r="AL30"/>
  <c r="AL26"/>
  <c r="AL25"/>
  <c r="AL23"/>
  <c r="AL19"/>
  <c r="AL40"/>
  <c r="AM2"/>
  <c r="AL5"/>
  <c r="AK589"/>
  <c r="AK590" s="1"/>
  <c r="AK581"/>
  <c r="AK582" s="1"/>
  <c r="AK585"/>
  <c r="AK586" s="1"/>
  <c r="AK577"/>
  <c r="AK578" s="1"/>
  <c r="AK14" s="1"/>
  <c r="AK18" s="1"/>
  <c r="AK551"/>
  <c r="AK552" s="1"/>
  <c r="AK104" s="1"/>
  <c r="AK545"/>
  <c r="AK546" s="1"/>
  <c r="AK103" s="1"/>
  <c r="AK120"/>
  <c r="AK29"/>
  <c r="AK31" s="1"/>
  <c r="AK10"/>
  <c r="AK12" s="1"/>
  <c r="AK256"/>
  <c r="AK398"/>
  <c r="AK396"/>
  <c r="AK395"/>
  <c r="AK399"/>
  <c r="AK403"/>
  <c r="AK423"/>
  <c r="AK427"/>
  <c r="AK447"/>
  <c r="AK451"/>
  <c r="AK455"/>
  <c r="AK420"/>
  <c r="AK424"/>
  <c r="AK428"/>
  <c r="AK448"/>
  <c r="AK452"/>
  <c r="AK390"/>
  <c r="AK166"/>
  <c r="AK130"/>
  <c r="AK55"/>
  <c r="AK165"/>
  <c r="AK129"/>
  <c r="AK54"/>
  <c r="AJ71"/>
  <c r="AK61"/>
  <c r="AK651"/>
  <c r="AK636" s="1"/>
  <c r="AK68" s="1"/>
  <c r="AK599"/>
  <c r="AK683"/>
  <c r="AK668" s="1"/>
  <c r="AK69" s="1"/>
  <c r="AI157"/>
  <c r="AI158" s="1"/>
  <c r="C225" i="2"/>
  <c r="C262"/>
  <c r="C2"/>
  <c r="AH202" i="8" l="1"/>
  <c r="AH205" s="1"/>
  <c r="AH233" s="1"/>
  <c r="AH234" s="1"/>
  <c r="AH98" s="1"/>
  <c r="AH47"/>
  <c r="AH49" s="1"/>
  <c r="AM85" i="10"/>
  <c r="AM86" s="1"/>
  <c r="AM56"/>
  <c r="AK75"/>
  <c r="AN698"/>
  <c r="AN694"/>
  <c r="AN690"/>
  <c r="AN686"/>
  <c r="AL648" i="8"/>
  <c r="AL660"/>
  <c r="AL656"/>
  <c r="AL652"/>
  <c r="AJ41"/>
  <c r="AL65" i="10"/>
  <c r="AL68" s="1"/>
  <c r="AL75" s="1"/>
  <c r="AM58"/>
  <c r="AM180"/>
  <c r="AM197" s="1"/>
  <c r="AM141"/>
  <c r="AM153" s="1"/>
  <c r="AM245"/>
  <c r="AM217"/>
  <c r="AK41" i="7"/>
  <c r="AI43" i="8"/>
  <c r="AI202" s="1"/>
  <c r="AI205" s="1"/>
  <c r="AL162" i="10"/>
  <c r="AL161"/>
  <c r="AL283"/>
  <c r="AL302"/>
  <c r="AL284"/>
  <c r="AL303"/>
  <c r="AL285"/>
  <c r="AL304"/>
  <c r="AL286"/>
  <c r="AL305"/>
  <c r="AL279"/>
  <c r="AL297" s="1"/>
  <c r="AK709"/>
  <c r="AL706" s="1"/>
  <c r="AM39"/>
  <c r="AM59"/>
  <c r="AM799"/>
  <c r="AM784" s="1"/>
  <c r="AM67" s="1"/>
  <c r="AM735"/>
  <c r="AM720" s="1"/>
  <c r="AO11"/>
  <c r="AN714"/>
  <c r="AN181" s="1"/>
  <c r="AN198" s="1"/>
  <c r="AN41"/>
  <c r="AN183" s="1"/>
  <c r="AN200" s="1"/>
  <c r="AL631" i="7"/>
  <c r="AM628" s="1"/>
  <c r="AL42" i="10"/>
  <c r="AL118"/>
  <c r="AL702"/>
  <c r="AL14"/>
  <c r="AL15"/>
  <c r="AL17"/>
  <c r="AL129"/>
  <c r="AM695"/>
  <c r="AM696" s="1"/>
  <c r="AM687"/>
  <c r="AM688" s="1"/>
  <c r="AM661"/>
  <c r="AM662" s="1"/>
  <c r="AM655"/>
  <c r="AM656" s="1"/>
  <c r="AM699"/>
  <c r="AM700" s="1"/>
  <c r="AM691"/>
  <c r="AM692" s="1"/>
  <c r="AM130"/>
  <c r="AM29"/>
  <c r="AM31" s="1"/>
  <c r="AM10"/>
  <c r="AM12" s="1"/>
  <c r="AM274" s="1"/>
  <c r="AM292" s="1"/>
  <c r="AM366"/>
  <c r="AM505"/>
  <c r="AM509"/>
  <c r="AM513"/>
  <c r="AM533"/>
  <c r="AM537"/>
  <c r="AM557"/>
  <c r="AM561"/>
  <c r="AM565"/>
  <c r="AM506"/>
  <c r="AM510"/>
  <c r="AM530"/>
  <c r="AM534"/>
  <c r="AM538"/>
  <c r="AM558"/>
  <c r="AM562"/>
  <c r="AM500"/>
  <c r="AK287"/>
  <c r="AM27"/>
  <c r="AM767"/>
  <c r="AM752" s="1"/>
  <c r="AM66" s="1"/>
  <c r="AL16"/>
  <c r="AJ48"/>
  <c r="AJ50" s="1"/>
  <c r="AN810"/>
  <c r="AN809"/>
  <c r="AN808"/>
  <c r="AN807"/>
  <c r="AN806"/>
  <c r="AN805"/>
  <c r="AN804"/>
  <c r="AN803"/>
  <c r="AN801"/>
  <c r="AN815"/>
  <c r="AN798"/>
  <c r="AN797"/>
  <c r="AN796"/>
  <c r="AN795"/>
  <c r="AN794"/>
  <c r="AN793"/>
  <c r="AN792"/>
  <c r="AN791"/>
  <c r="AN790"/>
  <c r="AN789"/>
  <c r="AN778"/>
  <c r="AN777"/>
  <c r="AN776"/>
  <c r="AN775"/>
  <c r="AN774"/>
  <c r="AN773"/>
  <c r="AN772"/>
  <c r="AN770"/>
  <c r="AN769"/>
  <c r="AN766"/>
  <c r="AN765"/>
  <c r="AN764"/>
  <c r="AN763"/>
  <c r="AN762"/>
  <c r="AN761"/>
  <c r="AN760"/>
  <c r="AN759"/>
  <c r="AN758"/>
  <c r="AN757"/>
  <c r="AN746"/>
  <c r="AN745"/>
  <c r="AN744"/>
  <c r="AN743"/>
  <c r="AN742"/>
  <c r="AN741"/>
  <c r="AN739"/>
  <c r="AN738"/>
  <c r="AN737"/>
  <c r="AN734"/>
  <c r="AN733"/>
  <c r="AN732"/>
  <c r="AN731"/>
  <c r="AN730"/>
  <c r="AN729"/>
  <c r="AN728"/>
  <c r="AN727"/>
  <c r="AN726"/>
  <c r="AN725"/>
  <c r="AN708"/>
  <c r="AN659"/>
  <c r="AN660" s="1"/>
  <c r="AN653"/>
  <c r="AN654" s="1"/>
  <c r="AN499"/>
  <c r="AN430"/>
  <c r="AN428"/>
  <c r="AN426"/>
  <c r="AN424"/>
  <c r="AN422"/>
  <c r="AN404"/>
  <c r="AN402"/>
  <c r="AN400"/>
  <c r="AN398"/>
  <c r="AN396"/>
  <c r="AN379"/>
  <c r="AN377"/>
  <c r="AN375"/>
  <c r="AN373"/>
  <c r="AN371"/>
  <c r="AN352"/>
  <c r="AN351"/>
  <c r="AN350"/>
  <c r="AN349"/>
  <c r="AN348"/>
  <c r="AN347"/>
  <c r="AN486"/>
  <c r="AN485"/>
  <c r="AN484"/>
  <c r="AN483"/>
  <c r="AN482"/>
  <c r="AN481"/>
  <c r="AN429"/>
  <c r="AN427"/>
  <c r="AN425"/>
  <c r="AN423"/>
  <c r="AN421"/>
  <c r="AN403"/>
  <c r="AN401"/>
  <c r="AN399"/>
  <c r="AN397"/>
  <c r="AN395"/>
  <c r="AN378"/>
  <c r="AN376"/>
  <c r="AN374"/>
  <c r="AN372"/>
  <c r="AN370"/>
  <c r="AN365"/>
  <c r="AN246"/>
  <c r="AN218"/>
  <c r="AN40"/>
  <c r="AO2"/>
  <c r="AN33"/>
  <c r="AN35" s="1"/>
  <c r="AN37" s="1"/>
  <c r="AN30"/>
  <c r="AN26"/>
  <c r="AN25"/>
  <c r="AN23"/>
  <c r="AN19"/>
  <c r="AN5"/>
  <c r="AM507"/>
  <c r="AM511"/>
  <c r="AM531"/>
  <c r="AM535"/>
  <c r="AM539"/>
  <c r="AM559"/>
  <c r="AM563"/>
  <c r="AM504"/>
  <c r="AM508"/>
  <c r="AM512"/>
  <c r="AM532"/>
  <c r="AM536"/>
  <c r="AM556"/>
  <c r="AM560"/>
  <c r="AM564"/>
  <c r="AM49"/>
  <c r="AM275" s="1"/>
  <c r="AM293" s="1"/>
  <c r="AK18"/>
  <c r="AK20" s="1"/>
  <c r="AK44" s="1"/>
  <c r="AK306"/>
  <c r="AJ18" i="8"/>
  <c r="AJ20" s="1"/>
  <c r="AJ43" s="1"/>
  <c r="AM11"/>
  <c r="AK668"/>
  <c r="AK671" s="1"/>
  <c r="AL651" i="7"/>
  <c r="AL636" s="1"/>
  <c r="AL68" s="1"/>
  <c r="AL715"/>
  <c r="AL700" s="1"/>
  <c r="AL70" s="1"/>
  <c r="AK27" i="8"/>
  <c r="AK723"/>
  <c r="AK708" s="1"/>
  <c r="AK61" s="1"/>
  <c r="AJ63"/>
  <c r="AK755"/>
  <c r="AK740" s="1"/>
  <c r="AK62" s="1"/>
  <c r="AI266"/>
  <c r="AI267" s="1"/>
  <c r="AK691"/>
  <c r="AK676" s="1"/>
  <c r="AK60" s="1"/>
  <c r="AJ664"/>
  <c r="AJ72"/>
  <c r="AJ107"/>
  <c r="AK661"/>
  <c r="AK662" s="1"/>
  <c r="AK17" s="1"/>
  <c r="AK653"/>
  <c r="AK654" s="1"/>
  <c r="AK15" s="1"/>
  <c r="AK657"/>
  <c r="AK649"/>
  <c r="AK650" s="1"/>
  <c r="AK14" s="1"/>
  <c r="AK623"/>
  <c r="AK624" s="1"/>
  <c r="AK95" s="1"/>
  <c r="AK617"/>
  <c r="AK618" s="1"/>
  <c r="AK94" s="1"/>
  <c r="AK108"/>
  <c r="AK29"/>
  <c r="AK31" s="1"/>
  <c r="AK10"/>
  <c r="AK12" s="1"/>
  <c r="AK466"/>
  <c r="AK467"/>
  <c r="AK471"/>
  <c r="AK475"/>
  <c r="AK495"/>
  <c r="AK499"/>
  <c r="AK519"/>
  <c r="AK523"/>
  <c r="AK527"/>
  <c r="AK470"/>
  <c r="AK474"/>
  <c r="AK494"/>
  <c r="AK498"/>
  <c r="AK518"/>
  <c r="AK522"/>
  <c r="AK526"/>
  <c r="AI230"/>
  <c r="AI231" s="1"/>
  <c r="AK658"/>
  <c r="AK16" s="1"/>
  <c r="AG240"/>
  <c r="AG241" s="1"/>
  <c r="AG269" s="1"/>
  <c r="AG270" s="1"/>
  <c r="AG99" s="1"/>
  <c r="AG98"/>
  <c r="AJ96"/>
  <c r="AL766"/>
  <c r="AL765"/>
  <c r="AL764"/>
  <c r="AL763"/>
  <c r="AL762"/>
  <c r="AL761"/>
  <c r="AL760"/>
  <c r="AL759"/>
  <c r="AL757"/>
  <c r="AL771"/>
  <c r="AL754"/>
  <c r="AL753"/>
  <c r="AL752"/>
  <c r="AL751"/>
  <c r="AL750"/>
  <c r="AL749"/>
  <c r="AL748"/>
  <c r="AL747"/>
  <c r="AL746"/>
  <c r="AL745"/>
  <c r="AL734"/>
  <c r="AL733"/>
  <c r="AL732"/>
  <c r="AL731"/>
  <c r="AL730"/>
  <c r="AL729"/>
  <c r="AL728"/>
  <c r="AL726"/>
  <c r="AL725"/>
  <c r="AL722"/>
  <c r="AL721"/>
  <c r="AL720"/>
  <c r="AL719"/>
  <c r="AL718"/>
  <c r="AL717"/>
  <c r="AL716"/>
  <c r="AL715"/>
  <c r="AL714"/>
  <c r="AL713"/>
  <c r="AL702"/>
  <c r="AL701"/>
  <c r="AL700"/>
  <c r="AL699"/>
  <c r="AL698"/>
  <c r="AL697"/>
  <c r="AL696"/>
  <c r="AL694"/>
  <c r="AL693"/>
  <c r="AL690"/>
  <c r="AL689"/>
  <c r="AL688"/>
  <c r="AL687"/>
  <c r="AL686"/>
  <c r="AL685"/>
  <c r="AL684"/>
  <c r="AL683"/>
  <c r="AL682"/>
  <c r="AL681"/>
  <c r="AL621"/>
  <c r="AL622" s="1"/>
  <c r="AL615"/>
  <c r="AL616" s="1"/>
  <c r="AL670"/>
  <c r="AL54" s="1"/>
  <c r="AL461"/>
  <c r="AL392"/>
  <c r="AL390"/>
  <c r="AL388"/>
  <c r="AL386"/>
  <c r="AL384"/>
  <c r="AL366"/>
  <c r="AL364"/>
  <c r="AL362"/>
  <c r="AL360"/>
  <c r="AL358"/>
  <c r="AL341"/>
  <c r="AL339"/>
  <c r="AL337"/>
  <c r="AL335"/>
  <c r="AL448"/>
  <c r="AL447"/>
  <c r="AL446"/>
  <c r="AL445"/>
  <c r="AL444"/>
  <c r="AL443"/>
  <c r="AL391"/>
  <c r="AL389"/>
  <c r="AL387"/>
  <c r="AL385"/>
  <c r="AL383"/>
  <c r="AL365"/>
  <c r="AL363"/>
  <c r="AL361"/>
  <c r="AL359"/>
  <c r="AL357"/>
  <c r="AL340"/>
  <c r="AL338"/>
  <c r="AL336"/>
  <c r="AL334"/>
  <c r="AL332"/>
  <c r="AL327"/>
  <c r="AL333"/>
  <c r="AL314"/>
  <c r="AL313"/>
  <c r="AL312"/>
  <c r="AL311"/>
  <c r="AL310"/>
  <c r="AL309"/>
  <c r="AL239"/>
  <c r="AL204"/>
  <c r="AL40"/>
  <c r="AM2"/>
  <c r="AL33"/>
  <c r="AL35" s="1"/>
  <c r="AL37" s="1"/>
  <c r="AL39" s="1"/>
  <c r="AL30"/>
  <c r="AL26"/>
  <c r="AL25"/>
  <c r="AL23"/>
  <c r="AL19"/>
  <c r="AL5"/>
  <c r="AK328"/>
  <c r="AK468"/>
  <c r="AK469"/>
  <c r="AK473"/>
  <c r="AK493"/>
  <c r="AK497"/>
  <c r="AK501"/>
  <c r="AK521"/>
  <c r="AK525"/>
  <c r="AK472"/>
  <c r="AK492"/>
  <c r="AK496"/>
  <c r="AK500"/>
  <c r="AK520"/>
  <c r="AK524"/>
  <c r="AK462"/>
  <c r="AK238"/>
  <c r="AK203"/>
  <c r="AK48"/>
  <c r="AM616" i="7"/>
  <c r="AM614"/>
  <c r="AM610"/>
  <c r="AM601"/>
  <c r="AM600"/>
  <c r="AM611" s="1"/>
  <c r="AM597"/>
  <c r="AM596"/>
  <c r="AN11"/>
  <c r="AL27"/>
  <c r="AL683"/>
  <c r="AL668" s="1"/>
  <c r="AL69" s="1"/>
  <c r="AL71" s="1"/>
  <c r="AL61"/>
  <c r="AK191"/>
  <c r="AK154"/>
  <c r="AK50"/>
  <c r="AK192"/>
  <c r="AK155"/>
  <c r="AK51"/>
  <c r="AK105"/>
  <c r="AK592"/>
  <c r="AK190"/>
  <c r="AK153"/>
  <c r="AK49"/>
  <c r="AK119"/>
  <c r="AK20"/>
  <c r="AK43" s="1"/>
  <c r="AM731"/>
  <c r="AM726"/>
  <c r="AM725"/>
  <c r="AM724"/>
  <c r="AM723"/>
  <c r="AM722"/>
  <c r="AM721"/>
  <c r="AM720"/>
  <c r="AM719"/>
  <c r="AM717"/>
  <c r="AM714"/>
  <c r="AM713"/>
  <c r="AM712"/>
  <c r="AM711"/>
  <c r="AM710"/>
  <c r="AM709"/>
  <c r="AM708"/>
  <c r="AM707"/>
  <c r="AM705"/>
  <c r="AM682"/>
  <c r="AM681"/>
  <c r="AM680"/>
  <c r="AM679"/>
  <c r="AM678"/>
  <c r="AM677"/>
  <c r="AM676"/>
  <c r="AM706"/>
  <c r="AM694"/>
  <c r="AM693"/>
  <c r="AM692"/>
  <c r="AM691"/>
  <c r="AM690"/>
  <c r="AM689"/>
  <c r="AM688"/>
  <c r="AM686"/>
  <c r="AM685"/>
  <c r="AM650"/>
  <c r="AM649"/>
  <c r="AM648"/>
  <c r="AM647"/>
  <c r="AM646"/>
  <c r="AM645"/>
  <c r="AM675"/>
  <c r="AM674"/>
  <c r="AM673"/>
  <c r="AM662"/>
  <c r="AM661"/>
  <c r="AM660"/>
  <c r="AM659"/>
  <c r="AM658"/>
  <c r="AM657"/>
  <c r="AM655"/>
  <c r="AM654"/>
  <c r="AM653"/>
  <c r="AM643"/>
  <c r="AM630"/>
  <c r="AM62" s="1"/>
  <c r="AM644"/>
  <c r="AM642"/>
  <c r="AM641"/>
  <c r="AM549"/>
  <c r="AM550" s="1"/>
  <c r="AM543"/>
  <c r="AM544" s="1"/>
  <c r="AM376"/>
  <c r="AM375"/>
  <c r="AM374"/>
  <c r="AM373"/>
  <c r="AM372"/>
  <c r="AM371"/>
  <c r="AM319"/>
  <c r="AM317"/>
  <c r="AM315"/>
  <c r="AM313"/>
  <c r="AM311"/>
  <c r="AM293"/>
  <c r="AM291"/>
  <c r="AM289"/>
  <c r="AM287"/>
  <c r="AM285"/>
  <c r="AM389"/>
  <c r="AM320"/>
  <c r="AM318"/>
  <c r="AM316"/>
  <c r="AM314"/>
  <c r="AM312"/>
  <c r="AM294"/>
  <c r="AM292"/>
  <c r="AM290"/>
  <c r="AM288"/>
  <c r="AM286"/>
  <c r="AM269"/>
  <c r="AM267"/>
  <c r="AM265"/>
  <c r="AM263"/>
  <c r="AM261"/>
  <c r="AM268"/>
  <c r="AM264"/>
  <c r="AM260"/>
  <c r="AM255"/>
  <c r="AM167"/>
  <c r="AM131"/>
  <c r="AM266"/>
  <c r="AM262"/>
  <c r="AM242"/>
  <c r="AM241"/>
  <c r="AM240"/>
  <c r="AM239"/>
  <c r="AM238"/>
  <c r="AM237"/>
  <c r="AM40"/>
  <c r="AM33"/>
  <c r="AM35" s="1"/>
  <c r="AM37" s="1"/>
  <c r="AM39" s="1"/>
  <c r="AM30"/>
  <c r="AM26"/>
  <c r="AM25"/>
  <c r="AM23"/>
  <c r="AM19"/>
  <c r="AM5"/>
  <c r="AN2"/>
  <c r="AL401"/>
  <c r="AL399"/>
  <c r="AL396"/>
  <c r="AL400"/>
  <c r="AL420"/>
  <c r="AL424"/>
  <c r="AL428"/>
  <c r="AL448"/>
  <c r="AL452"/>
  <c r="AL390"/>
  <c r="AL421"/>
  <c r="AL425"/>
  <c r="AL429"/>
  <c r="AL449"/>
  <c r="AL453"/>
  <c r="AK606"/>
  <c r="AK80"/>
  <c r="AK81" s="1"/>
  <c r="AJ164"/>
  <c r="AJ128"/>
  <c r="AJ132" s="1"/>
  <c r="AJ47"/>
  <c r="AH109"/>
  <c r="AK71"/>
  <c r="AL599"/>
  <c r="AI160"/>
  <c r="AI161" s="1"/>
  <c r="AJ53"/>
  <c r="AJ194"/>
  <c r="AJ195" s="1"/>
  <c r="AK193"/>
  <c r="AK156"/>
  <c r="AK52"/>
  <c r="AL585"/>
  <c r="AL586" s="1"/>
  <c r="AL577"/>
  <c r="AL578" s="1"/>
  <c r="AL14" s="1"/>
  <c r="AL18" s="1"/>
  <c r="AL551"/>
  <c r="AL552" s="1"/>
  <c r="AL104" s="1"/>
  <c r="AL545"/>
  <c r="AL546" s="1"/>
  <c r="AL103" s="1"/>
  <c r="AL589"/>
  <c r="AL590" s="1"/>
  <c r="AL581"/>
  <c r="AL120"/>
  <c r="AL29"/>
  <c r="AL31" s="1"/>
  <c r="AL41" s="1"/>
  <c r="AL10"/>
  <c r="AL12" s="1"/>
  <c r="AL397"/>
  <c r="AL256"/>
  <c r="AL395"/>
  <c r="AL403"/>
  <c r="AL394"/>
  <c r="AL398"/>
  <c r="AL402"/>
  <c r="AL422"/>
  <c r="AL426"/>
  <c r="AL446"/>
  <c r="AL450"/>
  <c r="AL454"/>
  <c r="AL423"/>
  <c r="AL427"/>
  <c r="AL447"/>
  <c r="AL451"/>
  <c r="AL455"/>
  <c r="AL615"/>
  <c r="AL609"/>
  <c r="AM622"/>
  <c r="AL166"/>
  <c r="AL130"/>
  <c r="AL55"/>
  <c r="AL165"/>
  <c r="AL129"/>
  <c r="AL54"/>
  <c r="AL582"/>
  <c r="AI56"/>
  <c r="AJ157"/>
  <c r="AJ158" s="1"/>
  <c r="C5" i="2"/>
  <c r="C10" s="1"/>
  <c r="C12" s="1"/>
  <c r="C782"/>
  <c r="C388" s="1"/>
  <c r="C523" s="1"/>
  <c r="C784"/>
  <c r="C390" s="1"/>
  <c r="C525" s="1"/>
  <c r="C786"/>
  <c r="C392" s="1"/>
  <c r="C527" s="1"/>
  <c r="C788"/>
  <c r="C394" s="1"/>
  <c r="C529" s="1"/>
  <c r="C779"/>
  <c r="C385" s="1"/>
  <c r="C520" s="1"/>
  <c r="C781"/>
  <c r="C387" s="1"/>
  <c r="C522" s="1"/>
  <c r="C783"/>
  <c r="C389" s="1"/>
  <c r="C524" s="1"/>
  <c r="C785"/>
  <c r="C391" s="1"/>
  <c r="C526" s="1"/>
  <c r="C787"/>
  <c r="C393" s="1"/>
  <c r="C528" s="1"/>
  <c r="C780"/>
  <c r="C386" s="1"/>
  <c r="C521" s="1"/>
  <c r="C750"/>
  <c r="C752"/>
  <c r="C754"/>
  <c r="C756"/>
  <c r="C747"/>
  <c r="C718"/>
  <c r="C720"/>
  <c r="C722"/>
  <c r="C724"/>
  <c r="C715"/>
  <c r="C749"/>
  <c r="C753"/>
  <c r="C748"/>
  <c r="C751"/>
  <c r="C755"/>
  <c r="C719"/>
  <c r="C723"/>
  <c r="C717"/>
  <c r="C716"/>
  <c r="C794"/>
  <c r="C796"/>
  <c r="C798"/>
  <c r="C800"/>
  <c r="C766"/>
  <c r="C721"/>
  <c r="C793"/>
  <c r="C795"/>
  <c r="C797"/>
  <c r="C799"/>
  <c r="C792"/>
  <c r="C761"/>
  <c r="C763"/>
  <c r="C765"/>
  <c r="C767"/>
  <c r="C760"/>
  <c r="C762"/>
  <c r="C764"/>
  <c r="C768"/>
  <c r="C617"/>
  <c r="C618" s="1"/>
  <c r="C623"/>
  <c r="C624" s="1"/>
  <c r="C674"/>
  <c r="C670"/>
  <c r="C671" s="1"/>
  <c r="D11"/>
  <c r="C315"/>
  <c r="C313"/>
  <c r="C311"/>
  <c r="C449"/>
  <c r="C447"/>
  <c r="C445"/>
  <c r="C314"/>
  <c r="C446"/>
  <c r="C316"/>
  <c r="C312"/>
  <c r="C448"/>
  <c r="C450"/>
  <c r="C19"/>
  <c r="C729"/>
  <c r="C731"/>
  <c r="C733"/>
  <c r="C735"/>
  <c r="C728"/>
  <c r="C730"/>
  <c r="C732"/>
  <c r="C734"/>
  <c r="C736"/>
  <c r="C463"/>
  <c r="C329"/>
  <c r="C704"/>
  <c r="C62" s="1"/>
  <c r="C23"/>
  <c r="C26"/>
  <c r="C30"/>
  <c r="C698"/>
  <c r="C25"/>
  <c r="D2"/>
  <c r="AI237" i="8" l="1"/>
  <c r="AI47"/>
  <c r="AI49" s="1"/>
  <c r="AN56" i="10"/>
  <c r="AN85"/>
  <c r="AN86" s="1"/>
  <c r="AO698"/>
  <c r="AO694"/>
  <c r="AO690"/>
  <c r="AO686"/>
  <c r="AM42"/>
  <c r="AM660" i="8"/>
  <c r="AM656"/>
  <c r="AM652"/>
  <c r="AM648"/>
  <c r="AH240"/>
  <c r="AH241" s="1"/>
  <c r="AH269" s="1"/>
  <c r="AH270" s="1"/>
  <c r="AH99" s="1"/>
  <c r="AH100" s="1"/>
  <c r="AL179" i="10"/>
  <c r="AL196" s="1"/>
  <c r="AM65"/>
  <c r="AM68" s="1"/>
  <c r="AN58"/>
  <c r="AN180"/>
  <c r="AN197" s="1"/>
  <c r="AN141"/>
  <c r="AN153" s="1"/>
  <c r="AN245"/>
  <c r="AN217"/>
  <c r="AM631" i="7"/>
  <c r="AN628" s="1"/>
  <c r="AM161" i="10"/>
  <c r="AM162"/>
  <c r="AM283"/>
  <c r="AM302"/>
  <c r="AM286"/>
  <c r="AM305"/>
  <c r="AM284"/>
  <c r="AM303"/>
  <c r="AM285"/>
  <c r="AM304"/>
  <c r="AN59"/>
  <c r="AN39"/>
  <c r="AL709"/>
  <c r="AM706" s="1"/>
  <c r="AM279"/>
  <c r="AM297" s="1"/>
  <c r="AP11"/>
  <c r="AO41"/>
  <c r="AO183" s="1"/>
  <c r="AO200" s="1"/>
  <c r="AO714"/>
  <c r="AO181" s="1"/>
  <c r="AO198" s="1"/>
  <c r="AK63" i="8"/>
  <c r="AN735" i="10"/>
  <c r="AN720" s="1"/>
  <c r="AN799"/>
  <c r="AN784" s="1"/>
  <c r="AN67" s="1"/>
  <c r="AN27"/>
  <c r="AN767"/>
  <c r="AN752" s="1"/>
  <c r="AN66" s="1"/>
  <c r="AM702"/>
  <c r="AM14"/>
  <c r="AN699"/>
  <c r="AN700" s="1"/>
  <c r="AN691"/>
  <c r="AN692" s="1"/>
  <c r="AN695"/>
  <c r="AN687"/>
  <c r="AN688" s="1"/>
  <c r="AN661"/>
  <c r="AN662" s="1"/>
  <c r="AN655"/>
  <c r="AN656" s="1"/>
  <c r="AN130"/>
  <c r="AN29"/>
  <c r="AN31" s="1"/>
  <c r="AN10"/>
  <c r="AN12" s="1"/>
  <c r="AN274" s="1"/>
  <c r="AN292" s="1"/>
  <c r="AN506"/>
  <c r="AN510"/>
  <c r="AN530"/>
  <c r="AN534"/>
  <c r="AN538"/>
  <c r="AN558"/>
  <c r="AN562"/>
  <c r="AN500"/>
  <c r="AN366"/>
  <c r="AN505"/>
  <c r="AN509"/>
  <c r="AN513"/>
  <c r="AN533"/>
  <c r="AN537"/>
  <c r="AN557"/>
  <c r="AN561"/>
  <c r="AN565"/>
  <c r="AM15"/>
  <c r="AM129"/>
  <c r="AL287"/>
  <c r="AM118"/>
  <c r="AM17"/>
  <c r="AK48"/>
  <c r="AK50" s="1"/>
  <c r="AO815"/>
  <c r="AO810"/>
  <c r="AO809"/>
  <c r="AO808"/>
  <c r="AO807"/>
  <c r="AO806"/>
  <c r="AO805"/>
  <c r="AO804"/>
  <c r="AO803"/>
  <c r="AO798"/>
  <c r="AO797"/>
  <c r="AO796"/>
  <c r="AO795"/>
  <c r="AO794"/>
  <c r="AO793"/>
  <c r="AO792"/>
  <c r="AO791"/>
  <c r="AO790"/>
  <c r="AO801"/>
  <c r="AO789"/>
  <c r="AO766"/>
  <c r="AO765"/>
  <c r="AO764"/>
  <c r="AO763"/>
  <c r="AO762"/>
  <c r="AO761"/>
  <c r="AO760"/>
  <c r="AO759"/>
  <c r="AO778"/>
  <c r="AO777"/>
  <c r="AO776"/>
  <c r="AO775"/>
  <c r="AO774"/>
  <c r="AO773"/>
  <c r="AO772"/>
  <c r="AO770"/>
  <c r="AO769"/>
  <c r="AO758"/>
  <c r="AO734"/>
  <c r="AO733"/>
  <c r="AO732"/>
  <c r="AO731"/>
  <c r="AO730"/>
  <c r="AO729"/>
  <c r="AO728"/>
  <c r="AO757"/>
  <c r="AO746"/>
  <c r="AO745"/>
  <c r="AO744"/>
  <c r="AO743"/>
  <c r="AO742"/>
  <c r="AO741"/>
  <c r="AO739"/>
  <c r="AO738"/>
  <c r="AO737"/>
  <c r="AO727"/>
  <c r="AO725"/>
  <c r="AO659"/>
  <c r="AO660" s="1"/>
  <c r="AO653"/>
  <c r="AO654" s="1"/>
  <c r="AO726"/>
  <c r="AO708"/>
  <c r="AO486"/>
  <c r="AO485"/>
  <c r="AO484"/>
  <c r="AO483"/>
  <c r="AO482"/>
  <c r="AO481"/>
  <c r="AO429"/>
  <c r="AO427"/>
  <c r="AO425"/>
  <c r="AO423"/>
  <c r="AO421"/>
  <c r="AO403"/>
  <c r="AO401"/>
  <c r="AO399"/>
  <c r="AO397"/>
  <c r="AO395"/>
  <c r="AO378"/>
  <c r="AO376"/>
  <c r="AO374"/>
  <c r="AO372"/>
  <c r="AO370"/>
  <c r="AO365"/>
  <c r="AO499"/>
  <c r="AO430"/>
  <c r="AO428"/>
  <c r="AO426"/>
  <c r="AO424"/>
  <c r="AO422"/>
  <c r="AO404"/>
  <c r="AO402"/>
  <c r="AO400"/>
  <c r="AO398"/>
  <c r="AO396"/>
  <c r="AO379"/>
  <c r="AO377"/>
  <c r="AO375"/>
  <c r="AO373"/>
  <c r="AO371"/>
  <c r="AO352"/>
  <c r="AO351"/>
  <c r="AO350"/>
  <c r="AO349"/>
  <c r="AO348"/>
  <c r="AO347"/>
  <c r="AO246"/>
  <c r="AO218"/>
  <c r="AO33"/>
  <c r="AO35" s="1"/>
  <c r="AO37" s="1"/>
  <c r="AO30"/>
  <c r="AO26"/>
  <c r="AO25"/>
  <c r="AO23"/>
  <c r="AO19"/>
  <c r="AO5"/>
  <c r="AO40"/>
  <c r="AP2"/>
  <c r="AN504"/>
  <c r="AN508"/>
  <c r="AN512"/>
  <c r="AN532"/>
  <c r="AN536"/>
  <c r="AN556"/>
  <c r="AN560"/>
  <c r="AN564"/>
  <c r="AN507"/>
  <c r="AN511"/>
  <c r="AN531"/>
  <c r="AN535"/>
  <c r="AN539"/>
  <c r="AN559"/>
  <c r="AN563"/>
  <c r="AN49"/>
  <c r="AN275" s="1"/>
  <c r="AN293" s="1"/>
  <c r="AM16"/>
  <c r="AI122"/>
  <c r="AN696"/>
  <c r="AL18"/>
  <c r="AL20" s="1"/>
  <c r="AL44" s="1"/>
  <c r="AL306"/>
  <c r="AK18" i="8"/>
  <c r="AK41"/>
  <c r="AN11"/>
  <c r="AL668"/>
  <c r="AL671" s="1"/>
  <c r="AL27"/>
  <c r="AK664"/>
  <c r="AL657"/>
  <c r="AL658" s="1"/>
  <c r="AL16" s="1"/>
  <c r="AL649"/>
  <c r="AL650" s="1"/>
  <c r="AL14" s="1"/>
  <c r="AL623"/>
  <c r="AL624" s="1"/>
  <c r="AL95" s="1"/>
  <c r="AL617"/>
  <c r="AL618" s="1"/>
  <c r="AL94" s="1"/>
  <c r="AL661"/>
  <c r="AL653"/>
  <c r="AL654" s="1"/>
  <c r="AL15" s="1"/>
  <c r="AL108"/>
  <c r="AL29"/>
  <c r="AL31" s="1"/>
  <c r="AL10"/>
  <c r="AL12" s="1"/>
  <c r="AL328"/>
  <c r="AL467"/>
  <c r="AL466"/>
  <c r="AL470"/>
  <c r="AL474"/>
  <c r="AL494"/>
  <c r="AL498"/>
  <c r="AL518"/>
  <c r="AL522"/>
  <c r="AL526"/>
  <c r="AL471"/>
  <c r="AL475"/>
  <c r="AL495"/>
  <c r="AL499"/>
  <c r="AL519"/>
  <c r="AL523"/>
  <c r="AL527"/>
  <c r="AL238"/>
  <c r="AL203"/>
  <c r="AL48"/>
  <c r="AG100"/>
  <c r="AK107"/>
  <c r="AK20"/>
  <c r="AJ237"/>
  <c r="AJ202"/>
  <c r="AJ205" s="1"/>
  <c r="AJ47"/>
  <c r="AJ49" s="1"/>
  <c r="AL691"/>
  <c r="AL676" s="1"/>
  <c r="AL60" s="1"/>
  <c r="AL723"/>
  <c r="AL708" s="1"/>
  <c r="AL61" s="1"/>
  <c r="AL755"/>
  <c r="AL740" s="1"/>
  <c r="AL62" s="1"/>
  <c r="AI233"/>
  <c r="AI234" s="1"/>
  <c r="AJ230"/>
  <c r="AJ231" s="1"/>
  <c r="AK96"/>
  <c r="AK72"/>
  <c r="AM771"/>
  <c r="AM766"/>
  <c r="AM765"/>
  <c r="AM764"/>
  <c r="AM763"/>
  <c r="AM762"/>
  <c r="AM761"/>
  <c r="AM760"/>
  <c r="AM759"/>
  <c r="AM757"/>
  <c r="AM754"/>
  <c r="AM753"/>
  <c r="AM752"/>
  <c r="AM751"/>
  <c r="AM750"/>
  <c r="AM749"/>
  <c r="AM748"/>
  <c r="AM747"/>
  <c r="AM746"/>
  <c r="AM745"/>
  <c r="AM733"/>
  <c r="AM731"/>
  <c r="AM729"/>
  <c r="AM722"/>
  <c r="AM721"/>
  <c r="AM720"/>
  <c r="AM719"/>
  <c r="AM718"/>
  <c r="AM717"/>
  <c r="AM716"/>
  <c r="AM715"/>
  <c r="AM714"/>
  <c r="AM713"/>
  <c r="AM734"/>
  <c r="AM732"/>
  <c r="AM730"/>
  <c r="AM728"/>
  <c r="AM726"/>
  <c r="AM725"/>
  <c r="AM690"/>
  <c r="AM689"/>
  <c r="AM688"/>
  <c r="AM687"/>
  <c r="AM686"/>
  <c r="AM685"/>
  <c r="AM684"/>
  <c r="AM683"/>
  <c r="AM682"/>
  <c r="AM681"/>
  <c r="AM702"/>
  <c r="AM701"/>
  <c r="AM700"/>
  <c r="AM699"/>
  <c r="AM698"/>
  <c r="AM697"/>
  <c r="AM695"/>
  <c r="AM694"/>
  <c r="AM693"/>
  <c r="AM670"/>
  <c r="AM54" s="1"/>
  <c r="AM621"/>
  <c r="AM622" s="1"/>
  <c r="AM615"/>
  <c r="AM616" s="1"/>
  <c r="AM448"/>
  <c r="AM447"/>
  <c r="AM446"/>
  <c r="AM445"/>
  <c r="AM444"/>
  <c r="AM443"/>
  <c r="AM391"/>
  <c r="AM389"/>
  <c r="AM387"/>
  <c r="AM385"/>
  <c r="AM383"/>
  <c r="AM365"/>
  <c r="AM363"/>
  <c r="AM361"/>
  <c r="AM359"/>
  <c r="AM357"/>
  <c r="AM340"/>
  <c r="AM338"/>
  <c r="AM336"/>
  <c r="AM461"/>
  <c r="AM392"/>
  <c r="AM390"/>
  <c r="AM388"/>
  <c r="AM386"/>
  <c r="AM384"/>
  <c r="AM366"/>
  <c r="AM364"/>
  <c r="AM362"/>
  <c r="AM360"/>
  <c r="AM358"/>
  <c r="AM341"/>
  <c r="AM339"/>
  <c r="AM337"/>
  <c r="AM335"/>
  <c r="AM333"/>
  <c r="AM332"/>
  <c r="AM327"/>
  <c r="AM239"/>
  <c r="AM204"/>
  <c r="AM334"/>
  <c r="AM314"/>
  <c r="AM313"/>
  <c r="AM312"/>
  <c r="AM311"/>
  <c r="AM310"/>
  <c r="AM309"/>
  <c r="AM33"/>
  <c r="AM35" s="1"/>
  <c r="AM37" s="1"/>
  <c r="AM39" s="1"/>
  <c r="AM30"/>
  <c r="AM26"/>
  <c r="AM25"/>
  <c r="AM23"/>
  <c r="AM19"/>
  <c r="AM5"/>
  <c r="AM40"/>
  <c r="AN2"/>
  <c r="AL468"/>
  <c r="AL472"/>
  <c r="AL492"/>
  <c r="AL496"/>
  <c r="AL500"/>
  <c r="AL520"/>
  <c r="AL524"/>
  <c r="AL462"/>
  <c r="AL469"/>
  <c r="AL473"/>
  <c r="AL493"/>
  <c r="AL497"/>
  <c r="AL501"/>
  <c r="AL521"/>
  <c r="AL525"/>
  <c r="AL662"/>
  <c r="AL17" s="1"/>
  <c r="AJ266"/>
  <c r="AJ267" s="1"/>
  <c r="AM27" i="7"/>
  <c r="AM651"/>
  <c r="AM636" s="1"/>
  <c r="AM68" s="1"/>
  <c r="AM683"/>
  <c r="AM668" s="1"/>
  <c r="AM69" s="1"/>
  <c r="AO11"/>
  <c r="AN616"/>
  <c r="AN614"/>
  <c r="AN610"/>
  <c r="AN601"/>
  <c r="AN600"/>
  <c r="AN597"/>
  <c r="AN596"/>
  <c r="AM61"/>
  <c r="AL193"/>
  <c r="AL156"/>
  <c r="AL52"/>
  <c r="AL192"/>
  <c r="AL155"/>
  <c r="AL51"/>
  <c r="AL592"/>
  <c r="AL190"/>
  <c r="AL153"/>
  <c r="AL49"/>
  <c r="AL191"/>
  <c r="AL154"/>
  <c r="AL50"/>
  <c r="AI168"/>
  <c r="AI169" s="1"/>
  <c r="AI197" s="1"/>
  <c r="AI198" s="1"/>
  <c r="AI108" s="1"/>
  <c r="AI107"/>
  <c r="AM589"/>
  <c r="AM590" s="1"/>
  <c r="AM581"/>
  <c r="AM582" s="1"/>
  <c r="AM585"/>
  <c r="AM586" s="1"/>
  <c r="AM577"/>
  <c r="AM551"/>
  <c r="AM552" s="1"/>
  <c r="AM104" s="1"/>
  <c r="AM545"/>
  <c r="AM546" s="1"/>
  <c r="AM103" s="1"/>
  <c r="AM120"/>
  <c r="AM29"/>
  <c r="AM31" s="1"/>
  <c r="AM10"/>
  <c r="AM12" s="1"/>
  <c r="AM400"/>
  <c r="AM394"/>
  <c r="AM402"/>
  <c r="AM397"/>
  <c r="AM401"/>
  <c r="AM421"/>
  <c r="AM425"/>
  <c r="AM429"/>
  <c r="AM449"/>
  <c r="AM453"/>
  <c r="AM422"/>
  <c r="AM426"/>
  <c r="AM446"/>
  <c r="AM450"/>
  <c r="AM454"/>
  <c r="AM615"/>
  <c r="AM609"/>
  <c r="AN622"/>
  <c r="AK164"/>
  <c r="AK128"/>
  <c r="AK132" s="1"/>
  <c r="AK47"/>
  <c r="AJ56"/>
  <c r="AM715"/>
  <c r="AM700" s="1"/>
  <c r="AM70" s="1"/>
  <c r="AK53"/>
  <c r="AK194"/>
  <c r="AK195" s="1"/>
  <c r="AL105"/>
  <c r="AL606"/>
  <c r="AL80"/>
  <c r="AL81" s="1"/>
  <c r="AL119"/>
  <c r="AL20"/>
  <c r="AL43" s="1"/>
  <c r="AN726"/>
  <c r="AN725"/>
  <c r="AN724"/>
  <c r="AN723"/>
  <c r="AN722"/>
  <c r="AN721"/>
  <c r="AN720"/>
  <c r="AN719"/>
  <c r="AN717"/>
  <c r="AN731"/>
  <c r="AN714"/>
  <c r="AN713"/>
  <c r="AN712"/>
  <c r="AN711"/>
  <c r="AN710"/>
  <c r="AN709"/>
  <c r="AN708"/>
  <c r="AN707"/>
  <c r="AN706"/>
  <c r="AN705"/>
  <c r="AN694"/>
  <c r="AN693"/>
  <c r="AN692"/>
  <c r="AN691"/>
  <c r="AN690"/>
  <c r="AN689"/>
  <c r="AN688"/>
  <c r="AN686"/>
  <c r="AN685"/>
  <c r="AN682"/>
  <c r="AN681"/>
  <c r="AN680"/>
  <c r="AN679"/>
  <c r="AN678"/>
  <c r="AN677"/>
  <c r="AN676"/>
  <c r="AN675"/>
  <c r="AN674"/>
  <c r="AN673"/>
  <c r="AN662"/>
  <c r="AN661"/>
  <c r="AN660"/>
  <c r="AN659"/>
  <c r="AN658"/>
  <c r="AN657"/>
  <c r="AN655"/>
  <c r="AN654"/>
  <c r="AN653"/>
  <c r="AN650"/>
  <c r="AN649"/>
  <c r="AN648"/>
  <c r="AN647"/>
  <c r="AN646"/>
  <c r="AN645"/>
  <c r="AN644"/>
  <c r="AN643"/>
  <c r="AN642"/>
  <c r="AN641"/>
  <c r="AN549"/>
  <c r="AN550" s="1"/>
  <c r="AN543"/>
  <c r="AN544" s="1"/>
  <c r="AN630"/>
  <c r="AN62" s="1"/>
  <c r="AN611"/>
  <c r="AN389"/>
  <c r="AN320"/>
  <c r="AN318"/>
  <c r="AN316"/>
  <c r="AN314"/>
  <c r="AN312"/>
  <c r="AN294"/>
  <c r="AN292"/>
  <c r="AN290"/>
  <c r="AN288"/>
  <c r="AN286"/>
  <c r="AN376"/>
  <c r="AN375"/>
  <c r="AN374"/>
  <c r="AN373"/>
  <c r="AN372"/>
  <c r="AN371"/>
  <c r="AN319"/>
  <c r="AN317"/>
  <c r="AN315"/>
  <c r="AN313"/>
  <c r="AN311"/>
  <c r="AN293"/>
  <c r="AN291"/>
  <c r="AN289"/>
  <c r="AN287"/>
  <c r="AN285"/>
  <c r="AN268"/>
  <c r="AN266"/>
  <c r="AN264"/>
  <c r="AN262"/>
  <c r="AN260"/>
  <c r="AN255"/>
  <c r="AN267"/>
  <c r="AN263"/>
  <c r="AN242"/>
  <c r="AN241"/>
  <c r="AN240"/>
  <c r="AN239"/>
  <c r="AN238"/>
  <c r="AN237"/>
  <c r="AN269"/>
  <c r="AN265"/>
  <c r="AN261"/>
  <c r="AN167"/>
  <c r="AN131"/>
  <c r="AN33"/>
  <c r="AN35" s="1"/>
  <c r="AN37" s="1"/>
  <c r="AN39" s="1"/>
  <c r="AN30"/>
  <c r="AN26"/>
  <c r="AN25"/>
  <c r="AN23"/>
  <c r="AN19"/>
  <c r="AN5"/>
  <c r="AN40"/>
  <c r="AO2"/>
  <c r="AM256"/>
  <c r="AM396"/>
  <c r="AM398"/>
  <c r="AM395"/>
  <c r="AM399"/>
  <c r="AM403"/>
  <c r="AM423"/>
  <c r="AM427"/>
  <c r="AM447"/>
  <c r="AM451"/>
  <c r="AM455"/>
  <c r="AM420"/>
  <c r="AM424"/>
  <c r="AM428"/>
  <c r="AM448"/>
  <c r="AM452"/>
  <c r="AM390"/>
  <c r="AM166"/>
  <c r="AM130"/>
  <c r="AM55"/>
  <c r="AM165"/>
  <c r="AM129"/>
  <c r="AM54"/>
  <c r="AJ160"/>
  <c r="AJ161" s="1"/>
  <c r="AM578"/>
  <c r="AM14" s="1"/>
  <c r="AM18" s="1"/>
  <c r="AM599"/>
  <c r="AK157"/>
  <c r="AK158" s="1"/>
  <c r="C464" i="2"/>
  <c r="C363"/>
  <c r="C498" s="1"/>
  <c r="C365"/>
  <c r="C500" s="1"/>
  <c r="C368"/>
  <c r="C503" s="1"/>
  <c r="C364"/>
  <c r="C499" s="1"/>
  <c r="C367"/>
  <c r="C502" s="1"/>
  <c r="C360"/>
  <c r="C495" s="1"/>
  <c r="C361"/>
  <c r="C496" s="1"/>
  <c r="C359"/>
  <c r="C494" s="1"/>
  <c r="C366"/>
  <c r="C501" s="1"/>
  <c r="C362"/>
  <c r="C497" s="1"/>
  <c r="C757"/>
  <c r="C742" s="1"/>
  <c r="C69" s="1"/>
  <c r="D5"/>
  <c r="D787"/>
  <c r="D393" s="1"/>
  <c r="D528" s="1"/>
  <c r="D785"/>
  <c r="D391" s="1"/>
  <c r="D526" s="1"/>
  <c r="D783"/>
  <c r="D389" s="1"/>
  <c r="D524" s="1"/>
  <c r="D781"/>
  <c r="D387" s="1"/>
  <c r="D522" s="1"/>
  <c r="D779"/>
  <c r="D385" s="1"/>
  <c r="D520" s="1"/>
  <c r="D755"/>
  <c r="D788"/>
  <c r="D394" s="1"/>
  <c r="D529" s="1"/>
  <c r="D786"/>
  <c r="D392" s="1"/>
  <c r="D527" s="1"/>
  <c r="D784"/>
  <c r="D390" s="1"/>
  <c r="D525" s="1"/>
  <c r="D782"/>
  <c r="D388" s="1"/>
  <c r="D523" s="1"/>
  <c r="D780"/>
  <c r="D386" s="1"/>
  <c r="D521" s="1"/>
  <c r="D756"/>
  <c r="D753"/>
  <c r="D751"/>
  <c r="D749"/>
  <c r="D361" s="1"/>
  <c r="D496" s="1"/>
  <c r="D747"/>
  <c r="D723"/>
  <c r="D721"/>
  <c r="D719"/>
  <c r="D717"/>
  <c r="D715"/>
  <c r="D794"/>
  <c r="D795"/>
  <c r="D797"/>
  <c r="D799"/>
  <c r="D752"/>
  <c r="D748"/>
  <c r="D724"/>
  <c r="D720"/>
  <c r="D754"/>
  <c r="D750"/>
  <c r="D722"/>
  <c r="D718"/>
  <c r="D793"/>
  <c r="D798"/>
  <c r="D716"/>
  <c r="D792"/>
  <c r="D800"/>
  <c r="D760"/>
  <c r="D762"/>
  <c r="D764"/>
  <c r="D766"/>
  <c r="D768"/>
  <c r="D796"/>
  <c r="D761"/>
  <c r="D763"/>
  <c r="D765"/>
  <c r="D767"/>
  <c r="C789"/>
  <c r="C774" s="1"/>
  <c r="C70" s="1"/>
  <c r="C34"/>
  <c r="D617"/>
  <c r="D618" s="1"/>
  <c r="D623"/>
  <c r="D624" s="1"/>
  <c r="D670"/>
  <c r="D671" s="1"/>
  <c r="D674"/>
  <c r="E11"/>
  <c r="D312"/>
  <c r="D314"/>
  <c r="D316"/>
  <c r="D445"/>
  <c r="D447"/>
  <c r="D449"/>
  <c r="D464" s="1"/>
  <c r="D311"/>
  <c r="D315"/>
  <c r="D446"/>
  <c r="D450"/>
  <c r="D313"/>
  <c r="D448"/>
  <c r="C117"/>
  <c r="D19"/>
  <c r="D730"/>
  <c r="D731"/>
  <c r="D732"/>
  <c r="D733"/>
  <c r="D734"/>
  <c r="D735"/>
  <c r="D736"/>
  <c r="D728"/>
  <c r="D729"/>
  <c r="D463"/>
  <c r="C330"/>
  <c r="D329"/>
  <c r="C334"/>
  <c r="C468" s="1"/>
  <c r="C340"/>
  <c r="C474" s="1"/>
  <c r="C336"/>
  <c r="C470" s="1"/>
  <c r="C341"/>
  <c r="C475" s="1"/>
  <c r="C337"/>
  <c r="C471" s="1"/>
  <c r="C342"/>
  <c r="C476" s="1"/>
  <c r="C338"/>
  <c r="C472" s="1"/>
  <c r="C343"/>
  <c r="C477" s="1"/>
  <c r="C339"/>
  <c r="C473" s="1"/>
  <c r="C335"/>
  <c r="C469" s="1"/>
  <c r="C705"/>
  <c r="D702" s="1"/>
  <c r="D334"/>
  <c r="D468" s="1"/>
  <c r="D704"/>
  <c r="D62" s="1"/>
  <c r="C725"/>
  <c r="C710" s="1"/>
  <c r="C68" s="1"/>
  <c r="C625"/>
  <c r="C619"/>
  <c r="C620" s="1"/>
  <c r="C103" s="1"/>
  <c r="C626"/>
  <c r="C104" s="1"/>
  <c r="D23"/>
  <c r="D26"/>
  <c r="D30"/>
  <c r="C663"/>
  <c r="C664" s="1"/>
  <c r="C655"/>
  <c r="C656" s="1"/>
  <c r="C651"/>
  <c r="C652" s="1"/>
  <c r="C659"/>
  <c r="C660" s="1"/>
  <c r="C51" s="1"/>
  <c r="D698"/>
  <c r="C29"/>
  <c r="C31" s="1"/>
  <c r="C27"/>
  <c r="D25"/>
  <c r="E2"/>
  <c r="AO56" i="10" l="1"/>
  <c r="AO85"/>
  <c r="AO86" s="1"/>
  <c r="AP698"/>
  <c r="AP694"/>
  <c r="AP690"/>
  <c r="AP686"/>
  <c r="AN648" i="8"/>
  <c r="AN660"/>
  <c r="AN656"/>
  <c r="AN652"/>
  <c r="AM75" i="10"/>
  <c r="AM179"/>
  <c r="AM196" s="1"/>
  <c r="AN65"/>
  <c r="AO58"/>
  <c r="AO180"/>
  <c r="AO197" s="1"/>
  <c r="AO141"/>
  <c r="AO153" s="1"/>
  <c r="AO245"/>
  <c r="AO217"/>
  <c r="AN161"/>
  <c r="AN162"/>
  <c r="AN286"/>
  <c r="AN305"/>
  <c r="AN283"/>
  <c r="AN302"/>
  <c r="AN285"/>
  <c r="AN304"/>
  <c r="AN284"/>
  <c r="AN303"/>
  <c r="AN279"/>
  <c r="AN297" s="1"/>
  <c r="AO39"/>
  <c r="AM709"/>
  <c r="AN706" s="1"/>
  <c r="AO59"/>
  <c r="AP714"/>
  <c r="AP181" s="1"/>
  <c r="AP198" s="1"/>
  <c r="AP41"/>
  <c r="AP183" s="1"/>
  <c r="AP200" s="1"/>
  <c r="AN68"/>
  <c r="AN75" s="1"/>
  <c r="AM71" i="7"/>
  <c r="AN42" i="10"/>
  <c r="AM41" i="7"/>
  <c r="AO799" i="10"/>
  <c r="AO784" s="1"/>
  <c r="AO67" s="1"/>
  <c r="AL48"/>
  <c r="AL50" s="1"/>
  <c r="AN16"/>
  <c r="AO695"/>
  <c r="AO696" s="1"/>
  <c r="AO687"/>
  <c r="AO688" s="1"/>
  <c r="AO661"/>
  <c r="AO662" s="1"/>
  <c r="AO655"/>
  <c r="AO656" s="1"/>
  <c r="AO699"/>
  <c r="AO700" s="1"/>
  <c r="AO691"/>
  <c r="AO692" s="1"/>
  <c r="AO130"/>
  <c r="AO29"/>
  <c r="AO31" s="1"/>
  <c r="AO10"/>
  <c r="AO12" s="1"/>
  <c r="AO274" s="1"/>
  <c r="AO292" s="1"/>
  <c r="AO507"/>
  <c r="AO511"/>
  <c r="AO531"/>
  <c r="AO535"/>
  <c r="AO539"/>
  <c r="AO559"/>
  <c r="AO563"/>
  <c r="AO504"/>
  <c r="AO508"/>
  <c r="AO512"/>
  <c r="AO532"/>
  <c r="AO536"/>
  <c r="AO556"/>
  <c r="AO560"/>
  <c r="AO564"/>
  <c r="AO49"/>
  <c r="AO275" s="1"/>
  <c r="AO293" s="1"/>
  <c r="AN15"/>
  <c r="AN118"/>
  <c r="AN129"/>
  <c r="AM287"/>
  <c r="AN17"/>
  <c r="AJ122"/>
  <c r="AP810"/>
  <c r="AP809"/>
  <c r="AP808"/>
  <c r="AP807"/>
  <c r="AP806"/>
  <c r="AP805"/>
  <c r="AP804"/>
  <c r="AP803"/>
  <c r="AP801"/>
  <c r="AP815"/>
  <c r="AP798"/>
  <c r="B798" s="1"/>
  <c r="AP797"/>
  <c r="B797" s="1"/>
  <c r="AP796"/>
  <c r="B796" s="1"/>
  <c r="AP795"/>
  <c r="B795" s="1"/>
  <c r="AP794"/>
  <c r="B794" s="1"/>
  <c r="AP793"/>
  <c r="B793" s="1"/>
  <c r="AP792"/>
  <c r="B792" s="1"/>
  <c r="AP791"/>
  <c r="B791" s="1"/>
  <c r="AP790"/>
  <c r="B790" s="1"/>
  <c r="AP789"/>
  <c r="AP778"/>
  <c r="B778" s="1"/>
  <c r="AP777"/>
  <c r="B777" s="1"/>
  <c r="AP776"/>
  <c r="B776" s="1"/>
  <c r="AP775"/>
  <c r="B775" s="1"/>
  <c r="AP774"/>
  <c r="B774" s="1"/>
  <c r="AP773"/>
  <c r="B773" s="1"/>
  <c r="AP772"/>
  <c r="B772" s="1"/>
  <c r="AP770"/>
  <c r="AP769"/>
  <c r="AP766"/>
  <c r="B766" s="1"/>
  <c r="AN551" s="1"/>
  <c r="AP765"/>
  <c r="B765" s="1"/>
  <c r="AO415" s="1"/>
  <c r="AP764"/>
  <c r="B764" s="1"/>
  <c r="AO414" s="1"/>
  <c r="AP763"/>
  <c r="B763" s="1"/>
  <c r="AP762"/>
  <c r="B762" s="1"/>
  <c r="AP761"/>
  <c r="B761" s="1"/>
  <c r="AO411" s="1"/>
  <c r="AP760"/>
  <c r="B760" s="1"/>
  <c r="AO410" s="1"/>
  <c r="AP759"/>
  <c r="B759" s="1"/>
  <c r="AP758"/>
  <c r="B758" s="1"/>
  <c r="AN543" s="1"/>
  <c r="AP757"/>
  <c r="AP746"/>
  <c r="B746" s="1"/>
  <c r="AP745"/>
  <c r="B745" s="1"/>
  <c r="AP744"/>
  <c r="B744" s="1"/>
  <c r="AP743"/>
  <c r="B743" s="1"/>
  <c r="AP742"/>
  <c r="B742" s="1"/>
  <c r="AP741"/>
  <c r="B741" s="1"/>
  <c r="AP739"/>
  <c r="AP738"/>
  <c r="AP737"/>
  <c r="AP734"/>
  <c r="B734" s="1"/>
  <c r="AO390" s="1"/>
  <c r="AP733"/>
  <c r="B733" s="1"/>
  <c r="AP732"/>
  <c r="B732" s="1"/>
  <c r="AP731"/>
  <c r="B731" s="1"/>
  <c r="AO387" s="1"/>
  <c r="AP730"/>
  <c r="B730" s="1"/>
  <c r="AO386" s="1"/>
  <c r="AP729"/>
  <c r="B729" s="1"/>
  <c r="AP728"/>
  <c r="B728" s="1"/>
  <c r="AN519" s="1"/>
  <c r="AP727"/>
  <c r="B727" s="1"/>
  <c r="AO383" s="1"/>
  <c r="AP726"/>
  <c r="B726" s="1"/>
  <c r="AO382" s="1"/>
  <c r="AP725"/>
  <c r="AP708"/>
  <c r="AP659"/>
  <c r="AP660" s="1"/>
  <c r="AP653"/>
  <c r="AP654" s="1"/>
  <c r="AP499"/>
  <c r="AP430"/>
  <c r="AP428"/>
  <c r="AP426"/>
  <c r="AP424"/>
  <c r="AP422"/>
  <c r="AP404"/>
  <c r="AP402"/>
  <c r="AP400"/>
  <c r="AP398"/>
  <c r="AP396"/>
  <c r="AP379"/>
  <c r="AP377"/>
  <c r="AP375"/>
  <c r="AP373"/>
  <c r="AP371"/>
  <c r="AP352"/>
  <c r="AP351"/>
  <c r="AP350"/>
  <c r="AP349"/>
  <c r="AP348"/>
  <c r="AP347"/>
  <c r="AP486"/>
  <c r="AP485"/>
  <c r="AP484"/>
  <c r="AP483"/>
  <c r="AP482"/>
  <c r="AP481"/>
  <c r="AP429"/>
  <c r="AP427"/>
  <c r="AP425"/>
  <c r="AP423"/>
  <c r="AP421"/>
  <c r="AP403"/>
  <c r="AP401"/>
  <c r="AP399"/>
  <c r="AP397"/>
  <c r="AP395"/>
  <c r="AP378"/>
  <c r="AP376"/>
  <c r="AP374"/>
  <c r="AP372"/>
  <c r="AP370"/>
  <c r="AP365"/>
  <c r="AP246"/>
  <c r="AP218"/>
  <c r="AP40"/>
  <c r="AP33"/>
  <c r="AP35" s="1"/>
  <c r="AP37" s="1"/>
  <c r="AP30"/>
  <c r="AP26"/>
  <c r="AP25"/>
  <c r="AP23"/>
  <c r="AP19"/>
  <c r="AP5"/>
  <c r="AO366"/>
  <c r="AO505"/>
  <c r="AO517" s="1"/>
  <c r="AO509"/>
  <c r="AO513"/>
  <c r="AO525" s="1"/>
  <c r="AO533"/>
  <c r="AO545" s="1"/>
  <c r="AO537"/>
  <c r="AO549" s="1"/>
  <c r="AO557"/>
  <c r="AO434"/>
  <c r="AO561"/>
  <c r="AO438"/>
  <c r="AO565"/>
  <c r="AO442"/>
  <c r="AO506"/>
  <c r="AO510"/>
  <c r="AO530"/>
  <c r="AO534"/>
  <c r="AO538"/>
  <c r="AO558"/>
  <c r="AO435"/>
  <c r="AO562"/>
  <c r="AO439"/>
  <c r="AO500"/>
  <c r="AN702"/>
  <c r="AN14"/>
  <c r="AL41" i="8"/>
  <c r="AO27" i="10"/>
  <c r="AO735"/>
  <c r="AO720" s="1"/>
  <c r="AO767"/>
  <c r="AO752" s="1"/>
  <c r="AO66" s="1"/>
  <c r="AN549"/>
  <c r="AN574"/>
  <c r="AN522"/>
  <c r="AM18"/>
  <c r="AM20" s="1"/>
  <c r="AM44" s="1"/>
  <c r="AM306"/>
  <c r="AK43" i="8"/>
  <c r="AK237" s="1"/>
  <c r="AL18"/>
  <c r="AO11"/>
  <c r="AM668"/>
  <c r="AM723"/>
  <c r="AM708" s="1"/>
  <c r="AM61" s="1"/>
  <c r="AM755"/>
  <c r="AM740" s="1"/>
  <c r="AM62" s="1"/>
  <c r="AN766"/>
  <c r="AN765"/>
  <c r="AN764"/>
  <c r="AN763"/>
  <c r="AN762"/>
  <c r="AN761"/>
  <c r="AN760"/>
  <c r="AN759"/>
  <c r="AN757"/>
  <c r="AN771"/>
  <c r="AN754"/>
  <c r="AN753"/>
  <c r="AN752"/>
  <c r="AN751"/>
  <c r="AN750"/>
  <c r="AN749"/>
  <c r="AN748"/>
  <c r="AN747"/>
  <c r="AN746"/>
  <c r="AN745"/>
  <c r="AN734"/>
  <c r="AN733"/>
  <c r="AN732"/>
  <c r="AN731"/>
  <c r="AN730"/>
  <c r="AN729"/>
  <c r="AN728"/>
  <c r="AN726"/>
  <c r="AN725"/>
  <c r="AN722"/>
  <c r="AN721"/>
  <c r="AN720"/>
  <c r="AN719"/>
  <c r="AN718"/>
  <c r="AN717"/>
  <c r="AN716"/>
  <c r="AN715"/>
  <c r="AN714"/>
  <c r="AN713"/>
  <c r="AN702"/>
  <c r="AN701"/>
  <c r="AN700"/>
  <c r="AN699"/>
  <c r="AN698"/>
  <c r="AN697"/>
  <c r="AN695"/>
  <c r="AN694"/>
  <c r="AN693"/>
  <c r="AN690"/>
  <c r="AN689"/>
  <c r="AN688"/>
  <c r="AN687"/>
  <c r="AN686"/>
  <c r="AN685"/>
  <c r="AN684"/>
  <c r="AN683"/>
  <c r="AN682"/>
  <c r="AN681"/>
  <c r="AN621"/>
  <c r="AN622" s="1"/>
  <c r="AN615"/>
  <c r="AN616" s="1"/>
  <c r="AN670"/>
  <c r="AN54" s="1"/>
  <c r="AN461"/>
  <c r="AN392"/>
  <c r="AN390"/>
  <c r="AN388"/>
  <c r="AN386"/>
  <c r="AN384"/>
  <c r="AN366"/>
  <c r="AN364"/>
  <c r="AN362"/>
  <c r="AN360"/>
  <c r="AN358"/>
  <c r="AN341"/>
  <c r="AN339"/>
  <c r="AN337"/>
  <c r="AN335"/>
  <c r="AN448"/>
  <c r="AN447"/>
  <c r="AN446"/>
  <c r="AN445"/>
  <c r="AN444"/>
  <c r="AN443"/>
  <c r="AN391"/>
  <c r="AN389"/>
  <c r="AN387"/>
  <c r="AN385"/>
  <c r="AN383"/>
  <c r="AN365"/>
  <c r="AN363"/>
  <c r="AN361"/>
  <c r="AN359"/>
  <c r="AN357"/>
  <c r="AN340"/>
  <c r="AN338"/>
  <c r="AN336"/>
  <c r="AN334"/>
  <c r="AN332"/>
  <c r="AN327"/>
  <c r="AN314"/>
  <c r="AN313"/>
  <c r="AN312"/>
  <c r="AN311"/>
  <c r="AN310"/>
  <c r="AN309"/>
  <c r="AN333"/>
  <c r="AN239"/>
  <c r="AN204"/>
  <c r="AN40"/>
  <c r="AO2"/>
  <c r="AN33"/>
  <c r="AN35" s="1"/>
  <c r="AN37" s="1"/>
  <c r="AN39" s="1"/>
  <c r="AN30"/>
  <c r="AN26"/>
  <c r="AN25"/>
  <c r="AN23"/>
  <c r="AN19"/>
  <c r="AN5"/>
  <c r="AM328"/>
  <c r="AM468"/>
  <c r="AM466"/>
  <c r="AM469"/>
  <c r="AM473"/>
  <c r="AM493"/>
  <c r="AM497"/>
  <c r="AM501"/>
  <c r="AM521"/>
  <c r="AM525"/>
  <c r="AM472"/>
  <c r="AM492"/>
  <c r="AM496"/>
  <c r="AM500"/>
  <c r="AM520"/>
  <c r="AM524"/>
  <c r="AM462"/>
  <c r="AM238"/>
  <c r="AM203"/>
  <c r="AM48"/>
  <c r="AI240"/>
  <c r="AI241" s="1"/>
  <c r="AI269" s="1"/>
  <c r="AI270" s="1"/>
  <c r="AI99" s="1"/>
  <c r="AI98"/>
  <c r="AL664"/>
  <c r="AL72"/>
  <c r="AL107"/>
  <c r="AL20"/>
  <c r="AL43" s="1"/>
  <c r="AM27"/>
  <c r="AM691"/>
  <c r="AM676" s="1"/>
  <c r="AM60" s="1"/>
  <c r="AL63"/>
  <c r="AK230"/>
  <c r="AK231" s="1"/>
  <c r="AM661"/>
  <c r="AM662" s="1"/>
  <c r="AM17" s="1"/>
  <c r="AM653"/>
  <c r="AM654" s="1"/>
  <c r="AM15" s="1"/>
  <c r="AM657"/>
  <c r="AM658" s="1"/>
  <c r="AM16" s="1"/>
  <c r="AM649"/>
  <c r="AM650" s="1"/>
  <c r="AM14" s="1"/>
  <c r="AM623"/>
  <c r="AM624" s="1"/>
  <c r="AM95" s="1"/>
  <c r="AM617"/>
  <c r="AM618" s="1"/>
  <c r="AM94" s="1"/>
  <c r="AM108"/>
  <c r="AM29"/>
  <c r="AM31" s="1"/>
  <c r="AM10"/>
  <c r="AM12" s="1"/>
  <c r="AM467"/>
  <c r="AM471"/>
  <c r="AM475"/>
  <c r="AM495"/>
  <c r="AM499"/>
  <c r="AM519"/>
  <c r="AM523"/>
  <c r="AM527"/>
  <c r="AM470"/>
  <c r="AM474"/>
  <c r="AM494"/>
  <c r="AM498"/>
  <c r="AM518"/>
  <c r="AM522"/>
  <c r="AM526"/>
  <c r="AL96"/>
  <c r="AM671"/>
  <c r="AJ233"/>
  <c r="AJ234" s="1"/>
  <c r="AK266"/>
  <c r="AK267" s="1"/>
  <c r="AO616" i="7"/>
  <c r="AO614"/>
  <c r="AO610"/>
  <c r="AO601"/>
  <c r="AO600"/>
  <c r="AO597"/>
  <c r="AO596"/>
  <c r="AP11"/>
  <c r="AN599"/>
  <c r="AM592"/>
  <c r="AM190"/>
  <c r="AM153"/>
  <c r="AM49"/>
  <c r="AN585"/>
  <c r="AN586" s="1"/>
  <c r="AN577"/>
  <c r="AN578" s="1"/>
  <c r="AN14" s="1"/>
  <c r="AN18" s="1"/>
  <c r="AN551"/>
  <c r="AN552" s="1"/>
  <c r="AN104" s="1"/>
  <c r="AN545"/>
  <c r="AN589"/>
  <c r="AN590" s="1"/>
  <c r="AN581"/>
  <c r="AN582" s="1"/>
  <c r="AN120"/>
  <c r="AN29"/>
  <c r="AN31" s="1"/>
  <c r="AN10"/>
  <c r="AN12" s="1"/>
  <c r="AN399"/>
  <c r="AN256"/>
  <c r="AN397"/>
  <c r="AN396"/>
  <c r="AN400"/>
  <c r="AN420"/>
  <c r="AN424"/>
  <c r="AN428"/>
  <c r="AN448"/>
  <c r="AN452"/>
  <c r="AN390"/>
  <c r="AN421"/>
  <c r="AN425"/>
  <c r="AN429"/>
  <c r="AN449"/>
  <c r="AN453"/>
  <c r="AL164"/>
  <c r="AL128"/>
  <c r="AL132" s="1"/>
  <c r="AL47"/>
  <c r="AM192"/>
  <c r="AM155"/>
  <c r="AM51"/>
  <c r="AM606"/>
  <c r="AM80"/>
  <c r="AM81" s="1"/>
  <c r="AM119"/>
  <c r="AM20"/>
  <c r="AM43" s="1"/>
  <c r="AK160"/>
  <c r="AK161" s="1"/>
  <c r="AL53"/>
  <c r="AL194"/>
  <c r="AL195" s="1"/>
  <c r="AJ168"/>
  <c r="AJ169" s="1"/>
  <c r="AJ197" s="1"/>
  <c r="AJ198" s="1"/>
  <c r="AJ108" s="1"/>
  <c r="AJ107"/>
  <c r="AM193"/>
  <c r="AM156"/>
  <c r="AM52"/>
  <c r="AM105"/>
  <c r="AO731"/>
  <c r="AO726"/>
  <c r="AO725"/>
  <c r="AO724"/>
  <c r="AO723"/>
  <c r="AO722"/>
  <c r="AO721"/>
  <c r="AO720"/>
  <c r="AO719"/>
  <c r="AO714"/>
  <c r="AO713"/>
  <c r="AO712"/>
  <c r="AO711"/>
  <c r="AO710"/>
  <c r="AO709"/>
  <c r="AO708"/>
  <c r="AO707"/>
  <c r="AO717"/>
  <c r="AO706"/>
  <c r="AO682"/>
  <c r="AO681"/>
  <c r="AO680"/>
  <c r="AO679"/>
  <c r="AO678"/>
  <c r="AO677"/>
  <c r="AO676"/>
  <c r="AO705"/>
  <c r="AO694"/>
  <c r="AO693"/>
  <c r="AO692"/>
  <c r="AO691"/>
  <c r="AO690"/>
  <c r="AO689"/>
  <c r="AO688"/>
  <c r="AO686"/>
  <c r="AO685"/>
  <c r="AO675"/>
  <c r="AO650"/>
  <c r="AO649"/>
  <c r="AO648"/>
  <c r="AO647"/>
  <c r="AO646"/>
  <c r="AO645"/>
  <c r="AO674"/>
  <c r="AO673"/>
  <c r="AO662"/>
  <c r="AO661"/>
  <c r="AO660"/>
  <c r="AO659"/>
  <c r="AO658"/>
  <c r="AO657"/>
  <c r="AO655"/>
  <c r="AO654"/>
  <c r="AO653"/>
  <c r="AO644"/>
  <c r="AO630"/>
  <c r="AO62" s="1"/>
  <c r="AO611"/>
  <c r="AO643"/>
  <c r="AO642"/>
  <c r="AO641"/>
  <c r="AO549"/>
  <c r="AO550" s="1"/>
  <c r="AO543"/>
  <c r="AO544" s="1"/>
  <c r="AO376"/>
  <c r="AO375"/>
  <c r="AO374"/>
  <c r="AO373"/>
  <c r="AO372"/>
  <c r="AO371"/>
  <c r="AO319"/>
  <c r="AO317"/>
  <c r="AO315"/>
  <c r="AO313"/>
  <c r="AO311"/>
  <c r="AO293"/>
  <c r="AO291"/>
  <c r="AO289"/>
  <c r="AO287"/>
  <c r="AO285"/>
  <c r="AO389"/>
  <c r="AO320"/>
  <c r="AO318"/>
  <c r="AO316"/>
  <c r="AO314"/>
  <c r="AO312"/>
  <c r="AO294"/>
  <c r="AO292"/>
  <c r="AO290"/>
  <c r="AO288"/>
  <c r="AO286"/>
  <c r="AO269"/>
  <c r="AO267"/>
  <c r="AO265"/>
  <c r="AO263"/>
  <c r="AO261"/>
  <c r="AO266"/>
  <c r="AO262"/>
  <c r="AO167"/>
  <c r="AO131"/>
  <c r="AO268"/>
  <c r="AO264"/>
  <c r="AO260"/>
  <c r="AO255"/>
  <c r="AO242"/>
  <c r="AO241"/>
  <c r="AO240"/>
  <c r="AO239"/>
  <c r="AO238"/>
  <c r="AO237"/>
  <c r="AO40"/>
  <c r="AP2"/>
  <c r="AO33"/>
  <c r="AO35" s="1"/>
  <c r="AO37" s="1"/>
  <c r="AO39" s="1"/>
  <c r="AO30"/>
  <c r="AO26"/>
  <c r="AO25"/>
  <c r="AO23"/>
  <c r="AO19"/>
  <c r="AO5"/>
  <c r="AN395"/>
  <c r="AN403"/>
  <c r="AN401"/>
  <c r="AN394"/>
  <c r="AN398"/>
  <c r="AN402"/>
  <c r="AN422"/>
  <c r="AN426"/>
  <c r="AN446"/>
  <c r="AN450"/>
  <c r="AN454"/>
  <c r="AN423"/>
  <c r="AN427"/>
  <c r="AN447"/>
  <c r="AN451"/>
  <c r="AN455"/>
  <c r="AN615"/>
  <c r="AN609"/>
  <c r="AO622"/>
  <c r="AN166"/>
  <c r="AN130"/>
  <c r="AN55"/>
  <c r="AN165"/>
  <c r="AN129"/>
  <c r="AN54"/>
  <c r="AM191"/>
  <c r="AM154"/>
  <c r="AM50"/>
  <c r="AI109"/>
  <c r="AN27"/>
  <c r="AN546"/>
  <c r="AN103" s="1"/>
  <c r="AN61"/>
  <c r="AN651"/>
  <c r="AN636" s="1"/>
  <c r="AN68" s="1"/>
  <c r="AN683"/>
  <c r="AN668" s="1"/>
  <c r="AN69" s="1"/>
  <c r="AN715"/>
  <c r="AN700" s="1"/>
  <c r="AN70" s="1"/>
  <c r="AN631"/>
  <c r="AO628" s="1"/>
  <c r="AK56"/>
  <c r="AL157"/>
  <c r="AL158" s="1"/>
  <c r="C15" i="2"/>
  <c r="C50"/>
  <c r="C228"/>
  <c r="C265"/>
  <c r="C17"/>
  <c r="C52"/>
  <c r="C230"/>
  <c r="C267"/>
  <c r="C71"/>
  <c r="D362"/>
  <c r="D497" s="1"/>
  <c r="D366"/>
  <c r="D501" s="1"/>
  <c r="D359"/>
  <c r="D494" s="1"/>
  <c r="D360"/>
  <c r="D495" s="1"/>
  <c r="D367"/>
  <c r="D502" s="1"/>
  <c r="D364"/>
  <c r="D499" s="1"/>
  <c r="D368"/>
  <c r="D503" s="1"/>
  <c r="D365"/>
  <c r="D500" s="1"/>
  <c r="D363"/>
  <c r="D498" s="1"/>
  <c r="E5"/>
  <c r="E788"/>
  <c r="E394" s="1"/>
  <c r="E529" s="1"/>
  <c r="E786"/>
  <c r="E392" s="1"/>
  <c r="E527" s="1"/>
  <c r="E784"/>
  <c r="E390" s="1"/>
  <c r="E525" s="1"/>
  <c r="E782"/>
  <c r="E388" s="1"/>
  <c r="E523" s="1"/>
  <c r="E780"/>
  <c r="E386" s="1"/>
  <c r="E521" s="1"/>
  <c r="E756"/>
  <c r="E787"/>
  <c r="E393" s="1"/>
  <c r="E528" s="1"/>
  <c r="E785"/>
  <c r="E391" s="1"/>
  <c r="E526" s="1"/>
  <c r="E783"/>
  <c r="E389" s="1"/>
  <c r="E524" s="1"/>
  <c r="E781"/>
  <c r="E387" s="1"/>
  <c r="E522" s="1"/>
  <c r="E779"/>
  <c r="E385" s="1"/>
  <c r="E520" s="1"/>
  <c r="E755"/>
  <c r="E754"/>
  <c r="E752"/>
  <c r="E750"/>
  <c r="E362" s="1"/>
  <c r="E497" s="1"/>
  <c r="E748"/>
  <c r="E724"/>
  <c r="E722"/>
  <c r="E720"/>
  <c r="E718"/>
  <c r="E716"/>
  <c r="E792"/>
  <c r="E793"/>
  <c r="E796"/>
  <c r="E798"/>
  <c r="E800"/>
  <c r="E753"/>
  <c r="E749"/>
  <c r="E721"/>
  <c r="E751"/>
  <c r="E747"/>
  <c r="E359" s="1"/>
  <c r="E494" s="1"/>
  <c r="E723"/>
  <c r="E719"/>
  <c r="E715"/>
  <c r="E795"/>
  <c r="E799"/>
  <c r="E717"/>
  <c r="E794"/>
  <c r="E761"/>
  <c r="E763"/>
  <c r="E765"/>
  <c r="E767"/>
  <c r="E797"/>
  <c r="E760"/>
  <c r="E762"/>
  <c r="E764"/>
  <c r="E766"/>
  <c r="E768"/>
  <c r="D789"/>
  <c r="D774" s="1"/>
  <c r="D70" s="1"/>
  <c r="D757"/>
  <c r="D742" s="1"/>
  <c r="D69" s="1"/>
  <c r="E617"/>
  <c r="E618" s="1"/>
  <c r="E623"/>
  <c r="E624" s="1"/>
  <c r="E674"/>
  <c r="E670"/>
  <c r="E671" s="1"/>
  <c r="F11"/>
  <c r="E311"/>
  <c r="E313"/>
  <c r="E315"/>
  <c r="E446"/>
  <c r="E448"/>
  <c r="E450"/>
  <c r="E312"/>
  <c r="E316"/>
  <c r="E445"/>
  <c r="E449"/>
  <c r="E314"/>
  <c r="E447"/>
  <c r="E19"/>
  <c r="C116"/>
  <c r="E728"/>
  <c r="E729"/>
  <c r="E730"/>
  <c r="E731"/>
  <c r="E732"/>
  <c r="E733"/>
  <c r="E734"/>
  <c r="E735"/>
  <c r="E736"/>
  <c r="C105"/>
  <c r="C227"/>
  <c r="C49"/>
  <c r="C53" s="1"/>
  <c r="E463"/>
  <c r="D330"/>
  <c r="E329"/>
  <c r="D335"/>
  <c r="D469" s="1"/>
  <c r="D341"/>
  <c r="D475" s="1"/>
  <c r="D336"/>
  <c r="D470" s="1"/>
  <c r="D339"/>
  <c r="D473" s="1"/>
  <c r="D343"/>
  <c r="D477" s="1"/>
  <c r="D338"/>
  <c r="D472" s="1"/>
  <c r="D342"/>
  <c r="D476" s="1"/>
  <c r="D337"/>
  <c r="D471" s="1"/>
  <c r="D340"/>
  <c r="D474" s="1"/>
  <c r="D705"/>
  <c r="E702" s="1"/>
  <c r="E704"/>
  <c r="E62" s="1"/>
  <c r="D725"/>
  <c r="D710" s="1"/>
  <c r="D68" s="1"/>
  <c r="E23"/>
  <c r="E26"/>
  <c r="E30"/>
  <c r="C266"/>
  <c r="C229"/>
  <c r="C14"/>
  <c r="C18" s="1"/>
  <c r="C20" s="1"/>
  <c r="C264"/>
  <c r="C666"/>
  <c r="E698"/>
  <c r="D27"/>
  <c r="D10"/>
  <c r="D12" s="1"/>
  <c r="F2"/>
  <c r="E25"/>
  <c r="AK202" i="8" l="1"/>
  <c r="AK205" s="1"/>
  <c r="AK233" s="1"/>
  <c r="AK234" s="1"/>
  <c r="AP56" i="10"/>
  <c r="AP85"/>
  <c r="AP86" s="1"/>
  <c r="AO522"/>
  <c r="AN570"/>
  <c r="I803"/>
  <c r="J803"/>
  <c r="K803"/>
  <c r="O805"/>
  <c r="P805"/>
  <c r="Q805"/>
  <c r="U807"/>
  <c r="V807"/>
  <c r="W807"/>
  <c r="AA809"/>
  <c r="AB809"/>
  <c r="AC809"/>
  <c r="AP802"/>
  <c r="AP811" s="1"/>
  <c r="AP783" s="1"/>
  <c r="F802"/>
  <c r="G802"/>
  <c r="H802"/>
  <c r="L804"/>
  <c r="M804"/>
  <c r="N804"/>
  <c r="AN573"/>
  <c r="R806"/>
  <c r="S806"/>
  <c r="T806"/>
  <c r="AN575"/>
  <c r="X808"/>
  <c r="Y808"/>
  <c r="Z808"/>
  <c r="AN577"/>
  <c r="AD810"/>
  <c r="AE810"/>
  <c r="AF810"/>
  <c r="AO660" i="8"/>
  <c r="AO656"/>
  <c r="AO652"/>
  <c r="AO648"/>
  <c r="AO65" i="10"/>
  <c r="AN518"/>
  <c r="AN545"/>
  <c r="AO574"/>
  <c r="AO570"/>
  <c r="AN179"/>
  <c r="AN196" s="1"/>
  <c r="AP58"/>
  <c r="AP180"/>
  <c r="AP197" s="1"/>
  <c r="AP141"/>
  <c r="AP153" s="1"/>
  <c r="AP245"/>
  <c r="AP217"/>
  <c r="AK47" i="8"/>
  <c r="AK49" s="1"/>
  <c r="AN525" i="10"/>
  <c r="AN550"/>
  <c r="AO550"/>
  <c r="AO161"/>
  <c r="AO162"/>
  <c r="AN546"/>
  <c r="AN521"/>
  <c r="AN569"/>
  <c r="AO577"/>
  <c r="AO573"/>
  <c r="AO569"/>
  <c r="AO284"/>
  <c r="AO303"/>
  <c r="AO283"/>
  <c r="AO302"/>
  <c r="AO286"/>
  <c r="AO305"/>
  <c r="AO285"/>
  <c r="AO304"/>
  <c r="AO521"/>
  <c r="AO42"/>
  <c r="AP59"/>
  <c r="AP39"/>
  <c r="AN709"/>
  <c r="AO706" s="1"/>
  <c r="AO279"/>
  <c r="AO297" s="1"/>
  <c r="AN18"/>
  <c r="AN20" s="1"/>
  <c r="AN44" s="1"/>
  <c r="AN306"/>
  <c r="AN287"/>
  <c r="AN517"/>
  <c r="AO546"/>
  <c r="AN41" i="7"/>
  <c r="AO518" i="10"/>
  <c r="AM18" i="8"/>
  <c r="AM48" i="10"/>
  <c r="AM50" s="1"/>
  <c r="AO702"/>
  <c r="AO14"/>
  <c r="AP504"/>
  <c r="AP508"/>
  <c r="AP520" s="1"/>
  <c r="AP385"/>
  <c r="AP512"/>
  <c r="AP524" s="1"/>
  <c r="AP389"/>
  <c r="AP532"/>
  <c r="AP544" s="1"/>
  <c r="AP409"/>
  <c r="AP536"/>
  <c r="AP548" s="1"/>
  <c r="AP413"/>
  <c r="AP556"/>
  <c r="AP560"/>
  <c r="AP572" s="1"/>
  <c r="AP437"/>
  <c r="AP564"/>
  <c r="AP576" s="1"/>
  <c r="AP441"/>
  <c r="B482"/>
  <c r="B484"/>
  <c r="B486"/>
  <c r="B348"/>
  <c r="B350"/>
  <c r="B352"/>
  <c r="AP507"/>
  <c r="AP519" s="1"/>
  <c r="AP384"/>
  <c r="AP511"/>
  <c r="AP523" s="1"/>
  <c r="AP388"/>
  <c r="AP531"/>
  <c r="AP543" s="1"/>
  <c r="AP408"/>
  <c r="AP535"/>
  <c r="AP547" s="1"/>
  <c r="AP412"/>
  <c r="AP539"/>
  <c r="AP551" s="1"/>
  <c r="AP416"/>
  <c r="AP559"/>
  <c r="AP571" s="1"/>
  <c r="AP436"/>
  <c r="AP563"/>
  <c r="AP575" s="1"/>
  <c r="AP440"/>
  <c r="AP735"/>
  <c r="AP720" s="1"/>
  <c r="B725"/>
  <c r="T518"/>
  <c r="D518"/>
  <c r="E518"/>
  <c r="G518"/>
  <c r="I518"/>
  <c r="J518"/>
  <c r="M518"/>
  <c r="N518"/>
  <c r="O518"/>
  <c r="P518"/>
  <c r="C383"/>
  <c r="D383"/>
  <c r="F383"/>
  <c r="G383"/>
  <c r="K383"/>
  <c r="L383"/>
  <c r="N383"/>
  <c r="Q383"/>
  <c r="R383"/>
  <c r="S383"/>
  <c r="T383"/>
  <c r="V383"/>
  <c r="C518"/>
  <c r="F518"/>
  <c r="H518"/>
  <c r="K518"/>
  <c r="L518"/>
  <c r="Q518"/>
  <c r="R518"/>
  <c r="S518"/>
  <c r="U518"/>
  <c r="E383"/>
  <c r="H383"/>
  <c r="I383"/>
  <c r="J383"/>
  <c r="M383"/>
  <c r="O383"/>
  <c r="P383"/>
  <c r="U383"/>
  <c r="W383"/>
  <c r="V518"/>
  <c r="X383"/>
  <c r="W518"/>
  <c r="X518"/>
  <c r="Y383"/>
  <c r="Y518"/>
  <c r="Z383"/>
  <c r="AA739"/>
  <c r="AA747" s="1"/>
  <c r="AA719" s="1"/>
  <c r="AA60" s="1"/>
  <c r="AA383"/>
  <c r="AB739"/>
  <c r="AB747" s="1"/>
  <c r="AB719" s="1"/>
  <c r="AB60" s="1"/>
  <c r="Z518"/>
  <c r="AC739"/>
  <c r="AC747" s="1"/>
  <c r="AC719" s="1"/>
  <c r="AC60" s="1"/>
  <c r="AB383"/>
  <c r="AA518"/>
  <c r="AC383"/>
  <c r="AD739"/>
  <c r="AD747" s="1"/>
  <c r="AD719" s="1"/>
  <c r="AD60" s="1"/>
  <c r="AB518"/>
  <c r="AC518"/>
  <c r="AE739"/>
  <c r="AE747" s="1"/>
  <c r="AE719" s="1"/>
  <c r="AE60" s="1"/>
  <c r="AD383"/>
  <c r="AF739"/>
  <c r="AF747" s="1"/>
  <c r="AF719" s="1"/>
  <c r="AF60" s="1"/>
  <c r="AE383"/>
  <c r="AD518"/>
  <c r="AG739"/>
  <c r="AG747" s="1"/>
  <c r="AG719" s="1"/>
  <c r="AG60" s="1"/>
  <c r="AF383"/>
  <c r="AE518"/>
  <c r="AF518"/>
  <c r="AG383"/>
  <c r="AH739"/>
  <c r="AH747" s="1"/>
  <c r="AH719" s="1"/>
  <c r="AH60" s="1"/>
  <c r="AH383"/>
  <c r="AI739"/>
  <c r="AI747" s="1"/>
  <c r="AI719" s="1"/>
  <c r="AI60" s="1"/>
  <c r="AG518"/>
  <c r="AI383"/>
  <c r="AH518"/>
  <c r="AJ739"/>
  <c r="AJ747" s="1"/>
  <c r="AJ719" s="1"/>
  <c r="AJ60" s="1"/>
  <c r="AI518"/>
  <c r="AK739"/>
  <c r="AK747" s="1"/>
  <c r="AK719" s="1"/>
  <c r="AK60" s="1"/>
  <c r="AJ383"/>
  <c r="AJ518"/>
  <c r="AL739"/>
  <c r="AL747" s="1"/>
  <c r="AL719" s="1"/>
  <c r="AL60" s="1"/>
  <c r="AK383"/>
  <c r="AL383"/>
  <c r="AK518"/>
  <c r="AM383"/>
  <c r="AL518"/>
  <c r="AN383"/>
  <c r="AM518"/>
  <c r="T520"/>
  <c r="C520"/>
  <c r="D520"/>
  <c r="G520"/>
  <c r="I520"/>
  <c r="J520"/>
  <c r="L520"/>
  <c r="M520"/>
  <c r="N520"/>
  <c r="P520"/>
  <c r="U385"/>
  <c r="E385"/>
  <c r="F385"/>
  <c r="L385"/>
  <c r="N385"/>
  <c r="O385"/>
  <c r="Q385"/>
  <c r="R385"/>
  <c r="T385"/>
  <c r="U520"/>
  <c r="V385"/>
  <c r="E520"/>
  <c r="F520"/>
  <c r="H520"/>
  <c r="K520"/>
  <c r="O520"/>
  <c r="Q520"/>
  <c r="R520"/>
  <c r="S520"/>
  <c r="C385"/>
  <c r="D385"/>
  <c r="G385"/>
  <c r="H385"/>
  <c r="I385"/>
  <c r="J385"/>
  <c r="K385"/>
  <c r="M385"/>
  <c r="P385"/>
  <c r="S385"/>
  <c r="V520"/>
  <c r="W385"/>
  <c r="X385"/>
  <c r="W520"/>
  <c r="Y385"/>
  <c r="X520"/>
  <c r="Y520"/>
  <c r="Z385"/>
  <c r="Z520"/>
  <c r="AA385"/>
  <c r="AB385"/>
  <c r="AA520"/>
  <c r="AB520"/>
  <c r="AC385"/>
  <c r="AD385"/>
  <c r="AC520"/>
  <c r="AE385"/>
  <c r="AD520"/>
  <c r="AF385"/>
  <c r="AE520"/>
  <c r="AF520"/>
  <c r="AG385"/>
  <c r="AG520"/>
  <c r="AH385"/>
  <c r="AI385"/>
  <c r="AH520"/>
  <c r="AJ385"/>
  <c r="AI520"/>
  <c r="AJ520"/>
  <c r="AK385"/>
  <c r="AL385"/>
  <c r="AK520"/>
  <c r="AL520"/>
  <c r="AM385"/>
  <c r="AN385"/>
  <c r="AM520"/>
  <c r="T522"/>
  <c r="C522"/>
  <c r="E522"/>
  <c r="F522"/>
  <c r="H522"/>
  <c r="K522"/>
  <c r="R522"/>
  <c r="U522"/>
  <c r="C387"/>
  <c r="E387"/>
  <c r="H387"/>
  <c r="I387"/>
  <c r="J387"/>
  <c r="M387"/>
  <c r="P387"/>
  <c r="V387"/>
  <c r="U387"/>
  <c r="D522"/>
  <c r="G522"/>
  <c r="I522"/>
  <c r="J522"/>
  <c r="L522"/>
  <c r="M522"/>
  <c r="N522"/>
  <c r="O522"/>
  <c r="P522"/>
  <c r="Q522"/>
  <c r="S522"/>
  <c r="D387"/>
  <c r="F387"/>
  <c r="G387"/>
  <c r="K387"/>
  <c r="L387"/>
  <c r="N387"/>
  <c r="O387"/>
  <c r="Q387"/>
  <c r="R387"/>
  <c r="S387"/>
  <c r="T387"/>
  <c r="W387"/>
  <c r="V522"/>
  <c r="X387"/>
  <c r="W522"/>
  <c r="X522"/>
  <c r="Y387"/>
  <c r="Z387"/>
  <c r="Y522"/>
  <c r="AA387"/>
  <c r="Z522"/>
  <c r="AB387"/>
  <c r="AA522"/>
  <c r="AC387"/>
  <c r="AB522"/>
  <c r="AC522"/>
  <c r="AD387"/>
  <c r="AE387"/>
  <c r="AD522"/>
  <c r="AF387"/>
  <c r="AE522"/>
  <c r="AG387"/>
  <c r="AF522"/>
  <c r="AG522"/>
  <c r="AH387"/>
  <c r="AI387"/>
  <c r="AH522"/>
  <c r="AJ387"/>
  <c r="AI522"/>
  <c r="AJ522"/>
  <c r="AK387"/>
  <c r="AK522"/>
  <c r="AL387"/>
  <c r="AM387"/>
  <c r="AL522"/>
  <c r="AM522"/>
  <c r="AN387"/>
  <c r="U389"/>
  <c r="T524"/>
  <c r="C524"/>
  <c r="D524"/>
  <c r="E524"/>
  <c r="F524"/>
  <c r="G524"/>
  <c r="H524"/>
  <c r="I524"/>
  <c r="K524"/>
  <c r="L524"/>
  <c r="M524"/>
  <c r="O524"/>
  <c r="Q524"/>
  <c r="R524"/>
  <c r="S524"/>
  <c r="C389"/>
  <c r="D389"/>
  <c r="G389"/>
  <c r="H389"/>
  <c r="J389"/>
  <c r="K389"/>
  <c r="P389"/>
  <c r="Q389"/>
  <c r="S389"/>
  <c r="V389"/>
  <c r="J524"/>
  <c r="N524"/>
  <c r="P524"/>
  <c r="U524"/>
  <c r="E389"/>
  <c r="F389"/>
  <c r="I389"/>
  <c r="L389"/>
  <c r="M389"/>
  <c r="N389"/>
  <c r="O389"/>
  <c r="R389"/>
  <c r="T389"/>
  <c r="W389"/>
  <c r="V524"/>
  <c r="X389"/>
  <c r="W524"/>
  <c r="X524"/>
  <c r="Y389"/>
  <c r="Y524"/>
  <c r="Z389"/>
  <c r="AA389"/>
  <c r="Z524"/>
  <c r="AB389"/>
  <c r="AA524"/>
  <c r="AC389"/>
  <c r="AB524"/>
  <c r="AD389"/>
  <c r="AC524"/>
  <c r="AD524"/>
  <c r="AE389"/>
  <c r="AF389"/>
  <c r="AE524"/>
  <c r="AG389"/>
  <c r="AF524"/>
  <c r="AH389"/>
  <c r="AG524"/>
  <c r="AI389"/>
  <c r="AH524"/>
  <c r="AJ389"/>
  <c r="AI524"/>
  <c r="AK389"/>
  <c r="AJ524"/>
  <c r="AK524"/>
  <c r="AL389"/>
  <c r="AM389"/>
  <c r="AL524"/>
  <c r="AN389"/>
  <c r="AM524"/>
  <c r="AP767"/>
  <c r="AP752" s="1"/>
  <c r="AP66" s="1"/>
  <c r="B757"/>
  <c r="AO542" s="1"/>
  <c r="U409"/>
  <c r="T544"/>
  <c r="F544"/>
  <c r="H544"/>
  <c r="K544"/>
  <c r="O544"/>
  <c r="Q544"/>
  <c r="R544"/>
  <c r="S544"/>
  <c r="U544"/>
  <c r="E409"/>
  <c r="F409"/>
  <c r="I409"/>
  <c r="L409"/>
  <c r="M409"/>
  <c r="N409"/>
  <c r="O409"/>
  <c r="R409"/>
  <c r="T409"/>
  <c r="V409"/>
  <c r="C544"/>
  <c r="D544"/>
  <c r="E544"/>
  <c r="G544"/>
  <c r="I544"/>
  <c r="J544"/>
  <c r="L544"/>
  <c r="M544"/>
  <c r="N544"/>
  <c r="P544"/>
  <c r="C409"/>
  <c r="D409"/>
  <c r="G409"/>
  <c r="H409"/>
  <c r="J409"/>
  <c r="K409"/>
  <c r="P409"/>
  <c r="Q409"/>
  <c r="S409"/>
  <c r="V544"/>
  <c r="W409"/>
  <c r="X409"/>
  <c r="W544"/>
  <c r="Y409"/>
  <c r="X544"/>
  <c r="Z409"/>
  <c r="Y544"/>
  <c r="Z544"/>
  <c r="AA409"/>
  <c r="AB409"/>
  <c r="AA544"/>
  <c r="AB544"/>
  <c r="AC409"/>
  <c r="AC544"/>
  <c r="AD409"/>
  <c r="AE409"/>
  <c r="AD544"/>
  <c r="AF409"/>
  <c r="AE544"/>
  <c r="AG771"/>
  <c r="AG779" s="1"/>
  <c r="AG751" s="1"/>
  <c r="AG61" s="1"/>
  <c r="AG409"/>
  <c r="AF544"/>
  <c r="AH771"/>
  <c r="AH779" s="1"/>
  <c r="AH751" s="1"/>
  <c r="AH61" s="1"/>
  <c r="AI771"/>
  <c r="AI779" s="1"/>
  <c r="AI751" s="1"/>
  <c r="AI61" s="1"/>
  <c r="AG544"/>
  <c r="AH409"/>
  <c r="AI409"/>
  <c r="AH544"/>
  <c r="AJ771"/>
  <c r="AJ779" s="1"/>
  <c r="AJ751" s="1"/>
  <c r="AJ61" s="1"/>
  <c r="AJ409"/>
  <c r="AI544"/>
  <c r="AK771"/>
  <c r="AK779" s="1"/>
  <c r="AK751" s="1"/>
  <c r="AK61" s="1"/>
  <c r="AK409"/>
  <c r="AJ544"/>
  <c r="AL771"/>
  <c r="AL779" s="1"/>
  <c r="AL751" s="1"/>
  <c r="AL61" s="1"/>
  <c r="AM771"/>
  <c r="AM779" s="1"/>
  <c r="AM751" s="1"/>
  <c r="AM61" s="1"/>
  <c r="AK544"/>
  <c r="AL409"/>
  <c r="AN771"/>
  <c r="AN779" s="1"/>
  <c r="AN751" s="1"/>
  <c r="AN61" s="1"/>
  <c r="AL544"/>
  <c r="AM409"/>
  <c r="AN409"/>
  <c r="AO771"/>
  <c r="AO779" s="1"/>
  <c r="AO751" s="1"/>
  <c r="AO61" s="1"/>
  <c r="AM544"/>
  <c r="T546"/>
  <c r="D546"/>
  <c r="G546"/>
  <c r="I546"/>
  <c r="J546"/>
  <c r="L546"/>
  <c r="M546"/>
  <c r="N546"/>
  <c r="O546"/>
  <c r="P546"/>
  <c r="Q546"/>
  <c r="S546"/>
  <c r="U546"/>
  <c r="C411"/>
  <c r="E411"/>
  <c r="H411"/>
  <c r="I411"/>
  <c r="J411"/>
  <c r="M411"/>
  <c r="P411"/>
  <c r="V411"/>
  <c r="U411"/>
  <c r="C546"/>
  <c r="E546"/>
  <c r="F546"/>
  <c r="H546"/>
  <c r="K546"/>
  <c r="R546"/>
  <c r="D411"/>
  <c r="F411"/>
  <c r="G411"/>
  <c r="K411"/>
  <c r="L411"/>
  <c r="N411"/>
  <c r="O411"/>
  <c r="Q411"/>
  <c r="R411"/>
  <c r="S411"/>
  <c r="T411"/>
  <c r="W411"/>
  <c r="V546"/>
  <c r="X411"/>
  <c r="W546"/>
  <c r="X546"/>
  <c r="Y411"/>
  <c r="Z411"/>
  <c r="Y546"/>
  <c r="AA411"/>
  <c r="Z546"/>
  <c r="AB411"/>
  <c r="AA546"/>
  <c r="AC411"/>
  <c r="AB546"/>
  <c r="AC546"/>
  <c r="AD411"/>
  <c r="AE411"/>
  <c r="AD546"/>
  <c r="AF411"/>
  <c r="AE546"/>
  <c r="AG411"/>
  <c r="AF546"/>
  <c r="AG546"/>
  <c r="AH411"/>
  <c r="AI411"/>
  <c r="AH546"/>
  <c r="AJ411"/>
  <c r="AI546"/>
  <c r="AJ546"/>
  <c r="AK411"/>
  <c r="AK546"/>
  <c r="AL411"/>
  <c r="AM411"/>
  <c r="AL546"/>
  <c r="AM546"/>
  <c r="AN411"/>
  <c r="U413"/>
  <c r="T548"/>
  <c r="J548"/>
  <c r="N548"/>
  <c r="P548"/>
  <c r="C413"/>
  <c r="D413"/>
  <c r="G413"/>
  <c r="H413"/>
  <c r="J413"/>
  <c r="K413"/>
  <c r="P413"/>
  <c r="Q413"/>
  <c r="S413"/>
  <c r="V413"/>
  <c r="C548"/>
  <c r="D548"/>
  <c r="E548"/>
  <c r="F548"/>
  <c r="G548"/>
  <c r="H548"/>
  <c r="I548"/>
  <c r="K548"/>
  <c r="L548"/>
  <c r="M548"/>
  <c r="O548"/>
  <c r="Q548"/>
  <c r="R548"/>
  <c r="S548"/>
  <c r="U548"/>
  <c r="E413"/>
  <c r="F413"/>
  <c r="I413"/>
  <c r="L413"/>
  <c r="M413"/>
  <c r="N413"/>
  <c r="O413"/>
  <c r="R413"/>
  <c r="T413"/>
  <c r="W413"/>
  <c r="V548"/>
  <c r="X413"/>
  <c r="W548"/>
  <c r="X548"/>
  <c r="Y413"/>
  <c r="Y548"/>
  <c r="Z413"/>
  <c r="AA413"/>
  <c r="Z548"/>
  <c r="AB413"/>
  <c r="AA548"/>
  <c r="AC413"/>
  <c r="AB548"/>
  <c r="AD413"/>
  <c r="AC548"/>
  <c r="AD548"/>
  <c r="AE413"/>
  <c r="AF413"/>
  <c r="AE548"/>
  <c r="AG413"/>
  <c r="AF548"/>
  <c r="AH413"/>
  <c r="AG548"/>
  <c r="AI413"/>
  <c r="AH548"/>
  <c r="AJ413"/>
  <c r="AI548"/>
  <c r="AK413"/>
  <c r="AJ548"/>
  <c r="AK548"/>
  <c r="AL413"/>
  <c r="AM413"/>
  <c r="AL548"/>
  <c r="AN413"/>
  <c r="AM548"/>
  <c r="T550"/>
  <c r="C550"/>
  <c r="D550"/>
  <c r="E550"/>
  <c r="G550"/>
  <c r="I550"/>
  <c r="J550"/>
  <c r="K550"/>
  <c r="M550"/>
  <c r="N550"/>
  <c r="O550"/>
  <c r="P550"/>
  <c r="D415"/>
  <c r="F415"/>
  <c r="G415"/>
  <c r="K415"/>
  <c r="L415"/>
  <c r="N415"/>
  <c r="O415"/>
  <c r="Q415"/>
  <c r="R415"/>
  <c r="S415"/>
  <c r="T415"/>
  <c r="V415"/>
  <c r="F550"/>
  <c r="H550"/>
  <c r="L550"/>
  <c r="Q550"/>
  <c r="R550"/>
  <c r="S550"/>
  <c r="U550"/>
  <c r="C415"/>
  <c r="E415"/>
  <c r="H415"/>
  <c r="I415"/>
  <c r="J415"/>
  <c r="M415"/>
  <c r="P415"/>
  <c r="U415"/>
  <c r="V550"/>
  <c r="W415"/>
  <c r="X415"/>
  <c r="W550"/>
  <c r="X550"/>
  <c r="Y415"/>
  <c r="Y550"/>
  <c r="Z415"/>
  <c r="Z550"/>
  <c r="AA415"/>
  <c r="AA550"/>
  <c r="AB415"/>
  <c r="AC415"/>
  <c r="AB550"/>
  <c r="AC550"/>
  <c r="AD415"/>
  <c r="AE415"/>
  <c r="AD550"/>
  <c r="AF415"/>
  <c r="AE550"/>
  <c r="AF550"/>
  <c r="AG415"/>
  <c r="AH415"/>
  <c r="AG550"/>
  <c r="AH550"/>
  <c r="AI415"/>
  <c r="AJ415"/>
  <c r="AI550"/>
  <c r="AJ550"/>
  <c r="AK415"/>
  <c r="AL415"/>
  <c r="AK550"/>
  <c r="AL550"/>
  <c r="AM415"/>
  <c r="AN415"/>
  <c r="AM550"/>
  <c r="AP799"/>
  <c r="AP784" s="1"/>
  <c r="AP67" s="1"/>
  <c r="B789"/>
  <c r="AP433" s="1"/>
  <c r="T570"/>
  <c r="C570"/>
  <c r="E570"/>
  <c r="F570"/>
  <c r="H570"/>
  <c r="K570"/>
  <c r="R570"/>
  <c r="U570"/>
  <c r="C435"/>
  <c r="E435"/>
  <c r="H435"/>
  <c r="I435"/>
  <c r="J435"/>
  <c r="M435"/>
  <c r="P435"/>
  <c r="V435"/>
  <c r="U435"/>
  <c r="D570"/>
  <c r="G570"/>
  <c r="I570"/>
  <c r="J570"/>
  <c r="L570"/>
  <c r="M570"/>
  <c r="N570"/>
  <c r="O570"/>
  <c r="P570"/>
  <c r="Q570"/>
  <c r="S570"/>
  <c r="D435"/>
  <c r="F435"/>
  <c r="G435"/>
  <c r="K435"/>
  <c r="L435"/>
  <c r="N435"/>
  <c r="O435"/>
  <c r="Q435"/>
  <c r="R435"/>
  <c r="S435"/>
  <c r="T435"/>
  <c r="W435"/>
  <c r="V570"/>
  <c r="X435"/>
  <c r="W570"/>
  <c r="X570"/>
  <c r="Y435"/>
  <c r="Z435"/>
  <c r="Y570"/>
  <c r="AA435"/>
  <c r="Z570"/>
  <c r="AB435"/>
  <c r="AA570"/>
  <c r="AC435"/>
  <c r="AB570"/>
  <c r="AC570"/>
  <c r="AD435"/>
  <c r="AE435"/>
  <c r="AD570"/>
  <c r="AF435"/>
  <c r="AE570"/>
  <c r="AG435"/>
  <c r="AF570"/>
  <c r="AG570"/>
  <c r="AH435"/>
  <c r="AI435"/>
  <c r="AH570"/>
  <c r="AJ435"/>
  <c r="AI570"/>
  <c r="AJ570"/>
  <c r="AK435"/>
  <c r="AK570"/>
  <c r="AL435"/>
  <c r="AM435"/>
  <c r="AL570"/>
  <c r="AM570"/>
  <c r="AN435"/>
  <c r="U437"/>
  <c r="T572"/>
  <c r="C572"/>
  <c r="D572"/>
  <c r="E572"/>
  <c r="F572"/>
  <c r="G572"/>
  <c r="H572"/>
  <c r="I572"/>
  <c r="K572"/>
  <c r="L572"/>
  <c r="M572"/>
  <c r="O572"/>
  <c r="Q572"/>
  <c r="R572"/>
  <c r="S572"/>
  <c r="C437"/>
  <c r="D437"/>
  <c r="G437"/>
  <c r="H437"/>
  <c r="J437"/>
  <c r="K437"/>
  <c r="P437"/>
  <c r="Q437"/>
  <c r="S437"/>
  <c r="V437"/>
  <c r="J572"/>
  <c r="N572"/>
  <c r="P572"/>
  <c r="U572"/>
  <c r="E437"/>
  <c r="F437"/>
  <c r="I437"/>
  <c r="L437"/>
  <c r="M437"/>
  <c r="N437"/>
  <c r="O437"/>
  <c r="R437"/>
  <c r="T437"/>
  <c r="W437"/>
  <c r="V572"/>
  <c r="X437"/>
  <c r="W572"/>
  <c r="X572"/>
  <c r="Y437"/>
  <c r="Y572"/>
  <c r="Z437"/>
  <c r="AA437"/>
  <c r="Z572"/>
  <c r="AB437"/>
  <c r="AA572"/>
  <c r="AC437"/>
  <c r="AB572"/>
  <c r="AD437"/>
  <c r="AC572"/>
  <c r="AD572"/>
  <c r="AE437"/>
  <c r="AF437"/>
  <c r="AE572"/>
  <c r="AG437"/>
  <c r="AF572"/>
  <c r="AH437"/>
  <c r="AG572"/>
  <c r="AI437"/>
  <c r="AH572"/>
  <c r="AJ437"/>
  <c r="AI572"/>
  <c r="AK437"/>
  <c r="AJ572"/>
  <c r="AK572"/>
  <c r="AL437"/>
  <c r="AM437"/>
  <c r="AL572"/>
  <c r="AN437"/>
  <c r="AM572"/>
  <c r="T574"/>
  <c r="F574"/>
  <c r="H574"/>
  <c r="L574"/>
  <c r="Q574"/>
  <c r="R574"/>
  <c r="S574"/>
  <c r="D439"/>
  <c r="F439"/>
  <c r="G439"/>
  <c r="K439"/>
  <c r="L439"/>
  <c r="N439"/>
  <c r="O439"/>
  <c r="Q439"/>
  <c r="R439"/>
  <c r="S439"/>
  <c r="T439"/>
  <c r="V439"/>
  <c r="C574"/>
  <c r="D574"/>
  <c r="E574"/>
  <c r="G574"/>
  <c r="I574"/>
  <c r="J574"/>
  <c r="K574"/>
  <c r="M574"/>
  <c r="N574"/>
  <c r="O574"/>
  <c r="P574"/>
  <c r="U574"/>
  <c r="C439"/>
  <c r="E439"/>
  <c r="H439"/>
  <c r="I439"/>
  <c r="J439"/>
  <c r="M439"/>
  <c r="P439"/>
  <c r="U439"/>
  <c r="V574"/>
  <c r="W439"/>
  <c r="X439"/>
  <c r="W574"/>
  <c r="X574"/>
  <c r="Y439"/>
  <c r="Y574"/>
  <c r="Z439"/>
  <c r="Z574"/>
  <c r="AA439"/>
  <c r="AA574"/>
  <c r="AB439"/>
  <c r="AC439"/>
  <c r="AB574"/>
  <c r="AC574"/>
  <c r="AD439"/>
  <c r="AE439"/>
  <c r="AD574"/>
  <c r="AF439"/>
  <c r="AE574"/>
  <c r="AF574"/>
  <c r="AG439"/>
  <c r="AH439"/>
  <c r="AG574"/>
  <c r="AH574"/>
  <c r="AI439"/>
  <c r="AJ439"/>
  <c r="AI574"/>
  <c r="AJ574"/>
  <c r="AK439"/>
  <c r="AL439"/>
  <c r="AK574"/>
  <c r="AL574"/>
  <c r="AM439"/>
  <c r="AN439"/>
  <c r="AM574"/>
  <c r="U441"/>
  <c r="T576"/>
  <c r="F576"/>
  <c r="H576"/>
  <c r="K576"/>
  <c r="O576"/>
  <c r="Q576"/>
  <c r="R576"/>
  <c r="S576"/>
  <c r="U576"/>
  <c r="E441"/>
  <c r="F441"/>
  <c r="I441"/>
  <c r="L441"/>
  <c r="M441"/>
  <c r="N441"/>
  <c r="O441"/>
  <c r="R441"/>
  <c r="T441"/>
  <c r="V441"/>
  <c r="C576"/>
  <c r="D576"/>
  <c r="E576"/>
  <c r="G576"/>
  <c r="I576"/>
  <c r="J576"/>
  <c r="L576"/>
  <c r="M576"/>
  <c r="N576"/>
  <c r="P576"/>
  <c r="C441"/>
  <c r="D441"/>
  <c r="G441"/>
  <c r="H441"/>
  <c r="J441"/>
  <c r="K441"/>
  <c r="P441"/>
  <c r="Q441"/>
  <c r="S441"/>
  <c r="V576"/>
  <c r="W441"/>
  <c r="X441"/>
  <c r="W576"/>
  <c r="Y441"/>
  <c r="X576"/>
  <c r="Z441"/>
  <c r="Y576"/>
  <c r="Z576"/>
  <c r="AA441"/>
  <c r="AB441"/>
  <c r="AA576"/>
  <c r="AB576"/>
  <c r="AC441"/>
  <c r="AC576"/>
  <c r="AD441"/>
  <c r="AE441"/>
  <c r="AD576"/>
  <c r="AF441"/>
  <c r="AE576"/>
  <c r="AG441"/>
  <c r="AF576"/>
  <c r="AG576"/>
  <c r="AH441"/>
  <c r="AI441"/>
  <c r="AH576"/>
  <c r="AJ441"/>
  <c r="AI576"/>
  <c r="AK441"/>
  <c r="AJ576"/>
  <c r="AK576"/>
  <c r="AL441"/>
  <c r="AL576"/>
  <c r="AM441"/>
  <c r="AN441"/>
  <c r="AM576"/>
  <c r="AP49"/>
  <c r="AP275" s="1"/>
  <c r="AP293" s="1"/>
  <c r="AO16"/>
  <c r="AO17"/>
  <c r="AK122"/>
  <c r="AO631" i="7"/>
  <c r="AP628" s="1"/>
  <c r="AP27" i="10"/>
  <c r="B739"/>
  <c r="AP771"/>
  <c r="AN524"/>
  <c r="AN548"/>
  <c r="AN572"/>
  <c r="AO576"/>
  <c r="AO572"/>
  <c r="AO548"/>
  <c r="AO544"/>
  <c r="AO524"/>
  <c r="AO385"/>
  <c r="AO575"/>
  <c r="AO571"/>
  <c r="AO551"/>
  <c r="AO547"/>
  <c r="AO543"/>
  <c r="AO523"/>
  <c r="AO519"/>
  <c r="AO118"/>
  <c r="AO15"/>
  <c r="AP699"/>
  <c r="AP700" s="1"/>
  <c r="AP691"/>
  <c r="AP692" s="1"/>
  <c r="AP695"/>
  <c r="AP696" s="1"/>
  <c r="AP687"/>
  <c r="AP688" s="1"/>
  <c r="AP661"/>
  <c r="AP662" s="1"/>
  <c r="AP655"/>
  <c r="AP656" s="1"/>
  <c r="AP130"/>
  <c r="B133" s="1"/>
  <c r="AP29"/>
  <c r="AP31" s="1"/>
  <c r="AP10"/>
  <c r="AP12" s="1"/>
  <c r="AP274" s="1"/>
  <c r="AP292" s="1"/>
  <c r="AP506"/>
  <c r="AP518" s="1"/>
  <c r="AP383"/>
  <c r="AP510"/>
  <c r="AP522" s="1"/>
  <c r="AP387"/>
  <c r="AP530"/>
  <c r="AP534"/>
  <c r="AP546" s="1"/>
  <c r="AP411"/>
  <c r="AP538"/>
  <c r="AP550" s="1"/>
  <c r="AP415"/>
  <c r="AP558"/>
  <c r="AP570" s="1"/>
  <c r="AP435"/>
  <c r="AP562"/>
  <c r="AP574" s="1"/>
  <c r="AP439"/>
  <c r="AP500"/>
  <c r="B481"/>
  <c r="B483"/>
  <c r="B485"/>
  <c r="AP366"/>
  <c r="B347"/>
  <c r="B349"/>
  <c r="B351"/>
  <c r="AP505"/>
  <c r="AP517" s="1"/>
  <c r="AP382"/>
  <c r="AP509"/>
  <c r="AP521" s="1"/>
  <c r="AP386"/>
  <c r="AP513"/>
  <c r="AP525" s="1"/>
  <c r="AP390"/>
  <c r="AP533"/>
  <c r="AP545" s="1"/>
  <c r="AP410"/>
  <c r="AP537"/>
  <c r="AP549" s="1"/>
  <c r="AP414"/>
  <c r="AP557"/>
  <c r="AP569" s="1"/>
  <c r="AP434"/>
  <c r="AP561"/>
  <c r="AP573" s="1"/>
  <c r="AP438"/>
  <c r="AP565"/>
  <c r="AP577" s="1"/>
  <c r="AP442"/>
  <c r="O738"/>
  <c r="O747" s="1"/>
  <c r="O719" s="1"/>
  <c r="O60" s="1"/>
  <c r="P738"/>
  <c r="P747" s="1"/>
  <c r="P719" s="1"/>
  <c r="P60" s="1"/>
  <c r="Q738"/>
  <c r="Q747" s="1"/>
  <c r="Q719" s="1"/>
  <c r="Q60" s="1"/>
  <c r="R738"/>
  <c r="R747" s="1"/>
  <c r="R719" s="1"/>
  <c r="R60" s="1"/>
  <c r="S738"/>
  <c r="S747" s="1"/>
  <c r="S719" s="1"/>
  <c r="S60" s="1"/>
  <c r="T738"/>
  <c r="T747" s="1"/>
  <c r="T719" s="1"/>
  <c r="T60" s="1"/>
  <c r="U738"/>
  <c r="U747" s="1"/>
  <c r="U719" s="1"/>
  <c r="U60" s="1"/>
  <c r="V738"/>
  <c r="V747" s="1"/>
  <c r="V719" s="1"/>
  <c r="V60" s="1"/>
  <c r="T517"/>
  <c r="W738"/>
  <c r="W747" s="1"/>
  <c r="W719" s="1"/>
  <c r="W60" s="1"/>
  <c r="C517"/>
  <c r="D517"/>
  <c r="E517"/>
  <c r="I517"/>
  <c r="K517"/>
  <c r="L517"/>
  <c r="M517"/>
  <c r="N517"/>
  <c r="P517"/>
  <c r="C382"/>
  <c r="P382"/>
  <c r="Q382"/>
  <c r="V382"/>
  <c r="F517"/>
  <c r="G517"/>
  <c r="H517"/>
  <c r="J517"/>
  <c r="O517"/>
  <c r="Q517"/>
  <c r="R517"/>
  <c r="S517"/>
  <c r="U517"/>
  <c r="D382"/>
  <c r="E382"/>
  <c r="F382"/>
  <c r="G382"/>
  <c r="H382"/>
  <c r="I382"/>
  <c r="J382"/>
  <c r="K382"/>
  <c r="L382"/>
  <c r="M382"/>
  <c r="N382"/>
  <c r="O382"/>
  <c r="R382"/>
  <c r="S382"/>
  <c r="T382"/>
  <c r="U382"/>
  <c r="W382"/>
  <c r="V517"/>
  <c r="X738"/>
  <c r="X747" s="1"/>
  <c r="X719" s="1"/>
  <c r="X60" s="1"/>
  <c r="X382"/>
  <c r="W517"/>
  <c r="Y738"/>
  <c r="Y747" s="1"/>
  <c r="Y719" s="1"/>
  <c r="Y60" s="1"/>
  <c r="X517"/>
  <c r="Z738"/>
  <c r="Z747" s="1"/>
  <c r="Z719" s="1"/>
  <c r="Z60" s="1"/>
  <c r="Y382"/>
  <c r="Y517"/>
  <c r="Z382"/>
  <c r="AA382"/>
  <c r="Z517"/>
  <c r="AB382"/>
  <c r="AA517"/>
  <c r="AC382"/>
  <c r="AB517"/>
  <c r="AC517"/>
  <c r="AD382"/>
  <c r="AE382"/>
  <c r="AD517"/>
  <c r="AF382"/>
  <c r="AE517"/>
  <c r="AG382"/>
  <c r="AF517"/>
  <c r="AH382"/>
  <c r="AG517"/>
  <c r="AI382"/>
  <c r="AH517"/>
  <c r="AJ382"/>
  <c r="AI517"/>
  <c r="AJ517"/>
  <c r="AK382"/>
  <c r="AL382"/>
  <c r="AK517"/>
  <c r="AM382"/>
  <c r="AL517"/>
  <c r="AM517"/>
  <c r="AN382"/>
  <c r="U384"/>
  <c r="T519"/>
  <c r="V384"/>
  <c r="C519"/>
  <c r="D519"/>
  <c r="E519"/>
  <c r="G519"/>
  <c r="J519"/>
  <c r="N519"/>
  <c r="P519"/>
  <c r="Q519"/>
  <c r="E384"/>
  <c r="H384"/>
  <c r="I384"/>
  <c r="J384"/>
  <c r="M384"/>
  <c r="O384"/>
  <c r="P384"/>
  <c r="F519"/>
  <c r="H519"/>
  <c r="I519"/>
  <c r="K519"/>
  <c r="L519"/>
  <c r="M519"/>
  <c r="O519"/>
  <c r="R519"/>
  <c r="S519"/>
  <c r="U519"/>
  <c r="C384"/>
  <c r="D384"/>
  <c r="F384"/>
  <c r="G384"/>
  <c r="K384"/>
  <c r="L384"/>
  <c r="N384"/>
  <c r="Q384"/>
  <c r="R384"/>
  <c r="S384"/>
  <c r="T384"/>
  <c r="V519"/>
  <c r="W384"/>
  <c r="X384"/>
  <c r="W519"/>
  <c r="X519"/>
  <c r="Y384"/>
  <c r="Z384"/>
  <c r="Y519"/>
  <c r="AA384"/>
  <c r="Z519"/>
  <c r="AB384"/>
  <c r="AA519"/>
  <c r="AC384"/>
  <c r="AB519"/>
  <c r="AC519"/>
  <c r="AD384"/>
  <c r="AD519"/>
  <c r="AE384"/>
  <c r="AF384"/>
  <c r="AE519"/>
  <c r="AG384"/>
  <c r="AF519"/>
  <c r="AG519"/>
  <c r="AH384"/>
  <c r="AI384"/>
  <c r="AH519"/>
  <c r="AJ384"/>
  <c r="AI519"/>
  <c r="AK384"/>
  <c r="AJ519"/>
  <c r="AM740"/>
  <c r="AM747" s="1"/>
  <c r="AM719" s="1"/>
  <c r="AM60" s="1"/>
  <c r="AK519"/>
  <c r="AL384"/>
  <c r="AN740"/>
  <c r="AN747" s="1"/>
  <c r="AN719" s="1"/>
  <c r="AN60" s="1"/>
  <c r="AM384"/>
  <c r="AL519"/>
  <c r="AN384"/>
  <c r="AO740"/>
  <c r="AO747" s="1"/>
  <c r="AO719" s="1"/>
  <c r="AO60" s="1"/>
  <c r="AM519"/>
  <c r="T521"/>
  <c r="D521"/>
  <c r="E521"/>
  <c r="H521"/>
  <c r="J521"/>
  <c r="N521"/>
  <c r="P521"/>
  <c r="S521"/>
  <c r="U521"/>
  <c r="D386"/>
  <c r="E386"/>
  <c r="F386"/>
  <c r="G386"/>
  <c r="H386"/>
  <c r="I386"/>
  <c r="J386"/>
  <c r="K386"/>
  <c r="L386"/>
  <c r="M386"/>
  <c r="N386"/>
  <c r="O386"/>
  <c r="R386"/>
  <c r="S386"/>
  <c r="T386"/>
  <c r="V386"/>
  <c r="U386"/>
  <c r="C521"/>
  <c r="F521"/>
  <c r="G521"/>
  <c r="I521"/>
  <c r="K521"/>
  <c r="L521"/>
  <c r="M521"/>
  <c r="O521"/>
  <c r="Q521"/>
  <c r="R521"/>
  <c r="C386"/>
  <c r="P386"/>
  <c r="Q386"/>
  <c r="V521"/>
  <c r="W386"/>
  <c r="X386"/>
  <c r="W521"/>
  <c r="X521"/>
  <c r="Y386"/>
  <c r="Z386"/>
  <c r="Y521"/>
  <c r="Z521"/>
  <c r="AA386"/>
  <c r="AA521"/>
  <c r="AB386"/>
  <c r="AC386"/>
  <c r="AB521"/>
  <c r="AC521"/>
  <c r="AD386"/>
  <c r="AE386"/>
  <c r="AD521"/>
  <c r="AF386"/>
  <c r="AE521"/>
  <c r="AF521"/>
  <c r="AG386"/>
  <c r="AG521"/>
  <c r="AH386"/>
  <c r="AH521"/>
  <c r="AI386"/>
  <c r="AJ386"/>
  <c r="AI521"/>
  <c r="AJ521"/>
  <c r="AK386"/>
  <c r="AK521"/>
  <c r="AL386"/>
  <c r="AL521"/>
  <c r="AM386"/>
  <c r="AN386"/>
  <c r="AM521"/>
  <c r="U388"/>
  <c r="T523"/>
  <c r="V388"/>
  <c r="C523"/>
  <c r="D523"/>
  <c r="G523"/>
  <c r="J523"/>
  <c r="K523"/>
  <c r="L523"/>
  <c r="N523"/>
  <c r="O523"/>
  <c r="P523"/>
  <c r="S523"/>
  <c r="U523"/>
  <c r="C388"/>
  <c r="D388"/>
  <c r="F388"/>
  <c r="G388"/>
  <c r="K388"/>
  <c r="L388"/>
  <c r="N388"/>
  <c r="Q388"/>
  <c r="R388"/>
  <c r="S388"/>
  <c r="T388"/>
  <c r="E523"/>
  <c r="F523"/>
  <c r="H523"/>
  <c r="I523"/>
  <c r="M523"/>
  <c r="Q523"/>
  <c r="R523"/>
  <c r="E388"/>
  <c r="H388"/>
  <c r="I388"/>
  <c r="J388"/>
  <c r="M388"/>
  <c r="O388"/>
  <c r="P388"/>
  <c r="V523"/>
  <c r="W388"/>
  <c r="X388"/>
  <c r="W523"/>
  <c r="Y388"/>
  <c r="X523"/>
  <c r="Y523"/>
  <c r="Z388"/>
  <c r="Z523"/>
  <c r="AA388"/>
  <c r="AB388"/>
  <c r="AA523"/>
  <c r="AB523"/>
  <c r="AC388"/>
  <c r="AD388"/>
  <c r="AC523"/>
  <c r="AE388"/>
  <c r="AD523"/>
  <c r="AF388"/>
  <c r="AE523"/>
  <c r="AG388"/>
  <c r="AF523"/>
  <c r="AH388"/>
  <c r="AG523"/>
  <c r="AI388"/>
  <c r="AH523"/>
  <c r="AJ388"/>
  <c r="AI523"/>
  <c r="AK388"/>
  <c r="AJ523"/>
  <c r="AK523"/>
  <c r="AL388"/>
  <c r="AL523"/>
  <c r="AM388"/>
  <c r="AN388"/>
  <c r="AM523"/>
  <c r="T525"/>
  <c r="F525"/>
  <c r="G525"/>
  <c r="H525"/>
  <c r="J525"/>
  <c r="O525"/>
  <c r="Q525"/>
  <c r="R525"/>
  <c r="S525"/>
  <c r="C390"/>
  <c r="P390"/>
  <c r="Q390"/>
  <c r="V390"/>
  <c r="C525"/>
  <c r="D525"/>
  <c r="E525"/>
  <c r="I525"/>
  <c r="K525"/>
  <c r="L525"/>
  <c r="M525"/>
  <c r="N525"/>
  <c r="P525"/>
  <c r="U525"/>
  <c r="D390"/>
  <c r="E390"/>
  <c r="F390"/>
  <c r="G390"/>
  <c r="H390"/>
  <c r="I390"/>
  <c r="J390"/>
  <c r="K390"/>
  <c r="L390"/>
  <c r="M390"/>
  <c r="N390"/>
  <c r="O390"/>
  <c r="R390"/>
  <c r="S390"/>
  <c r="T390"/>
  <c r="U390"/>
  <c r="W390"/>
  <c r="V525"/>
  <c r="X390"/>
  <c r="W525"/>
  <c r="X525"/>
  <c r="Y390"/>
  <c r="Y525"/>
  <c r="Z390"/>
  <c r="AA390"/>
  <c r="Z525"/>
  <c r="AB390"/>
  <c r="AA525"/>
  <c r="AC390"/>
  <c r="AB525"/>
  <c r="AC525"/>
  <c r="AD390"/>
  <c r="AE390"/>
  <c r="AD525"/>
  <c r="AF390"/>
  <c r="AE525"/>
  <c r="AG390"/>
  <c r="AF525"/>
  <c r="AH390"/>
  <c r="AG525"/>
  <c r="AI390"/>
  <c r="AH525"/>
  <c r="AJ390"/>
  <c r="AI525"/>
  <c r="AJ525"/>
  <c r="AK390"/>
  <c r="AL390"/>
  <c r="AK525"/>
  <c r="AM390"/>
  <c r="AL525"/>
  <c r="AM525"/>
  <c r="AN390"/>
  <c r="R770"/>
  <c r="R779" s="1"/>
  <c r="R751" s="1"/>
  <c r="R61" s="1"/>
  <c r="S770"/>
  <c r="S779" s="1"/>
  <c r="S751" s="1"/>
  <c r="S61" s="1"/>
  <c r="T770"/>
  <c r="T779" s="1"/>
  <c r="T751" s="1"/>
  <c r="T61" s="1"/>
  <c r="U770"/>
  <c r="U779" s="1"/>
  <c r="U751" s="1"/>
  <c r="U61" s="1"/>
  <c r="V770"/>
  <c r="V779" s="1"/>
  <c r="V751" s="1"/>
  <c r="V61" s="1"/>
  <c r="U408"/>
  <c r="T543"/>
  <c r="D543"/>
  <c r="E543"/>
  <c r="F543"/>
  <c r="H543"/>
  <c r="I543"/>
  <c r="K543"/>
  <c r="L543"/>
  <c r="M543"/>
  <c r="O543"/>
  <c r="R543"/>
  <c r="S543"/>
  <c r="E408"/>
  <c r="H408"/>
  <c r="I408"/>
  <c r="J408"/>
  <c r="M408"/>
  <c r="O408"/>
  <c r="P408"/>
  <c r="V408"/>
  <c r="W770"/>
  <c r="W779" s="1"/>
  <c r="W751" s="1"/>
  <c r="W61" s="1"/>
  <c r="C543"/>
  <c r="G543"/>
  <c r="J543"/>
  <c r="N543"/>
  <c r="P543"/>
  <c r="Q543"/>
  <c r="U543"/>
  <c r="C408"/>
  <c r="D408"/>
  <c r="F408"/>
  <c r="G408"/>
  <c r="K408"/>
  <c r="L408"/>
  <c r="N408"/>
  <c r="Q408"/>
  <c r="R408"/>
  <c r="S408"/>
  <c r="T408"/>
  <c r="X770"/>
  <c r="X779" s="1"/>
  <c r="X751" s="1"/>
  <c r="X61" s="1"/>
  <c r="W408"/>
  <c r="V543"/>
  <c r="Y770"/>
  <c r="Y779" s="1"/>
  <c r="Y751" s="1"/>
  <c r="Y61" s="1"/>
  <c r="X408"/>
  <c r="W543"/>
  <c r="X543"/>
  <c r="Y408"/>
  <c r="Z770"/>
  <c r="Z779" s="1"/>
  <c r="Z751" s="1"/>
  <c r="Z61" s="1"/>
  <c r="AA770"/>
  <c r="AA779" s="1"/>
  <c r="AA751" s="1"/>
  <c r="AA61" s="1"/>
  <c r="Z408"/>
  <c r="Y543"/>
  <c r="AB770"/>
  <c r="AB779" s="1"/>
  <c r="AB751" s="1"/>
  <c r="AB61" s="1"/>
  <c r="AA408"/>
  <c r="Z543"/>
  <c r="AB408"/>
  <c r="AA543"/>
  <c r="AC770"/>
  <c r="AC779" s="1"/>
  <c r="AC751" s="1"/>
  <c r="AC61" s="1"/>
  <c r="AD770"/>
  <c r="AD779" s="1"/>
  <c r="AD751" s="1"/>
  <c r="AD61" s="1"/>
  <c r="AC408"/>
  <c r="AB543"/>
  <c r="AC543"/>
  <c r="AE770"/>
  <c r="AE779" s="1"/>
  <c r="AE751" s="1"/>
  <c r="AE61" s="1"/>
  <c r="AD408"/>
  <c r="AD543"/>
  <c r="AF770"/>
  <c r="AF779" s="1"/>
  <c r="AF751" s="1"/>
  <c r="AF61" s="1"/>
  <c r="AE408"/>
  <c r="AF408"/>
  <c r="AE543"/>
  <c r="AG408"/>
  <c r="AF543"/>
  <c r="AG543"/>
  <c r="AH408"/>
  <c r="AI408"/>
  <c r="AH543"/>
  <c r="AJ408"/>
  <c r="AI543"/>
  <c r="AK408"/>
  <c r="AJ543"/>
  <c r="AK543"/>
  <c r="AL408"/>
  <c r="AM408"/>
  <c r="AL543"/>
  <c r="AN408"/>
  <c r="AM543"/>
  <c r="T545"/>
  <c r="C545"/>
  <c r="F545"/>
  <c r="G545"/>
  <c r="I545"/>
  <c r="K545"/>
  <c r="L545"/>
  <c r="M545"/>
  <c r="O545"/>
  <c r="Q545"/>
  <c r="R545"/>
  <c r="U545"/>
  <c r="D410"/>
  <c r="E410"/>
  <c r="F410"/>
  <c r="G410"/>
  <c r="H410"/>
  <c r="I410"/>
  <c r="J410"/>
  <c r="K410"/>
  <c r="L410"/>
  <c r="M410"/>
  <c r="N410"/>
  <c r="O410"/>
  <c r="R410"/>
  <c r="S410"/>
  <c r="T410"/>
  <c r="V410"/>
  <c r="U410"/>
  <c r="D545"/>
  <c r="E545"/>
  <c r="H545"/>
  <c r="J545"/>
  <c r="N545"/>
  <c r="P545"/>
  <c r="S545"/>
  <c r="C410"/>
  <c r="P410"/>
  <c r="Q410"/>
  <c r="V545"/>
  <c r="W410"/>
  <c r="X410"/>
  <c r="W545"/>
  <c r="X545"/>
  <c r="Y410"/>
  <c r="Z410"/>
  <c r="Y545"/>
  <c r="Z545"/>
  <c r="AA410"/>
  <c r="AA545"/>
  <c r="AB410"/>
  <c r="AC410"/>
  <c r="AB545"/>
  <c r="AC545"/>
  <c r="AD410"/>
  <c r="AE410"/>
  <c r="AD545"/>
  <c r="AF410"/>
  <c r="AE545"/>
  <c r="AF545"/>
  <c r="AG410"/>
  <c r="AG545"/>
  <c r="AH410"/>
  <c r="AH545"/>
  <c r="AI410"/>
  <c r="AJ410"/>
  <c r="AI545"/>
  <c r="AJ545"/>
  <c r="AK410"/>
  <c r="AK545"/>
  <c r="AL410"/>
  <c r="AL545"/>
  <c r="AM410"/>
  <c r="AN410"/>
  <c r="AM545"/>
  <c r="U412"/>
  <c r="T547"/>
  <c r="D547"/>
  <c r="E547"/>
  <c r="F547"/>
  <c r="H547"/>
  <c r="I547"/>
  <c r="M547"/>
  <c r="Q547"/>
  <c r="R547"/>
  <c r="U547"/>
  <c r="C412"/>
  <c r="D412"/>
  <c r="F412"/>
  <c r="G412"/>
  <c r="K412"/>
  <c r="L412"/>
  <c r="N412"/>
  <c r="Q412"/>
  <c r="R412"/>
  <c r="S412"/>
  <c r="T412"/>
  <c r="V412"/>
  <c r="C547"/>
  <c r="G547"/>
  <c r="J547"/>
  <c r="K547"/>
  <c r="L547"/>
  <c r="N547"/>
  <c r="O547"/>
  <c r="P547"/>
  <c r="S547"/>
  <c r="E412"/>
  <c r="H412"/>
  <c r="I412"/>
  <c r="J412"/>
  <c r="M412"/>
  <c r="O412"/>
  <c r="P412"/>
  <c r="V547"/>
  <c r="W412"/>
  <c r="X412"/>
  <c r="W547"/>
  <c r="Y412"/>
  <c r="X547"/>
  <c r="Y547"/>
  <c r="Z412"/>
  <c r="Z547"/>
  <c r="AA412"/>
  <c r="AB412"/>
  <c r="AA547"/>
  <c r="AB547"/>
  <c r="AC412"/>
  <c r="AD412"/>
  <c r="AC547"/>
  <c r="AE412"/>
  <c r="AD547"/>
  <c r="AF412"/>
  <c r="AE547"/>
  <c r="AG412"/>
  <c r="AF547"/>
  <c r="AH412"/>
  <c r="AG547"/>
  <c r="AI412"/>
  <c r="AH547"/>
  <c r="AJ412"/>
  <c r="AI547"/>
  <c r="AK412"/>
  <c r="AJ547"/>
  <c r="AK547"/>
  <c r="AL412"/>
  <c r="AL547"/>
  <c r="AM412"/>
  <c r="AN412"/>
  <c r="AM547"/>
  <c r="T549"/>
  <c r="C549"/>
  <c r="D549"/>
  <c r="E549"/>
  <c r="I549"/>
  <c r="K549"/>
  <c r="L549"/>
  <c r="M549"/>
  <c r="N549"/>
  <c r="P549"/>
  <c r="C414"/>
  <c r="P414"/>
  <c r="Q414"/>
  <c r="V414"/>
  <c r="F549"/>
  <c r="G549"/>
  <c r="H549"/>
  <c r="J549"/>
  <c r="O549"/>
  <c r="Q549"/>
  <c r="R549"/>
  <c r="S549"/>
  <c r="U549"/>
  <c r="D414"/>
  <c r="E414"/>
  <c r="F414"/>
  <c r="G414"/>
  <c r="H414"/>
  <c r="I414"/>
  <c r="J414"/>
  <c r="K414"/>
  <c r="L414"/>
  <c r="M414"/>
  <c r="N414"/>
  <c r="O414"/>
  <c r="R414"/>
  <c r="S414"/>
  <c r="T414"/>
  <c r="U414"/>
  <c r="W414"/>
  <c r="V549"/>
  <c r="X414"/>
  <c r="W549"/>
  <c r="X549"/>
  <c r="Y414"/>
  <c r="Y549"/>
  <c r="Z414"/>
  <c r="AA414"/>
  <c r="Z549"/>
  <c r="AB414"/>
  <c r="AA549"/>
  <c r="AC414"/>
  <c r="AB549"/>
  <c r="AC549"/>
  <c r="AD414"/>
  <c r="AE414"/>
  <c r="AD549"/>
  <c r="AF414"/>
  <c r="AE549"/>
  <c r="AG414"/>
  <c r="AF549"/>
  <c r="AH414"/>
  <c r="AG549"/>
  <c r="AI414"/>
  <c r="AH549"/>
  <c r="AJ414"/>
  <c r="AI549"/>
  <c r="AJ549"/>
  <c r="AK414"/>
  <c r="AL414"/>
  <c r="AK549"/>
  <c r="AM414"/>
  <c r="AL549"/>
  <c r="AM549"/>
  <c r="AN414"/>
  <c r="U416"/>
  <c r="T551"/>
  <c r="C551"/>
  <c r="G551"/>
  <c r="J551"/>
  <c r="N551"/>
  <c r="P551"/>
  <c r="Q551"/>
  <c r="E416"/>
  <c r="H416"/>
  <c r="I416"/>
  <c r="J416"/>
  <c r="M416"/>
  <c r="O416"/>
  <c r="P416"/>
  <c r="V416"/>
  <c r="D551"/>
  <c r="E551"/>
  <c r="F551"/>
  <c r="H551"/>
  <c r="I551"/>
  <c r="K551"/>
  <c r="L551"/>
  <c r="M551"/>
  <c r="O551"/>
  <c r="R551"/>
  <c r="S551"/>
  <c r="U551"/>
  <c r="C416"/>
  <c r="D416"/>
  <c r="F416"/>
  <c r="G416"/>
  <c r="K416"/>
  <c r="L416"/>
  <c r="N416"/>
  <c r="Q416"/>
  <c r="R416"/>
  <c r="S416"/>
  <c r="T416"/>
  <c r="W416"/>
  <c r="V551"/>
  <c r="X416"/>
  <c r="W551"/>
  <c r="X551"/>
  <c r="Y416"/>
  <c r="Z416"/>
  <c r="Y551"/>
  <c r="AA416"/>
  <c r="Z551"/>
  <c r="AB416"/>
  <c r="AA551"/>
  <c r="AC416"/>
  <c r="AB551"/>
  <c r="AC551"/>
  <c r="AD416"/>
  <c r="AD551"/>
  <c r="AE416"/>
  <c r="AF416"/>
  <c r="AE551"/>
  <c r="AG416"/>
  <c r="AF551"/>
  <c r="AG551"/>
  <c r="AH416"/>
  <c r="AI416"/>
  <c r="AH551"/>
  <c r="AJ416"/>
  <c r="AI551"/>
  <c r="AK416"/>
  <c r="AJ551"/>
  <c r="AK551"/>
  <c r="AL416"/>
  <c r="AM416"/>
  <c r="AL551"/>
  <c r="AN416"/>
  <c r="AM551"/>
  <c r="T569"/>
  <c r="W802"/>
  <c r="D569"/>
  <c r="E569"/>
  <c r="H569"/>
  <c r="J569"/>
  <c r="N569"/>
  <c r="P569"/>
  <c r="S569"/>
  <c r="U569"/>
  <c r="D434"/>
  <c r="E434"/>
  <c r="F434"/>
  <c r="G434"/>
  <c r="H434"/>
  <c r="I434"/>
  <c r="J434"/>
  <c r="K434"/>
  <c r="L434"/>
  <c r="M434"/>
  <c r="N434"/>
  <c r="O434"/>
  <c r="R434"/>
  <c r="S434"/>
  <c r="T434"/>
  <c r="V434"/>
  <c r="U434"/>
  <c r="C569"/>
  <c r="F569"/>
  <c r="G569"/>
  <c r="I569"/>
  <c r="K569"/>
  <c r="L569"/>
  <c r="M569"/>
  <c r="O569"/>
  <c r="Q569"/>
  <c r="R569"/>
  <c r="C434"/>
  <c r="P434"/>
  <c r="Q434"/>
  <c r="V569"/>
  <c r="X802"/>
  <c r="X811" s="1"/>
  <c r="X783" s="1"/>
  <c r="X62" s="1"/>
  <c r="W434"/>
  <c r="Y802"/>
  <c r="Y811" s="1"/>
  <c r="Y783" s="1"/>
  <c r="Y62" s="1"/>
  <c r="X434"/>
  <c r="W569"/>
  <c r="X569"/>
  <c r="Z802"/>
  <c r="Z811" s="1"/>
  <c r="Z783" s="1"/>
  <c r="Z62" s="1"/>
  <c r="Y434"/>
  <c r="AA802"/>
  <c r="AA811" s="1"/>
  <c r="AA783" s="1"/>
  <c r="AA62" s="1"/>
  <c r="Z434"/>
  <c r="Y569"/>
  <c r="AB802"/>
  <c r="AB811" s="1"/>
  <c r="AB783" s="1"/>
  <c r="AB62" s="1"/>
  <c r="Z569"/>
  <c r="AA434"/>
  <c r="AA569"/>
  <c r="AC802"/>
  <c r="AC811" s="1"/>
  <c r="AC783" s="1"/>
  <c r="AC62" s="1"/>
  <c r="AB434"/>
  <c r="AC434"/>
  <c r="AD802"/>
  <c r="AB569"/>
  <c r="AE802"/>
  <c r="AE811" s="1"/>
  <c r="AE783" s="1"/>
  <c r="AE62" s="1"/>
  <c r="AC569"/>
  <c r="AD434"/>
  <c r="AE434"/>
  <c r="AF802"/>
  <c r="AD569"/>
  <c r="AG802"/>
  <c r="AG811" s="1"/>
  <c r="AG783" s="1"/>
  <c r="AG62" s="1"/>
  <c r="AF434"/>
  <c r="AE569"/>
  <c r="AF569"/>
  <c r="AG434"/>
  <c r="AH802"/>
  <c r="AH811" s="1"/>
  <c r="AH783" s="1"/>
  <c r="AH62" s="1"/>
  <c r="AG569"/>
  <c r="AH434"/>
  <c r="AI802"/>
  <c r="AI811" s="1"/>
  <c r="AI783" s="1"/>
  <c r="AI62" s="1"/>
  <c r="AH569"/>
  <c r="AI434"/>
  <c r="AJ802"/>
  <c r="AJ811" s="1"/>
  <c r="AJ783" s="1"/>
  <c r="AJ62" s="1"/>
  <c r="AK802"/>
  <c r="AK811" s="1"/>
  <c r="AK783" s="1"/>
  <c r="AK62" s="1"/>
  <c r="AJ434"/>
  <c r="AI569"/>
  <c r="AJ569"/>
  <c r="AL802"/>
  <c r="AL811" s="1"/>
  <c r="AL783" s="1"/>
  <c r="AL62" s="1"/>
  <c r="AK434"/>
  <c r="AK569"/>
  <c r="AM802"/>
  <c r="AM811" s="1"/>
  <c r="AM783" s="1"/>
  <c r="AM62" s="1"/>
  <c r="AL434"/>
  <c r="AN802"/>
  <c r="AN811" s="1"/>
  <c r="AN783" s="1"/>
  <c r="AN62" s="1"/>
  <c r="AL569"/>
  <c r="AM434"/>
  <c r="AO802"/>
  <c r="AO811" s="1"/>
  <c r="AO783" s="1"/>
  <c r="AO62" s="1"/>
  <c r="AN434"/>
  <c r="AM569"/>
  <c r="U436"/>
  <c r="T571"/>
  <c r="C571"/>
  <c r="G571"/>
  <c r="J571"/>
  <c r="K571"/>
  <c r="L571"/>
  <c r="N571"/>
  <c r="O571"/>
  <c r="P571"/>
  <c r="S571"/>
  <c r="U571"/>
  <c r="C436"/>
  <c r="F436"/>
  <c r="G436"/>
  <c r="K436"/>
  <c r="L436"/>
  <c r="N436"/>
  <c r="Q436"/>
  <c r="R436"/>
  <c r="S436"/>
  <c r="T436"/>
  <c r="V436"/>
  <c r="D571"/>
  <c r="E571"/>
  <c r="F571"/>
  <c r="H571"/>
  <c r="I571"/>
  <c r="M571"/>
  <c r="Q571"/>
  <c r="R571"/>
  <c r="D436"/>
  <c r="E436"/>
  <c r="H436"/>
  <c r="I436"/>
  <c r="J436"/>
  <c r="M436"/>
  <c r="O436"/>
  <c r="P436"/>
  <c r="W436"/>
  <c r="V571"/>
  <c r="X436"/>
  <c r="W571"/>
  <c r="Y436"/>
  <c r="X571"/>
  <c r="Y571"/>
  <c r="Z436"/>
  <c r="Z571"/>
  <c r="AA436"/>
  <c r="AB436"/>
  <c r="AA571"/>
  <c r="AB571"/>
  <c r="AC436"/>
  <c r="AD436"/>
  <c r="AC571"/>
  <c r="AE436"/>
  <c r="AD571"/>
  <c r="AF436"/>
  <c r="AE571"/>
  <c r="AG436"/>
  <c r="AF571"/>
  <c r="AH436"/>
  <c r="AG571"/>
  <c r="AI436"/>
  <c r="AH571"/>
  <c r="AJ436"/>
  <c r="AI571"/>
  <c r="AK436"/>
  <c r="AJ571"/>
  <c r="AK571"/>
  <c r="AL436"/>
  <c r="AL571"/>
  <c r="AM436"/>
  <c r="AN436"/>
  <c r="AM571"/>
  <c r="T573"/>
  <c r="F573"/>
  <c r="G573"/>
  <c r="H573"/>
  <c r="J573"/>
  <c r="O573"/>
  <c r="Q573"/>
  <c r="R573"/>
  <c r="S573"/>
  <c r="C438"/>
  <c r="P438"/>
  <c r="Q438"/>
  <c r="V438"/>
  <c r="C573"/>
  <c r="D573"/>
  <c r="E573"/>
  <c r="I573"/>
  <c r="K573"/>
  <c r="L573"/>
  <c r="M573"/>
  <c r="N573"/>
  <c r="P573"/>
  <c r="U573"/>
  <c r="D438"/>
  <c r="E438"/>
  <c r="F438"/>
  <c r="G438"/>
  <c r="H438"/>
  <c r="I438"/>
  <c r="J438"/>
  <c r="K438"/>
  <c r="L438"/>
  <c r="M438"/>
  <c r="N438"/>
  <c r="O438"/>
  <c r="R438"/>
  <c r="S438"/>
  <c r="T438"/>
  <c r="U438"/>
  <c r="W438"/>
  <c r="V573"/>
  <c r="X438"/>
  <c r="W573"/>
  <c r="X573"/>
  <c r="Y438"/>
  <c r="Y573"/>
  <c r="Z438"/>
  <c r="AA438"/>
  <c r="Z573"/>
  <c r="AB438"/>
  <c r="AA573"/>
  <c r="AC438"/>
  <c r="AB573"/>
  <c r="AC573"/>
  <c r="AD438"/>
  <c r="AE438"/>
  <c r="AD573"/>
  <c r="AF438"/>
  <c r="AE573"/>
  <c r="AG438"/>
  <c r="AF573"/>
  <c r="AH438"/>
  <c r="AG573"/>
  <c r="AI438"/>
  <c r="AH573"/>
  <c r="AJ438"/>
  <c r="AI573"/>
  <c r="AJ573"/>
  <c r="AK438"/>
  <c r="AL438"/>
  <c r="AK573"/>
  <c r="AM438"/>
  <c r="AL573"/>
  <c r="AM573"/>
  <c r="AN438"/>
  <c r="U440"/>
  <c r="T575"/>
  <c r="E575"/>
  <c r="F575"/>
  <c r="H575"/>
  <c r="I575"/>
  <c r="K575"/>
  <c r="L575"/>
  <c r="M575"/>
  <c r="O575"/>
  <c r="R575"/>
  <c r="S575"/>
  <c r="D440"/>
  <c r="E440"/>
  <c r="H440"/>
  <c r="I440"/>
  <c r="J440"/>
  <c r="M440"/>
  <c r="O440"/>
  <c r="P440"/>
  <c r="V440"/>
  <c r="C575"/>
  <c r="D575"/>
  <c r="G575"/>
  <c r="J575"/>
  <c r="N575"/>
  <c r="P575"/>
  <c r="Q575"/>
  <c r="U575"/>
  <c r="C440"/>
  <c r="F440"/>
  <c r="G440"/>
  <c r="K440"/>
  <c r="L440"/>
  <c r="N440"/>
  <c r="Q440"/>
  <c r="R440"/>
  <c r="S440"/>
  <c r="T440"/>
  <c r="V575"/>
  <c r="W440"/>
  <c r="X440"/>
  <c r="W575"/>
  <c r="X575"/>
  <c r="Y440"/>
  <c r="Z440"/>
  <c r="Y575"/>
  <c r="AA440"/>
  <c r="Z575"/>
  <c r="AB440"/>
  <c r="AA575"/>
  <c r="AC440"/>
  <c r="AB575"/>
  <c r="AC575"/>
  <c r="AD440"/>
  <c r="AD575"/>
  <c r="AE440"/>
  <c r="AF440"/>
  <c r="AE575"/>
  <c r="AG440"/>
  <c r="AF575"/>
  <c r="AG575"/>
  <c r="AH440"/>
  <c r="AI440"/>
  <c r="AH575"/>
  <c r="AJ440"/>
  <c r="AI575"/>
  <c r="AK440"/>
  <c r="AJ575"/>
  <c r="AK575"/>
  <c r="AL440"/>
  <c r="AM440"/>
  <c r="AL575"/>
  <c r="AN440"/>
  <c r="AM575"/>
  <c r="T577"/>
  <c r="C577"/>
  <c r="F577"/>
  <c r="G577"/>
  <c r="I577"/>
  <c r="K577"/>
  <c r="L577"/>
  <c r="M577"/>
  <c r="O577"/>
  <c r="Q577"/>
  <c r="R577"/>
  <c r="U577"/>
  <c r="D442"/>
  <c r="E442"/>
  <c r="F442"/>
  <c r="G442"/>
  <c r="H442"/>
  <c r="I442"/>
  <c r="J442"/>
  <c r="K442"/>
  <c r="L442"/>
  <c r="M442"/>
  <c r="N442"/>
  <c r="O442"/>
  <c r="R442"/>
  <c r="S442"/>
  <c r="T442"/>
  <c r="V442"/>
  <c r="U442"/>
  <c r="D577"/>
  <c r="E577"/>
  <c r="H577"/>
  <c r="J577"/>
  <c r="N577"/>
  <c r="P577"/>
  <c r="S577"/>
  <c r="C442"/>
  <c r="P442"/>
  <c r="Q442"/>
  <c r="V577"/>
  <c r="W442"/>
  <c r="X442"/>
  <c r="W577"/>
  <c r="X577"/>
  <c r="Y442"/>
  <c r="Z442"/>
  <c r="Y577"/>
  <c r="Z577"/>
  <c r="AA442"/>
  <c r="AA577"/>
  <c r="AB442"/>
  <c r="AC442"/>
  <c r="AB577"/>
  <c r="AC577"/>
  <c r="AD442"/>
  <c r="AE442"/>
  <c r="AD577"/>
  <c r="AF442"/>
  <c r="AE577"/>
  <c r="AF577"/>
  <c r="AG442"/>
  <c r="AG577"/>
  <c r="AH442"/>
  <c r="AH577"/>
  <c r="AI442"/>
  <c r="AJ442"/>
  <c r="AI577"/>
  <c r="AJ577"/>
  <c r="AK442"/>
  <c r="AK577"/>
  <c r="AL442"/>
  <c r="AL577"/>
  <c r="AM442"/>
  <c r="AN442"/>
  <c r="AM577"/>
  <c r="AO129"/>
  <c r="AO68"/>
  <c r="AO75" s="1"/>
  <c r="AP740"/>
  <c r="AN520"/>
  <c r="AN544"/>
  <c r="AN576"/>
  <c r="AN523"/>
  <c r="AN547"/>
  <c r="AN571"/>
  <c r="AO441"/>
  <c r="AO437"/>
  <c r="AO413"/>
  <c r="AO409"/>
  <c r="AO389"/>
  <c r="AO520"/>
  <c r="AO516"/>
  <c r="AO440"/>
  <c r="AO436"/>
  <c r="AO416"/>
  <c r="AO412"/>
  <c r="AO408"/>
  <c r="AO388"/>
  <c r="AO384"/>
  <c r="AP11" i="8"/>
  <c r="AN668"/>
  <c r="AN671" s="1"/>
  <c r="AM63"/>
  <c r="AN723"/>
  <c r="AN708" s="1"/>
  <c r="AN61" s="1"/>
  <c r="AM41"/>
  <c r="AN691"/>
  <c r="AN676" s="1"/>
  <c r="AN60" s="1"/>
  <c r="AN755"/>
  <c r="AN740" s="1"/>
  <c r="AN62" s="1"/>
  <c r="AM96"/>
  <c r="AM664"/>
  <c r="AJ240"/>
  <c r="AJ241" s="1"/>
  <c r="AJ269" s="1"/>
  <c r="AJ270" s="1"/>
  <c r="AJ99" s="1"/>
  <c r="AJ98"/>
  <c r="AL237"/>
  <c r="AL202"/>
  <c r="AL205" s="1"/>
  <c r="AL47"/>
  <c r="AL49" s="1"/>
  <c r="AM72"/>
  <c r="AM107"/>
  <c r="AM20"/>
  <c r="AI100"/>
  <c r="AN657"/>
  <c r="AN658" s="1"/>
  <c r="AN16" s="1"/>
  <c r="AN649"/>
  <c r="AN650" s="1"/>
  <c r="AN14" s="1"/>
  <c r="AN623"/>
  <c r="AN617"/>
  <c r="AN618" s="1"/>
  <c r="AN94" s="1"/>
  <c r="AN661"/>
  <c r="AN662" s="1"/>
  <c r="AN17" s="1"/>
  <c r="AN653"/>
  <c r="AN654" s="1"/>
  <c r="AN15" s="1"/>
  <c r="AN108"/>
  <c r="AN29"/>
  <c r="AN31" s="1"/>
  <c r="AN10"/>
  <c r="AN12" s="1"/>
  <c r="AN467"/>
  <c r="AN466"/>
  <c r="AN470"/>
  <c r="AN474"/>
  <c r="AN494"/>
  <c r="AN498"/>
  <c r="AN518"/>
  <c r="AN522"/>
  <c r="AN526"/>
  <c r="AN471"/>
  <c r="AN475"/>
  <c r="AN495"/>
  <c r="AN499"/>
  <c r="AN519"/>
  <c r="AN523"/>
  <c r="AN527"/>
  <c r="AN238"/>
  <c r="AN203"/>
  <c r="AN48"/>
  <c r="AL230"/>
  <c r="AL231" s="1"/>
  <c r="AL266"/>
  <c r="AL267" s="1"/>
  <c r="AO771"/>
  <c r="AO766"/>
  <c r="AO765"/>
  <c r="AO764"/>
  <c r="AO763"/>
  <c r="AO762"/>
  <c r="AO761"/>
  <c r="AO760"/>
  <c r="AO759"/>
  <c r="AO757"/>
  <c r="AO754"/>
  <c r="AO753"/>
  <c r="AO752"/>
  <c r="AO751"/>
  <c r="AO750"/>
  <c r="AO749"/>
  <c r="AO748"/>
  <c r="AO747"/>
  <c r="AO746"/>
  <c r="AO745"/>
  <c r="AO734"/>
  <c r="AO732"/>
  <c r="AO730"/>
  <c r="AO728"/>
  <c r="AO722"/>
  <c r="AO721"/>
  <c r="AO720"/>
  <c r="AO719"/>
  <c r="AO718"/>
  <c r="AO717"/>
  <c r="AO716"/>
  <c r="AO715"/>
  <c r="AO714"/>
  <c r="AO713"/>
  <c r="AO733"/>
  <c r="AO731"/>
  <c r="AO729"/>
  <c r="AO726"/>
  <c r="AO725"/>
  <c r="AO690"/>
  <c r="AO689"/>
  <c r="AO688"/>
  <c r="AO687"/>
  <c r="AO686"/>
  <c r="AO685"/>
  <c r="AO684"/>
  <c r="AO683"/>
  <c r="AO682"/>
  <c r="AO681"/>
  <c r="AO702"/>
  <c r="AO701"/>
  <c r="AO700"/>
  <c r="AO699"/>
  <c r="AO698"/>
  <c r="AO697"/>
  <c r="AO695"/>
  <c r="AO694"/>
  <c r="AO693"/>
  <c r="AO670"/>
  <c r="AO54" s="1"/>
  <c r="AO621"/>
  <c r="AO622" s="1"/>
  <c r="AO615"/>
  <c r="AO616" s="1"/>
  <c r="AO448"/>
  <c r="AO447"/>
  <c r="AO446"/>
  <c r="AO445"/>
  <c r="AO444"/>
  <c r="AO443"/>
  <c r="AO391"/>
  <c r="AO389"/>
  <c r="AO387"/>
  <c r="AO385"/>
  <c r="AO383"/>
  <c r="AO365"/>
  <c r="AO363"/>
  <c r="AO361"/>
  <c r="AO359"/>
  <c r="AO357"/>
  <c r="AO340"/>
  <c r="AO338"/>
  <c r="AO336"/>
  <c r="AO461"/>
  <c r="AO392"/>
  <c r="AO390"/>
  <c r="AO388"/>
  <c r="AO386"/>
  <c r="AO384"/>
  <c r="AO366"/>
  <c r="AO364"/>
  <c r="AO362"/>
  <c r="AO360"/>
  <c r="AO358"/>
  <c r="AO341"/>
  <c r="AO339"/>
  <c r="AO337"/>
  <c r="AO335"/>
  <c r="AO333"/>
  <c r="AO334"/>
  <c r="AO239"/>
  <c r="AO204"/>
  <c r="AO332"/>
  <c r="AO327"/>
  <c r="AO314"/>
  <c r="AO313"/>
  <c r="AO312"/>
  <c r="AO311"/>
  <c r="AO310"/>
  <c r="AO309"/>
  <c r="AO33"/>
  <c r="AO35" s="1"/>
  <c r="AO37" s="1"/>
  <c r="AO39" s="1"/>
  <c r="AO30"/>
  <c r="AO26"/>
  <c r="AO25"/>
  <c r="AO23"/>
  <c r="AO19"/>
  <c r="AO5"/>
  <c r="AO40"/>
  <c r="AP2"/>
  <c r="AN328"/>
  <c r="AN468"/>
  <c r="AN472"/>
  <c r="AN492"/>
  <c r="AN496"/>
  <c r="AN500"/>
  <c r="AN520"/>
  <c r="AN524"/>
  <c r="AN462"/>
  <c r="AN469"/>
  <c r="AN473"/>
  <c r="AN493"/>
  <c r="AN497"/>
  <c r="AN501"/>
  <c r="AN521"/>
  <c r="AN525"/>
  <c r="AN27"/>
  <c r="AN41" s="1"/>
  <c r="AN624"/>
  <c r="AN95" s="1"/>
  <c r="AP616" i="7"/>
  <c r="AP614"/>
  <c r="AP610"/>
  <c r="AP601"/>
  <c r="AP600"/>
  <c r="AP611" s="1"/>
  <c r="AP597"/>
  <c r="AP596"/>
  <c r="AO27"/>
  <c r="AO651"/>
  <c r="AO636" s="1"/>
  <c r="AO68" s="1"/>
  <c r="AO683"/>
  <c r="AO668" s="1"/>
  <c r="AO69" s="1"/>
  <c r="AO61"/>
  <c r="AN105"/>
  <c r="AO589"/>
  <c r="AO590" s="1"/>
  <c r="AO581"/>
  <c r="AO582" s="1"/>
  <c r="AO585"/>
  <c r="AO586" s="1"/>
  <c r="AO577"/>
  <c r="AO578" s="1"/>
  <c r="AO14" s="1"/>
  <c r="AO18" s="1"/>
  <c r="AO551"/>
  <c r="AO545"/>
  <c r="AO546" s="1"/>
  <c r="AO103" s="1"/>
  <c r="AO120"/>
  <c r="AO29"/>
  <c r="AO31" s="1"/>
  <c r="AO10"/>
  <c r="AO12" s="1"/>
  <c r="AO394"/>
  <c r="AO402"/>
  <c r="AO400"/>
  <c r="AO397"/>
  <c r="AO401"/>
  <c r="AO421"/>
  <c r="AO425"/>
  <c r="AO429"/>
  <c r="AO449"/>
  <c r="AO453"/>
  <c r="AO422"/>
  <c r="AO426"/>
  <c r="AO446"/>
  <c r="AO450"/>
  <c r="AO454"/>
  <c r="AO615"/>
  <c r="AO609"/>
  <c r="AP622"/>
  <c r="AN192"/>
  <c r="AN155"/>
  <c r="AN51"/>
  <c r="AN193"/>
  <c r="AN156"/>
  <c r="AN52"/>
  <c r="AM164"/>
  <c r="AM128"/>
  <c r="AM132" s="1"/>
  <c r="AM47"/>
  <c r="AN119"/>
  <c r="AN20"/>
  <c r="AN43" s="1"/>
  <c r="AO552"/>
  <c r="AO104" s="1"/>
  <c r="AO715"/>
  <c r="AO700" s="1"/>
  <c r="AO70" s="1"/>
  <c r="AL160"/>
  <c r="AL161" s="1"/>
  <c r="AM157"/>
  <c r="AM158" s="1"/>
  <c r="AN592"/>
  <c r="AN190"/>
  <c r="AN153"/>
  <c r="AN49"/>
  <c r="AN191"/>
  <c r="AN154"/>
  <c r="AN50"/>
  <c r="AN606"/>
  <c r="AN80"/>
  <c r="AN81" s="1"/>
  <c r="AP726"/>
  <c r="AP725"/>
  <c r="AP724"/>
  <c r="AP723"/>
  <c r="AP722"/>
  <c r="AP721"/>
  <c r="AP720"/>
  <c r="AP719"/>
  <c r="AP717"/>
  <c r="AP731"/>
  <c r="AP714"/>
  <c r="B714" s="1"/>
  <c r="AP713"/>
  <c r="B713" s="1"/>
  <c r="AP712"/>
  <c r="B712" s="1"/>
  <c r="AP711"/>
  <c r="B711" s="1"/>
  <c r="AP710"/>
  <c r="B710" s="1"/>
  <c r="AP709"/>
  <c r="B709" s="1"/>
  <c r="AP708"/>
  <c r="B708" s="1"/>
  <c r="AP707"/>
  <c r="B707" s="1"/>
  <c r="AP706"/>
  <c r="B706" s="1"/>
  <c r="AP705"/>
  <c r="AP694"/>
  <c r="B694" s="1"/>
  <c r="AP693"/>
  <c r="B693" s="1"/>
  <c r="AP692"/>
  <c r="B692" s="1"/>
  <c r="AP691"/>
  <c r="B691" s="1"/>
  <c r="AP690"/>
  <c r="B690" s="1"/>
  <c r="AP689"/>
  <c r="B689" s="1"/>
  <c r="AP688"/>
  <c r="B688" s="1"/>
  <c r="AP686"/>
  <c r="AP685"/>
  <c r="AP682"/>
  <c r="B682" s="1"/>
  <c r="AN441" s="1"/>
  <c r="AP681"/>
  <c r="B681" s="1"/>
  <c r="AO305" s="1"/>
  <c r="AP680"/>
  <c r="B680" s="1"/>
  <c r="AO304" s="1"/>
  <c r="AP679"/>
  <c r="B679" s="1"/>
  <c r="AO303" s="1"/>
  <c r="AP678"/>
  <c r="B678" s="1"/>
  <c r="AN437" s="1"/>
  <c r="AP677"/>
  <c r="B677" s="1"/>
  <c r="AN436" s="1"/>
  <c r="AP676"/>
  <c r="B676" s="1"/>
  <c r="AO300" s="1"/>
  <c r="AP675"/>
  <c r="B675" s="1"/>
  <c r="AO299" s="1"/>
  <c r="AP674"/>
  <c r="B674" s="1"/>
  <c r="AN433" s="1"/>
  <c r="AP673"/>
  <c r="AP662"/>
  <c r="B662" s="1"/>
  <c r="AP661"/>
  <c r="B661" s="1"/>
  <c r="AP660"/>
  <c r="B660" s="1"/>
  <c r="AP659"/>
  <c r="B659" s="1"/>
  <c r="AP658"/>
  <c r="B658" s="1"/>
  <c r="AP657"/>
  <c r="B657" s="1"/>
  <c r="AP655"/>
  <c r="AP654"/>
  <c r="AP653"/>
  <c r="AP650"/>
  <c r="B650" s="1"/>
  <c r="AO280" s="1"/>
  <c r="AP649"/>
  <c r="B649" s="1"/>
  <c r="AP648"/>
  <c r="B648" s="1"/>
  <c r="AP647"/>
  <c r="B647" s="1"/>
  <c r="AO277" s="1"/>
  <c r="AP646"/>
  <c r="B646" s="1"/>
  <c r="AO276" s="1"/>
  <c r="AP645"/>
  <c r="B645" s="1"/>
  <c r="AN410" s="1"/>
  <c r="AP644"/>
  <c r="B644" s="1"/>
  <c r="AN409" s="1"/>
  <c r="AP643"/>
  <c r="B643" s="1"/>
  <c r="AO273" s="1"/>
  <c r="AP642"/>
  <c r="B642" s="1"/>
  <c r="AO272" s="1"/>
  <c r="AP641"/>
  <c r="AP549"/>
  <c r="AP550" s="1"/>
  <c r="AP543"/>
  <c r="AP544" s="1"/>
  <c r="AP630"/>
  <c r="AP62" s="1"/>
  <c r="AP389"/>
  <c r="AP320"/>
  <c r="AP318"/>
  <c r="AP316"/>
  <c r="AP314"/>
  <c r="AP312"/>
  <c r="AP294"/>
  <c r="AP292"/>
  <c r="AP290"/>
  <c r="AP288"/>
  <c r="AP286"/>
  <c r="AP376"/>
  <c r="AP375"/>
  <c r="AP374"/>
  <c r="AP373"/>
  <c r="AP372"/>
  <c r="AP371"/>
  <c r="AP319"/>
  <c r="AP317"/>
  <c r="AP315"/>
  <c r="AP313"/>
  <c r="AP311"/>
  <c r="AP293"/>
  <c r="AP291"/>
  <c r="AP289"/>
  <c r="AP287"/>
  <c r="AP285"/>
  <c r="AP268"/>
  <c r="AP266"/>
  <c r="AP264"/>
  <c r="AP262"/>
  <c r="AP260"/>
  <c r="AP255"/>
  <c r="AP269"/>
  <c r="AP265"/>
  <c r="AP261"/>
  <c r="AP242"/>
  <c r="AP241"/>
  <c r="AP240"/>
  <c r="AP239"/>
  <c r="AP238"/>
  <c r="AP237"/>
  <c r="AP267"/>
  <c r="AP263"/>
  <c r="AP167"/>
  <c r="AP131"/>
  <c r="AP33"/>
  <c r="AP35" s="1"/>
  <c r="AP37" s="1"/>
  <c r="AP39" s="1"/>
  <c r="AP30"/>
  <c r="AP26"/>
  <c r="AP25"/>
  <c r="AP23"/>
  <c r="AP19"/>
  <c r="AP40"/>
  <c r="AP5"/>
  <c r="AO256"/>
  <c r="AO398"/>
  <c r="AO396"/>
  <c r="AO395"/>
  <c r="AO399"/>
  <c r="AO403"/>
  <c r="AO423"/>
  <c r="AO427"/>
  <c r="AO447"/>
  <c r="AO451"/>
  <c r="AO455"/>
  <c r="AO420"/>
  <c r="AO424"/>
  <c r="AO428"/>
  <c r="AO448"/>
  <c r="AO452"/>
  <c r="AO390"/>
  <c r="AO166"/>
  <c r="AO130"/>
  <c r="AO55"/>
  <c r="AO165"/>
  <c r="AO129"/>
  <c r="AO54"/>
  <c r="AJ109"/>
  <c r="AK168"/>
  <c r="AK169" s="1"/>
  <c r="AK197" s="1"/>
  <c r="AK198" s="1"/>
  <c r="AK108" s="1"/>
  <c r="AK107"/>
  <c r="AN71"/>
  <c r="AO599"/>
  <c r="AL56"/>
  <c r="AM53"/>
  <c r="AM194"/>
  <c r="AM195" s="1"/>
  <c r="E464" i="2"/>
  <c r="D71"/>
  <c r="E360"/>
  <c r="E495" s="1"/>
  <c r="E361"/>
  <c r="E496" s="1"/>
  <c r="E363"/>
  <c r="E498" s="1"/>
  <c r="E365"/>
  <c r="E500" s="1"/>
  <c r="E367"/>
  <c r="E502" s="1"/>
  <c r="E368"/>
  <c r="E503" s="1"/>
  <c r="E364"/>
  <c r="E499" s="1"/>
  <c r="E366"/>
  <c r="E501" s="1"/>
  <c r="F5"/>
  <c r="F787"/>
  <c r="F393" s="1"/>
  <c r="F528" s="1"/>
  <c r="F785"/>
  <c r="F391" s="1"/>
  <c r="F526" s="1"/>
  <c r="F783"/>
  <c r="F389" s="1"/>
  <c r="F524" s="1"/>
  <c r="F781"/>
  <c r="F387" s="1"/>
  <c r="F522" s="1"/>
  <c r="F779"/>
  <c r="F385" s="1"/>
  <c r="F520" s="1"/>
  <c r="F755"/>
  <c r="F788"/>
  <c r="F394" s="1"/>
  <c r="F529" s="1"/>
  <c r="F786"/>
  <c r="F392" s="1"/>
  <c r="F527" s="1"/>
  <c r="F784"/>
  <c r="F390" s="1"/>
  <c r="F525" s="1"/>
  <c r="F782"/>
  <c r="F388" s="1"/>
  <c r="F523" s="1"/>
  <c r="F780"/>
  <c r="F386" s="1"/>
  <c r="F521" s="1"/>
  <c r="F756"/>
  <c r="F368" s="1"/>
  <c r="F503" s="1"/>
  <c r="F753"/>
  <c r="F751"/>
  <c r="F749"/>
  <c r="F747"/>
  <c r="F723"/>
  <c r="F721"/>
  <c r="F719"/>
  <c r="F338" s="1"/>
  <c r="F472" s="1"/>
  <c r="F717"/>
  <c r="F715"/>
  <c r="F794"/>
  <c r="F795"/>
  <c r="F797"/>
  <c r="F799"/>
  <c r="F754"/>
  <c r="F750"/>
  <c r="F722"/>
  <c r="F718"/>
  <c r="F337" s="1"/>
  <c r="F471" s="1"/>
  <c r="F752"/>
  <c r="F748"/>
  <c r="F724"/>
  <c r="F720"/>
  <c r="F339" s="1"/>
  <c r="F473" s="1"/>
  <c r="F716"/>
  <c r="F796"/>
  <c r="F800"/>
  <c r="F793"/>
  <c r="F760"/>
  <c r="F762"/>
  <c r="F764"/>
  <c r="F766"/>
  <c r="F768"/>
  <c r="F798"/>
  <c r="F761"/>
  <c r="F763"/>
  <c r="F765"/>
  <c r="F767"/>
  <c r="E757"/>
  <c r="E742" s="1"/>
  <c r="E69" s="1"/>
  <c r="E789"/>
  <c r="E774" s="1"/>
  <c r="E70" s="1"/>
  <c r="F617"/>
  <c r="F618" s="1"/>
  <c r="F623"/>
  <c r="F624" s="1"/>
  <c r="F670"/>
  <c r="F674"/>
  <c r="F671"/>
  <c r="G11"/>
  <c r="F312"/>
  <c r="F314"/>
  <c r="F316"/>
  <c r="F445"/>
  <c r="F447"/>
  <c r="F449"/>
  <c r="F464" s="1"/>
  <c r="F311"/>
  <c r="F313"/>
  <c r="F448"/>
  <c r="F315"/>
  <c r="F446"/>
  <c r="F450"/>
  <c r="D117"/>
  <c r="F19"/>
  <c r="C231"/>
  <c r="F730"/>
  <c r="F731"/>
  <c r="F732"/>
  <c r="F733"/>
  <c r="F734"/>
  <c r="F735"/>
  <c r="F736"/>
  <c r="F728"/>
  <c r="F729"/>
  <c r="E330"/>
  <c r="F463"/>
  <c r="F329"/>
  <c r="E705"/>
  <c r="F702" s="1"/>
  <c r="E334"/>
  <c r="E468" s="1"/>
  <c r="E341"/>
  <c r="E475" s="1"/>
  <c r="E337"/>
  <c r="E471" s="1"/>
  <c r="E340"/>
  <c r="E474" s="1"/>
  <c r="E336"/>
  <c r="E470" s="1"/>
  <c r="E342"/>
  <c r="E476" s="1"/>
  <c r="E338"/>
  <c r="E472" s="1"/>
  <c r="E343"/>
  <c r="E477" s="1"/>
  <c r="E339"/>
  <c r="E473" s="1"/>
  <c r="E335"/>
  <c r="E469" s="1"/>
  <c r="F704"/>
  <c r="F62" s="1"/>
  <c r="E725"/>
  <c r="E710" s="1"/>
  <c r="E68" s="1"/>
  <c r="D625"/>
  <c r="D626" s="1"/>
  <c r="D104" s="1"/>
  <c r="D619"/>
  <c r="D620" s="1"/>
  <c r="D103" s="1"/>
  <c r="C268"/>
  <c r="F23"/>
  <c r="F26"/>
  <c r="F30"/>
  <c r="D659"/>
  <c r="D660" s="1"/>
  <c r="D51" s="1"/>
  <c r="D663"/>
  <c r="D664" s="1"/>
  <c r="D655"/>
  <c r="D656" s="1"/>
  <c r="D651"/>
  <c r="D652" s="1"/>
  <c r="F698"/>
  <c r="E27"/>
  <c r="G2"/>
  <c r="F25"/>
  <c r="D29"/>
  <c r="D31" s="1"/>
  <c r="E10"/>
  <c r="E12" s="1"/>
  <c r="AP62" i="10" l="1"/>
  <c r="AF811"/>
  <c r="AF783" s="1"/>
  <c r="AF62" s="1"/>
  <c r="AD811"/>
  <c r="AD783" s="1"/>
  <c r="AD62" s="1"/>
  <c r="W811"/>
  <c r="W783" s="1"/>
  <c r="W62" s="1"/>
  <c r="B804"/>
  <c r="B808"/>
  <c r="B809"/>
  <c r="B805"/>
  <c r="B810"/>
  <c r="B806"/>
  <c r="B807"/>
  <c r="B803"/>
  <c r="AP718" i="7"/>
  <c r="F718"/>
  <c r="G718"/>
  <c r="H718"/>
  <c r="AN461"/>
  <c r="L720"/>
  <c r="M720"/>
  <c r="N720"/>
  <c r="AO328"/>
  <c r="R722"/>
  <c r="S722"/>
  <c r="T722"/>
  <c r="AN465"/>
  <c r="X724"/>
  <c r="Y724"/>
  <c r="Z724"/>
  <c r="AO332"/>
  <c r="AD726"/>
  <c r="AE726"/>
  <c r="AF726"/>
  <c r="B720"/>
  <c r="B722"/>
  <c r="B724"/>
  <c r="B726"/>
  <c r="AO325"/>
  <c r="I719"/>
  <c r="J719"/>
  <c r="K719"/>
  <c r="AO327"/>
  <c r="O721"/>
  <c r="P721"/>
  <c r="Q721"/>
  <c r="AN464"/>
  <c r="U723"/>
  <c r="B723" s="1"/>
  <c r="V723"/>
  <c r="W723"/>
  <c r="AO331"/>
  <c r="AA725"/>
  <c r="AB725"/>
  <c r="AC725"/>
  <c r="B719"/>
  <c r="B721"/>
  <c r="B725"/>
  <c r="AO467"/>
  <c r="AO459"/>
  <c r="AP648" i="8"/>
  <c r="AP660"/>
  <c r="AP656"/>
  <c r="AP652"/>
  <c r="AN460" i="7"/>
  <c r="AP65" i="10"/>
  <c r="AP68" s="1"/>
  <c r="AP75" s="1"/>
  <c r="AO179"/>
  <c r="AO196" s="1"/>
  <c r="D49" i="2"/>
  <c r="D14"/>
  <c r="AP542" i="10"/>
  <c r="AP552" s="1"/>
  <c r="AP161"/>
  <c r="AP162"/>
  <c r="AP407"/>
  <c r="AP417" s="1"/>
  <c r="AP285"/>
  <c r="AP304"/>
  <c r="AP286"/>
  <c r="AP305"/>
  <c r="AP284"/>
  <c r="AP303"/>
  <c r="AP283"/>
  <c r="AP302"/>
  <c r="AN48"/>
  <c r="AN50" s="1"/>
  <c r="AO709"/>
  <c r="AP706" s="1"/>
  <c r="AP279"/>
  <c r="AP297" s="1"/>
  <c r="AP42"/>
  <c r="AO329" i="7"/>
  <c r="AO410"/>
  <c r="B740" i="10"/>
  <c r="AO568"/>
  <c r="AP443"/>
  <c r="B770"/>
  <c r="B738"/>
  <c r="B771"/>
  <c r="AP16"/>
  <c r="AP702"/>
  <c r="AP14"/>
  <c r="AP129"/>
  <c r="B132" s="1"/>
  <c r="B130"/>
  <c r="C769"/>
  <c r="D769"/>
  <c r="D779" s="1"/>
  <c r="D751" s="1"/>
  <c r="D61" s="1"/>
  <c r="E769"/>
  <c r="E779" s="1"/>
  <c r="E751" s="1"/>
  <c r="E61" s="1"/>
  <c r="F769"/>
  <c r="F779" s="1"/>
  <c r="F751" s="1"/>
  <c r="F61" s="1"/>
  <c r="G769"/>
  <c r="G779" s="1"/>
  <c r="G751" s="1"/>
  <c r="G61" s="1"/>
  <c r="H769"/>
  <c r="H779" s="1"/>
  <c r="H751" s="1"/>
  <c r="H61" s="1"/>
  <c r="I769"/>
  <c r="I779" s="1"/>
  <c r="I751" s="1"/>
  <c r="I61" s="1"/>
  <c r="J769"/>
  <c r="J779" s="1"/>
  <c r="J751" s="1"/>
  <c r="J61" s="1"/>
  <c r="K769"/>
  <c r="K779" s="1"/>
  <c r="K751" s="1"/>
  <c r="K61" s="1"/>
  <c r="L769"/>
  <c r="L779" s="1"/>
  <c r="L751" s="1"/>
  <c r="L61" s="1"/>
  <c r="M769"/>
  <c r="M779" s="1"/>
  <c r="M751" s="1"/>
  <c r="M61" s="1"/>
  <c r="N769"/>
  <c r="N779" s="1"/>
  <c r="N751" s="1"/>
  <c r="N61" s="1"/>
  <c r="O769"/>
  <c r="O779" s="1"/>
  <c r="O751" s="1"/>
  <c r="O61" s="1"/>
  <c r="P769"/>
  <c r="P779" s="1"/>
  <c r="P751" s="1"/>
  <c r="P61" s="1"/>
  <c r="Q769"/>
  <c r="Q779" s="1"/>
  <c r="Q751" s="1"/>
  <c r="Q61" s="1"/>
  <c r="T542"/>
  <c r="T552" s="1"/>
  <c r="F542"/>
  <c r="F552" s="1"/>
  <c r="H542"/>
  <c r="H552" s="1"/>
  <c r="L542"/>
  <c r="L552" s="1"/>
  <c r="Q542"/>
  <c r="Q552" s="1"/>
  <c r="R542"/>
  <c r="R552" s="1"/>
  <c r="S542"/>
  <c r="S552" s="1"/>
  <c r="D407"/>
  <c r="D417" s="1"/>
  <c r="F407"/>
  <c r="F417" s="1"/>
  <c r="G407"/>
  <c r="G417" s="1"/>
  <c r="K407"/>
  <c r="K417" s="1"/>
  <c r="L407"/>
  <c r="L417" s="1"/>
  <c r="N407"/>
  <c r="N417" s="1"/>
  <c r="O407"/>
  <c r="O417" s="1"/>
  <c r="Q407"/>
  <c r="Q417" s="1"/>
  <c r="R407"/>
  <c r="R417" s="1"/>
  <c r="S407"/>
  <c r="S417" s="1"/>
  <c r="T407"/>
  <c r="T417" s="1"/>
  <c r="V407"/>
  <c r="V417" s="1"/>
  <c r="C542"/>
  <c r="D542"/>
  <c r="D552" s="1"/>
  <c r="E542"/>
  <c r="E552" s="1"/>
  <c r="G542"/>
  <c r="G552" s="1"/>
  <c r="I542"/>
  <c r="I552" s="1"/>
  <c r="J542"/>
  <c r="J552" s="1"/>
  <c r="K542"/>
  <c r="K552" s="1"/>
  <c r="M542"/>
  <c r="M552" s="1"/>
  <c r="N542"/>
  <c r="N552" s="1"/>
  <c r="O542"/>
  <c r="O552" s="1"/>
  <c r="P542"/>
  <c r="P552" s="1"/>
  <c r="U542"/>
  <c r="U552" s="1"/>
  <c r="C407"/>
  <c r="E407"/>
  <c r="E417" s="1"/>
  <c r="H407"/>
  <c r="H417" s="1"/>
  <c r="I407"/>
  <c r="I417" s="1"/>
  <c r="J407"/>
  <c r="J417" s="1"/>
  <c r="M407"/>
  <c r="M417" s="1"/>
  <c r="P407"/>
  <c r="P417" s="1"/>
  <c r="U407"/>
  <c r="U417" s="1"/>
  <c r="V542"/>
  <c r="V552" s="1"/>
  <c r="W407"/>
  <c r="W417" s="1"/>
  <c r="W542"/>
  <c r="W552" s="1"/>
  <c r="X407"/>
  <c r="X417" s="1"/>
  <c r="Y407"/>
  <c r="Y417" s="1"/>
  <c r="Y542"/>
  <c r="Y552" s="1"/>
  <c r="Z407"/>
  <c r="Z417" s="1"/>
  <c r="X542"/>
  <c r="X552" s="1"/>
  <c r="Z542"/>
  <c r="Z552" s="1"/>
  <c r="AA407"/>
  <c r="AA417" s="1"/>
  <c r="AA542"/>
  <c r="AA552" s="1"/>
  <c r="AB407"/>
  <c r="AB417" s="1"/>
  <c r="AC407"/>
  <c r="AC417" s="1"/>
  <c r="AB542"/>
  <c r="AB552" s="1"/>
  <c r="AC542"/>
  <c r="AC552" s="1"/>
  <c r="AD407"/>
  <c r="AD417" s="1"/>
  <c r="AE407"/>
  <c r="AE417" s="1"/>
  <c r="AD542"/>
  <c r="AD552" s="1"/>
  <c r="AF407"/>
  <c r="AF417" s="1"/>
  <c r="AE542"/>
  <c r="AE552" s="1"/>
  <c r="AF542"/>
  <c r="AF552" s="1"/>
  <c r="AG407"/>
  <c r="AG417" s="1"/>
  <c r="AH407"/>
  <c r="AH417" s="1"/>
  <c r="AG542"/>
  <c r="AG552" s="1"/>
  <c r="AH542"/>
  <c r="AH552" s="1"/>
  <c r="AI407"/>
  <c r="AI417" s="1"/>
  <c r="AJ407"/>
  <c r="AJ417" s="1"/>
  <c r="AI542"/>
  <c r="AI552" s="1"/>
  <c r="AJ542"/>
  <c r="AJ552" s="1"/>
  <c r="AK407"/>
  <c r="AK417" s="1"/>
  <c r="AL407"/>
  <c r="AL417" s="1"/>
  <c r="AK542"/>
  <c r="AK552" s="1"/>
  <c r="AL542"/>
  <c r="AL552" s="1"/>
  <c r="AM407"/>
  <c r="AM417" s="1"/>
  <c r="AN407"/>
  <c r="AN417" s="1"/>
  <c r="AM542"/>
  <c r="AM552" s="1"/>
  <c r="AO407"/>
  <c r="AO417" s="1"/>
  <c r="AN542"/>
  <c r="AN552" s="1"/>
  <c r="C737"/>
  <c r="D737"/>
  <c r="D747" s="1"/>
  <c r="D719" s="1"/>
  <c r="D60" s="1"/>
  <c r="E737"/>
  <c r="E747" s="1"/>
  <c r="E719" s="1"/>
  <c r="E60" s="1"/>
  <c r="F737"/>
  <c r="F747" s="1"/>
  <c r="F719" s="1"/>
  <c r="F60" s="1"/>
  <c r="G737"/>
  <c r="G747" s="1"/>
  <c r="G719" s="1"/>
  <c r="G60" s="1"/>
  <c r="H737"/>
  <c r="H747" s="1"/>
  <c r="H719" s="1"/>
  <c r="H60" s="1"/>
  <c r="I737"/>
  <c r="I747" s="1"/>
  <c r="I719" s="1"/>
  <c r="I60" s="1"/>
  <c r="J737"/>
  <c r="J747" s="1"/>
  <c r="J719" s="1"/>
  <c r="J60" s="1"/>
  <c r="K737"/>
  <c r="K747" s="1"/>
  <c r="K719" s="1"/>
  <c r="K60" s="1"/>
  <c r="L737"/>
  <c r="L747" s="1"/>
  <c r="L719" s="1"/>
  <c r="L60" s="1"/>
  <c r="M737"/>
  <c r="M747" s="1"/>
  <c r="M719" s="1"/>
  <c r="M60" s="1"/>
  <c r="N737"/>
  <c r="N747" s="1"/>
  <c r="N719" s="1"/>
  <c r="N60" s="1"/>
  <c r="T516"/>
  <c r="T526" s="1"/>
  <c r="I516"/>
  <c r="I526" s="1"/>
  <c r="J516"/>
  <c r="J526" s="1"/>
  <c r="M516"/>
  <c r="M526" s="1"/>
  <c r="N516"/>
  <c r="N526" s="1"/>
  <c r="P516"/>
  <c r="P526" s="1"/>
  <c r="Q516"/>
  <c r="Q526" s="1"/>
  <c r="C381"/>
  <c r="D381"/>
  <c r="D391" s="1"/>
  <c r="G381"/>
  <c r="G391" s="1"/>
  <c r="H381"/>
  <c r="H391" s="1"/>
  <c r="I381"/>
  <c r="I391" s="1"/>
  <c r="J381"/>
  <c r="J391" s="1"/>
  <c r="K381"/>
  <c r="K391" s="1"/>
  <c r="M381"/>
  <c r="M391" s="1"/>
  <c r="P381"/>
  <c r="P391" s="1"/>
  <c r="S381"/>
  <c r="S391" s="1"/>
  <c r="U381"/>
  <c r="U391" s="1"/>
  <c r="C516"/>
  <c r="D516"/>
  <c r="D526" s="1"/>
  <c r="E516"/>
  <c r="E526" s="1"/>
  <c r="F516"/>
  <c r="F526" s="1"/>
  <c r="G516"/>
  <c r="G526" s="1"/>
  <c r="H516"/>
  <c r="H526" s="1"/>
  <c r="K516"/>
  <c r="K526" s="1"/>
  <c r="L516"/>
  <c r="L526" s="1"/>
  <c r="O516"/>
  <c r="O526" s="1"/>
  <c r="R516"/>
  <c r="R526" s="1"/>
  <c r="S516"/>
  <c r="S526" s="1"/>
  <c r="E381"/>
  <c r="E391" s="1"/>
  <c r="F381"/>
  <c r="F391" s="1"/>
  <c r="L381"/>
  <c r="L391" s="1"/>
  <c r="N381"/>
  <c r="N391" s="1"/>
  <c r="O381"/>
  <c r="O391" s="1"/>
  <c r="Q381"/>
  <c r="Q391" s="1"/>
  <c r="R381"/>
  <c r="R391" s="1"/>
  <c r="T381"/>
  <c r="T391" s="1"/>
  <c r="U516"/>
  <c r="U526" s="1"/>
  <c r="V381"/>
  <c r="V391" s="1"/>
  <c r="W381"/>
  <c r="W391" s="1"/>
  <c r="X381"/>
  <c r="X391" s="1"/>
  <c r="V516"/>
  <c r="V526" s="1"/>
  <c r="Y381"/>
  <c r="Y391" s="1"/>
  <c r="X516"/>
  <c r="X526" s="1"/>
  <c r="W516"/>
  <c r="W526" s="1"/>
  <c r="Y516"/>
  <c r="Y526" s="1"/>
  <c r="Z381"/>
  <c r="Z391" s="1"/>
  <c r="AA381"/>
  <c r="AA391" s="1"/>
  <c r="Z516"/>
  <c r="Z526" s="1"/>
  <c r="AB381"/>
  <c r="AB391" s="1"/>
  <c r="AA516"/>
  <c r="AA526" s="1"/>
  <c r="AB516"/>
  <c r="AB526" s="1"/>
  <c r="AC381"/>
  <c r="AC391" s="1"/>
  <c r="AC516"/>
  <c r="AC526" s="1"/>
  <c r="AD381"/>
  <c r="AD391" s="1"/>
  <c r="AD516"/>
  <c r="AD526" s="1"/>
  <c r="AE381"/>
  <c r="AE391" s="1"/>
  <c r="AF381"/>
  <c r="AF391" s="1"/>
  <c r="AE516"/>
  <c r="AE526" s="1"/>
  <c r="AG381"/>
  <c r="AG391" s="1"/>
  <c r="AF516"/>
  <c r="AF526" s="1"/>
  <c r="AH381"/>
  <c r="AH391" s="1"/>
  <c r="AG516"/>
  <c r="AG526" s="1"/>
  <c r="AI381"/>
  <c r="AI391" s="1"/>
  <c r="AH516"/>
  <c r="AH526" s="1"/>
  <c r="AJ381"/>
  <c r="AJ391" s="1"/>
  <c r="AI516"/>
  <c r="AI526" s="1"/>
  <c r="AK381"/>
  <c r="AK391" s="1"/>
  <c r="AJ516"/>
  <c r="AJ526" s="1"/>
  <c r="AK516"/>
  <c r="AK526" s="1"/>
  <c r="AL381"/>
  <c r="AL391" s="1"/>
  <c r="AM381"/>
  <c r="AM391" s="1"/>
  <c r="AL516"/>
  <c r="AL526" s="1"/>
  <c r="AN381"/>
  <c r="AN391" s="1"/>
  <c r="AM516"/>
  <c r="AM526" s="1"/>
  <c r="AO381"/>
  <c r="AO391" s="1"/>
  <c r="AN516"/>
  <c r="AN526" s="1"/>
  <c r="AN408" i="7"/>
  <c r="AO464"/>
  <c r="AO460"/>
  <c r="AO439"/>
  <c r="AO408"/>
  <c r="AO526" i="10"/>
  <c r="B442"/>
  <c r="B440"/>
  <c r="B575"/>
  <c r="B434"/>
  <c r="B569"/>
  <c r="B416"/>
  <c r="B551"/>
  <c r="B549"/>
  <c r="B545"/>
  <c r="B543"/>
  <c r="B523"/>
  <c r="B386"/>
  <c r="B521"/>
  <c r="AO63"/>
  <c r="AO69" s="1"/>
  <c r="AN63"/>
  <c r="AN69" s="1"/>
  <c r="B384"/>
  <c r="Z63"/>
  <c r="Z69" s="1"/>
  <c r="Y63"/>
  <c r="Y69" s="1"/>
  <c r="B382"/>
  <c r="W63"/>
  <c r="W69" s="1"/>
  <c r="AP779"/>
  <c r="AP751" s="1"/>
  <c r="AP61" s="1"/>
  <c r="AP747"/>
  <c r="AP719" s="1"/>
  <c r="AP60" s="1"/>
  <c r="B435"/>
  <c r="B415"/>
  <c r="B550"/>
  <c r="B411"/>
  <c r="B389"/>
  <c r="B524"/>
  <c r="B522"/>
  <c r="AL63"/>
  <c r="AL69" s="1"/>
  <c r="AG63"/>
  <c r="AG69" s="1"/>
  <c r="AD63"/>
  <c r="AD69" s="1"/>
  <c r="AC63"/>
  <c r="AC69" s="1"/>
  <c r="AB63"/>
  <c r="AB69" s="1"/>
  <c r="AA63"/>
  <c r="AA69" s="1"/>
  <c r="AP381"/>
  <c r="AP391" s="1"/>
  <c r="AO18"/>
  <c r="AO20" s="1"/>
  <c r="AO44" s="1"/>
  <c r="AO306"/>
  <c r="AP15"/>
  <c r="AP17"/>
  <c r="AL122"/>
  <c r="C801"/>
  <c r="D801"/>
  <c r="D811" s="1"/>
  <c r="D783" s="1"/>
  <c r="D62" s="1"/>
  <c r="E801"/>
  <c r="E811" s="1"/>
  <c r="E783" s="1"/>
  <c r="E62" s="1"/>
  <c r="F801"/>
  <c r="F811" s="1"/>
  <c r="F783" s="1"/>
  <c r="F62" s="1"/>
  <c r="G801"/>
  <c r="G811" s="1"/>
  <c r="G783" s="1"/>
  <c r="G62" s="1"/>
  <c r="H801"/>
  <c r="H811" s="1"/>
  <c r="H783" s="1"/>
  <c r="H62" s="1"/>
  <c r="I801"/>
  <c r="I811" s="1"/>
  <c r="I783" s="1"/>
  <c r="I62" s="1"/>
  <c r="J801"/>
  <c r="J811" s="1"/>
  <c r="J783" s="1"/>
  <c r="J62" s="1"/>
  <c r="K801"/>
  <c r="K811" s="1"/>
  <c r="K783" s="1"/>
  <c r="K62" s="1"/>
  <c r="L801"/>
  <c r="L811" s="1"/>
  <c r="L783" s="1"/>
  <c r="L62" s="1"/>
  <c r="M801"/>
  <c r="M811" s="1"/>
  <c r="M783" s="1"/>
  <c r="M62" s="1"/>
  <c r="N801"/>
  <c r="N811" s="1"/>
  <c r="N783" s="1"/>
  <c r="N62" s="1"/>
  <c r="O801"/>
  <c r="O811" s="1"/>
  <c r="O783" s="1"/>
  <c r="O62" s="1"/>
  <c r="O63" s="1"/>
  <c r="O69" s="1"/>
  <c r="P801"/>
  <c r="P811" s="1"/>
  <c r="P783" s="1"/>
  <c r="P62" s="1"/>
  <c r="P63" s="1"/>
  <c r="P69" s="1"/>
  <c r="Q801"/>
  <c r="Q811" s="1"/>
  <c r="Q783" s="1"/>
  <c r="Q62" s="1"/>
  <c r="R801"/>
  <c r="R811" s="1"/>
  <c r="R783" s="1"/>
  <c r="R62" s="1"/>
  <c r="R63" s="1"/>
  <c r="R69" s="1"/>
  <c r="S801"/>
  <c r="S811" s="1"/>
  <c r="S783" s="1"/>
  <c r="S62" s="1"/>
  <c r="S63" s="1"/>
  <c r="S69" s="1"/>
  <c r="T801"/>
  <c r="T811" s="1"/>
  <c r="T783" s="1"/>
  <c r="T62" s="1"/>
  <c r="T63" s="1"/>
  <c r="T69" s="1"/>
  <c r="U801"/>
  <c r="U811" s="1"/>
  <c r="U783" s="1"/>
  <c r="U62" s="1"/>
  <c r="U63" s="1"/>
  <c r="U69" s="1"/>
  <c r="U433"/>
  <c r="U443" s="1"/>
  <c r="T568"/>
  <c r="T578" s="1"/>
  <c r="V801"/>
  <c r="V811" s="1"/>
  <c r="V783" s="1"/>
  <c r="V62" s="1"/>
  <c r="V63" s="1"/>
  <c r="V69" s="1"/>
  <c r="C568"/>
  <c r="D568"/>
  <c r="D578" s="1"/>
  <c r="E568"/>
  <c r="E578" s="1"/>
  <c r="G568"/>
  <c r="G578" s="1"/>
  <c r="I568"/>
  <c r="I578" s="1"/>
  <c r="J568"/>
  <c r="J578" s="1"/>
  <c r="L568"/>
  <c r="L578" s="1"/>
  <c r="M568"/>
  <c r="M578" s="1"/>
  <c r="N568"/>
  <c r="N578" s="1"/>
  <c r="P568"/>
  <c r="P578" s="1"/>
  <c r="U568"/>
  <c r="U578" s="1"/>
  <c r="E433"/>
  <c r="E443" s="1"/>
  <c r="F433"/>
  <c r="F443" s="1"/>
  <c r="I433"/>
  <c r="I443" s="1"/>
  <c r="L433"/>
  <c r="L443" s="1"/>
  <c r="M433"/>
  <c r="M443" s="1"/>
  <c r="N433"/>
  <c r="N443" s="1"/>
  <c r="O433"/>
  <c r="O443" s="1"/>
  <c r="R433"/>
  <c r="R443" s="1"/>
  <c r="T433"/>
  <c r="T443" s="1"/>
  <c r="V433"/>
  <c r="V443" s="1"/>
  <c r="F568"/>
  <c r="F578" s="1"/>
  <c r="H568"/>
  <c r="H578" s="1"/>
  <c r="K568"/>
  <c r="K578" s="1"/>
  <c r="O568"/>
  <c r="O578" s="1"/>
  <c r="Q568"/>
  <c r="Q578" s="1"/>
  <c r="R568"/>
  <c r="R578" s="1"/>
  <c r="S568"/>
  <c r="S578" s="1"/>
  <c r="C433"/>
  <c r="D433"/>
  <c r="D443" s="1"/>
  <c r="G433"/>
  <c r="G443" s="1"/>
  <c r="H433"/>
  <c r="H443" s="1"/>
  <c r="J433"/>
  <c r="J443" s="1"/>
  <c r="K433"/>
  <c r="K443" s="1"/>
  <c r="P433"/>
  <c r="P443" s="1"/>
  <c r="Q433"/>
  <c r="Q443" s="1"/>
  <c r="S433"/>
  <c r="S443" s="1"/>
  <c r="V568"/>
  <c r="V578" s="1"/>
  <c r="W433"/>
  <c r="W443" s="1"/>
  <c r="X433"/>
  <c r="X443" s="1"/>
  <c r="W568"/>
  <c r="W578" s="1"/>
  <c r="Y433"/>
  <c r="Y443" s="1"/>
  <c r="X568"/>
  <c r="X578" s="1"/>
  <c r="Z433"/>
  <c r="Z443" s="1"/>
  <c r="Y568"/>
  <c r="Y578" s="1"/>
  <c r="Z568"/>
  <c r="Z578" s="1"/>
  <c r="AA433"/>
  <c r="AA443" s="1"/>
  <c r="AB433"/>
  <c r="AB443" s="1"/>
  <c r="AA568"/>
  <c r="AA578" s="1"/>
  <c r="AB568"/>
  <c r="AB578" s="1"/>
  <c r="AC433"/>
  <c r="AC443" s="1"/>
  <c r="AC568"/>
  <c r="AC578" s="1"/>
  <c r="AD433"/>
  <c r="AD443" s="1"/>
  <c r="AE433"/>
  <c r="AE443" s="1"/>
  <c r="AD568"/>
  <c r="AD578" s="1"/>
  <c r="AF433"/>
  <c r="AF443" s="1"/>
  <c r="AE568"/>
  <c r="AE578" s="1"/>
  <c r="AG433"/>
  <c r="AG443" s="1"/>
  <c r="AF568"/>
  <c r="AF578" s="1"/>
  <c r="AG568"/>
  <c r="AG578" s="1"/>
  <c r="AH433"/>
  <c r="AH443" s="1"/>
  <c r="AI433"/>
  <c r="AI443" s="1"/>
  <c r="AH568"/>
  <c r="AH578" s="1"/>
  <c r="AJ433"/>
  <c r="AJ443" s="1"/>
  <c r="AI568"/>
  <c r="AI578" s="1"/>
  <c r="AK433"/>
  <c r="AK443" s="1"/>
  <c r="AJ568"/>
  <c r="AJ578" s="1"/>
  <c r="AK568"/>
  <c r="AK578" s="1"/>
  <c r="AL433"/>
  <c r="AL443" s="1"/>
  <c r="AL568"/>
  <c r="AL578" s="1"/>
  <c r="AM433"/>
  <c r="AM443" s="1"/>
  <c r="AN433"/>
  <c r="AN443" s="1"/>
  <c r="AM568"/>
  <c r="AM578" s="1"/>
  <c r="AO433"/>
  <c r="AO443" s="1"/>
  <c r="AN568"/>
  <c r="AN578" s="1"/>
  <c r="B577"/>
  <c r="B573"/>
  <c r="B438"/>
  <c r="B436"/>
  <c r="B571"/>
  <c r="B414"/>
  <c r="B547"/>
  <c r="B412"/>
  <c r="B410"/>
  <c r="B408"/>
  <c r="B525"/>
  <c r="B390"/>
  <c r="B388"/>
  <c r="AM63"/>
  <c r="AM69" s="1"/>
  <c r="B519"/>
  <c r="X63"/>
  <c r="X69" s="1"/>
  <c r="B517"/>
  <c r="AO578"/>
  <c r="AO552"/>
  <c r="B441"/>
  <c r="B576"/>
  <c r="B439"/>
  <c r="B574"/>
  <c r="B437"/>
  <c r="B572"/>
  <c r="B570"/>
  <c r="B548"/>
  <c r="B413"/>
  <c r="B546"/>
  <c r="B409"/>
  <c r="B544"/>
  <c r="B387"/>
  <c r="B385"/>
  <c r="B520"/>
  <c r="AK63"/>
  <c r="AK69" s="1"/>
  <c r="AJ63"/>
  <c r="AJ69" s="1"/>
  <c r="AI63"/>
  <c r="AI69" s="1"/>
  <c r="AH63"/>
  <c r="AH69" s="1"/>
  <c r="AE63"/>
  <c r="AE69" s="1"/>
  <c r="B518"/>
  <c r="B383"/>
  <c r="AP568"/>
  <c r="AP578" s="1"/>
  <c r="AP516"/>
  <c r="AP526" s="1"/>
  <c r="AO287"/>
  <c r="B802"/>
  <c r="AN18" i="8"/>
  <c r="AN20" s="1"/>
  <c r="AN43" s="1"/>
  <c r="AN440" i="7"/>
  <c r="AO301"/>
  <c r="AO463"/>
  <c r="AO415"/>
  <c r="AO407"/>
  <c r="AO668" i="8"/>
  <c r="AM43"/>
  <c r="AM237" s="1"/>
  <c r="AO691"/>
  <c r="AO676" s="1"/>
  <c r="AO60" s="1"/>
  <c r="AO27"/>
  <c r="AO723"/>
  <c r="AO708" s="1"/>
  <c r="AO61" s="1"/>
  <c r="AO755"/>
  <c r="AO740" s="1"/>
  <c r="AO62" s="1"/>
  <c r="AN63"/>
  <c r="AO661"/>
  <c r="AO662" s="1"/>
  <c r="AO17" s="1"/>
  <c r="AO653"/>
  <c r="AO654" s="1"/>
  <c r="AO15" s="1"/>
  <c r="AO657"/>
  <c r="AO658" s="1"/>
  <c r="AO16" s="1"/>
  <c r="AO649"/>
  <c r="AO623"/>
  <c r="AO624" s="1"/>
  <c r="AO95" s="1"/>
  <c r="AO617"/>
  <c r="AO618" s="1"/>
  <c r="AO94" s="1"/>
  <c r="AO108"/>
  <c r="AO29"/>
  <c r="AO31" s="1"/>
  <c r="AO10"/>
  <c r="AO12" s="1"/>
  <c r="AO466"/>
  <c r="AO467"/>
  <c r="AO471"/>
  <c r="AO475"/>
  <c r="AO495"/>
  <c r="AO499"/>
  <c r="AO519"/>
  <c r="AO523"/>
  <c r="AO527"/>
  <c r="AO470"/>
  <c r="AO474"/>
  <c r="AO494"/>
  <c r="AO498"/>
  <c r="AO518"/>
  <c r="AO522"/>
  <c r="AO526"/>
  <c r="AN96"/>
  <c r="AK240"/>
  <c r="AK241" s="1"/>
  <c r="AK269" s="1"/>
  <c r="AK270" s="1"/>
  <c r="AK99" s="1"/>
  <c r="AK98"/>
  <c r="AN72"/>
  <c r="AN107"/>
  <c r="AJ100"/>
  <c r="AN412" i="7"/>
  <c r="AO435"/>
  <c r="AO275"/>
  <c r="AM230" i="8"/>
  <c r="AM231" s="1"/>
  <c r="AP766"/>
  <c r="AP765"/>
  <c r="AP764"/>
  <c r="AP763"/>
  <c r="AP762"/>
  <c r="AP761"/>
  <c r="AP760"/>
  <c r="AP759"/>
  <c r="AP757"/>
  <c r="AP771"/>
  <c r="AP754"/>
  <c r="B754" s="1"/>
  <c r="AP753"/>
  <c r="B753" s="1"/>
  <c r="AP752"/>
  <c r="B752" s="1"/>
  <c r="AP751"/>
  <c r="B751" s="1"/>
  <c r="AP750"/>
  <c r="B750" s="1"/>
  <c r="AP749"/>
  <c r="B749" s="1"/>
  <c r="AP748"/>
  <c r="B748" s="1"/>
  <c r="AP747"/>
  <c r="B747" s="1"/>
  <c r="AP746"/>
  <c r="B746" s="1"/>
  <c r="AP745"/>
  <c r="AP734"/>
  <c r="B734" s="1"/>
  <c r="AP733"/>
  <c r="B733" s="1"/>
  <c r="AP732"/>
  <c r="B732" s="1"/>
  <c r="AP731"/>
  <c r="B731" s="1"/>
  <c r="AP730"/>
  <c r="B730" s="1"/>
  <c r="AP729"/>
  <c r="B729" s="1"/>
  <c r="AP728"/>
  <c r="B728" s="1"/>
  <c r="AP726"/>
  <c r="AP725"/>
  <c r="AP722"/>
  <c r="B722" s="1"/>
  <c r="AO378" s="1"/>
  <c r="AP721"/>
  <c r="B721" s="1"/>
  <c r="AO377" s="1"/>
  <c r="AP720"/>
  <c r="B720" s="1"/>
  <c r="AN511" s="1"/>
  <c r="AP719"/>
  <c r="B719" s="1"/>
  <c r="AN510" s="1"/>
  <c r="AP718"/>
  <c r="B718" s="1"/>
  <c r="AO374" s="1"/>
  <c r="AP717"/>
  <c r="B717" s="1"/>
  <c r="AN508" s="1"/>
  <c r="AP716"/>
  <c r="B716" s="1"/>
  <c r="AN507" s="1"/>
  <c r="AP715"/>
  <c r="B715" s="1"/>
  <c r="AN506" s="1"/>
  <c r="AP714"/>
  <c r="B714" s="1"/>
  <c r="AO370" s="1"/>
  <c r="AP713"/>
  <c r="AP702"/>
  <c r="B702" s="1"/>
  <c r="AP701"/>
  <c r="B701" s="1"/>
  <c r="AP700"/>
  <c r="B700" s="1"/>
  <c r="AP699"/>
  <c r="B699" s="1"/>
  <c r="AP698"/>
  <c r="B698" s="1"/>
  <c r="AP697"/>
  <c r="B697" s="1"/>
  <c r="AP695"/>
  <c r="AP694"/>
  <c r="AP693"/>
  <c r="AP690"/>
  <c r="B690" s="1"/>
  <c r="AN487" s="1"/>
  <c r="AP689"/>
  <c r="B689" s="1"/>
  <c r="AO351" s="1"/>
  <c r="AP688"/>
  <c r="B688" s="1"/>
  <c r="AP687"/>
  <c r="B687" s="1"/>
  <c r="AN484" s="1"/>
  <c r="AP686"/>
  <c r="B686" s="1"/>
  <c r="AN483" s="1"/>
  <c r="AP685"/>
  <c r="B685" s="1"/>
  <c r="AO347" s="1"/>
  <c r="AP684"/>
  <c r="B684" s="1"/>
  <c r="AP683"/>
  <c r="B683" s="1"/>
  <c r="AO345" s="1"/>
  <c r="AP682"/>
  <c r="B682" s="1"/>
  <c r="AN479" s="1"/>
  <c r="AP681"/>
  <c r="AP621"/>
  <c r="AP622" s="1"/>
  <c r="AP615"/>
  <c r="AP616" s="1"/>
  <c r="AP670"/>
  <c r="AP54" s="1"/>
  <c r="AP461"/>
  <c r="AP392"/>
  <c r="AP390"/>
  <c r="AP388"/>
  <c r="AP386"/>
  <c r="AP384"/>
  <c r="AP366"/>
  <c r="AP364"/>
  <c r="AP362"/>
  <c r="AP360"/>
  <c r="AP358"/>
  <c r="AP341"/>
  <c r="AP339"/>
  <c r="AP337"/>
  <c r="AP335"/>
  <c r="AP448"/>
  <c r="AP447"/>
  <c r="AP446"/>
  <c r="AP445"/>
  <c r="AP444"/>
  <c r="AP443"/>
  <c r="AP391"/>
  <c r="AP389"/>
  <c r="AP387"/>
  <c r="AP385"/>
  <c r="AP383"/>
  <c r="AP365"/>
  <c r="AP363"/>
  <c r="AP361"/>
  <c r="AP359"/>
  <c r="AP357"/>
  <c r="AP340"/>
  <c r="AP338"/>
  <c r="AP336"/>
  <c r="AP334"/>
  <c r="AP332"/>
  <c r="AP327"/>
  <c r="AP333"/>
  <c r="AP314"/>
  <c r="AP313"/>
  <c r="AP312"/>
  <c r="AP311"/>
  <c r="AP310"/>
  <c r="AP309"/>
  <c r="AP239"/>
  <c r="AP204"/>
  <c r="AP40"/>
  <c r="AP33"/>
  <c r="AP35" s="1"/>
  <c r="AP37" s="1"/>
  <c r="AP39" s="1"/>
  <c r="AP30"/>
  <c r="AP26"/>
  <c r="AP25"/>
  <c r="AP23"/>
  <c r="AP19"/>
  <c r="AP5"/>
  <c r="AO328"/>
  <c r="AO468"/>
  <c r="AO469"/>
  <c r="AO346"/>
  <c r="AO473"/>
  <c r="AO350"/>
  <c r="AO493"/>
  <c r="AO497"/>
  <c r="AO501"/>
  <c r="AO521"/>
  <c r="AO398"/>
  <c r="AO525"/>
  <c r="AO402"/>
  <c r="AO472"/>
  <c r="AO492"/>
  <c r="AO496"/>
  <c r="AO508" s="1"/>
  <c r="AO500"/>
  <c r="AO520"/>
  <c r="AO524"/>
  <c r="AO462"/>
  <c r="AO238"/>
  <c r="AO203"/>
  <c r="AO48"/>
  <c r="AN664"/>
  <c r="AM202"/>
  <c r="AM205" s="1"/>
  <c r="AO650"/>
  <c r="AO14" s="1"/>
  <c r="AO671"/>
  <c r="AN535"/>
  <c r="AL233"/>
  <c r="AL234" s="1"/>
  <c r="AM266"/>
  <c r="AM267" s="1"/>
  <c r="AP27" i="7"/>
  <c r="AO71"/>
  <c r="AO41"/>
  <c r="AO411"/>
  <c r="AN411"/>
  <c r="AP631"/>
  <c r="AO440"/>
  <c r="AO436"/>
  <c r="AO324"/>
  <c r="AN53"/>
  <c r="AN194"/>
  <c r="AN195" s="1"/>
  <c r="AP61"/>
  <c r="AO193"/>
  <c r="AO156"/>
  <c r="AO52"/>
  <c r="AO105"/>
  <c r="AP401"/>
  <c r="AP413" s="1"/>
  <c r="AP278"/>
  <c r="B238"/>
  <c r="B240"/>
  <c r="B242"/>
  <c r="AP399"/>
  <c r="AP411" s="1"/>
  <c r="AP276"/>
  <c r="AP396"/>
  <c r="AP408" s="1"/>
  <c r="AP273"/>
  <c r="AP400"/>
  <c r="AP412" s="1"/>
  <c r="AP277"/>
  <c r="AP420"/>
  <c r="AP424"/>
  <c r="AP436" s="1"/>
  <c r="AP301"/>
  <c r="AP428"/>
  <c r="AP440" s="1"/>
  <c r="AP305"/>
  <c r="AP448"/>
  <c r="AP460" s="1"/>
  <c r="AP325"/>
  <c r="AP452"/>
  <c r="AP464" s="1"/>
  <c r="AP329"/>
  <c r="AP390"/>
  <c r="B371"/>
  <c r="B373"/>
  <c r="B375"/>
  <c r="AP421"/>
  <c r="AP433" s="1"/>
  <c r="AP298"/>
  <c r="AP425"/>
  <c r="AP437" s="1"/>
  <c r="AP302"/>
  <c r="AP429"/>
  <c r="AP441" s="1"/>
  <c r="AP306"/>
  <c r="AP449"/>
  <c r="AP461" s="1"/>
  <c r="AP326"/>
  <c r="AP453"/>
  <c r="AP465" s="1"/>
  <c r="AP330"/>
  <c r="O654"/>
  <c r="O663" s="1"/>
  <c r="O635" s="1"/>
  <c r="O63" s="1"/>
  <c r="P654"/>
  <c r="P663" s="1"/>
  <c r="P635" s="1"/>
  <c r="P63" s="1"/>
  <c r="Q654"/>
  <c r="Q663" s="1"/>
  <c r="Q635" s="1"/>
  <c r="Q63" s="1"/>
  <c r="R654"/>
  <c r="R663" s="1"/>
  <c r="R635" s="1"/>
  <c r="R63" s="1"/>
  <c r="S654"/>
  <c r="S663" s="1"/>
  <c r="S635" s="1"/>
  <c r="S63" s="1"/>
  <c r="T654"/>
  <c r="T663" s="1"/>
  <c r="T635" s="1"/>
  <c r="T63" s="1"/>
  <c r="U654"/>
  <c r="U663" s="1"/>
  <c r="U635" s="1"/>
  <c r="U63" s="1"/>
  <c r="U272"/>
  <c r="T407"/>
  <c r="V654"/>
  <c r="V663" s="1"/>
  <c r="V635" s="1"/>
  <c r="V63" s="1"/>
  <c r="V272"/>
  <c r="C407"/>
  <c r="E407"/>
  <c r="F407"/>
  <c r="H407"/>
  <c r="M407"/>
  <c r="N407"/>
  <c r="Q407"/>
  <c r="R407"/>
  <c r="S407"/>
  <c r="U407"/>
  <c r="E272"/>
  <c r="I272"/>
  <c r="K272"/>
  <c r="N272"/>
  <c r="O272"/>
  <c r="P272"/>
  <c r="W654"/>
  <c r="W663" s="1"/>
  <c r="W635" s="1"/>
  <c r="W63" s="1"/>
  <c r="D407"/>
  <c r="G407"/>
  <c r="I407"/>
  <c r="J407"/>
  <c r="K407"/>
  <c r="L407"/>
  <c r="O407"/>
  <c r="P407"/>
  <c r="D272"/>
  <c r="C272"/>
  <c r="F272"/>
  <c r="G272"/>
  <c r="H272"/>
  <c r="J272"/>
  <c r="L272"/>
  <c r="M272"/>
  <c r="S272"/>
  <c r="T272"/>
  <c r="Q272"/>
  <c r="R272"/>
  <c r="X654"/>
  <c r="X663" s="1"/>
  <c r="X635" s="1"/>
  <c r="X63" s="1"/>
  <c r="V407"/>
  <c r="W272"/>
  <c r="Y654"/>
  <c r="Y663" s="1"/>
  <c r="Y635" s="1"/>
  <c r="Y63" s="1"/>
  <c r="W407"/>
  <c r="X272"/>
  <c r="Z654"/>
  <c r="Z663" s="1"/>
  <c r="Z635" s="1"/>
  <c r="Z63" s="1"/>
  <c r="Y272"/>
  <c r="X407"/>
  <c r="Y407"/>
  <c r="Z272"/>
  <c r="Z407"/>
  <c r="AA272"/>
  <c r="AA407"/>
  <c r="AB272"/>
  <c r="AC272"/>
  <c r="AB407"/>
  <c r="AD272"/>
  <c r="AC407"/>
  <c r="AD407"/>
  <c r="AE272"/>
  <c r="AF272"/>
  <c r="AE407"/>
  <c r="AG272"/>
  <c r="AF407"/>
  <c r="AG407"/>
  <c r="AH272"/>
  <c r="AI272"/>
  <c r="AH407"/>
  <c r="AJ272"/>
  <c r="AI407"/>
  <c r="AJ407"/>
  <c r="AK272"/>
  <c r="AL272"/>
  <c r="AK407"/>
  <c r="AL407"/>
  <c r="AM272"/>
  <c r="AN272"/>
  <c r="AM407"/>
  <c r="T409"/>
  <c r="U274"/>
  <c r="V274"/>
  <c r="C409"/>
  <c r="I409"/>
  <c r="J409"/>
  <c r="K409"/>
  <c r="L409"/>
  <c r="M409"/>
  <c r="P409"/>
  <c r="Q409"/>
  <c r="R409"/>
  <c r="S409"/>
  <c r="U409"/>
  <c r="F274"/>
  <c r="J274"/>
  <c r="M274"/>
  <c r="O274"/>
  <c r="S274"/>
  <c r="D409"/>
  <c r="E409"/>
  <c r="F409"/>
  <c r="G409"/>
  <c r="H409"/>
  <c r="N409"/>
  <c r="O409"/>
  <c r="C274"/>
  <c r="D274"/>
  <c r="E274"/>
  <c r="G274"/>
  <c r="H274"/>
  <c r="I274"/>
  <c r="K274"/>
  <c r="L274"/>
  <c r="N274"/>
  <c r="P274"/>
  <c r="Q274"/>
  <c r="R274"/>
  <c r="T274"/>
  <c r="V409"/>
  <c r="W274"/>
  <c r="X274"/>
  <c r="W409"/>
  <c r="X409"/>
  <c r="Y274"/>
  <c r="Z274"/>
  <c r="Y409"/>
  <c r="AA274"/>
  <c r="Z409"/>
  <c r="AB274"/>
  <c r="AA409"/>
  <c r="AC274"/>
  <c r="AB409"/>
  <c r="AD274"/>
  <c r="AC409"/>
  <c r="AE274"/>
  <c r="AD409"/>
  <c r="AE409"/>
  <c r="AF274"/>
  <c r="AG274"/>
  <c r="AF409"/>
  <c r="AH274"/>
  <c r="AG409"/>
  <c r="AH409"/>
  <c r="AI274"/>
  <c r="AI409"/>
  <c r="AJ274"/>
  <c r="AJ409"/>
  <c r="AK274"/>
  <c r="AL274"/>
  <c r="AK409"/>
  <c r="AM656"/>
  <c r="AM663" s="1"/>
  <c r="AM635" s="1"/>
  <c r="AM63" s="1"/>
  <c r="AM274"/>
  <c r="AL409"/>
  <c r="AN656"/>
  <c r="AN663" s="1"/>
  <c r="AN635" s="1"/>
  <c r="AN63" s="1"/>
  <c r="AM409"/>
  <c r="AN274"/>
  <c r="AO656"/>
  <c r="AO663" s="1"/>
  <c r="AO635" s="1"/>
  <c r="AO63" s="1"/>
  <c r="U276"/>
  <c r="T411"/>
  <c r="C411"/>
  <c r="E411"/>
  <c r="D411"/>
  <c r="F411"/>
  <c r="G411"/>
  <c r="I411"/>
  <c r="J411"/>
  <c r="K411"/>
  <c r="N411"/>
  <c r="O411"/>
  <c r="P411"/>
  <c r="Q411"/>
  <c r="C276"/>
  <c r="D276"/>
  <c r="F276"/>
  <c r="G276"/>
  <c r="H276"/>
  <c r="J276"/>
  <c r="L276"/>
  <c r="M276"/>
  <c r="N276"/>
  <c r="P276"/>
  <c r="S276"/>
  <c r="H411"/>
  <c r="L411"/>
  <c r="M411"/>
  <c r="R411"/>
  <c r="S411"/>
  <c r="U411"/>
  <c r="E276"/>
  <c r="I276"/>
  <c r="K276"/>
  <c r="O276"/>
  <c r="Q276"/>
  <c r="R276"/>
  <c r="T276"/>
  <c r="V276"/>
  <c r="V411"/>
  <c r="W276"/>
  <c r="X276"/>
  <c r="W411"/>
  <c r="Y276"/>
  <c r="X411"/>
  <c r="Z276"/>
  <c r="Y411"/>
  <c r="Z411"/>
  <c r="AA276"/>
  <c r="AA411"/>
  <c r="AB276"/>
  <c r="AC276"/>
  <c r="AB411"/>
  <c r="AC411"/>
  <c r="AD276"/>
  <c r="AE276"/>
  <c r="AD411"/>
  <c r="AF276"/>
  <c r="AE411"/>
  <c r="AG276"/>
  <c r="AF411"/>
  <c r="AH276"/>
  <c r="AG411"/>
  <c r="AI276"/>
  <c r="AH411"/>
  <c r="AJ276"/>
  <c r="AI411"/>
  <c r="AK276"/>
  <c r="AJ411"/>
  <c r="AL276"/>
  <c r="AK411"/>
  <c r="AM276"/>
  <c r="AL411"/>
  <c r="AM411"/>
  <c r="AN276"/>
  <c r="T413"/>
  <c r="U278"/>
  <c r="E413"/>
  <c r="F413"/>
  <c r="G413"/>
  <c r="I413"/>
  <c r="J413"/>
  <c r="K413"/>
  <c r="L413"/>
  <c r="M413"/>
  <c r="O413"/>
  <c r="P413"/>
  <c r="R413"/>
  <c r="C278"/>
  <c r="E278"/>
  <c r="G278"/>
  <c r="I278"/>
  <c r="K278"/>
  <c r="O278"/>
  <c r="P278"/>
  <c r="R278"/>
  <c r="V278"/>
  <c r="C413"/>
  <c r="D413"/>
  <c r="H413"/>
  <c r="N413"/>
  <c r="Q413"/>
  <c r="S413"/>
  <c r="U413"/>
  <c r="D278"/>
  <c r="F278"/>
  <c r="H278"/>
  <c r="J278"/>
  <c r="L278"/>
  <c r="M278"/>
  <c r="N278"/>
  <c r="Q278"/>
  <c r="S278"/>
  <c r="T278"/>
  <c r="V413"/>
  <c r="W278"/>
  <c r="X278"/>
  <c r="W413"/>
  <c r="Y278"/>
  <c r="X413"/>
  <c r="Z278"/>
  <c r="Y413"/>
  <c r="AA278"/>
  <c r="Z413"/>
  <c r="AA413"/>
  <c r="AB278"/>
  <c r="AB413"/>
  <c r="AC278"/>
  <c r="AD278"/>
  <c r="AC413"/>
  <c r="AE278"/>
  <c r="AD413"/>
  <c r="AE413"/>
  <c r="AF278"/>
  <c r="AG278"/>
  <c r="AF413"/>
  <c r="AG413"/>
  <c r="AH278"/>
  <c r="AI278"/>
  <c r="AH413"/>
  <c r="AJ278"/>
  <c r="AI413"/>
  <c r="AK278"/>
  <c r="AJ413"/>
  <c r="AL278"/>
  <c r="AK413"/>
  <c r="AL413"/>
  <c r="AM278"/>
  <c r="AN278"/>
  <c r="AM413"/>
  <c r="U280"/>
  <c r="T415"/>
  <c r="V280"/>
  <c r="D415"/>
  <c r="F415"/>
  <c r="G415"/>
  <c r="H415"/>
  <c r="I415"/>
  <c r="K415"/>
  <c r="N415"/>
  <c r="U415"/>
  <c r="D280"/>
  <c r="E280"/>
  <c r="F280"/>
  <c r="H280"/>
  <c r="I280"/>
  <c r="J280"/>
  <c r="K280"/>
  <c r="L280"/>
  <c r="C415"/>
  <c r="E415"/>
  <c r="J415"/>
  <c r="L415"/>
  <c r="M415"/>
  <c r="O415"/>
  <c r="P415"/>
  <c r="Q415"/>
  <c r="R415"/>
  <c r="S415"/>
  <c r="C280"/>
  <c r="G280"/>
  <c r="M280"/>
  <c r="N280"/>
  <c r="O280"/>
  <c r="P280"/>
  <c r="R280"/>
  <c r="S280"/>
  <c r="T280"/>
  <c r="Q280"/>
  <c r="V415"/>
  <c r="W280"/>
  <c r="W415"/>
  <c r="X280"/>
  <c r="Y280"/>
  <c r="X415"/>
  <c r="Y415"/>
  <c r="Z280"/>
  <c r="AA280"/>
  <c r="Z415"/>
  <c r="AA415"/>
  <c r="AB280"/>
  <c r="AC280"/>
  <c r="AB415"/>
  <c r="AD280"/>
  <c r="AC415"/>
  <c r="AD415"/>
  <c r="AE280"/>
  <c r="AF280"/>
  <c r="AE415"/>
  <c r="AG280"/>
  <c r="AF415"/>
  <c r="AG415"/>
  <c r="AH280"/>
  <c r="AH415"/>
  <c r="AI280"/>
  <c r="AJ280"/>
  <c r="AI415"/>
  <c r="AJ415"/>
  <c r="AK280"/>
  <c r="AL280"/>
  <c r="AK415"/>
  <c r="AM280"/>
  <c r="AL415"/>
  <c r="AN280"/>
  <c r="AM415"/>
  <c r="R686"/>
  <c r="R695" s="1"/>
  <c r="R667" s="1"/>
  <c r="R64" s="1"/>
  <c r="S686"/>
  <c r="S695" s="1"/>
  <c r="S667" s="1"/>
  <c r="S64" s="1"/>
  <c r="T686"/>
  <c r="T695" s="1"/>
  <c r="T667" s="1"/>
  <c r="T64" s="1"/>
  <c r="U686"/>
  <c r="U695" s="1"/>
  <c r="U667" s="1"/>
  <c r="U64" s="1"/>
  <c r="T433"/>
  <c r="V686"/>
  <c r="V695" s="1"/>
  <c r="V667" s="1"/>
  <c r="V64" s="1"/>
  <c r="U298"/>
  <c r="W686"/>
  <c r="W695" s="1"/>
  <c r="W667" s="1"/>
  <c r="W64" s="1"/>
  <c r="V298"/>
  <c r="C433"/>
  <c r="D433"/>
  <c r="E433"/>
  <c r="F433"/>
  <c r="G433"/>
  <c r="K433"/>
  <c r="L433"/>
  <c r="N433"/>
  <c r="O433"/>
  <c r="P433"/>
  <c r="U433"/>
  <c r="D298"/>
  <c r="F298"/>
  <c r="K298"/>
  <c r="M298"/>
  <c r="O298"/>
  <c r="H433"/>
  <c r="I433"/>
  <c r="J433"/>
  <c r="M433"/>
  <c r="Q433"/>
  <c r="R433"/>
  <c r="S433"/>
  <c r="C298"/>
  <c r="E298"/>
  <c r="G298"/>
  <c r="H298"/>
  <c r="I298"/>
  <c r="J298"/>
  <c r="L298"/>
  <c r="N298"/>
  <c r="P298"/>
  <c r="Q298"/>
  <c r="S298"/>
  <c r="T298"/>
  <c r="R298"/>
  <c r="V433"/>
  <c r="X686"/>
  <c r="X695" s="1"/>
  <c r="X667" s="1"/>
  <c r="X64" s="1"/>
  <c r="W298"/>
  <c r="Y686"/>
  <c r="Y695" s="1"/>
  <c r="Y667" s="1"/>
  <c r="Y64" s="1"/>
  <c r="X298"/>
  <c r="W433"/>
  <c r="Z686"/>
  <c r="Z695" s="1"/>
  <c r="Z667" s="1"/>
  <c r="Z64" s="1"/>
  <c r="X433"/>
  <c r="Y298"/>
  <c r="AA686"/>
  <c r="AA695" s="1"/>
  <c r="AA667" s="1"/>
  <c r="AA64" s="1"/>
  <c r="Y433"/>
  <c r="Z298"/>
  <c r="AA298"/>
  <c r="AB686"/>
  <c r="AB695" s="1"/>
  <c r="AB667" s="1"/>
  <c r="AB64" s="1"/>
  <c r="Z433"/>
  <c r="AC686"/>
  <c r="AC695" s="1"/>
  <c r="AC667" s="1"/>
  <c r="AC64" s="1"/>
  <c r="AB298"/>
  <c r="AA433"/>
  <c r="AD686"/>
  <c r="AD695" s="1"/>
  <c r="AD667" s="1"/>
  <c r="AD64" s="1"/>
  <c r="AC298"/>
  <c r="AB433"/>
  <c r="AE686"/>
  <c r="AE695" s="1"/>
  <c r="AE667" s="1"/>
  <c r="AE64" s="1"/>
  <c r="AD298"/>
  <c r="AC433"/>
  <c r="AE298"/>
  <c r="AD433"/>
  <c r="AF686"/>
  <c r="AF695" s="1"/>
  <c r="AF667" s="1"/>
  <c r="AF64" s="1"/>
  <c r="AE433"/>
  <c r="AF298"/>
  <c r="AG298"/>
  <c r="AF433"/>
  <c r="AH298"/>
  <c r="AG433"/>
  <c r="AI298"/>
  <c r="AH433"/>
  <c r="AI433"/>
  <c r="AJ298"/>
  <c r="AK298"/>
  <c r="AJ433"/>
  <c r="AL298"/>
  <c r="AK433"/>
  <c r="AM298"/>
  <c r="AL433"/>
  <c r="AM433"/>
  <c r="AN298"/>
  <c r="U300"/>
  <c r="T435"/>
  <c r="H435"/>
  <c r="I435"/>
  <c r="L435"/>
  <c r="N435"/>
  <c r="P435"/>
  <c r="Q435"/>
  <c r="C300"/>
  <c r="G300"/>
  <c r="L300"/>
  <c r="M300"/>
  <c r="O300"/>
  <c r="R300"/>
  <c r="T300"/>
  <c r="C435"/>
  <c r="D435"/>
  <c r="E435"/>
  <c r="F435"/>
  <c r="G435"/>
  <c r="J435"/>
  <c r="K435"/>
  <c r="M435"/>
  <c r="O435"/>
  <c r="R435"/>
  <c r="S435"/>
  <c r="U435"/>
  <c r="D300"/>
  <c r="E300"/>
  <c r="F300"/>
  <c r="H300"/>
  <c r="I300"/>
  <c r="J300"/>
  <c r="K300"/>
  <c r="N300"/>
  <c r="P300"/>
  <c r="Q300"/>
  <c r="S300"/>
  <c r="V300"/>
  <c r="V435"/>
  <c r="W300"/>
  <c r="X300"/>
  <c r="W435"/>
  <c r="Y300"/>
  <c r="X435"/>
  <c r="Z300"/>
  <c r="Y435"/>
  <c r="AA300"/>
  <c r="Z435"/>
  <c r="AA435"/>
  <c r="AB300"/>
  <c r="AC300"/>
  <c r="AB435"/>
  <c r="AD300"/>
  <c r="AC435"/>
  <c r="AD435"/>
  <c r="AE300"/>
  <c r="AE435"/>
  <c r="AF300"/>
  <c r="AG300"/>
  <c r="AF435"/>
  <c r="AG435"/>
  <c r="AH300"/>
  <c r="AI300"/>
  <c r="AH435"/>
  <c r="AJ300"/>
  <c r="AI435"/>
  <c r="AJ435"/>
  <c r="AK300"/>
  <c r="AK435"/>
  <c r="AL300"/>
  <c r="AL435"/>
  <c r="AM300"/>
  <c r="AM435"/>
  <c r="AN300"/>
  <c r="U302"/>
  <c r="T437"/>
  <c r="V302"/>
  <c r="E437"/>
  <c r="F437"/>
  <c r="G437"/>
  <c r="J437"/>
  <c r="L437"/>
  <c r="P437"/>
  <c r="Q437"/>
  <c r="S437"/>
  <c r="D302"/>
  <c r="C302"/>
  <c r="E302"/>
  <c r="G302"/>
  <c r="H302"/>
  <c r="I302"/>
  <c r="J302"/>
  <c r="L302"/>
  <c r="N302"/>
  <c r="P302"/>
  <c r="Q302"/>
  <c r="T302"/>
  <c r="C437"/>
  <c r="D437"/>
  <c r="H437"/>
  <c r="I437"/>
  <c r="K437"/>
  <c r="M437"/>
  <c r="N437"/>
  <c r="O437"/>
  <c r="R437"/>
  <c r="U437"/>
  <c r="F302"/>
  <c r="K302"/>
  <c r="M302"/>
  <c r="O302"/>
  <c r="R302"/>
  <c r="S302"/>
  <c r="W302"/>
  <c r="V437"/>
  <c r="W437"/>
  <c r="X302"/>
  <c r="Y302"/>
  <c r="X437"/>
  <c r="Z302"/>
  <c r="Y437"/>
  <c r="AA302"/>
  <c r="Z437"/>
  <c r="AA437"/>
  <c r="AB302"/>
  <c r="AC302"/>
  <c r="AB437"/>
  <c r="AD302"/>
  <c r="AC437"/>
  <c r="AE302"/>
  <c r="AD437"/>
  <c r="AF302"/>
  <c r="AE437"/>
  <c r="AF437"/>
  <c r="AG302"/>
  <c r="AG437"/>
  <c r="AH302"/>
  <c r="AH437"/>
  <c r="AI302"/>
  <c r="AJ302"/>
  <c r="AI437"/>
  <c r="AK302"/>
  <c r="AJ437"/>
  <c r="AL302"/>
  <c r="AK437"/>
  <c r="AL437"/>
  <c r="AM302"/>
  <c r="AN302"/>
  <c r="AM437"/>
  <c r="U304"/>
  <c r="T439"/>
  <c r="C439"/>
  <c r="E439"/>
  <c r="D439"/>
  <c r="H439"/>
  <c r="M439"/>
  <c r="O439"/>
  <c r="Q439"/>
  <c r="R439"/>
  <c r="S439"/>
  <c r="U439"/>
  <c r="D304"/>
  <c r="E304"/>
  <c r="F304"/>
  <c r="H304"/>
  <c r="I304"/>
  <c r="J304"/>
  <c r="K304"/>
  <c r="N304"/>
  <c r="O304"/>
  <c r="P304"/>
  <c r="Q304"/>
  <c r="V304"/>
  <c r="F439"/>
  <c r="G439"/>
  <c r="I439"/>
  <c r="J439"/>
  <c r="K439"/>
  <c r="L439"/>
  <c r="N439"/>
  <c r="P439"/>
  <c r="C304"/>
  <c r="G304"/>
  <c r="L304"/>
  <c r="M304"/>
  <c r="R304"/>
  <c r="S304"/>
  <c r="T304"/>
  <c r="V439"/>
  <c r="W304"/>
  <c r="X304"/>
  <c r="W439"/>
  <c r="Y304"/>
  <c r="X439"/>
  <c r="Z304"/>
  <c r="Y439"/>
  <c r="Z439"/>
  <c r="AA304"/>
  <c r="AA439"/>
  <c r="AB304"/>
  <c r="AC304"/>
  <c r="AB439"/>
  <c r="AD304"/>
  <c r="AC439"/>
  <c r="AD439"/>
  <c r="AE304"/>
  <c r="AF304"/>
  <c r="AE439"/>
  <c r="AG304"/>
  <c r="AF439"/>
  <c r="AG439"/>
  <c r="AH304"/>
  <c r="AH439"/>
  <c r="AI304"/>
  <c r="AJ304"/>
  <c r="AI439"/>
  <c r="AJ439"/>
  <c r="AK304"/>
  <c r="AL304"/>
  <c r="AK439"/>
  <c r="AM304"/>
  <c r="AL439"/>
  <c r="AN304"/>
  <c r="AM439"/>
  <c r="T441"/>
  <c r="U306"/>
  <c r="V306"/>
  <c r="C441"/>
  <c r="D441"/>
  <c r="H441"/>
  <c r="J441"/>
  <c r="M441"/>
  <c r="O441"/>
  <c r="Q441"/>
  <c r="R441"/>
  <c r="S441"/>
  <c r="U441"/>
  <c r="F306"/>
  <c r="K306"/>
  <c r="M306"/>
  <c r="R306"/>
  <c r="S306"/>
  <c r="E441"/>
  <c r="F441"/>
  <c r="G441"/>
  <c r="I441"/>
  <c r="K441"/>
  <c r="L441"/>
  <c r="N441"/>
  <c r="P441"/>
  <c r="D306"/>
  <c r="C306"/>
  <c r="E306"/>
  <c r="G306"/>
  <c r="H306"/>
  <c r="I306"/>
  <c r="J306"/>
  <c r="L306"/>
  <c r="N306"/>
  <c r="O306"/>
  <c r="P306"/>
  <c r="Q306"/>
  <c r="T306"/>
  <c r="V441"/>
  <c r="W306"/>
  <c r="X306"/>
  <c r="W441"/>
  <c r="Y306"/>
  <c r="X441"/>
  <c r="Z306"/>
  <c r="Y441"/>
  <c r="AA306"/>
  <c r="Z441"/>
  <c r="AB306"/>
  <c r="AA441"/>
  <c r="AC306"/>
  <c r="AB441"/>
  <c r="AC441"/>
  <c r="AD306"/>
  <c r="AE306"/>
  <c r="AD441"/>
  <c r="AE441"/>
  <c r="AF306"/>
  <c r="AG306"/>
  <c r="AF441"/>
  <c r="AH306"/>
  <c r="AG441"/>
  <c r="AI306"/>
  <c r="AH441"/>
  <c r="AI441"/>
  <c r="AJ306"/>
  <c r="AJ441"/>
  <c r="AK306"/>
  <c r="AL306"/>
  <c r="AK441"/>
  <c r="AM306"/>
  <c r="AL441"/>
  <c r="AM441"/>
  <c r="AN306"/>
  <c r="U324"/>
  <c r="T459"/>
  <c r="C459"/>
  <c r="E459"/>
  <c r="F459"/>
  <c r="G459"/>
  <c r="J459"/>
  <c r="K459"/>
  <c r="M459"/>
  <c r="R459"/>
  <c r="S459"/>
  <c r="C324"/>
  <c r="D324"/>
  <c r="G324"/>
  <c r="L324"/>
  <c r="M324"/>
  <c r="N324"/>
  <c r="R324"/>
  <c r="S324"/>
  <c r="W718"/>
  <c r="W727" s="1"/>
  <c r="W699" s="1"/>
  <c r="W65" s="1"/>
  <c r="D459"/>
  <c r="H459"/>
  <c r="I459"/>
  <c r="L459"/>
  <c r="N459"/>
  <c r="O459"/>
  <c r="P459"/>
  <c r="Q459"/>
  <c r="U459"/>
  <c r="E324"/>
  <c r="F324"/>
  <c r="H324"/>
  <c r="I324"/>
  <c r="J324"/>
  <c r="K324"/>
  <c r="O324"/>
  <c r="P324"/>
  <c r="Q324"/>
  <c r="T324"/>
  <c r="V324"/>
  <c r="V459"/>
  <c r="X718"/>
  <c r="X727" s="1"/>
  <c r="X699" s="1"/>
  <c r="X65" s="1"/>
  <c r="W324"/>
  <c r="X324"/>
  <c r="W459"/>
  <c r="Y718"/>
  <c r="Y727" s="1"/>
  <c r="Y699" s="1"/>
  <c r="Y65" s="1"/>
  <c r="Y324"/>
  <c r="Z718"/>
  <c r="Z727" s="1"/>
  <c r="Z699" s="1"/>
  <c r="Z65" s="1"/>
  <c r="X459"/>
  <c r="Z324"/>
  <c r="AA718"/>
  <c r="AA727" s="1"/>
  <c r="AA699" s="1"/>
  <c r="AA65" s="1"/>
  <c r="Y459"/>
  <c r="AB718"/>
  <c r="AB727" s="1"/>
  <c r="AB699" s="1"/>
  <c r="AB65" s="1"/>
  <c r="AA324"/>
  <c r="Z459"/>
  <c r="AC718"/>
  <c r="AC727" s="1"/>
  <c r="AC699" s="1"/>
  <c r="AC65" s="1"/>
  <c r="AA459"/>
  <c r="AB324"/>
  <c r="AC324"/>
  <c r="AB459"/>
  <c r="AD718"/>
  <c r="AD727" s="1"/>
  <c r="AD699" s="1"/>
  <c r="AD65" s="1"/>
  <c r="AE718"/>
  <c r="AE727" s="1"/>
  <c r="AE699" s="1"/>
  <c r="AE65" s="1"/>
  <c r="AD324"/>
  <c r="AC459"/>
  <c r="AD459"/>
  <c r="AF718"/>
  <c r="AF727" s="1"/>
  <c r="AF699" s="1"/>
  <c r="AF65" s="1"/>
  <c r="AE324"/>
  <c r="AG718"/>
  <c r="AG727" s="1"/>
  <c r="AG699" s="1"/>
  <c r="AG65" s="1"/>
  <c r="AF324"/>
  <c r="AE459"/>
  <c r="AH718"/>
  <c r="AH727" s="1"/>
  <c r="AH699" s="1"/>
  <c r="AH65" s="1"/>
  <c r="AG324"/>
  <c r="AF459"/>
  <c r="AI718"/>
  <c r="AI727" s="1"/>
  <c r="AI699" s="1"/>
  <c r="AI65" s="1"/>
  <c r="AG459"/>
  <c r="AH324"/>
  <c r="AJ718"/>
  <c r="AJ727" s="1"/>
  <c r="AJ699" s="1"/>
  <c r="AJ65" s="1"/>
  <c r="AI324"/>
  <c r="AH459"/>
  <c r="AJ324"/>
  <c r="AK718"/>
  <c r="AK727" s="1"/>
  <c r="AK699" s="1"/>
  <c r="AK65" s="1"/>
  <c r="AI459"/>
  <c r="AJ459"/>
  <c r="AL718"/>
  <c r="AL727" s="1"/>
  <c r="AL699" s="1"/>
  <c r="AL65" s="1"/>
  <c r="AK324"/>
  <c r="AM718"/>
  <c r="AM727" s="1"/>
  <c r="AM699" s="1"/>
  <c r="AM65" s="1"/>
  <c r="AL324"/>
  <c r="AK459"/>
  <c r="AL459"/>
  <c r="AN718"/>
  <c r="AN727" s="1"/>
  <c r="AN699" s="1"/>
  <c r="AN65" s="1"/>
  <c r="AM324"/>
  <c r="AN324"/>
  <c r="AM459"/>
  <c r="AO718"/>
  <c r="AO727" s="1"/>
  <c r="AO699" s="1"/>
  <c r="AO65" s="1"/>
  <c r="T461"/>
  <c r="U326"/>
  <c r="V326"/>
  <c r="H461"/>
  <c r="I461"/>
  <c r="K461"/>
  <c r="M461"/>
  <c r="N461"/>
  <c r="R461"/>
  <c r="D326"/>
  <c r="C326"/>
  <c r="E326"/>
  <c r="G326"/>
  <c r="H326"/>
  <c r="I326"/>
  <c r="J326"/>
  <c r="L326"/>
  <c r="N326"/>
  <c r="O326"/>
  <c r="Q326"/>
  <c r="D461"/>
  <c r="C461"/>
  <c r="E461"/>
  <c r="F461"/>
  <c r="G461"/>
  <c r="J461"/>
  <c r="L461"/>
  <c r="O461"/>
  <c r="P461"/>
  <c r="Q461"/>
  <c r="S461"/>
  <c r="U461"/>
  <c r="F326"/>
  <c r="K326"/>
  <c r="M326"/>
  <c r="P326"/>
  <c r="R326"/>
  <c r="S326"/>
  <c r="T326"/>
  <c r="W326"/>
  <c r="V461"/>
  <c r="X326"/>
  <c r="W461"/>
  <c r="X461"/>
  <c r="Y326"/>
  <c r="Z326"/>
  <c r="Y461"/>
  <c r="AA326"/>
  <c r="Z461"/>
  <c r="AA461"/>
  <c r="AB326"/>
  <c r="AB461"/>
  <c r="AC326"/>
  <c r="AD326"/>
  <c r="AC461"/>
  <c r="AE326"/>
  <c r="AD461"/>
  <c r="AF326"/>
  <c r="AE461"/>
  <c r="AG326"/>
  <c r="AF461"/>
  <c r="AG461"/>
  <c r="AH326"/>
  <c r="AH461"/>
  <c r="AI326"/>
  <c r="AJ326"/>
  <c r="AI461"/>
  <c r="AK326"/>
  <c r="AJ461"/>
  <c r="AL326"/>
  <c r="AK461"/>
  <c r="AL461"/>
  <c r="AM326"/>
  <c r="AN326"/>
  <c r="AM461"/>
  <c r="U328"/>
  <c r="T463"/>
  <c r="F463"/>
  <c r="G463"/>
  <c r="J463"/>
  <c r="K463"/>
  <c r="L463"/>
  <c r="O463"/>
  <c r="P463"/>
  <c r="Q463"/>
  <c r="U463"/>
  <c r="D328"/>
  <c r="E328"/>
  <c r="F328"/>
  <c r="H328"/>
  <c r="I328"/>
  <c r="J328"/>
  <c r="K328"/>
  <c r="M328"/>
  <c r="O328"/>
  <c r="P328"/>
  <c r="V328"/>
  <c r="C463"/>
  <c r="D463"/>
  <c r="E463"/>
  <c r="H463"/>
  <c r="I463"/>
  <c r="M463"/>
  <c r="N463"/>
  <c r="R463"/>
  <c r="S463"/>
  <c r="C328"/>
  <c r="G328"/>
  <c r="L328"/>
  <c r="N328"/>
  <c r="R328"/>
  <c r="S328"/>
  <c r="T328"/>
  <c r="Q328"/>
  <c r="V463"/>
  <c r="W328"/>
  <c r="X328"/>
  <c r="W463"/>
  <c r="Y328"/>
  <c r="X463"/>
  <c r="Z328"/>
  <c r="Y463"/>
  <c r="Z463"/>
  <c r="AA328"/>
  <c r="AA463"/>
  <c r="AB328"/>
  <c r="AC328"/>
  <c r="AB463"/>
  <c r="AD328"/>
  <c r="AC463"/>
  <c r="AD463"/>
  <c r="AE328"/>
  <c r="AF328"/>
  <c r="AE463"/>
  <c r="AG328"/>
  <c r="AF463"/>
  <c r="AG463"/>
  <c r="AH328"/>
  <c r="AH463"/>
  <c r="AI328"/>
  <c r="AJ328"/>
  <c r="AI463"/>
  <c r="AJ463"/>
  <c r="AK328"/>
  <c r="AL328"/>
  <c r="AK463"/>
  <c r="AM328"/>
  <c r="AL463"/>
  <c r="AM463"/>
  <c r="AN328"/>
  <c r="T465"/>
  <c r="U330"/>
  <c r="V330"/>
  <c r="E465"/>
  <c r="G465"/>
  <c r="I465"/>
  <c r="K465"/>
  <c r="L465"/>
  <c r="N465"/>
  <c r="P465"/>
  <c r="U465"/>
  <c r="F330"/>
  <c r="J330"/>
  <c r="K330"/>
  <c r="M330"/>
  <c r="P330"/>
  <c r="C465"/>
  <c r="D465"/>
  <c r="F465"/>
  <c r="H465"/>
  <c r="J465"/>
  <c r="M465"/>
  <c r="O465"/>
  <c r="Q465"/>
  <c r="R465"/>
  <c r="S465"/>
  <c r="D330"/>
  <c r="C330"/>
  <c r="E330"/>
  <c r="G330"/>
  <c r="H330"/>
  <c r="I330"/>
  <c r="L330"/>
  <c r="N330"/>
  <c r="O330"/>
  <c r="Q330"/>
  <c r="R330"/>
  <c r="S330"/>
  <c r="T330"/>
  <c r="V465"/>
  <c r="W330"/>
  <c r="X330"/>
  <c r="W465"/>
  <c r="Y330"/>
  <c r="X465"/>
  <c r="Y465"/>
  <c r="Z330"/>
  <c r="AA330"/>
  <c r="Z465"/>
  <c r="AB330"/>
  <c r="AA465"/>
  <c r="AC330"/>
  <c r="AB465"/>
  <c r="AD330"/>
  <c r="AC465"/>
  <c r="AE330"/>
  <c r="AD465"/>
  <c r="AE465"/>
  <c r="AF330"/>
  <c r="AG330"/>
  <c r="AF465"/>
  <c r="AH330"/>
  <c r="AG465"/>
  <c r="AI330"/>
  <c r="AH465"/>
  <c r="AI465"/>
  <c r="AJ330"/>
  <c r="AK330"/>
  <c r="AJ465"/>
  <c r="AL330"/>
  <c r="AK465"/>
  <c r="AM330"/>
  <c r="AL465"/>
  <c r="AM465"/>
  <c r="AN330"/>
  <c r="U332"/>
  <c r="T467"/>
  <c r="D467"/>
  <c r="H467"/>
  <c r="L467"/>
  <c r="N467"/>
  <c r="P467"/>
  <c r="C332"/>
  <c r="G332"/>
  <c r="H332"/>
  <c r="L332"/>
  <c r="N332"/>
  <c r="T332"/>
  <c r="C467"/>
  <c r="E467"/>
  <c r="F467"/>
  <c r="G467"/>
  <c r="I467"/>
  <c r="J467"/>
  <c r="K467"/>
  <c r="M467"/>
  <c r="O467"/>
  <c r="Q467"/>
  <c r="R467"/>
  <c r="S467"/>
  <c r="U467"/>
  <c r="D332"/>
  <c r="E332"/>
  <c r="F332"/>
  <c r="I332"/>
  <c r="J332"/>
  <c r="K332"/>
  <c r="M332"/>
  <c r="O332"/>
  <c r="P332"/>
  <c r="Q332"/>
  <c r="R332"/>
  <c r="S332"/>
  <c r="V332"/>
  <c r="V467"/>
  <c r="W332"/>
  <c r="X332"/>
  <c r="W467"/>
  <c r="Y332"/>
  <c r="X467"/>
  <c r="Z332"/>
  <c r="Y467"/>
  <c r="Z467"/>
  <c r="AA332"/>
  <c r="AA467"/>
  <c r="AB332"/>
  <c r="AC332"/>
  <c r="AB467"/>
  <c r="AD332"/>
  <c r="AC467"/>
  <c r="AD467"/>
  <c r="AE332"/>
  <c r="AE467"/>
  <c r="AF332"/>
  <c r="AG332"/>
  <c r="AF467"/>
  <c r="AG467"/>
  <c r="AH332"/>
  <c r="AI332"/>
  <c r="AH467"/>
  <c r="AJ332"/>
  <c r="AI467"/>
  <c r="AJ467"/>
  <c r="AK332"/>
  <c r="AK467"/>
  <c r="AL332"/>
  <c r="AL467"/>
  <c r="AM332"/>
  <c r="AN332"/>
  <c r="AM467"/>
  <c r="AL168"/>
  <c r="AL169" s="1"/>
  <c r="AL197" s="1"/>
  <c r="AL198" s="1"/>
  <c r="AL108" s="1"/>
  <c r="AL107"/>
  <c r="AO191"/>
  <c r="AO154"/>
  <c r="AO50"/>
  <c r="AO606"/>
  <c r="AO80"/>
  <c r="AO81" s="1"/>
  <c r="AO119"/>
  <c r="AO20"/>
  <c r="AO43" s="1"/>
  <c r="AP599"/>
  <c r="B654"/>
  <c r="AP656"/>
  <c r="AP663" s="1"/>
  <c r="AP635" s="1"/>
  <c r="AP727"/>
  <c r="AP699" s="1"/>
  <c r="AN157"/>
  <c r="AN158" s="1"/>
  <c r="AN407"/>
  <c r="AN413"/>
  <c r="AN434"/>
  <c r="AN466"/>
  <c r="AN439"/>
  <c r="AN463"/>
  <c r="AM160"/>
  <c r="AM161" s="1"/>
  <c r="AO330"/>
  <c r="AO326"/>
  <c r="AO306"/>
  <c r="AO302"/>
  <c r="AO298"/>
  <c r="AO278"/>
  <c r="AO274"/>
  <c r="AO414"/>
  <c r="AO592"/>
  <c r="AO190"/>
  <c r="AO153"/>
  <c r="AO49"/>
  <c r="AK109"/>
  <c r="AP585"/>
  <c r="AP586" s="1"/>
  <c r="AP577"/>
  <c r="AP551"/>
  <c r="AP552" s="1"/>
  <c r="AP104" s="1"/>
  <c r="AP545"/>
  <c r="AP546" s="1"/>
  <c r="AP103" s="1"/>
  <c r="AP589"/>
  <c r="AP590" s="1"/>
  <c r="AP581"/>
  <c r="AP120"/>
  <c r="B123" s="1"/>
  <c r="AP29"/>
  <c r="AP31" s="1"/>
  <c r="AP10"/>
  <c r="AP12" s="1"/>
  <c r="AP397"/>
  <c r="AP409" s="1"/>
  <c r="AP274"/>
  <c r="AP256"/>
  <c r="B237"/>
  <c r="B239"/>
  <c r="B241"/>
  <c r="AP395"/>
  <c r="AP407" s="1"/>
  <c r="AP272"/>
  <c r="AP403"/>
  <c r="AP415" s="1"/>
  <c r="AP280"/>
  <c r="AP394"/>
  <c r="AP398"/>
  <c r="AP410" s="1"/>
  <c r="AP275"/>
  <c r="AP402"/>
  <c r="AP414" s="1"/>
  <c r="AP279"/>
  <c r="AP422"/>
  <c r="AP434" s="1"/>
  <c r="AP299"/>
  <c r="AP426"/>
  <c r="AP438" s="1"/>
  <c r="AP303"/>
  <c r="AP446"/>
  <c r="AP450"/>
  <c r="AP462" s="1"/>
  <c r="AP327"/>
  <c r="AP454"/>
  <c r="AP466" s="1"/>
  <c r="AP331"/>
  <c r="B372"/>
  <c r="B374"/>
  <c r="B376"/>
  <c r="AP423"/>
  <c r="AP435" s="1"/>
  <c r="AP300"/>
  <c r="AP427"/>
  <c r="AP439" s="1"/>
  <c r="AP304"/>
  <c r="AP447"/>
  <c r="AP459" s="1"/>
  <c r="AP324"/>
  <c r="AP451"/>
  <c r="AP463" s="1"/>
  <c r="AP328"/>
  <c r="AP455"/>
  <c r="AP467" s="1"/>
  <c r="AP332"/>
  <c r="AP615"/>
  <c r="AP609"/>
  <c r="AP166"/>
  <c r="AP130"/>
  <c r="AP55"/>
  <c r="AP651"/>
  <c r="AP636" s="1"/>
  <c r="AP68" s="1"/>
  <c r="B641"/>
  <c r="AP271" s="1"/>
  <c r="U273"/>
  <c r="T408"/>
  <c r="V273"/>
  <c r="G408"/>
  <c r="I408"/>
  <c r="J408"/>
  <c r="L408"/>
  <c r="M408"/>
  <c r="N408"/>
  <c r="O408"/>
  <c r="P408"/>
  <c r="C273"/>
  <c r="H273"/>
  <c r="L273"/>
  <c r="N273"/>
  <c r="R273"/>
  <c r="T273"/>
  <c r="C408"/>
  <c r="E408"/>
  <c r="D408"/>
  <c r="F408"/>
  <c r="H408"/>
  <c r="K408"/>
  <c r="Q408"/>
  <c r="R408"/>
  <c r="S408"/>
  <c r="U408"/>
  <c r="D273"/>
  <c r="E273"/>
  <c r="F273"/>
  <c r="G273"/>
  <c r="I273"/>
  <c r="J273"/>
  <c r="K273"/>
  <c r="M273"/>
  <c r="O273"/>
  <c r="P273"/>
  <c r="Q273"/>
  <c r="S273"/>
  <c r="V408"/>
  <c r="W273"/>
  <c r="W408"/>
  <c r="X273"/>
  <c r="Y273"/>
  <c r="X408"/>
  <c r="AA655"/>
  <c r="AA663" s="1"/>
  <c r="AA635" s="1"/>
  <c r="AA63" s="1"/>
  <c r="Y408"/>
  <c r="Z273"/>
  <c r="AB655"/>
  <c r="AB663" s="1"/>
  <c r="AB635" s="1"/>
  <c r="AB63" s="1"/>
  <c r="AA273"/>
  <c r="Z408"/>
  <c r="AC655"/>
  <c r="AC663" s="1"/>
  <c r="AC635" s="1"/>
  <c r="AC63" s="1"/>
  <c r="AB273"/>
  <c r="AA408"/>
  <c r="AC273"/>
  <c r="AB408"/>
  <c r="AD655"/>
  <c r="AD663" s="1"/>
  <c r="AD635" s="1"/>
  <c r="AD63" s="1"/>
  <c r="AE655"/>
  <c r="AE663" s="1"/>
  <c r="AE635" s="1"/>
  <c r="AE63" s="1"/>
  <c r="AC408"/>
  <c r="AD273"/>
  <c r="AF655"/>
  <c r="AF663" s="1"/>
  <c r="AF635" s="1"/>
  <c r="AF63" s="1"/>
  <c r="AD408"/>
  <c r="AE273"/>
  <c r="AG655"/>
  <c r="AG663" s="1"/>
  <c r="AG635" s="1"/>
  <c r="AG63" s="1"/>
  <c r="AF273"/>
  <c r="AE408"/>
  <c r="AH655"/>
  <c r="AH663" s="1"/>
  <c r="AH635" s="1"/>
  <c r="AH63" s="1"/>
  <c r="AG273"/>
  <c r="AF408"/>
  <c r="AI655"/>
  <c r="AI663" s="1"/>
  <c r="AI635" s="1"/>
  <c r="AI63" s="1"/>
  <c r="AH273"/>
  <c r="AG408"/>
  <c r="AH408"/>
  <c r="AJ655"/>
  <c r="AJ663" s="1"/>
  <c r="AJ635" s="1"/>
  <c r="AJ63" s="1"/>
  <c r="AI273"/>
  <c r="AK655"/>
  <c r="AK663" s="1"/>
  <c r="AK635" s="1"/>
  <c r="AK63" s="1"/>
  <c r="AI408"/>
  <c r="AJ273"/>
  <c r="AL655"/>
  <c r="AL663" s="1"/>
  <c r="AL635" s="1"/>
  <c r="AL63" s="1"/>
  <c r="AK273"/>
  <c r="AJ408"/>
  <c r="AL273"/>
  <c r="AK408"/>
  <c r="AL408"/>
  <c r="AM273"/>
  <c r="AN273"/>
  <c r="AM408"/>
  <c r="T410"/>
  <c r="U275"/>
  <c r="C410"/>
  <c r="E410"/>
  <c r="H410"/>
  <c r="I410"/>
  <c r="N410"/>
  <c r="O410"/>
  <c r="S410"/>
  <c r="U410"/>
  <c r="D275"/>
  <c r="F275"/>
  <c r="G275"/>
  <c r="H275"/>
  <c r="J275"/>
  <c r="M275"/>
  <c r="N275"/>
  <c r="O275"/>
  <c r="P275"/>
  <c r="D410"/>
  <c r="F410"/>
  <c r="G410"/>
  <c r="J410"/>
  <c r="K410"/>
  <c r="L410"/>
  <c r="M410"/>
  <c r="P410"/>
  <c r="Q410"/>
  <c r="R410"/>
  <c r="C275"/>
  <c r="E275"/>
  <c r="I275"/>
  <c r="K275"/>
  <c r="L275"/>
  <c r="Q275"/>
  <c r="R275"/>
  <c r="T275"/>
  <c r="S275"/>
  <c r="V275"/>
  <c r="V410"/>
  <c r="W275"/>
  <c r="X275"/>
  <c r="W410"/>
  <c r="X410"/>
  <c r="Y275"/>
  <c r="Z275"/>
  <c r="Y410"/>
  <c r="Z410"/>
  <c r="AA275"/>
  <c r="AA410"/>
  <c r="AB275"/>
  <c r="AC275"/>
  <c r="AB410"/>
  <c r="AD275"/>
  <c r="AC410"/>
  <c r="AD410"/>
  <c r="AE275"/>
  <c r="AE410"/>
  <c r="AF275"/>
  <c r="AG275"/>
  <c r="AF410"/>
  <c r="AG410"/>
  <c r="AH275"/>
  <c r="AH410"/>
  <c r="AI275"/>
  <c r="AJ275"/>
  <c r="AI410"/>
  <c r="AJ410"/>
  <c r="AK275"/>
  <c r="AL275"/>
  <c r="AK410"/>
  <c r="AM275"/>
  <c r="AL410"/>
  <c r="AM410"/>
  <c r="AN275"/>
  <c r="T412"/>
  <c r="U277"/>
  <c r="V277"/>
  <c r="C412"/>
  <c r="D412"/>
  <c r="G412"/>
  <c r="H412"/>
  <c r="J412"/>
  <c r="M412"/>
  <c r="Q412"/>
  <c r="R412"/>
  <c r="C277"/>
  <c r="E277"/>
  <c r="F277"/>
  <c r="G277"/>
  <c r="I277"/>
  <c r="J277"/>
  <c r="K277"/>
  <c r="O277"/>
  <c r="P277"/>
  <c r="Q277"/>
  <c r="S277"/>
  <c r="E412"/>
  <c r="F412"/>
  <c r="I412"/>
  <c r="K412"/>
  <c r="L412"/>
  <c r="N412"/>
  <c r="O412"/>
  <c r="P412"/>
  <c r="S412"/>
  <c r="U412"/>
  <c r="D277"/>
  <c r="H277"/>
  <c r="L277"/>
  <c r="M277"/>
  <c r="N277"/>
  <c r="R277"/>
  <c r="T277"/>
  <c r="V412"/>
  <c r="W277"/>
  <c r="W412"/>
  <c r="X277"/>
  <c r="Y277"/>
  <c r="X412"/>
  <c r="Z277"/>
  <c r="Y412"/>
  <c r="AA277"/>
  <c r="Z412"/>
  <c r="AA412"/>
  <c r="AB277"/>
  <c r="AC277"/>
  <c r="AB412"/>
  <c r="AD277"/>
  <c r="AC412"/>
  <c r="AE277"/>
  <c r="AD412"/>
  <c r="AE412"/>
  <c r="AF277"/>
  <c r="AG277"/>
  <c r="AF412"/>
  <c r="AG412"/>
  <c r="AH277"/>
  <c r="AI277"/>
  <c r="AH412"/>
  <c r="AI412"/>
  <c r="AJ277"/>
  <c r="AK277"/>
  <c r="AJ412"/>
  <c r="AL277"/>
  <c r="AK412"/>
  <c r="AM277"/>
  <c r="AL412"/>
  <c r="AM412"/>
  <c r="AN277"/>
  <c r="U279"/>
  <c r="T414"/>
  <c r="F414"/>
  <c r="I414"/>
  <c r="J414"/>
  <c r="K414"/>
  <c r="M414"/>
  <c r="N414"/>
  <c r="R414"/>
  <c r="S414"/>
  <c r="U414"/>
  <c r="C279"/>
  <c r="D279"/>
  <c r="E279"/>
  <c r="G279"/>
  <c r="I279"/>
  <c r="L279"/>
  <c r="N279"/>
  <c r="Q279"/>
  <c r="R279"/>
  <c r="V279"/>
  <c r="C414"/>
  <c r="E414"/>
  <c r="D414"/>
  <c r="G414"/>
  <c r="H414"/>
  <c r="L414"/>
  <c r="O414"/>
  <c r="P414"/>
  <c r="Q414"/>
  <c r="F279"/>
  <c r="H279"/>
  <c r="J279"/>
  <c r="K279"/>
  <c r="M279"/>
  <c r="O279"/>
  <c r="P279"/>
  <c r="S279"/>
  <c r="T279"/>
  <c r="V414"/>
  <c r="W279"/>
  <c r="X279"/>
  <c r="W414"/>
  <c r="Y279"/>
  <c r="X414"/>
  <c r="Z279"/>
  <c r="Y414"/>
  <c r="AA279"/>
  <c r="Z414"/>
  <c r="AA414"/>
  <c r="AB279"/>
  <c r="AB414"/>
  <c r="AC279"/>
  <c r="AD279"/>
  <c r="AC414"/>
  <c r="AD414"/>
  <c r="AE279"/>
  <c r="AE414"/>
  <c r="AF279"/>
  <c r="AG279"/>
  <c r="AF414"/>
  <c r="AG414"/>
  <c r="AH279"/>
  <c r="AI279"/>
  <c r="AH414"/>
  <c r="AJ279"/>
  <c r="AI414"/>
  <c r="AK279"/>
  <c r="AJ414"/>
  <c r="AK414"/>
  <c r="AL279"/>
  <c r="AM279"/>
  <c r="AL414"/>
  <c r="AN279"/>
  <c r="AM414"/>
  <c r="AP683"/>
  <c r="AP668" s="1"/>
  <c r="AP69" s="1"/>
  <c r="B673"/>
  <c r="AP297" s="1"/>
  <c r="T434"/>
  <c r="U299"/>
  <c r="C434"/>
  <c r="D434"/>
  <c r="F434"/>
  <c r="G434"/>
  <c r="J434"/>
  <c r="K434"/>
  <c r="L434"/>
  <c r="P434"/>
  <c r="Q434"/>
  <c r="R434"/>
  <c r="S434"/>
  <c r="C299"/>
  <c r="E299"/>
  <c r="F299"/>
  <c r="G299"/>
  <c r="H299"/>
  <c r="I299"/>
  <c r="J299"/>
  <c r="P299"/>
  <c r="E434"/>
  <c r="H434"/>
  <c r="I434"/>
  <c r="M434"/>
  <c r="N434"/>
  <c r="O434"/>
  <c r="U434"/>
  <c r="D299"/>
  <c r="K299"/>
  <c r="L299"/>
  <c r="M299"/>
  <c r="N299"/>
  <c r="O299"/>
  <c r="R299"/>
  <c r="T299"/>
  <c r="Q299"/>
  <c r="S299"/>
  <c r="V299"/>
  <c r="W299"/>
  <c r="V434"/>
  <c r="X299"/>
  <c r="W434"/>
  <c r="X434"/>
  <c r="Y299"/>
  <c r="Z299"/>
  <c r="Y434"/>
  <c r="AA299"/>
  <c r="Z434"/>
  <c r="AA434"/>
  <c r="AB299"/>
  <c r="AC299"/>
  <c r="AB434"/>
  <c r="AD299"/>
  <c r="AC434"/>
  <c r="AE299"/>
  <c r="AD434"/>
  <c r="AG687"/>
  <c r="AG695" s="1"/>
  <c r="AG667" s="1"/>
  <c r="AG64" s="1"/>
  <c r="AE434"/>
  <c r="AF299"/>
  <c r="AH687"/>
  <c r="AH695" s="1"/>
  <c r="AH667" s="1"/>
  <c r="AH64" s="1"/>
  <c r="AG299"/>
  <c r="AF434"/>
  <c r="AI687"/>
  <c r="AI695" s="1"/>
  <c r="AI667" s="1"/>
  <c r="AI64" s="1"/>
  <c r="AG434"/>
  <c r="AH299"/>
  <c r="AH434"/>
  <c r="AJ687"/>
  <c r="AJ695" s="1"/>
  <c r="AJ667" s="1"/>
  <c r="AJ64" s="1"/>
  <c r="AI299"/>
  <c r="AJ299"/>
  <c r="AK687"/>
  <c r="AK695" s="1"/>
  <c r="AK667" s="1"/>
  <c r="AK64" s="1"/>
  <c r="AI434"/>
  <c r="AL687"/>
  <c r="AL695" s="1"/>
  <c r="AL667" s="1"/>
  <c r="AL64" s="1"/>
  <c r="AK299"/>
  <c r="AJ434"/>
  <c r="AL299"/>
  <c r="AM687"/>
  <c r="AM695" s="1"/>
  <c r="AM667" s="1"/>
  <c r="AM64" s="1"/>
  <c r="AK434"/>
  <c r="AN687"/>
  <c r="AN695" s="1"/>
  <c r="AN667" s="1"/>
  <c r="AN64" s="1"/>
  <c r="AM299"/>
  <c r="AL434"/>
  <c r="AN299"/>
  <c r="AO687"/>
  <c r="AO695" s="1"/>
  <c r="AO667" s="1"/>
  <c r="AO64" s="1"/>
  <c r="AM434"/>
  <c r="U301"/>
  <c r="T436"/>
  <c r="V301"/>
  <c r="C436"/>
  <c r="E436"/>
  <c r="F436"/>
  <c r="G436"/>
  <c r="I436"/>
  <c r="K436"/>
  <c r="L436"/>
  <c r="N436"/>
  <c r="P436"/>
  <c r="S436"/>
  <c r="C301"/>
  <c r="D301"/>
  <c r="F301"/>
  <c r="G301"/>
  <c r="M301"/>
  <c r="O301"/>
  <c r="S301"/>
  <c r="D436"/>
  <c r="H436"/>
  <c r="J436"/>
  <c r="M436"/>
  <c r="O436"/>
  <c r="Q436"/>
  <c r="R436"/>
  <c r="U436"/>
  <c r="E301"/>
  <c r="H301"/>
  <c r="I301"/>
  <c r="J301"/>
  <c r="K301"/>
  <c r="L301"/>
  <c r="N301"/>
  <c r="P301"/>
  <c r="Q301"/>
  <c r="R301"/>
  <c r="T301"/>
  <c r="V436"/>
  <c r="W301"/>
  <c r="W436"/>
  <c r="X301"/>
  <c r="Y301"/>
  <c r="X436"/>
  <c r="Y436"/>
  <c r="Z301"/>
  <c r="Z436"/>
  <c r="AA301"/>
  <c r="AA436"/>
  <c r="AB301"/>
  <c r="AC301"/>
  <c r="AB436"/>
  <c r="AC436"/>
  <c r="AD301"/>
  <c r="AE301"/>
  <c r="AD436"/>
  <c r="AF301"/>
  <c r="AE436"/>
  <c r="AG301"/>
  <c r="AF436"/>
  <c r="AH301"/>
  <c r="AG436"/>
  <c r="AI301"/>
  <c r="AH436"/>
  <c r="AJ301"/>
  <c r="AI436"/>
  <c r="AK301"/>
  <c r="AJ436"/>
  <c r="AL301"/>
  <c r="AK436"/>
  <c r="AM301"/>
  <c r="AL436"/>
  <c r="AN301"/>
  <c r="AM436"/>
  <c r="U303"/>
  <c r="T438"/>
  <c r="D438"/>
  <c r="H438"/>
  <c r="K438"/>
  <c r="L438"/>
  <c r="M438"/>
  <c r="O438"/>
  <c r="P438"/>
  <c r="Q438"/>
  <c r="R438"/>
  <c r="S438"/>
  <c r="U438"/>
  <c r="H303"/>
  <c r="K303"/>
  <c r="L303"/>
  <c r="M303"/>
  <c r="N303"/>
  <c r="T303"/>
  <c r="V303"/>
  <c r="C438"/>
  <c r="E438"/>
  <c r="F438"/>
  <c r="G438"/>
  <c r="I438"/>
  <c r="J438"/>
  <c r="N438"/>
  <c r="C303"/>
  <c r="D303"/>
  <c r="E303"/>
  <c r="F303"/>
  <c r="G303"/>
  <c r="I303"/>
  <c r="J303"/>
  <c r="O303"/>
  <c r="P303"/>
  <c r="Q303"/>
  <c r="S303"/>
  <c r="R303"/>
  <c r="V438"/>
  <c r="W303"/>
  <c r="X303"/>
  <c r="W438"/>
  <c r="X438"/>
  <c r="Y303"/>
  <c r="Z303"/>
  <c r="Y438"/>
  <c r="AA303"/>
  <c r="Z438"/>
  <c r="AA438"/>
  <c r="AB303"/>
  <c r="AB438"/>
  <c r="AC303"/>
  <c r="AD303"/>
  <c r="AC438"/>
  <c r="AE303"/>
  <c r="AD438"/>
  <c r="AE438"/>
  <c r="AF303"/>
  <c r="AG303"/>
  <c r="AF438"/>
  <c r="AH303"/>
  <c r="AG438"/>
  <c r="AI303"/>
  <c r="AH438"/>
  <c r="AJ303"/>
  <c r="AI438"/>
  <c r="AJ438"/>
  <c r="AK303"/>
  <c r="AL303"/>
  <c r="AK438"/>
  <c r="AL438"/>
  <c r="AM303"/>
  <c r="AN303"/>
  <c r="AM438"/>
  <c r="U305"/>
  <c r="T440"/>
  <c r="V305"/>
  <c r="G440"/>
  <c r="I440"/>
  <c r="J440"/>
  <c r="K440"/>
  <c r="L440"/>
  <c r="N440"/>
  <c r="O440"/>
  <c r="P440"/>
  <c r="Q440"/>
  <c r="U440"/>
  <c r="D305"/>
  <c r="E305"/>
  <c r="H305"/>
  <c r="I305"/>
  <c r="J305"/>
  <c r="K305"/>
  <c r="L305"/>
  <c r="N305"/>
  <c r="Q305"/>
  <c r="C440"/>
  <c r="D440"/>
  <c r="E440"/>
  <c r="F440"/>
  <c r="H440"/>
  <c r="M440"/>
  <c r="R440"/>
  <c r="S440"/>
  <c r="C305"/>
  <c r="F305"/>
  <c r="G305"/>
  <c r="M305"/>
  <c r="O305"/>
  <c r="P305"/>
  <c r="R305"/>
  <c r="S305"/>
  <c r="T305"/>
  <c r="V440"/>
  <c r="W305"/>
  <c r="X305"/>
  <c r="W440"/>
  <c r="Y305"/>
  <c r="X440"/>
  <c r="Y440"/>
  <c r="Z305"/>
  <c r="AA305"/>
  <c r="Z440"/>
  <c r="AB305"/>
  <c r="AA440"/>
  <c r="AC305"/>
  <c r="AB440"/>
  <c r="AC440"/>
  <c r="AD305"/>
  <c r="AD440"/>
  <c r="AE305"/>
  <c r="AF305"/>
  <c r="AE440"/>
  <c r="AG305"/>
  <c r="AF440"/>
  <c r="AG440"/>
  <c r="AH305"/>
  <c r="AH440"/>
  <c r="AI305"/>
  <c r="AI440"/>
  <c r="AJ305"/>
  <c r="AK305"/>
  <c r="AJ440"/>
  <c r="AL305"/>
  <c r="AK440"/>
  <c r="AL440"/>
  <c r="AM305"/>
  <c r="AN305"/>
  <c r="AM440"/>
  <c r="AP715"/>
  <c r="AP700" s="1"/>
  <c r="AP70" s="1"/>
  <c r="B705"/>
  <c r="AO458" s="1"/>
  <c r="U325"/>
  <c r="T460"/>
  <c r="V325"/>
  <c r="D460"/>
  <c r="H460"/>
  <c r="J460"/>
  <c r="Q460"/>
  <c r="R460"/>
  <c r="S460"/>
  <c r="C325"/>
  <c r="F325"/>
  <c r="J325"/>
  <c r="P325"/>
  <c r="R325"/>
  <c r="T325"/>
  <c r="C460"/>
  <c r="E460"/>
  <c r="F460"/>
  <c r="G460"/>
  <c r="I460"/>
  <c r="K460"/>
  <c r="L460"/>
  <c r="M460"/>
  <c r="N460"/>
  <c r="O460"/>
  <c r="P460"/>
  <c r="U460"/>
  <c r="D325"/>
  <c r="E325"/>
  <c r="G325"/>
  <c r="H325"/>
  <c r="I325"/>
  <c r="K325"/>
  <c r="L325"/>
  <c r="M325"/>
  <c r="N325"/>
  <c r="O325"/>
  <c r="Q325"/>
  <c r="S325"/>
  <c r="V460"/>
  <c r="W325"/>
  <c r="W460"/>
  <c r="X325"/>
  <c r="Y325"/>
  <c r="X460"/>
  <c r="Y460"/>
  <c r="Z325"/>
  <c r="Z460"/>
  <c r="AA325"/>
  <c r="AA460"/>
  <c r="AB325"/>
  <c r="AC325"/>
  <c r="AB460"/>
  <c r="AC460"/>
  <c r="AD325"/>
  <c r="AD460"/>
  <c r="AE325"/>
  <c r="AE460"/>
  <c r="AF325"/>
  <c r="AG325"/>
  <c r="AF460"/>
  <c r="AH325"/>
  <c r="AG460"/>
  <c r="AI325"/>
  <c r="AH460"/>
  <c r="AJ325"/>
  <c r="AI460"/>
  <c r="AJ460"/>
  <c r="AK325"/>
  <c r="AL325"/>
  <c r="AK460"/>
  <c r="AM325"/>
  <c r="AL460"/>
  <c r="AM460"/>
  <c r="AN325"/>
  <c r="U327"/>
  <c r="T462"/>
  <c r="C462"/>
  <c r="E462"/>
  <c r="F462"/>
  <c r="G462"/>
  <c r="I462"/>
  <c r="J462"/>
  <c r="N462"/>
  <c r="O462"/>
  <c r="U462"/>
  <c r="H327"/>
  <c r="L327"/>
  <c r="M327"/>
  <c r="D462"/>
  <c r="H462"/>
  <c r="K462"/>
  <c r="L462"/>
  <c r="M462"/>
  <c r="P462"/>
  <c r="Q462"/>
  <c r="R462"/>
  <c r="S462"/>
  <c r="C327"/>
  <c r="D327"/>
  <c r="E327"/>
  <c r="F327"/>
  <c r="G327"/>
  <c r="I327"/>
  <c r="J327"/>
  <c r="K327"/>
  <c r="N327"/>
  <c r="O327"/>
  <c r="P327"/>
  <c r="Q327"/>
  <c r="R327"/>
  <c r="S327"/>
  <c r="T327"/>
  <c r="V327"/>
  <c r="V462"/>
  <c r="W327"/>
  <c r="X327"/>
  <c r="W462"/>
  <c r="X462"/>
  <c r="Y327"/>
  <c r="Z327"/>
  <c r="Y462"/>
  <c r="AA327"/>
  <c r="Z462"/>
  <c r="AA462"/>
  <c r="AB327"/>
  <c r="AB462"/>
  <c r="AC327"/>
  <c r="AD327"/>
  <c r="AC462"/>
  <c r="AE327"/>
  <c r="AD462"/>
  <c r="AE462"/>
  <c r="AF327"/>
  <c r="AF462"/>
  <c r="AG327"/>
  <c r="AH327"/>
  <c r="AG462"/>
  <c r="AI327"/>
  <c r="AH462"/>
  <c r="AJ327"/>
  <c r="AI462"/>
  <c r="AJ462"/>
  <c r="AK327"/>
  <c r="AL327"/>
  <c r="AK462"/>
  <c r="AL462"/>
  <c r="AM327"/>
  <c r="AN327"/>
  <c r="AM462"/>
  <c r="U329"/>
  <c r="T464"/>
  <c r="V329"/>
  <c r="C464"/>
  <c r="D464"/>
  <c r="E464"/>
  <c r="F464"/>
  <c r="H464"/>
  <c r="M464"/>
  <c r="O464"/>
  <c r="Q464"/>
  <c r="R464"/>
  <c r="S464"/>
  <c r="U464"/>
  <c r="E329"/>
  <c r="G329"/>
  <c r="H329"/>
  <c r="I329"/>
  <c r="K329"/>
  <c r="L329"/>
  <c r="M329"/>
  <c r="N329"/>
  <c r="O329"/>
  <c r="P329"/>
  <c r="G464"/>
  <c r="I464"/>
  <c r="J464"/>
  <c r="K464"/>
  <c r="L464"/>
  <c r="N464"/>
  <c r="P464"/>
  <c r="C329"/>
  <c r="D329"/>
  <c r="F329"/>
  <c r="J329"/>
  <c r="R329"/>
  <c r="S329"/>
  <c r="Q329"/>
  <c r="T329"/>
  <c r="V464"/>
  <c r="W329"/>
  <c r="X329"/>
  <c r="W464"/>
  <c r="Y329"/>
  <c r="X464"/>
  <c r="Y464"/>
  <c r="Z329"/>
  <c r="Z464"/>
  <c r="AA329"/>
  <c r="AB329"/>
  <c r="AA464"/>
  <c r="AC329"/>
  <c r="AB464"/>
  <c r="AC464"/>
  <c r="AD329"/>
  <c r="AE329"/>
  <c r="AD464"/>
  <c r="AF329"/>
  <c r="AE464"/>
  <c r="AG329"/>
  <c r="AF464"/>
  <c r="AG464"/>
  <c r="AH329"/>
  <c r="AH464"/>
  <c r="AI329"/>
  <c r="AI464"/>
  <c r="AJ329"/>
  <c r="AK329"/>
  <c r="AJ464"/>
  <c r="AL329"/>
  <c r="AK464"/>
  <c r="AL464"/>
  <c r="AM329"/>
  <c r="AM464"/>
  <c r="AN329"/>
  <c r="T466"/>
  <c r="U331"/>
  <c r="C466"/>
  <c r="F466"/>
  <c r="J466"/>
  <c r="L466"/>
  <c r="N466"/>
  <c r="P466"/>
  <c r="Q466"/>
  <c r="S466"/>
  <c r="C331"/>
  <c r="D331"/>
  <c r="E331"/>
  <c r="F331"/>
  <c r="G331"/>
  <c r="I331"/>
  <c r="J331"/>
  <c r="K331"/>
  <c r="N331"/>
  <c r="O331"/>
  <c r="P331"/>
  <c r="S331"/>
  <c r="V331"/>
  <c r="D466"/>
  <c r="E466"/>
  <c r="G466"/>
  <c r="H466"/>
  <c r="I466"/>
  <c r="K466"/>
  <c r="M466"/>
  <c r="O466"/>
  <c r="R466"/>
  <c r="U466"/>
  <c r="H331"/>
  <c r="L331"/>
  <c r="M331"/>
  <c r="R331"/>
  <c r="T331"/>
  <c r="Q331"/>
  <c r="W331"/>
  <c r="V466"/>
  <c r="X331"/>
  <c r="W466"/>
  <c r="X466"/>
  <c r="Y331"/>
  <c r="Z331"/>
  <c r="Y466"/>
  <c r="AA331"/>
  <c r="Z466"/>
  <c r="AA466"/>
  <c r="AB331"/>
  <c r="AB466"/>
  <c r="AC331"/>
  <c r="AD331"/>
  <c r="AC466"/>
  <c r="AE331"/>
  <c r="AD466"/>
  <c r="AE466"/>
  <c r="AF331"/>
  <c r="AF466"/>
  <c r="AG331"/>
  <c r="AG466"/>
  <c r="AH331"/>
  <c r="AH466"/>
  <c r="AI331"/>
  <c r="AJ331"/>
  <c r="AI466"/>
  <c r="AK331"/>
  <c r="AJ466"/>
  <c r="AL331"/>
  <c r="AK466"/>
  <c r="AM331"/>
  <c r="AL466"/>
  <c r="AN331"/>
  <c r="AM466"/>
  <c r="AP165"/>
  <c r="AP129"/>
  <c r="AP54"/>
  <c r="AO192"/>
  <c r="AO155"/>
  <c r="AO51"/>
  <c r="AN164"/>
  <c r="AN128"/>
  <c r="AN132" s="1"/>
  <c r="AN160" s="1"/>
  <c r="AN161" s="1"/>
  <c r="AN47"/>
  <c r="AP582"/>
  <c r="AP578"/>
  <c r="AP14" s="1"/>
  <c r="AP18" s="1"/>
  <c r="AP687"/>
  <c r="AN415"/>
  <c r="AN414"/>
  <c r="AN438"/>
  <c r="AN462"/>
  <c r="AN435"/>
  <c r="AN459"/>
  <c r="AN467"/>
  <c r="AM56"/>
  <c r="AO466"/>
  <c r="AO462"/>
  <c r="AO438"/>
  <c r="AO434"/>
  <c r="AO465"/>
  <c r="AO461"/>
  <c r="AO441"/>
  <c r="AO437"/>
  <c r="AO433"/>
  <c r="AO413"/>
  <c r="AO409"/>
  <c r="AO412"/>
  <c r="AO279"/>
  <c r="D17" i="2"/>
  <c r="D52"/>
  <c r="D230"/>
  <c r="D267"/>
  <c r="D15"/>
  <c r="D50"/>
  <c r="D53" s="1"/>
  <c r="D228"/>
  <c r="D265"/>
  <c r="F366"/>
  <c r="F501" s="1"/>
  <c r="F362"/>
  <c r="F497" s="1"/>
  <c r="F365"/>
  <c r="F500" s="1"/>
  <c r="F359"/>
  <c r="F494" s="1"/>
  <c r="F367"/>
  <c r="F502" s="1"/>
  <c r="E71"/>
  <c r="F361"/>
  <c r="F496" s="1"/>
  <c r="F364"/>
  <c r="F499" s="1"/>
  <c r="F363"/>
  <c r="F498" s="1"/>
  <c r="F360"/>
  <c r="F495" s="1"/>
  <c r="F789"/>
  <c r="F774" s="1"/>
  <c r="F70" s="1"/>
  <c r="G5"/>
  <c r="G788"/>
  <c r="G394" s="1"/>
  <c r="G529" s="1"/>
  <c r="G786"/>
  <c r="G392" s="1"/>
  <c r="G527" s="1"/>
  <c r="G784"/>
  <c r="G390" s="1"/>
  <c r="G525" s="1"/>
  <c r="G782"/>
  <c r="G388" s="1"/>
  <c r="G523" s="1"/>
  <c r="G780"/>
  <c r="G386" s="1"/>
  <c r="G521" s="1"/>
  <c r="G756"/>
  <c r="G787"/>
  <c r="G393" s="1"/>
  <c r="G528" s="1"/>
  <c r="G785"/>
  <c r="G391" s="1"/>
  <c r="G526" s="1"/>
  <c r="G783"/>
  <c r="G389" s="1"/>
  <c r="G524" s="1"/>
  <c r="G781"/>
  <c r="G387" s="1"/>
  <c r="G522" s="1"/>
  <c r="G779"/>
  <c r="G385" s="1"/>
  <c r="G520" s="1"/>
  <c r="G755"/>
  <c r="G754"/>
  <c r="G366" s="1"/>
  <c r="G501" s="1"/>
  <c r="G752"/>
  <c r="G750"/>
  <c r="G748"/>
  <c r="G724"/>
  <c r="G722"/>
  <c r="G720"/>
  <c r="G718"/>
  <c r="G716"/>
  <c r="G793"/>
  <c r="G796"/>
  <c r="G798"/>
  <c r="G800"/>
  <c r="G751"/>
  <c r="G747"/>
  <c r="G723"/>
  <c r="G719"/>
  <c r="G753"/>
  <c r="G749"/>
  <c r="G721"/>
  <c r="G717"/>
  <c r="G794"/>
  <c r="G797"/>
  <c r="G795"/>
  <c r="G761"/>
  <c r="G763"/>
  <c r="G765"/>
  <c r="G767"/>
  <c r="G715"/>
  <c r="G799"/>
  <c r="G760"/>
  <c r="G762"/>
  <c r="G764"/>
  <c r="G766"/>
  <c r="G768"/>
  <c r="F757"/>
  <c r="F742" s="1"/>
  <c r="F69" s="1"/>
  <c r="G617"/>
  <c r="G618" s="1"/>
  <c r="G623"/>
  <c r="G624" s="1"/>
  <c r="G674"/>
  <c r="G670"/>
  <c r="G671" s="1"/>
  <c r="H11"/>
  <c r="G311"/>
  <c r="G313"/>
  <c r="G315"/>
  <c r="G446"/>
  <c r="G448"/>
  <c r="G450"/>
  <c r="G314"/>
  <c r="G447"/>
  <c r="G312"/>
  <c r="G316"/>
  <c r="G445"/>
  <c r="G449"/>
  <c r="G19"/>
  <c r="E117"/>
  <c r="D116"/>
  <c r="G728"/>
  <c r="G729"/>
  <c r="G730"/>
  <c r="G731"/>
  <c r="G732"/>
  <c r="G733"/>
  <c r="G734"/>
  <c r="G735"/>
  <c r="G736"/>
  <c r="F705"/>
  <c r="G702" s="1"/>
  <c r="D105"/>
  <c r="G463"/>
  <c r="F330"/>
  <c r="G329"/>
  <c r="F343"/>
  <c r="F477" s="1"/>
  <c r="F341"/>
  <c r="F475" s="1"/>
  <c r="F334"/>
  <c r="F468" s="1"/>
  <c r="F342"/>
  <c r="F476" s="1"/>
  <c r="F340"/>
  <c r="F474" s="1"/>
  <c r="F335"/>
  <c r="F469" s="1"/>
  <c r="F336"/>
  <c r="F470" s="1"/>
  <c r="F725"/>
  <c r="F710" s="1"/>
  <c r="F68" s="1"/>
  <c r="G704"/>
  <c r="G62" s="1"/>
  <c r="E619"/>
  <c r="E620" s="1"/>
  <c r="E103" s="1"/>
  <c r="E625"/>
  <c r="E626" s="1"/>
  <c r="E104" s="1"/>
  <c r="G23"/>
  <c r="G26"/>
  <c r="G30"/>
  <c r="D266"/>
  <c r="D229"/>
  <c r="D264"/>
  <c r="D227"/>
  <c r="D18"/>
  <c r="D20" s="1"/>
  <c r="D666"/>
  <c r="E663"/>
  <c r="E664" s="1"/>
  <c r="E655"/>
  <c r="E656" s="1"/>
  <c r="E651"/>
  <c r="E652" s="1"/>
  <c r="E659"/>
  <c r="E660" s="1"/>
  <c r="E51" s="1"/>
  <c r="G698"/>
  <c r="F27"/>
  <c r="E29"/>
  <c r="E31" s="1"/>
  <c r="H2"/>
  <c r="G25"/>
  <c r="F10"/>
  <c r="F12" s="1"/>
  <c r="AH74" i="10" l="1"/>
  <c r="AH76" s="1"/>
  <c r="AH80" s="1"/>
  <c r="AH81" s="1"/>
  <c r="AH95" s="1"/>
  <c r="AJ74"/>
  <c r="AJ76" s="1"/>
  <c r="AJ80" s="1"/>
  <c r="AJ81" s="1"/>
  <c r="AJ95" s="1"/>
  <c r="AM74"/>
  <c r="AM76" s="1"/>
  <c r="AM80" s="1"/>
  <c r="AM81" s="1"/>
  <c r="AM95" s="1"/>
  <c r="AL74"/>
  <c r="AL76" s="1"/>
  <c r="AL80" s="1"/>
  <c r="AL81" s="1"/>
  <c r="AL95" s="1"/>
  <c r="AI74"/>
  <c r="AI76" s="1"/>
  <c r="AI80" s="1"/>
  <c r="AI81" s="1"/>
  <c r="AI95" s="1"/>
  <c r="AK74"/>
  <c r="AK76" s="1"/>
  <c r="AK80" s="1"/>
  <c r="AK81" s="1"/>
  <c r="AK95" s="1"/>
  <c r="AN74"/>
  <c r="AN76" s="1"/>
  <c r="AN532" i="8"/>
  <c r="I759"/>
  <c r="J759"/>
  <c r="K759"/>
  <c r="AN534"/>
  <c r="O761"/>
  <c r="P761"/>
  <c r="Q761"/>
  <c r="AO401"/>
  <c r="U763"/>
  <c r="V763"/>
  <c r="W763"/>
  <c r="AN538"/>
  <c r="AA765"/>
  <c r="AB765"/>
  <c r="AC765"/>
  <c r="B759"/>
  <c r="B761"/>
  <c r="B763"/>
  <c r="B765"/>
  <c r="AN531"/>
  <c r="F758"/>
  <c r="G758"/>
  <c r="H758"/>
  <c r="L760"/>
  <c r="M760"/>
  <c r="N760"/>
  <c r="R762"/>
  <c r="S762"/>
  <c r="T762"/>
  <c r="X764"/>
  <c r="Y764"/>
  <c r="Z764"/>
  <c r="AN539"/>
  <c r="AD766"/>
  <c r="AE766"/>
  <c r="AF766"/>
  <c r="B760"/>
  <c r="B762"/>
  <c r="B764"/>
  <c r="B766"/>
  <c r="AO512"/>
  <c r="AP179" i="10"/>
  <c r="AP196" s="1"/>
  <c r="AG74"/>
  <c r="AG76" s="1"/>
  <c r="E49" i="2"/>
  <c r="E14"/>
  <c r="AN56" i="7"/>
  <c r="AP118" i="10"/>
  <c r="AP709"/>
  <c r="AI101"/>
  <c r="AK101"/>
  <c r="AM109"/>
  <c r="AH109"/>
  <c r="AJ109"/>
  <c r="AL101"/>
  <c r="AN109"/>
  <c r="AG101"/>
  <c r="AO406" i="7"/>
  <c r="B718"/>
  <c r="B655"/>
  <c r="AB66"/>
  <c r="AB72" s="1"/>
  <c r="AP41"/>
  <c r="AO532" i="8"/>
  <c r="AO41"/>
  <c r="Q63" i="10"/>
  <c r="Q69" s="1"/>
  <c r="AN122"/>
  <c r="C391"/>
  <c r="B381"/>
  <c r="AO484" i="8"/>
  <c r="AP63" i="10"/>
  <c r="AP69" s="1"/>
  <c r="N63"/>
  <c r="N69" s="1"/>
  <c r="L63"/>
  <c r="L69" s="1"/>
  <c r="J63"/>
  <c r="J69" s="1"/>
  <c r="H63"/>
  <c r="H69" s="1"/>
  <c r="F63"/>
  <c r="F69" s="1"/>
  <c r="D63"/>
  <c r="D69" s="1"/>
  <c r="AP18"/>
  <c r="AP20" s="1"/>
  <c r="AP44" s="1"/>
  <c r="AP306"/>
  <c r="AK109"/>
  <c r="AM122"/>
  <c r="C443"/>
  <c r="B433"/>
  <c r="C578"/>
  <c r="B568"/>
  <c r="C811"/>
  <c r="C783" s="1"/>
  <c r="B801"/>
  <c r="AN101"/>
  <c r="AO48"/>
  <c r="AO50" s="1"/>
  <c r="AO74" s="1"/>
  <c r="AO76" s="1"/>
  <c r="AO80" s="1"/>
  <c r="AO81" s="1"/>
  <c r="AO95" s="1"/>
  <c r="AG109"/>
  <c r="C526"/>
  <c r="B516"/>
  <c r="B737"/>
  <c r="C747"/>
  <c r="C719" s="1"/>
  <c r="C417"/>
  <c r="B407"/>
  <c r="C552"/>
  <c r="B542"/>
  <c r="B769"/>
  <c r="C779"/>
  <c r="C751" s="1"/>
  <c r="B134"/>
  <c r="D81" i="1" s="1"/>
  <c r="B129" i="10"/>
  <c r="M63"/>
  <c r="M69" s="1"/>
  <c r="K63"/>
  <c r="K69" s="1"/>
  <c r="I63"/>
  <c r="I69" s="1"/>
  <c r="G63"/>
  <c r="G69" s="1"/>
  <c r="E63"/>
  <c r="E69" s="1"/>
  <c r="AP287"/>
  <c r="AN482" i="8"/>
  <c r="AO18"/>
  <c r="AO536"/>
  <c r="AO480"/>
  <c r="AF66" i="7"/>
  <c r="AF72" s="1"/>
  <c r="AD66"/>
  <c r="AD72" s="1"/>
  <c r="B686"/>
  <c r="AP668" i="8"/>
  <c r="AP671" s="1"/>
  <c r="AN486"/>
  <c r="AM47"/>
  <c r="AM49" s="1"/>
  <c r="AO397"/>
  <c r="AO349"/>
  <c r="AO513"/>
  <c r="AO509"/>
  <c r="AO505"/>
  <c r="AP27"/>
  <c r="AO63"/>
  <c r="AM233"/>
  <c r="AM234" s="1"/>
  <c r="AM240" s="1"/>
  <c r="AM241" s="1"/>
  <c r="AM269" s="1"/>
  <c r="AM270" s="1"/>
  <c r="AM99" s="1"/>
  <c r="AN230"/>
  <c r="AN231" s="1"/>
  <c r="AO373"/>
  <c r="AO537"/>
  <c r="AO533"/>
  <c r="AO485"/>
  <c r="AO481"/>
  <c r="AL240"/>
  <c r="AL241" s="1"/>
  <c r="AL269" s="1"/>
  <c r="AL270" s="1"/>
  <c r="AL99" s="1"/>
  <c r="AL98"/>
  <c r="AO96"/>
  <c r="AO72"/>
  <c r="B310"/>
  <c r="B312"/>
  <c r="B314"/>
  <c r="AP468"/>
  <c r="AP480" s="1"/>
  <c r="AP345"/>
  <c r="AP472"/>
  <c r="AP484" s="1"/>
  <c r="AP349"/>
  <c r="AP492"/>
  <c r="AP496"/>
  <c r="AP508" s="1"/>
  <c r="AP373"/>
  <c r="AP500"/>
  <c r="AP512" s="1"/>
  <c r="AP377"/>
  <c r="AP520"/>
  <c r="AP532" s="1"/>
  <c r="AP397"/>
  <c r="AP524"/>
  <c r="AP536" s="1"/>
  <c r="AP401"/>
  <c r="AP462"/>
  <c r="B443"/>
  <c r="B445"/>
  <c r="B447"/>
  <c r="AP469"/>
  <c r="AP481" s="1"/>
  <c r="AP346"/>
  <c r="AP473"/>
  <c r="AP485" s="1"/>
  <c r="AP350"/>
  <c r="AP493"/>
  <c r="AP505" s="1"/>
  <c r="AP370"/>
  <c r="AP497"/>
  <c r="AP509" s="1"/>
  <c r="AP374"/>
  <c r="AP501"/>
  <c r="AP513" s="1"/>
  <c r="AP378"/>
  <c r="AP521"/>
  <c r="AP533" s="1"/>
  <c r="AP398"/>
  <c r="AP525"/>
  <c r="AP537" s="1"/>
  <c r="AP402"/>
  <c r="O694"/>
  <c r="O703" s="1"/>
  <c r="O675" s="1"/>
  <c r="O55" s="1"/>
  <c r="P694"/>
  <c r="P703" s="1"/>
  <c r="P675" s="1"/>
  <c r="P55" s="1"/>
  <c r="Q694"/>
  <c r="Q703" s="1"/>
  <c r="Q675" s="1"/>
  <c r="Q55" s="1"/>
  <c r="R694"/>
  <c r="R703" s="1"/>
  <c r="R675" s="1"/>
  <c r="R55" s="1"/>
  <c r="S694"/>
  <c r="S703" s="1"/>
  <c r="S675" s="1"/>
  <c r="S55" s="1"/>
  <c r="T694"/>
  <c r="T703" s="1"/>
  <c r="T675" s="1"/>
  <c r="T55" s="1"/>
  <c r="U694"/>
  <c r="U703" s="1"/>
  <c r="U675" s="1"/>
  <c r="U55" s="1"/>
  <c r="V694"/>
  <c r="V703" s="1"/>
  <c r="V675" s="1"/>
  <c r="V55" s="1"/>
  <c r="T479"/>
  <c r="C344"/>
  <c r="G344"/>
  <c r="I344"/>
  <c r="K344"/>
  <c r="M344"/>
  <c r="N344"/>
  <c r="Q344"/>
  <c r="S344"/>
  <c r="T344"/>
  <c r="V344"/>
  <c r="C479"/>
  <c r="D479"/>
  <c r="F479"/>
  <c r="G479"/>
  <c r="J479"/>
  <c r="K479"/>
  <c r="N479"/>
  <c r="O479"/>
  <c r="P479"/>
  <c r="R479"/>
  <c r="S479"/>
  <c r="U479"/>
  <c r="D344"/>
  <c r="E344"/>
  <c r="F344"/>
  <c r="H344"/>
  <c r="J344"/>
  <c r="L344"/>
  <c r="O344"/>
  <c r="P344"/>
  <c r="R344"/>
  <c r="U344"/>
  <c r="W694"/>
  <c r="W703" s="1"/>
  <c r="W675" s="1"/>
  <c r="W55" s="1"/>
  <c r="E479"/>
  <c r="H479"/>
  <c r="I479"/>
  <c r="L479"/>
  <c r="M479"/>
  <c r="Q479"/>
  <c r="W344"/>
  <c r="V479"/>
  <c r="X694"/>
  <c r="X703" s="1"/>
  <c r="X675" s="1"/>
  <c r="X55" s="1"/>
  <c r="Y694"/>
  <c r="Y703" s="1"/>
  <c r="Y675" s="1"/>
  <c r="Y55" s="1"/>
  <c r="X344"/>
  <c r="W479"/>
  <c r="Z694"/>
  <c r="Z703" s="1"/>
  <c r="Z675" s="1"/>
  <c r="Z55" s="1"/>
  <c r="X479"/>
  <c r="Y344"/>
  <c r="Z344"/>
  <c r="Y479"/>
  <c r="AA344"/>
  <c r="Z479"/>
  <c r="AB344"/>
  <c r="AA479"/>
  <c r="AC344"/>
  <c r="AB479"/>
  <c r="AD344"/>
  <c r="AC479"/>
  <c r="AE344"/>
  <c r="AD479"/>
  <c r="AF344"/>
  <c r="AE479"/>
  <c r="AF479"/>
  <c r="AG344"/>
  <c r="AG479"/>
  <c r="AH344"/>
  <c r="AI344"/>
  <c r="AH479"/>
  <c r="AI479"/>
  <c r="AJ344"/>
  <c r="AJ479"/>
  <c r="AK344"/>
  <c r="AK479"/>
  <c r="AL344"/>
  <c r="AM344"/>
  <c r="AL479"/>
  <c r="AN344"/>
  <c r="AM479"/>
  <c r="U346"/>
  <c r="V346"/>
  <c r="D346"/>
  <c r="E346"/>
  <c r="F346"/>
  <c r="G346"/>
  <c r="H346"/>
  <c r="K346"/>
  <c r="L346"/>
  <c r="P346"/>
  <c r="R346"/>
  <c r="T481"/>
  <c r="D481"/>
  <c r="E481"/>
  <c r="F481"/>
  <c r="I481"/>
  <c r="J481"/>
  <c r="K481"/>
  <c r="N481"/>
  <c r="O481"/>
  <c r="P481"/>
  <c r="Q481"/>
  <c r="R481"/>
  <c r="U481"/>
  <c r="C346"/>
  <c r="I346"/>
  <c r="J346"/>
  <c r="M346"/>
  <c r="N346"/>
  <c r="O346"/>
  <c r="Q346"/>
  <c r="S346"/>
  <c r="T346"/>
  <c r="C481"/>
  <c r="G481"/>
  <c r="H481"/>
  <c r="L481"/>
  <c r="M481"/>
  <c r="S481"/>
  <c r="V481"/>
  <c r="W346"/>
  <c r="W481"/>
  <c r="X346"/>
  <c r="Y346"/>
  <c r="X481"/>
  <c r="Y481"/>
  <c r="Z346"/>
  <c r="Z481"/>
  <c r="AA346"/>
  <c r="AB346"/>
  <c r="AA481"/>
  <c r="AC346"/>
  <c r="AB481"/>
  <c r="AD346"/>
  <c r="AC481"/>
  <c r="AD481"/>
  <c r="AE346"/>
  <c r="AF346"/>
  <c r="AE481"/>
  <c r="AG346"/>
  <c r="AF481"/>
  <c r="AG481"/>
  <c r="AH346"/>
  <c r="AI346"/>
  <c r="AH481"/>
  <c r="AJ346"/>
  <c r="AI481"/>
  <c r="AJ481"/>
  <c r="AK346"/>
  <c r="AM696"/>
  <c r="AM703" s="1"/>
  <c r="AM675" s="1"/>
  <c r="AM55" s="1"/>
  <c r="AK481"/>
  <c r="AL346"/>
  <c r="AN696"/>
  <c r="AN703" s="1"/>
  <c r="AN675" s="1"/>
  <c r="AN55" s="1"/>
  <c r="AM346"/>
  <c r="AL481"/>
  <c r="AN346"/>
  <c r="AO696"/>
  <c r="AO703" s="1"/>
  <c r="AO675" s="1"/>
  <c r="AO55" s="1"/>
  <c r="AM481"/>
  <c r="T483"/>
  <c r="E348"/>
  <c r="F348"/>
  <c r="H348"/>
  <c r="J348"/>
  <c r="O348"/>
  <c r="R348"/>
  <c r="T348"/>
  <c r="V348"/>
  <c r="U348"/>
  <c r="D483"/>
  <c r="E483"/>
  <c r="F483"/>
  <c r="G483"/>
  <c r="H483"/>
  <c r="J483"/>
  <c r="K483"/>
  <c r="N483"/>
  <c r="O483"/>
  <c r="P483"/>
  <c r="Q483"/>
  <c r="R483"/>
  <c r="S483"/>
  <c r="C348"/>
  <c r="D348"/>
  <c r="G348"/>
  <c r="I348"/>
  <c r="K348"/>
  <c r="L348"/>
  <c r="M348"/>
  <c r="N348"/>
  <c r="P348"/>
  <c r="Q348"/>
  <c r="S348"/>
  <c r="C483"/>
  <c r="I483"/>
  <c r="L483"/>
  <c r="M483"/>
  <c r="U483"/>
  <c r="V483"/>
  <c r="W348"/>
  <c r="X348"/>
  <c r="W483"/>
  <c r="X483"/>
  <c r="Y348"/>
  <c r="Y483"/>
  <c r="Z348"/>
  <c r="AA348"/>
  <c r="Z483"/>
  <c r="AB348"/>
  <c r="AA483"/>
  <c r="AC348"/>
  <c r="AB483"/>
  <c r="AD348"/>
  <c r="AC483"/>
  <c r="AE348"/>
  <c r="AD483"/>
  <c r="AE483"/>
  <c r="AF348"/>
  <c r="AF483"/>
  <c r="AG348"/>
  <c r="AH348"/>
  <c r="AG483"/>
  <c r="AI348"/>
  <c r="AH483"/>
  <c r="AI483"/>
  <c r="AJ348"/>
  <c r="AJ483"/>
  <c r="AK348"/>
  <c r="AL348"/>
  <c r="AK483"/>
  <c r="AM348"/>
  <c r="AL483"/>
  <c r="AM483"/>
  <c r="AN348"/>
  <c r="U350"/>
  <c r="C350"/>
  <c r="F350"/>
  <c r="H350"/>
  <c r="I350"/>
  <c r="J350"/>
  <c r="M350"/>
  <c r="O350"/>
  <c r="Q350"/>
  <c r="R350"/>
  <c r="S350"/>
  <c r="T350"/>
  <c r="V350"/>
  <c r="D485"/>
  <c r="E485"/>
  <c r="F485"/>
  <c r="G485"/>
  <c r="J485"/>
  <c r="K485"/>
  <c r="M485"/>
  <c r="N485"/>
  <c r="O485"/>
  <c r="Q485"/>
  <c r="R485"/>
  <c r="S485"/>
  <c r="D350"/>
  <c r="E350"/>
  <c r="G350"/>
  <c r="K350"/>
  <c r="L350"/>
  <c r="N350"/>
  <c r="P350"/>
  <c r="C485"/>
  <c r="H485"/>
  <c r="I485"/>
  <c r="L485"/>
  <c r="P485"/>
  <c r="U485"/>
  <c r="T485"/>
  <c r="V485"/>
  <c r="W350"/>
  <c r="X350"/>
  <c r="W485"/>
  <c r="X485"/>
  <c r="Y350"/>
  <c r="Z350"/>
  <c r="Y485"/>
  <c r="Z485"/>
  <c r="AA350"/>
  <c r="AB350"/>
  <c r="AA485"/>
  <c r="AB485"/>
  <c r="AC350"/>
  <c r="AD350"/>
  <c r="AC485"/>
  <c r="AD485"/>
  <c r="AE350"/>
  <c r="AF350"/>
  <c r="AE485"/>
  <c r="AF485"/>
  <c r="AG350"/>
  <c r="AG485"/>
  <c r="AH350"/>
  <c r="AI350"/>
  <c r="AH485"/>
  <c r="AJ350"/>
  <c r="AI485"/>
  <c r="AJ485"/>
  <c r="AK350"/>
  <c r="AL350"/>
  <c r="AK485"/>
  <c r="AM350"/>
  <c r="AL485"/>
  <c r="AN350"/>
  <c r="AM485"/>
  <c r="T487"/>
  <c r="C352"/>
  <c r="D352"/>
  <c r="G352"/>
  <c r="I352"/>
  <c r="K352"/>
  <c r="L352"/>
  <c r="M352"/>
  <c r="N352"/>
  <c r="P352"/>
  <c r="Q352"/>
  <c r="S352"/>
  <c r="V352"/>
  <c r="E487"/>
  <c r="H487"/>
  <c r="I487"/>
  <c r="L487"/>
  <c r="M487"/>
  <c r="P487"/>
  <c r="Q487"/>
  <c r="U487"/>
  <c r="E352"/>
  <c r="F352"/>
  <c r="H352"/>
  <c r="J352"/>
  <c r="O352"/>
  <c r="R352"/>
  <c r="T352"/>
  <c r="U352"/>
  <c r="C487"/>
  <c r="D487"/>
  <c r="F487"/>
  <c r="G487"/>
  <c r="J487"/>
  <c r="K487"/>
  <c r="N487"/>
  <c r="O487"/>
  <c r="R487"/>
  <c r="S487"/>
  <c r="W352"/>
  <c r="V487"/>
  <c r="X352"/>
  <c r="W487"/>
  <c r="X487"/>
  <c r="Y352"/>
  <c r="Z352"/>
  <c r="Y487"/>
  <c r="AA352"/>
  <c r="Z487"/>
  <c r="AB352"/>
  <c r="AA487"/>
  <c r="AB487"/>
  <c r="AC352"/>
  <c r="AD352"/>
  <c r="AC487"/>
  <c r="AE352"/>
  <c r="AD487"/>
  <c r="AF352"/>
  <c r="AE487"/>
  <c r="AG352"/>
  <c r="AF487"/>
  <c r="AG487"/>
  <c r="AH352"/>
  <c r="AI352"/>
  <c r="AH487"/>
  <c r="AI487"/>
  <c r="AJ352"/>
  <c r="AK352"/>
  <c r="AJ487"/>
  <c r="AK487"/>
  <c r="AL352"/>
  <c r="AM352"/>
  <c r="AL487"/>
  <c r="AN352"/>
  <c r="AM487"/>
  <c r="R726"/>
  <c r="R735" s="1"/>
  <c r="R707" s="1"/>
  <c r="R56" s="1"/>
  <c r="S726"/>
  <c r="S735" s="1"/>
  <c r="S707" s="1"/>
  <c r="S56" s="1"/>
  <c r="T726"/>
  <c r="T735" s="1"/>
  <c r="T707" s="1"/>
  <c r="T56" s="1"/>
  <c r="U726"/>
  <c r="U735" s="1"/>
  <c r="U707" s="1"/>
  <c r="U56" s="1"/>
  <c r="V726"/>
  <c r="V735" s="1"/>
  <c r="V707" s="1"/>
  <c r="V56" s="1"/>
  <c r="U370"/>
  <c r="C370"/>
  <c r="D370"/>
  <c r="E370"/>
  <c r="G370"/>
  <c r="K370"/>
  <c r="L370"/>
  <c r="N370"/>
  <c r="P370"/>
  <c r="V370"/>
  <c r="C505"/>
  <c r="L505"/>
  <c r="M505"/>
  <c r="S505"/>
  <c r="U505"/>
  <c r="F370"/>
  <c r="H370"/>
  <c r="I370"/>
  <c r="J370"/>
  <c r="M370"/>
  <c r="O370"/>
  <c r="Q370"/>
  <c r="R370"/>
  <c r="S370"/>
  <c r="T370"/>
  <c r="T505"/>
  <c r="W726"/>
  <c r="W735" s="1"/>
  <c r="W707" s="1"/>
  <c r="W56" s="1"/>
  <c r="D505"/>
  <c r="E505"/>
  <c r="F505"/>
  <c r="G505"/>
  <c r="H505"/>
  <c r="I505"/>
  <c r="J505"/>
  <c r="K505"/>
  <c r="N505"/>
  <c r="O505"/>
  <c r="P505"/>
  <c r="Q505"/>
  <c r="R505"/>
  <c r="W370"/>
  <c r="V505"/>
  <c r="X726"/>
  <c r="X735" s="1"/>
  <c r="X707" s="1"/>
  <c r="X56" s="1"/>
  <c r="Y726"/>
  <c r="Y735" s="1"/>
  <c r="Y707" s="1"/>
  <c r="Y56" s="1"/>
  <c r="W505"/>
  <c r="X370"/>
  <c r="Z726"/>
  <c r="Z735" s="1"/>
  <c r="Z707" s="1"/>
  <c r="Z56" s="1"/>
  <c r="Y370"/>
  <c r="X505"/>
  <c r="Z370"/>
  <c r="Y505"/>
  <c r="AA726"/>
  <c r="AA735" s="1"/>
  <c r="AA707" s="1"/>
  <c r="AA56" s="1"/>
  <c r="AB726"/>
  <c r="AB735" s="1"/>
  <c r="AB707" s="1"/>
  <c r="AB56" s="1"/>
  <c r="Z505"/>
  <c r="AA370"/>
  <c r="AB370"/>
  <c r="AC726"/>
  <c r="AC735" s="1"/>
  <c r="AC707" s="1"/>
  <c r="AC56" s="1"/>
  <c r="AA505"/>
  <c r="AC370"/>
  <c r="AB505"/>
  <c r="AD726"/>
  <c r="AD735" s="1"/>
  <c r="AD707" s="1"/>
  <c r="AD56" s="1"/>
  <c r="AD370"/>
  <c r="AE726"/>
  <c r="AE735" s="1"/>
  <c r="AE707" s="1"/>
  <c r="AE56" s="1"/>
  <c r="AC505"/>
  <c r="AF726"/>
  <c r="AF735" s="1"/>
  <c r="AF707" s="1"/>
  <c r="AF56" s="1"/>
  <c r="AD505"/>
  <c r="AE370"/>
  <c r="AF370"/>
  <c r="AE505"/>
  <c r="AG370"/>
  <c r="AF505"/>
  <c r="AH370"/>
  <c r="AG505"/>
  <c r="AI370"/>
  <c r="AH505"/>
  <c r="AJ370"/>
  <c r="AI505"/>
  <c r="AJ505"/>
  <c r="AK370"/>
  <c r="AK505"/>
  <c r="AL370"/>
  <c r="AM370"/>
  <c r="AL505"/>
  <c r="AN370"/>
  <c r="AM505"/>
  <c r="T507"/>
  <c r="E372"/>
  <c r="F372"/>
  <c r="H372"/>
  <c r="J372"/>
  <c r="O372"/>
  <c r="R372"/>
  <c r="T372"/>
  <c r="V372"/>
  <c r="U372"/>
  <c r="C507"/>
  <c r="F507"/>
  <c r="I507"/>
  <c r="L507"/>
  <c r="M507"/>
  <c r="C372"/>
  <c r="D372"/>
  <c r="G372"/>
  <c r="I372"/>
  <c r="K372"/>
  <c r="L372"/>
  <c r="M372"/>
  <c r="N372"/>
  <c r="P372"/>
  <c r="Q372"/>
  <c r="S372"/>
  <c r="D507"/>
  <c r="E507"/>
  <c r="G507"/>
  <c r="H507"/>
  <c r="J507"/>
  <c r="K507"/>
  <c r="N507"/>
  <c r="O507"/>
  <c r="P507"/>
  <c r="Q507"/>
  <c r="R507"/>
  <c r="S507"/>
  <c r="U507"/>
  <c r="V507"/>
  <c r="W372"/>
  <c r="X372"/>
  <c r="W507"/>
  <c r="X507"/>
  <c r="Y372"/>
  <c r="Y507"/>
  <c r="Z372"/>
  <c r="AA372"/>
  <c r="Z507"/>
  <c r="AB372"/>
  <c r="AA507"/>
  <c r="AC372"/>
  <c r="AB507"/>
  <c r="AD372"/>
  <c r="AC507"/>
  <c r="AE372"/>
  <c r="AD507"/>
  <c r="AE507"/>
  <c r="AF372"/>
  <c r="AF507"/>
  <c r="AG372"/>
  <c r="AH372"/>
  <c r="AG507"/>
  <c r="AI372"/>
  <c r="AH507"/>
  <c r="AI507"/>
  <c r="AJ372"/>
  <c r="AJ507"/>
  <c r="AK372"/>
  <c r="AL372"/>
  <c r="AK507"/>
  <c r="AM372"/>
  <c r="AL507"/>
  <c r="AM507"/>
  <c r="AN372"/>
  <c r="U374"/>
  <c r="F374"/>
  <c r="H374"/>
  <c r="I374"/>
  <c r="J374"/>
  <c r="M374"/>
  <c r="O374"/>
  <c r="Q374"/>
  <c r="R374"/>
  <c r="S374"/>
  <c r="T374"/>
  <c r="V374"/>
  <c r="F509"/>
  <c r="G509"/>
  <c r="H509"/>
  <c r="I509"/>
  <c r="L509"/>
  <c r="P509"/>
  <c r="T509"/>
  <c r="C374"/>
  <c r="D374"/>
  <c r="E374"/>
  <c r="G374"/>
  <c r="K374"/>
  <c r="L374"/>
  <c r="N374"/>
  <c r="P374"/>
  <c r="C509"/>
  <c r="D509"/>
  <c r="E509"/>
  <c r="J509"/>
  <c r="K509"/>
  <c r="M509"/>
  <c r="N509"/>
  <c r="O509"/>
  <c r="Q509"/>
  <c r="R509"/>
  <c r="S509"/>
  <c r="U509"/>
  <c r="V509"/>
  <c r="W374"/>
  <c r="X374"/>
  <c r="W509"/>
  <c r="X509"/>
  <c r="Y374"/>
  <c r="Z374"/>
  <c r="Y509"/>
  <c r="Z509"/>
  <c r="AA374"/>
  <c r="AB374"/>
  <c r="AA509"/>
  <c r="AB509"/>
  <c r="AC374"/>
  <c r="AD374"/>
  <c r="AC509"/>
  <c r="AD509"/>
  <c r="AE374"/>
  <c r="AF374"/>
  <c r="AE509"/>
  <c r="AF509"/>
  <c r="AG374"/>
  <c r="AG509"/>
  <c r="AH374"/>
  <c r="AI374"/>
  <c r="AH509"/>
  <c r="AJ374"/>
  <c r="AI509"/>
  <c r="AJ509"/>
  <c r="AK374"/>
  <c r="AL374"/>
  <c r="AK509"/>
  <c r="AM374"/>
  <c r="AL509"/>
  <c r="AN374"/>
  <c r="AM509"/>
  <c r="T511"/>
  <c r="C376"/>
  <c r="D376"/>
  <c r="G376"/>
  <c r="I376"/>
  <c r="K376"/>
  <c r="L376"/>
  <c r="M376"/>
  <c r="N376"/>
  <c r="P376"/>
  <c r="Q376"/>
  <c r="S376"/>
  <c r="V376"/>
  <c r="C511"/>
  <c r="D511"/>
  <c r="F511"/>
  <c r="G511"/>
  <c r="J511"/>
  <c r="K511"/>
  <c r="N511"/>
  <c r="O511"/>
  <c r="R511"/>
  <c r="S511"/>
  <c r="U511"/>
  <c r="E376"/>
  <c r="F376"/>
  <c r="H376"/>
  <c r="J376"/>
  <c r="O376"/>
  <c r="R376"/>
  <c r="T376"/>
  <c r="U376"/>
  <c r="E511"/>
  <c r="H511"/>
  <c r="I511"/>
  <c r="L511"/>
  <c r="M511"/>
  <c r="P511"/>
  <c r="Q511"/>
  <c r="W376"/>
  <c r="V511"/>
  <c r="X376"/>
  <c r="W511"/>
  <c r="X511"/>
  <c r="Y376"/>
  <c r="Z376"/>
  <c r="Y511"/>
  <c r="AA376"/>
  <c r="Z511"/>
  <c r="AB376"/>
  <c r="AA511"/>
  <c r="AB511"/>
  <c r="AC376"/>
  <c r="AD376"/>
  <c r="AC511"/>
  <c r="AE376"/>
  <c r="AD511"/>
  <c r="AF376"/>
  <c r="AE511"/>
  <c r="AG376"/>
  <c r="AF511"/>
  <c r="AG511"/>
  <c r="AH376"/>
  <c r="AI376"/>
  <c r="AH511"/>
  <c r="AI511"/>
  <c r="AJ376"/>
  <c r="AK376"/>
  <c r="AJ511"/>
  <c r="AK511"/>
  <c r="AL376"/>
  <c r="AM376"/>
  <c r="AL511"/>
  <c r="AN376"/>
  <c r="AM511"/>
  <c r="U378"/>
  <c r="C378"/>
  <c r="D378"/>
  <c r="E378"/>
  <c r="G378"/>
  <c r="K378"/>
  <c r="L378"/>
  <c r="N378"/>
  <c r="P378"/>
  <c r="T513"/>
  <c r="V378"/>
  <c r="D513"/>
  <c r="E513"/>
  <c r="F513"/>
  <c r="G513"/>
  <c r="H513"/>
  <c r="I513"/>
  <c r="J513"/>
  <c r="K513"/>
  <c r="N513"/>
  <c r="O513"/>
  <c r="P513"/>
  <c r="Q513"/>
  <c r="R513"/>
  <c r="U513"/>
  <c r="F378"/>
  <c r="H378"/>
  <c r="I378"/>
  <c r="J378"/>
  <c r="M378"/>
  <c r="O378"/>
  <c r="Q378"/>
  <c r="R378"/>
  <c r="S378"/>
  <c r="T378"/>
  <c r="C513"/>
  <c r="L513"/>
  <c r="M513"/>
  <c r="S513"/>
  <c r="W378"/>
  <c r="V513"/>
  <c r="W513"/>
  <c r="X378"/>
  <c r="Y378"/>
  <c r="X513"/>
  <c r="Z378"/>
  <c r="Y513"/>
  <c r="Z513"/>
  <c r="AA378"/>
  <c r="AB378"/>
  <c r="AA513"/>
  <c r="AC378"/>
  <c r="AB513"/>
  <c r="AD378"/>
  <c r="AC513"/>
  <c r="AD513"/>
  <c r="AE378"/>
  <c r="AF378"/>
  <c r="AE513"/>
  <c r="AG378"/>
  <c r="AF513"/>
  <c r="AH378"/>
  <c r="AG513"/>
  <c r="AI378"/>
  <c r="AH513"/>
  <c r="AJ378"/>
  <c r="AI513"/>
  <c r="AJ513"/>
  <c r="AK378"/>
  <c r="AK513"/>
  <c r="AL378"/>
  <c r="AM378"/>
  <c r="AL513"/>
  <c r="AN378"/>
  <c r="AM513"/>
  <c r="T531"/>
  <c r="E396"/>
  <c r="F396"/>
  <c r="H396"/>
  <c r="J396"/>
  <c r="O396"/>
  <c r="R396"/>
  <c r="T396"/>
  <c r="V396"/>
  <c r="U396"/>
  <c r="D531"/>
  <c r="E531"/>
  <c r="G531"/>
  <c r="H531"/>
  <c r="J531"/>
  <c r="K531"/>
  <c r="N531"/>
  <c r="O531"/>
  <c r="P531"/>
  <c r="Q531"/>
  <c r="R531"/>
  <c r="S531"/>
  <c r="C396"/>
  <c r="D396"/>
  <c r="G396"/>
  <c r="I396"/>
  <c r="K396"/>
  <c r="L396"/>
  <c r="M396"/>
  <c r="N396"/>
  <c r="P396"/>
  <c r="Q396"/>
  <c r="S396"/>
  <c r="W758"/>
  <c r="W767" s="1"/>
  <c r="W739" s="1"/>
  <c r="W57" s="1"/>
  <c r="C531"/>
  <c r="F531"/>
  <c r="I531"/>
  <c r="L531"/>
  <c r="M531"/>
  <c r="U531"/>
  <c r="V531"/>
  <c r="X758"/>
  <c r="X767" s="1"/>
  <c r="X739" s="1"/>
  <c r="X57" s="1"/>
  <c r="W396"/>
  <c r="Y758"/>
  <c r="Y767" s="1"/>
  <c r="Y739" s="1"/>
  <c r="Y57" s="1"/>
  <c r="X396"/>
  <c r="W531"/>
  <c r="Z758"/>
  <c r="Z767" s="1"/>
  <c r="Z739" s="1"/>
  <c r="Z57" s="1"/>
  <c r="X531"/>
  <c r="Y396"/>
  <c r="Y531"/>
  <c r="Z396"/>
  <c r="AA758"/>
  <c r="AA767" s="1"/>
  <c r="AA739" s="1"/>
  <c r="AA57" s="1"/>
  <c r="AA396"/>
  <c r="Z531"/>
  <c r="AB758"/>
  <c r="AB767" s="1"/>
  <c r="AB739" s="1"/>
  <c r="AB57" s="1"/>
  <c r="AB396"/>
  <c r="AA531"/>
  <c r="AC758"/>
  <c r="AC767" s="1"/>
  <c r="AC739" s="1"/>
  <c r="AC57" s="1"/>
  <c r="AD758"/>
  <c r="AD767" s="1"/>
  <c r="AD739" s="1"/>
  <c r="AD57" s="1"/>
  <c r="AC396"/>
  <c r="AB531"/>
  <c r="AD396"/>
  <c r="AE758"/>
  <c r="AE767" s="1"/>
  <c r="AE739" s="1"/>
  <c r="AE57" s="1"/>
  <c r="AC531"/>
  <c r="AE396"/>
  <c r="AD531"/>
  <c r="AF758"/>
  <c r="AF767" s="1"/>
  <c r="AF739" s="1"/>
  <c r="AF57" s="1"/>
  <c r="AE531"/>
  <c r="AF396"/>
  <c r="AG758"/>
  <c r="AG767" s="1"/>
  <c r="AG739" s="1"/>
  <c r="AG57" s="1"/>
  <c r="AH758"/>
  <c r="AH767" s="1"/>
  <c r="AH739" s="1"/>
  <c r="AH57" s="1"/>
  <c r="AF531"/>
  <c r="AG396"/>
  <c r="AI758"/>
  <c r="AI767" s="1"/>
  <c r="AI739" s="1"/>
  <c r="AI57" s="1"/>
  <c r="AH396"/>
  <c r="AG531"/>
  <c r="AJ758"/>
  <c r="AJ767" s="1"/>
  <c r="AJ739" s="1"/>
  <c r="AJ57" s="1"/>
  <c r="AI396"/>
  <c r="AH531"/>
  <c r="AI531"/>
  <c r="AK758"/>
  <c r="AK767" s="1"/>
  <c r="AK739" s="1"/>
  <c r="AK57" s="1"/>
  <c r="AJ396"/>
  <c r="AJ531"/>
  <c r="AK396"/>
  <c r="AL758"/>
  <c r="AL767" s="1"/>
  <c r="AL739" s="1"/>
  <c r="AL57" s="1"/>
  <c r="AM758"/>
  <c r="AM767" s="1"/>
  <c r="AM739" s="1"/>
  <c r="AM57" s="1"/>
  <c r="AL396"/>
  <c r="AK531"/>
  <c r="AN758"/>
  <c r="AN767" s="1"/>
  <c r="AN739" s="1"/>
  <c r="AN57" s="1"/>
  <c r="AM396"/>
  <c r="AL531"/>
  <c r="AM531"/>
  <c r="AN396"/>
  <c r="AO758"/>
  <c r="AO767" s="1"/>
  <c r="AO739" s="1"/>
  <c r="AO57" s="1"/>
  <c r="U398"/>
  <c r="F398"/>
  <c r="H398"/>
  <c r="I398"/>
  <c r="J398"/>
  <c r="M398"/>
  <c r="O398"/>
  <c r="Q398"/>
  <c r="R398"/>
  <c r="S398"/>
  <c r="T398"/>
  <c r="V398"/>
  <c r="C533"/>
  <c r="D533"/>
  <c r="E533"/>
  <c r="J533"/>
  <c r="K533"/>
  <c r="M533"/>
  <c r="N533"/>
  <c r="O533"/>
  <c r="Q533"/>
  <c r="R533"/>
  <c r="S533"/>
  <c r="C398"/>
  <c r="D398"/>
  <c r="E398"/>
  <c r="G398"/>
  <c r="K398"/>
  <c r="L398"/>
  <c r="N398"/>
  <c r="P398"/>
  <c r="F533"/>
  <c r="G533"/>
  <c r="H533"/>
  <c r="I533"/>
  <c r="L533"/>
  <c r="P533"/>
  <c r="U533"/>
  <c r="T533"/>
  <c r="V533"/>
  <c r="W398"/>
  <c r="X398"/>
  <c r="W533"/>
  <c r="X533"/>
  <c r="Y398"/>
  <c r="Z398"/>
  <c r="Y533"/>
  <c r="Z533"/>
  <c r="AA398"/>
  <c r="AB398"/>
  <c r="AA533"/>
  <c r="AB533"/>
  <c r="AC398"/>
  <c r="AD398"/>
  <c r="AC533"/>
  <c r="AD533"/>
  <c r="AE398"/>
  <c r="AF398"/>
  <c r="AE533"/>
  <c r="AF533"/>
  <c r="AG398"/>
  <c r="AG533"/>
  <c r="AH398"/>
  <c r="AI398"/>
  <c r="AH533"/>
  <c r="AJ398"/>
  <c r="AI533"/>
  <c r="AJ533"/>
  <c r="AK398"/>
  <c r="AL398"/>
  <c r="AK533"/>
  <c r="AM398"/>
  <c r="AL533"/>
  <c r="AN398"/>
  <c r="AM533"/>
  <c r="T535"/>
  <c r="C400"/>
  <c r="D400"/>
  <c r="G400"/>
  <c r="I400"/>
  <c r="K400"/>
  <c r="L400"/>
  <c r="M400"/>
  <c r="N400"/>
  <c r="P400"/>
  <c r="Q400"/>
  <c r="S400"/>
  <c r="V400"/>
  <c r="E535"/>
  <c r="H535"/>
  <c r="I535"/>
  <c r="L535"/>
  <c r="M535"/>
  <c r="P535"/>
  <c r="Q535"/>
  <c r="U535"/>
  <c r="E400"/>
  <c r="F400"/>
  <c r="H400"/>
  <c r="J400"/>
  <c r="O400"/>
  <c r="R400"/>
  <c r="T400"/>
  <c r="U400"/>
  <c r="C535"/>
  <c r="D535"/>
  <c r="F535"/>
  <c r="G535"/>
  <c r="J535"/>
  <c r="K535"/>
  <c r="N535"/>
  <c r="O535"/>
  <c r="R535"/>
  <c r="S535"/>
  <c r="W400"/>
  <c r="V535"/>
  <c r="X400"/>
  <c r="W535"/>
  <c r="X535"/>
  <c r="Y400"/>
  <c r="Z400"/>
  <c r="Y535"/>
  <c r="AA400"/>
  <c r="Z535"/>
  <c r="AB400"/>
  <c r="AA535"/>
  <c r="AB535"/>
  <c r="AC400"/>
  <c r="AD400"/>
  <c r="AC535"/>
  <c r="AE400"/>
  <c r="AD535"/>
  <c r="AF400"/>
  <c r="AE535"/>
  <c r="AG400"/>
  <c r="AF535"/>
  <c r="AG535"/>
  <c r="AH400"/>
  <c r="AI400"/>
  <c r="AH535"/>
  <c r="AI535"/>
  <c r="AJ400"/>
  <c r="AK400"/>
  <c r="AJ535"/>
  <c r="AK535"/>
  <c r="AL400"/>
  <c r="AM400"/>
  <c r="AL535"/>
  <c r="AN400"/>
  <c r="AM535"/>
  <c r="U402"/>
  <c r="C402"/>
  <c r="D402"/>
  <c r="E402"/>
  <c r="G402"/>
  <c r="K402"/>
  <c r="L402"/>
  <c r="N402"/>
  <c r="P402"/>
  <c r="V402"/>
  <c r="C537"/>
  <c r="L537"/>
  <c r="M537"/>
  <c r="S537"/>
  <c r="U537"/>
  <c r="T537"/>
  <c r="F402"/>
  <c r="H402"/>
  <c r="I402"/>
  <c r="J402"/>
  <c r="M402"/>
  <c r="O402"/>
  <c r="Q402"/>
  <c r="R402"/>
  <c r="S402"/>
  <c r="T402"/>
  <c r="D537"/>
  <c r="E537"/>
  <c r="F537"/>
  <c r="G537"/>
  <c r="H537"/>
  <c r="I537"/>
  <c r="J537"/>
  <c r="K537"/>
  <c r="N537"/>
  <c r="O537"/>
  <c r="P537"/>
  <c r="Q537"/>
  <c r="R537"/>
  <c r="W402"/>
  <c r="V537"/>
  <c r="W537"/>
  <c r="X402"/>
  <c r="Y402"/>
  <c r="X537"/>
  <c r="Z402"/>
  <c r="Y537"/>
  <c r="Z537"/>
  <c r="AA402"/>
  <c r="AB402"/>
  <c r="AA537"/>
  <c r="AC402"/>
  <c r="AB537"/>
  <c r="AD402"/>
  <c r="AC537"/>
  <c r="AD537"/>
  <c r="AE402"/>
  <c r="AF402"/>
  <c r="AE537"/>
  <c r="AG402"/>
  <c r="AF537"/>
  <c r="AH402"/>
  <c r="AG537"/>
  <c r="AI402"/>
  <c r="AH537"/>
  <c r="AJ402"/>
  <c r="AI537"/>
  <c r="AJ537"/>
  <c r="AK402"/>
  <c r="AK537"/>
  <c r="AL402"/>
  <c r="AM402"/>
  <c r="AL537"/>
  <c r="AN402"/>
  <c r="AM537"/>
  <c r="T539"/>
  <c r="E404"/>
  <c r="F404"/>
  <c r="H404"/>
  <c r="J404"/>
  <c r="O404"/>
  <c r="R404"/>
  <c r="T404"/>
  <c r="V404"/>
  <c r="U404"/>
  <c r="C539"/>
  <c r="I539"/>
  <c r="L539"/>
  <c r="M539"/>
  <c r="C404"/>
  <c r="D404"/>
  <c r="G404"/>
  <c r="I404"/>
  <c r="K404"/>
  <c r="L404"/>
  <c r="M404"/>
  <c r="N404"/>
  <c r="P404"/>
  <c r="Q404"/>
  <c r="S404"/>
  <c r="D539"/>
  <c r="E539"/>
  <c r="F539"/>
  <c r="G539"/>
  <c r="H539"/>
  <c r="J539"/>
  <c r="K539"/>
  <c r="N539"/>
  <c r="O539"/>
  <c r="P539"/>
  <c r="Q539"/>
  <c r="R539"/>
  <c r="S539"/>
  <c r="U539"/>
  <c r="V539"/>
  <c r="W404"/>
  <c r="X404"/>
  <c r="W539"/>
  <c r="X539"/>
  <c r="Y404"/>
  <c r="Y539"/>
  <c r="Z404"/>
  <c r="AA404"/>
  <c r="Z539"/>
  <c r="AB404"/>
  <c r="AA539"/>
  <c r="AC404"/>
  <c r="AB539"/>
  <c r="AD404"/>
  <c r="AC539"/>
  <c r="AE404"/>
  <c r="AD539"/>
  <c r="AE539"/>
  <c r="AF404"/>
  <c r="AF539"/>
  <c r="AG404"/>
  <c r="AH404"/>
  <c r="AG539"/>
  <c r="AI404"/>
  <c r="AH539"/>
  <c r="AI539"/>
  <c r="AJ404"/>
  <c r="AJ539"/>
  <c r="AK404"/>
  <c r="AL404"/>
  <c r="AK539"/>
  <c r="AM404"/>
  <c r="AL539"/>
  <c r="AM539"/>
  <c r="AN404"/>
  <c r="AP696"/>
  <c r="B696" s="1"/>
  <c r="AN481"/>
  <c r="AN505"/>
  <c r="AN513"/>
  <c r="AN537"/>
  <c r="AO538"/>
  <c r="AO534"/>
  <c r="AO510"/>
  <c r="AO506"/>
  <c r="AO539"/>
  <c r="AO535"/>
  <c r="AO531"/>
  <c r="AO511"/>
  <c r="AO507"/>
  <c r="AO487"/>
  <c r="AO483"/>
  <c r="AO479"/>
  <c r="AO664"/>
  <c r="AP657"/>
  <c r="AP658" s="1"/>
  <c r="AP16" s="1"/>
  <c r="AP649"/>
  <c r="AP650" s="1"/>
  <c r="AP14" s="1"/>
  <c r="AP623"/>
  <c r="AP624" s="1"/>
  <c r="AP95" s="1"/>
  <c r="AP617"/>
  <c r="AP661"/>
  <c r="AP662" s="1"/>
  <c r="AP17" s="1"/>
  <c r="AP653"/>
  <c r="AP654" s="1"/>
  <c r="AP15" s="1"/>
  <c r="AP108"/>
  <c r="B111" s="1"/>
  <c r="AP29"/>
  <c r="AP31" s="1"/>
  <c r="AP10"/>
  <c r="AP12" s="1"/>
  <c r="AP328"/>
  <c r="B309"/>
  <c r="B311"/>
  <c r="B313"/>
  <c r="AP467"/>
  <c r="AP479" s="1"/>
  <c r="AP344"/>
  <c r="AP466"/>
  <c r="AP470"/>
  <c r="AP482" s="1"/>
  <c r="AP347"/>
  <c r="AP474"/>
  <c r="AP486" s="1"/>
  <c r="AP351"/>
  <c r="AP494"/>
  <c r="AP506" s="1"/>
  <c r="AP371"/>
  <c r="AP498"/>
  <c r="AP510" s="1"/>
  <c r="AP375"/>
  <c r="AP518"/>
  <c r="AP522"/>
  <c r="AP534" s="1"/>
  <c r="AP399"/>
  <c r="AP526"/>
  <c r="AP538" s="1"/>
  <c r="AP403"/>
  <c r="B444"/>
  <c r="B446"/>
  <c r="B448"/>
  <c r="AP471"/>
  <c r="AP483" s="1"/>
  <c r="AP348"/>
  <c r="AP475"/>
  <c r="AP487" s="1"/>
  <c r="AP352"/>
  <c r="AP495"/>
  <c r="AP507" s="1"/>
  <c r="AP372"/>
  <c r="AP499"/>
  <c r="AP511" s="1"/>
  <c r="AP376"/>
  <c r="AP519"/>
  <c r="AP531" s="1"/>
  <c r="AP396"/>
  <c r="AP523"/>
  <c r="AP535" s="1"/>
  <c r="AP400"/>
  <c r="AP527"/>
  <c r="AP539" s="1"/>
  <c r="AP404"/>
  <c r="AP691"/>
  <c r="AP676" s="1"/>
  <c r="AP60" s="1"/>
  <c r="B681"/>
  <c r="AP343" s="1"/>
  <c r="U345"/>
  <c r="T480"/>
  <c r="D345"/>
  <c r="H345"/>
  <c r="I345"/>
  <c r="J345"/>
  <c r="L345"/>
  <c r="M345"/>
  <c r="N345"/>
  <c r="O345"/>
  <c r="P345"/>
  <c r="Q345"/>
  <c r="V345"/>
  <c r="C480"/>
  <c r="F480"/>
  <c r="I480"/>
  <c r="J480"/>
  <c r="L480"/>
  <c r="M480"/>
  <c r="P480"/>
  <c r="S480"/>
  <c r="C345"/>
  <c r="E345"/>
  <c r="F345"/>
  <c r="G345"/>
  <c r="K345"/>
  <c r="R345"/>
  <c r="S345"/>
  <c r="T345"/>
  <c r="U480"/>
  <c r="D480"/>
  <c r="E480"/>
  <c r="G480"/>
  <c r="H480"/>
  <c r="K480"/>
  <c r="N480"/>
  <c r="O480"/>
  <c r="Q480"/>
  <c r="R480"/>
  <c r="V480"/>
  <c r="W345"/>
  <c r="X345"/>
  <c r="W480"/>
  <c r="Y345"/>
  <c r="X480"/>
  <c r="AA695"/>
  <c r="AA703" s="1"/>
  <c r="AA675" s="1"/>
  <c r="AA55" s="1"/>
  <c r="Z345"/>
  <c r="Y480"/>
  <c r="AA345"/>
  <c r="AB695"/>
  <c r="AB703" s="1"/>
  <c r="AB675" s="1"/>
  <c r="AB55" s="1"/>
  <c r="Z480"/>
  <c r="AB345"/>
  <c r="AC695"/>
  <c r="AC703" s="1"/>
  <c r="AC675" s="1"/>
  <c r="AC55" s="1"/>
  <c r="AC58" s="1"/>
  <c r="AC64" s="1"/>
  <c r="AA480"/>
  <c r="AB480"/>
  <c r="AD695"/>
  <c r="AD703" s="1"/>
  <c r="AD675" s="1"/>
  <c r="AD55" s="1"/>
  <c r="AC345"/>
  <c r="AE695"/>
  <c r="AE703" s="1"/>
  <c r="AE675" s="1"/>
  <c r="AE55" s="1"/>
  <c r="AD345"/>
  <c r="AC480"/>
  <c r="AD480"/>
  <c r="AE345"/>
  <c r="AF695"/>
  <c r="AF703" s="1"/>
  <c r="AF675" s="1"/>
  <c r="AF55" s="1"/>
  <c r="AE480"/>
  <c r="AG695"/>
  <c r="AG703" s="1"/>
  <c r="AG675" s="1"/>
  <c r="AG55" s="1"/>
  <c r="AF345"/>
  <c r="AH695"/>
  <c r="AH703" s="1"/>
  <c r="AH675" s="1"/>
  <c r="AH55" s="1"/>
  <c r="AG345"/>
  <c r="AF480"/>
  <c r="AG480"/>
  <c r="AI695"/>
  <c r="AI703" s="1"/>
  <c r="AI675" s="1"/>
  <c r="AI55" s="1"/>
  <c r="AH345"/>
  <c r="AJ695"/>
  <c r="AJ703" s="1"/>
  <c r="AJ675" s="1"/>
  <c r="AJ55" s="1"/>
  <c r="AI345"/>
  <c r="AH480"/>
  <c r="AK695"/>
  <c r="AK703" s="1"/>
  <c r="AK675" s="1"/>
  <c r="AK55" s="1"/>
  <c r="AI480"/>
  <c r="AJ345"/>
  <c r="AK345"/>
  <c r="AL695"/>
  <c r="AL703" s="1"/>
  <c r="AL675" s="1"/>
  <c r="AL55" s="1"/>
  <c r="AJ480"/>
  <c r="AK480"/>
  <c r="AL345"/>
  <c r="AM345"/>
  <c r="AL480"/>
  <c r="AM480"/>
  <c r="AN345"/>
  <c r="D347"/>
  <c r="G347"/>
  <c r="I347"/>
  <c r="K347"/>
  <c r="L347"/>
  <c r="M347"/>
  <c r="N347"/>
  <c r="P347"/>
  <c r="Q347"/>
  <c r="V347"/>
  <c r="E482"/>
  <c r="G482"/>
  <c r="L482"/>
  <c r="Q482"/>
  <c r="U347"/>
  <c r="C347"/>
  <c r="E347"/>
  <c r="F347"/>
  <c r="H347"/>
  <c r="J347"/>
  <c r="O347"/>
  <c r="R347"/>
  <c r="S347"/>
  <c r="T347"/>
  <c r="T482"/>
  <c r="U482"/>
  <c r="C482"/>
  <c r="D482"/>
  <c r="F482"/>
  <c r="H482"/>
  <c r="I482"/>
  <c r="J482"/>
  <c r="K482"/>
  <c r="M482"/>
  <c r="N482"/>
  <c r="O482"/>
  <c r="P482"/>
  <c r="R482"/>
  <c r="S482"/>
  <c r="W347"/>
  <c r="V482"/>
  <c r="W482"/>
  <c r="X347"/>
  <c r="Y347"/>
  <c r="X482"/>
  <c r="Z347"/>
  <c r="Y482"/>
  <c r="AA347"/>
  <c r="Z482"/>
  <c r="AB347"/>
  <c r="AA482"/>
  <c r="AC347"/>
  <c r="AB482"/>
  <c r="AD347"/>
  <c r="AC482"/>
  <c r="AE347"/>
  <c r="AD482"/>
  <c r="AF347"/>
  <c r="AE482"/>
  <c r="AG347"/>
  <c r="AF482"/>
  <c r="AG482"/>
  <c r="AH347"/>
  <c r="AH482"/>
  <c r="AI347"/>
  <c r="AJ347"/>
  <c r="AI482"/>
  <c r="AK347"/>
  <c r="AJ482"/>
  <c r="AL347"/>
  <c r="AK482"/>
  <c r="AM347"/>
  <c r="AL482"/>
  <c r="AN347"/>
  <c r="AM482"/>
  <c r="U349"/>
  <c r="T484"/>
  <c r="E349"/>
  <c r="F349"/>
  <c r="O349"/>
  <c r="R349"/>
  <c r="T349"/>
  <c r="V349"/>
  <c r="U484"/>
  <c r="E484"/>
  <c r="G484"/>
  <c r="H484"/>
  <c r="I484"/>
  <c r="K484"/>
  <c r="L484"/>
  <c r="M484"/>
  <c r="O484"/>
  <c r="Q484"/>
  <c r="C349"/>
  <c r="D349"/>
  <c r="G349"/>
  <c r="H349"/>
  <c r="I349"/>
  <c r="J349"/>
  <c r="K349"/>
  <c r="L349"/>
  <c r="M349"/>
  <c r="N349"/>
  <c r="P349"/>
  <c r="Q349"/>
  <c r="S349"/>
  <c r="C484"/>
  <c r="D484"/>
  <c r="F484"/>
  <c r="J484"/>
  <c r="N484"/>
  <c r="P484"/>
  <c r="R484"/>
  <c r="S484"/>
  <c r="V484"/>
  <c r="W349"/>
  <c r="X349"/>
  <c r="W484"/>
  <c r="Y349"/>
  <c r="X484"/>
  <c r="Y484"/>
  <c r="Z349"/>
  <c r="AA349"/>
  <c r="Z484"/>
  <c r="AB349"/>
  <c r="AA484"/>
  <c r="AB484"/>
  <c r="AC349"/>
  <c r="AD349"/>
  <c r="AC484"/>
  <c r="AE349"/>
  <c r="AD484"/>
  <c r="AE484"/>
  <c r="AF349"/>
  <c r="AF484"/>
  <c r="AG349"/>
  <c r="AH349"/>
  <c r="AG484"/>
  <c r="AH484"/>
  <c r="AI349"/>
  <c r="AI484"/>
  <c r="AJ349"/>
  <c r="AK349"/>
  <c r="AJ484"/>
  <c r="AK484"/>
  <c r="AL349"/>
  <c r="AM349"/>
  <c r="AL484"/>
  <c r="AM484"/>
  <c r="AN349"/>
  <c r="C351"/>
  <c r="E351"/>
  <c r="F351"/>
  <c r="H351"/>
  <c r="J351"/>
  <c r="O351"/>
  <c r="R351"/>
  <c r="S351"/>
  <c r="T351"/>
  <c r="U486"/>
  <c r="V351"/>
  <c r="L486"/>
  <c r="P486"/>
  <c r="S486"/>
  <c r="T486"/>
  <c r="D351"/>
  <c r="G351"/>
  <c r="I351"/>
  <c r="K351"/>
  <c r="L351"/>
  <c r="M351"/>
  <c r="N351"/>
  <c r="P351"/>
  <c r="Q351"/>
  <c r="C486"/>
  <c r="D486"/>
  <c r="E486"/>
  <c r="F486"/>
  <c r="G486"/>
  <c r="H486"/>
  <c r="I486"/>
  <c r="J486"/>
  <c r="K486"/>
  <c r="M486"/>
  <c r="N486"/>
  <c r="O486"/>
  <c r="Q486"/>
  <c r="R486"/>
  <c r="U351"/>
  <c r="W351"/>
  <c r="V486"/>
  <c r="X351"/>
  <c r="W486"/>
  <c r="Y351"/>
  <c r="X486"/>
  <c r="Y486"/>
  <c r="Z351"/>
  <c r="Z486"/>
  <c r="AA351"/>
  <c r="AB351"/>
  <c r="AA486"/>
  <c r="AC351"/>
  <c r="AB486"/>
  <c r="AD351"/>
  <c r="AC486"/>
  <c r="AD486"/>
  <c r="AE351"/>
  <c r="AF351"/>
  <c r="AE486"/>
  <c r="AG351"/>
  <c r="AF486"/>
  <c r="AH351"/>
  <c r="AG486"/>
  <c r="AI351"/>
  <c r="AH486"/>
  <c r="AJ351"/>
  <c r="AI486"/>
  <c r="AK351"/>
  <c r="AJ486"/>
  <c r="AK486"/>
  <c r="AL351"/>
  <c r="AL486"/>
  <c r="AM351"/>
  <c r="AM486"/>
  <c r="AN351"/>
  <c r="AP723"/>
  <c r="AP708" s="1"/>
  <c r="AP61" s="1"/>
  <c r="B713"/>
  <c r="AO504" s="1"/>
  <c r="C371"/>
  <c r="D371"/>
  <c r="G371"/>
  <c r="I371"/>
  <c r="K371"/>
  <c r="L371"/>
  <c r="M371"/>
  <c r="N371"/>
  <c r="P371"/>
  <c r="Q371"/>
  <c r="S371"/>
  <c r="T506"/>
  <c r="V371"/>
  <c r="C506"/>
  <c r="D506"/>
  <c r="F506"/>
  <c r="G506"/>
  <c r="H506"/>
  <c r="J506"/>
  <c r="K506"/>
  <c r="N506"/>
  <c r="O506"/>
  <c r="P506"/>
  <c r="R506"/>
  <c r="S506"/>
  <c r="U506"/>
  <c r="E371"/>
  <c r="F371"/>
  <c r="H371"/>
  <c r="J371"/>
  <c r="O371"/>
  <c r="R371"/>
  <c r="T371"/>
  <c r="U371"/>
  <c r="E506"/>
  <c r="I506"/>
  <c r="L506"/>
  <c r="M506"/>
  <c r="Q506"/>
  <c r="W371"/>
  <c r="V506"/>
  <c r="W506"/>
  <c r="X371"/>
  <c r="Y371"/>
  <c r="X506"/>
  <c r="Z371"/>
  <c r="Y506"/>
  <c r="AA371"/>
  <c r="Z506"/>
  <c r="AB371"/>
  <c r="AA506"/>
  <c r="AC371"/>
  <c r="AB506"/>
  <c r="AD371"/>
  <c r="AC506"/>
  <c r="AE371"/>
  <c r="AD506"/>
  <c r="AG727"/>
  <c r="AG735" s="1"/>
  <c r="AG707" s="1"/>
  <c r="AG56" s="1"/>
  <c r="AF371"/>
  <c r="AE506"/>
  <c r="AH727"/>
  <c r="AH735" s="1"/>
  <c r="AH707" s="1"/>
  <c r="AH56" s="1"/>
  <c r="AG371"/>
  <c r="AF506"/>
  <c r="AG506"/>
  <c r="AI727"/>
  <c r="AI735" s="1"/>
  <c r="AI707" s="1"/>
  <c r="AI56" s="1"/>
  <c r="AH371"/>
  <c r="AJ727"/>
  <c r="AJ735" s="1"/>
  <c r="AJ707" s="1"/>
  <c r="AJ56" s="1"/>
  <c r="AI371"/>
  <c r="AH506"/>
  <c r="AK727"/>
  <c r="AK735" s="1"/>
  <c r="AK707" s="1"/>
  <c r="AK56" s="1"/>
  <c r="AJ371"/>
  <c r="AI506"/>
  <c r="AJ506"/>
  <c r="AK371"/>
  <c r="AL727"/>
  <c r="AL735" s="1"/>
  <c r="AL707" s="1"/>
  <c r="AL56" s="1"/>
  <c r="AK506"/>
  <c r="AL371"/>
  <c r="AM727"/>
  <c r="AM735" s="1"/>
  <c r="AM707" s="1"/>
  <c r="AM56" s="1"/>
  <c r="AN727"/>
  <c r="AN735" s="1"/>
  <c r="AN707" s="1"/>
  <c r="AN56" s="1"/>
  <c r="AM371"/>
  <c r="AL506"/>
  <c r="AO727"/>
  <c r="AO735" s="1"/>
  <c r="AO707" s="1"/>
  <c r="AO56" s="1"/>
  <c r="AN371"/>
  <c r="AM506"/>
  <c r="T508"/>
  <c r="U373"/>
  <c r="C373"/>
  <c r="E373"/>
  <c r="F373"/>
  <c r="K373"/>
  <c r="R373"/>
  <c r="T373"/>
  <c r="V373"/>
  <c r="D508"/>
  <c r="E508"/>
  <c r="F508"/>
  <c r="I508"/>
  <c r="J508"/>
  <c r="K508"/>
  <c r="N508"/>
  <c r="O508"/>
  <c r="P508"/>
  <c r="Q508"/>
  <c r="R508"/>
  <c r="U508"/>
  <c r="D373"/>
  <c r="G373"/>
  <c r="H373"/>
  <c r="I373"/>
  <c r="J373"/>
  <c r="L373"/>
  <c r="M373"/>
  <c r="N373"/>
  <c r="O373"/>
  <c r="P373"/>
  <c r="Q373"/>
  <c r="S373"/>
  <c r="C508"/>
  <c r="G508"/>
  <c r="H508"/>
  <c r="L508"/>
  <c r="M508"/>
  <c r="S508"/>
  <c r="V508"/>
  <c r="W373"/>
  <c r="W508"/>
  <c r="X373"/>
  <c r="Y373"/>
  <c r="X508"/>
  <c r="Y508"/>
  <c r="Z373"/>
  <c r="Z508"/>
  <c r="AA373"/>
  <c r="AB373"/>
  <c r="AA508"/>
  <c r="AC373"/>
  <c r="AB508"/>
  <c r="AD373"/>
  <c r="AC508"/>
  <c r="AD508"/>
  <c r="AE373"/>
  <c r="AE508"/>
  <c r="AF373"/>
  <c r="AG373"/>
  <c r="AF508"/>
  <c r="AG508"/>
  <c r="AH373"/>
  <c r="AI373"/>
  <c r="AH508"/>
  <c r="AI508"/>
  <c r="AJ373"/>
  <c r="AJ508"/>
  <c r="AK373"/>
  <c r="AK508"/>
  <c r="AL373"/>
  <c r="AM373"/>
  <c r="AL508"/>
  <c r="AM508"/>
  <c r="AN373"/>
  <c r="E375"/>
  <c r="F375"/>
  <c r="H375"/>
  <c r="J375"/>
  <c r="O375"/>
  <c r="R375"/>
  <c r="T375"/>
  <c r="U375"/>
  <c r="V375"/>
  <c r="D510"/>
  <c r="E510"/>
  <c r="F510"/>
  <c r="G510"/>
  <c r="H510"/>
  <c r="J510"/>
  <c r="K510"/>
  <c r="N510"/>
  <c r="O510"/>
  <c r="Q510"/>
  <c r="R510"/>
  <c r="S510"/>
  <c r="C375"/>
  <c r="D375"/>
  <c r="G375"/>
  <c r="I375"/>
  <c r="K375"/>
  <c r="L375"/>
  <c r="M375"/>
  <c r="N375"/>
  <c r="P375"/>
  <c r="Q375"/>
  <c r="S375"/>
  <c r="C510"/>
  <c r="I510"/>
  <c r="L510"/>
  <c r="M510"/>
  <c r="P510"/>
  <c r="T510"/>
  <c r="U510"/>
  <c r="V510"/>
  <c r="W375"/>
  <c r="X375"/>
  <c r="W510"/>
  <c r="X510"/>
  <c r="Y375"/>
  <c r="Z375"/>
  <c r="Y510"/>
  <c r="AA375"/>
  <c r="Z510"/>
  <c r="AA510"/>
  <c r="AB375"/>
  <c r="AB510"/>
  <c r="AC375"/>
  <c r="AD375"/>
  <c r="AC510"/>
  <c r="AE375"/>
  <c r="AD510"/>
  <c r="AE510"/>
  <c r="AF375"/>
  <c r="AF510"/>
  <c r="AG375"/>
  <c r="AH375"/>
  <c r="AG510"/>
  <c r="AI375"/>
  <c r="AH510"/>
  <c r="AJ375"/>
  <c r="AI510"/>
  <c r="AK375"/>
  <c r="AJ510"/>
  <c r="AL375"/>
  <c r="AK510"/>
  <c r="AM375"/>
  <c r="AL510"/>
  <c r="AM510"/>
  <c r="AN375"/>
  <c r="U377"/>
  <c r="T512"/>
  <c r="D377"/>
  <c r="H377"/>
  <c r="I377"/>
  <c r="J377"/>
  <c r="L377"/>
  <c r="M377"/>
  <c r="N377"/>
  <c r="O377"/>
  <c r="P377"/>
  <c r="Q377"/>
  <c r="S377"/>
  <c r="V377"/>
  <c r="C512"/>
  <c r="E512"/>
  <c r="F512"/>
  <c r="J512"/>
  <c r="K512"/>
  <c r="L512"/>
  <c r="M512"/>
  <c r="O512"/>
  <c r="P512"/>
  <c r="Q512"/>
  <c r="S512"/>
  <c r="C377"/>
  <c r="E377"/>
  <c r="F377"/>
  <c r="G377"/>
  <c r="K377"/>
  <c r="R377"/>
  <c r="T377"/>
  <c r="D512"/>
  <c r="G512"/>
  <c r="H512"/>
  <c r="I512"/>
  <c r="N512"/>
  <c r="R512"/>
  <c r="U512"/>
  <c r="W377"/>
  <c r="V512"/>
  <c r="X377"/>
  <c r="W512"/>
  <c r="X512"/>
  <c r="Y377"/>
  <c r="Z377"/>
  <c r="Y512"/>
  <c r="AA377"/>
  <c r="Z512"/>
  <c r="AB377"/>
  <c r="AA512"/>
  <c r="AB512"/>
  <c r="AC377"/>
  <c r="AC512"/>
  <c r="AD377"/>
  <c r="AD512"/>
  <c r="AE377"/>
  <c r="AF377"/>
  <c r="AE512"/>
  <c r="AG377"/>
  <c r="AF512"/>
  <c r="AG512"/>
  <c r="AH377"/>
  <c r="AI377"/>
  <c r="AH512"/>
  <c r="AI512"/>
  <c r="AJ377"/>
  <c r="AK377"/>
  <c r="AJ512"/>
  <c r="AL377"/>
  <c r="AK512"/>
  <c r="AM377"/>
  <c r="AL512"/>
  <c r="AN377"/>
  <c r="AM512"/>
  <c r="AP755"/>
  <c r="AP740" s="1"/>
  <c r="AP62" s="1"/>
  <c r="B745"/>
  <c r="T532"/>
  <c r="U397"/>
  <c r="E397"/>
  <c r="F397"/>
  <c r="G397"/>
  <c r="K397"/>
  <c r="R397"/>
  <c r="T397"/>
  <c r="V397"/>
  <c r="C532"/>
  <c r="G532"/>
  <c r="H532"/>
  <c r="L532"/>
  <c r="M532"/>
  <c r="S532"/>
  <c r="U532"/>
  <c r="C397"/>
  <c r="D397"/>
  <c r="H397"/>
  <c r="I397"/>
  <c r="J397"/>
  <c r="L397"/>
  <c r="M397"/>
  <c r="N397"/>
  <c r="O397"/>
  <c r="P397"/>
  <c r="Q397"/>
  <c r="S397"/>
  <c r="D532"/>
  <c r="E532"/>
  <c r="F532"/>
  <c r="I532"/>
  <c r="J532"/>
  <c r="K532"/>
  <c r="N532"/>
  <c r="O532"/>
  <c r="P532"/>
  <c r="Q532"/>
  <c r="R532"/>
  <c r="V532"/>
  <c r="W397"/>
  <c r="W532"/>
  <c r="X397"/>
  <c r="Y397"/>
  <c r="X532"/>
  <c r="Y532"/>
  <c r="Z397"/>
  <c r="Z532"/>
  <c r="AA397"/>
  <c r="AB397"/>
  <c r="AA532"/>
  <c r="AC397"/>
  <c r="AB532"/>
  <c r="AD397"/>
  <c r="AC532"/>
  <c r="AD532"/>
  <c r="AE397"/>
  <c r="AE532"/>
  <c r="AF397"/>
  <c r="AG397"/>
  <c r="AF532"/>
  <c r="AG532"/>
  <c r="AH397"/>
  <c r="AI397"/>
  <c r="AH532"/>
  <c r="AI532"/>
  <c r="AJ397"/>
  <c r="AJ532"/>
  <c r="AK397"/>
  <c r="AK532"/>
  <c r="AL397"/>
  <c r="AM397"/>
  <c r="AL532"/>
  <c r="AM532"/>
  <c r="AN397"/>
  <c r="E399"/>
  <c r="F399"/>
  <c r="H399"/>
  <c r="J399"/>
  <c r="O399"/>
  <c r="R399"/>
  <c r="T399"/>
  <c r="U399"/>
  <c r="V399"/>
  <c r="C534"/>
  <c r="H534"/>
  <c r="I534"/>
  <c r="L534"/>
  <c r="M534"/>
  <c r="P534"/>
  <c r="T534"/>
  <c r="C399"/>
  <c r="D399"/>
  <c r="G399"/>
  <c r="I399"/>
  <c r="K399"/>
  <c r="L399"/>
  <c r="M399"/>
  <c r="N399"/>
  <c r="P399"/>
  <c r="Q399"/>
  <c r="S399"/>
  <c r="D534"/>
  <c r="E534"/>
  <c r="F534"/>
  <c r="G534"/>
  <c r="J534"/>
  <c r="K534"/>
  <c r="N534"/>
  <c r="O534"/>
  <c r="Q534"/>
  <c r="R534"/>
  <c r="S534"/>
  <c r="U534"/>
  <c r="V534"/>
  <c r="W399"/>
  <c r="X399"/>
  <c r="W534"/>
  <c r="X534"/>
  <c r="Y399"/>
  <c r="Z399"/>
  <c r="Y534"/>
  <c r="AA399"/>
  <c r="Z534"/>
  <c r="AA534"/>
  <c r="AB399"/>
  <c r="AB534"/>
  <c r="AC399"/>
  <c r="AD399"/>
  <c r="AC534"/>
  <c r="AE399"/>
  <c r="AD534"/>
  <c r="AE534"/>
  <c r="AF399"/>
  <c r="AF534"/>
  <c r="AG399"/>
  <c r="AH399"/>
  <c r="AG534"/>
  <c r="AI399"/>
  <c r="AH534"/>
  <c r="AJ399"/>
  <c r="AI534"/>
  <c r="AK399"/>
  <c r="AJ534"/>
  <c r="AL399"/>
  <c r="AK534"/>
  <c r="AM399"/>
  <c r="AL534"/>
  <c r="AM534"/>
  <c r="AN399"/>
  <c r="U401"/>
  <c r="T536"/>
  <c r="C401"/>
  <c r="D401"/>
  <c r="H401"/>
  <c r="I401"/>
  <c r="J401"/>
  <c r="L401"/>
  <c r="M401"/>
  <c r="N401"/>
  <c r="O401"/>
  <c r="P401"/>
  <c r="Q401"/>
  <c r="S401"/>
  <c r="V401"/>
  <c r="C536"/>
  <c r="D536"/>
  <c r="H536"/>
  <c r="I536"/>
  <c r="N536"/>
  <c r="R536"/>
  <c r="E401"/>
  <c r="F401"/>
  <c r="G401"/>
  <c r="K401"/>
  <c r="R401"/>
  <c r="T401"/>
  <c r="E536"/>
  <c r="F536"/>
  <c r="G536"/>
  <c r="J536"/>
  <c r="K536"/>
  <c r="L536"/>
  <c r="M536"/>
  <c r="O536"/>
  <c r="P536"/>
  <c r="Q536"/>
  <c r="S536"/>
  <c r="U536"/>
  <c r="W401"/>
  <c r="V536"/>
  <c r="X401"/>
  <c r="W536"/>
  <c r="X536"/>
  <c r="Y401"/>
  <c r="Z401"/>
  <c r="Y536"/>
  <c r="AA401"/>
  <c r="Z536"/>
  <c r="AB401"/>
  <c r="AA536"/>
  <c r="AB536"/>
  <c r="AC401"/>
  <c r="AC536"/>
  <c r="AD401"/>
  <c r="AD536"/>
  <c r="AE401"/>
  <c r="AF401"/>
  <c r="AE536"/>
  <c r="AG401"/>
  <c r="AF536"/>
  <c r="AG536"/>
  <c r="AH401"/>
  <c r="AI401"/>
  <c r="AH536"/>
  <c r="AI536"/>
  <c r="AJ401"/>
  <c r="AK401"/>
  <c r="AJ536"/>
  <c r="AL401"/>
  <c r="AK536"/>
  <c r="AM401"/>
  <c r="AL536"/>
  <c r="AN401"/>
  <c r="AM536"/>
  <c r="C403"/>
  <c r="D403"/>
  <c r="G403"/>
  <c r="I403"/>
  <c r="K403"/>
  <c r="L403"/>
  <c r="M403"/>
  <c r="N403"/>
  <c r="P403"/>
  <c r="Q403"/>
  <c r="S403"/>
  <c r="T538"/>
  <c r="V403"/>
  <c r="C538"/>
  <c r="D538"/>
  <c r="F538"/>
  <c r="G538"/>
  <c r="H538"/>
  <c r="J538"/>
  <c r="K538"/>
  <c r="N538"/>
  <c r="O538"/>
  <c r="P538"/>
  <c r="R538"/>
  <c r="S538"/>
  <c r="U538"/>
  <c r="E403"/>
  <c r="F403"/>
  <c r="H403"/>
  <c r="J403"/>
  <c r="O403"/>
  <c r="R403"/>
  <c r="T403"/>
  <c r="U403"/>
  <c r="E538"/>
  <c r="I538"/>
  <c r="L538"/>
  <c r="M538"/>
  <c r="Q538"/>
  <c r="W403"/>
  <c r="V538"/>
  <c r="W538"/>
  <c r="X403"/>
  <c r="Y403"/>
  <c r="X538"/>
  <c r="Z403"/>
  <c r="Y538"/>
  <c r="AA403"/>
  <c r="Z538"/>
  <c r="AB403"/>
  <c r="AA538"/>
  <c r="AC403"/>
  <c r="AB538"/>
  <c r="AD403"/>
  <c r="AC538"/>
  <c r="AE403"/>
  <c r="AD538"/>
  <c r="AF403"/>
  <c r="AE538"/>
  <c r="AG403"/>
  <c r="AF538"/>
  <c r="AG538"/>
  <c r="AH403"/>
  <c r="AI403"/>
  <c r="AH538"/>
  <c r="AJ403"/>
  <c r="AI538"/>
  <c r="AJ538"/>
  <c r="AK403"/>
  <c r="AK538"/>
  <c r="AL403"/>
  <c r="AM403"/>
  <c r="AL538"/>
  <c r="AN403"/>
  <c r="AM538"/>
  <c r="AP238"/>
  <c r="AP203"/>
  <c r="AP48"/>
  <c r="AN237"/>
  <c r="AN202"/>
  <c r="AN205" s="1"/>
  <c r="AN47"/>
  <c r="AN49" s="1"/>
  <c r="AK100"/>
  <c r="AO107"/>
  <c r="AO20"/>
  <c r="AO43" s="1"/>
  <c r="AN266"/>
  <c r="AN267" s="1"/>
  <c r="AP41"/>
  <c r="AP618"/>
  <c r="AP94" s="1"/>
  <c r="AP727"/>
  <c r="AP758"/>
  <c r="B758" s="1"/>
  <c r="AN480"/>
  <c r="AN512"/>
  <c r="AN536"/>
  <c r="AN485"/>
  <c r="AN509"/>
  <c r="AN533"/>
  <c r="AO403"/>
  <c r="AO399"/>
  <c r="AO375"/>
  <c r="AO371"/>
  <c r="AO486"/>
  <c r="AO482"/>
  <c r="AO404"/>
  <c r="AO400"/>
  <c r="AO396"/>
  <c r="AO376"/>
  <c r="AO372"/>
  <c r="AO352"/>
  <c r="AO348"/>
  <c r="AO344"/>
  <c r="B687" i="7"/>
  <c r="AP63"/>
  <c r="AP307"/>
  <c r="AE66"/>
  <c r="AE72" s="1"/>
  <c r="AC66"/>
  <c r="AC72" s="1"/>
  <c r="AA66"/>
  <c r="AA72" s="1"/>
  <c r="B656"/>
  <c r="AP281"/>
  <c r="AP193"/>
  <c r="AP156"/>
  <c r="AP52"/>
  <c r="AP192"/>
  <c r="AP155"/>
  <c r="AP51"/>
  <c r="AP592"/>
  <c r="AP190"/>
  <c r="AP153"/>
  <c r="AP49"/>
  <c r="AN168"/>
  <c r="AN169" s="1"/>
  <c r="AN197" s="1"/>
  <c r="AN198" s="1"/>
  <c r="AN108" s="1"/>
  <c r="AN107"/>
  <c r="D717"/>
  <c r="D727" s="1"/>
  <c r="D699" s="1"/>
  <c r="D65" s="1"/>
  <c r="C717"/>
  <c r="E717"/>
  <c r="E727" s="1"/>
  <c r="E699" s="1"/>
  <c r="E65" s="1"/>
  <c r="F717"/>
  <c r="F727" s="1"/>
  <c r="F699" s="1"/>
  <c r="F65" s="1"/>
  <c r="G717"/>
  <c r="G727" s="1"/>
  <c r="G699" s="1"/>
  <c r="G65" s="1"/>
  <c r="H717"/>
  <c r="H727" s="1"/>
  <c r="H699" s="1"/>
  <c r="H65" s="1"/>
  <c r="I717"/>
  <c r="I727" s="1"/>
  <c r="I699" s="1"/>
  <c r="I65" s="1"/>
  <c r="J717"/>
  <c r="J727" s="1"/>
  <c r="J699" s="1"/>
  <c r="J65" s="1"/>
  <c r="K717"/>
  <c r="K727" s="1"/>
  <c r="K699" s="1"/>
  <c r="K65" s="1"/>
  <c r="L717"/>
  <c r="L727" s="1"/>
  <c r="L699" s="1"/>
  <c r="L65" s="1"/>
  <c r="M717"/>
  <c r="M727" s="1"/>
  <c r="M699" s="1"/>
  <c r="M65" s="1"/>
  <c r="N717"/>
  <c r="N727" s="1"/>
  <c r="N699" s="1"/>
  <c r="N65" s="1"/>
  <c r="O717"/>
  <c r="O727" s="1"/>
  <c r="O699" s="1"/>
  <c r="O65" s="1"/>
  <c r="P717"/>
  <c r="P727" s="1"/>
  <c r="P699" s="1"/>
  <c r="P65" s="1"/>
  <c r="Q717"/>
  <c r="Q727" s="1"/>
  <c r="Q699" s="1"/>
  <c r="Q65" s="1"/>
  <c r="R717"/>
  <c r="R727" s="1"/>
  <c r="R699" s="1"/>
  <c r="R65" s="1"/>
  <c r="S717"/>
  <c r="S727" s="1"/>
  <c r="S699" s="1"/>
  <c r="S65" s="1"/>
  <c r="T717"/>
  <c r="T727" s="1"/>
  <c r="T699" s="1"/>
  <c r="T65" s="1"/>
  <c r="U717"/>
  <c r="U727" s="1"/>
  <c r="U699" s="1"/>
  <c r="U65" s="1"/>
  <c r="V717"/>
  <c r="V727" s="1"/>
  <c r="V699" s="1"/>
  <c r="V65" s="1"/>
  <c r="T458"/>
  <c r="T468" s="1"/>
  <c r="U323"/>
  <c r="U333" s="1"/>
  <c r="C458"/>
  <c r="D458"/>
  <c r="D468" s="1"/>
  <c r="E458"/>
  <c r="E468" s="1"/>
  <c r="H458"/>
  <c r="H468" s="1"/>
  <c r="I458"/>
  <c r="I468" s="1"/>
  <c r="M458"/>
  <c r="M468" s="1"/>
  <c r="O458"/>
  <c r="O468" s="1"/>
  <c r="R458"/>
  <c r="R468" s="1"/>
  <c r="C323"/>
  <c r="D323"/>
  <c r="D333" s="1"/>
  <c r="E323"/>
  <c r="E333" s="1"/>
  <c r="F323"/>
  <c r="F333" s="1"/>
  <c r="G323"/>
  <c r="G333" s="1"/>
  <c r="I323"/>
  <c r="I333" s="1"/>
  <c r="J323"/>
  <c r="J333" s="1"/>
  <c r="O323"/>
  <c r="O333" s="1"/>
  <c r="P323"/>
  <c r="P333" s="1"/>
  <c r="Q323"/>
  <c r="Q333" s="1"/>
  <c r="F458"/>
  <c r="F468" s="1"/>
  <c r="G458"/>
  <c r="G468" s="1"/>
  <c r="J458"/>
  <c r="J468" s="1"/>
  <c r="K458"/>
  <c r="K468" s="1"/>
  <c r="L458"/>
  <c r="L468" s="1"/>
  <c r="N458"/>
  <c r="N468" s="1"/>
  <c r="P458"/>
  <c r="P468" s="1"/>
  <c r="Q458"/>
  <c r="Q468" s="1"/>
  <c r="S458"/>
  <c r="S468" s="1"/>
  <c r="U458"/>
  <c r="U468" s="1"/>
  <c r="H323"/>
  <c r="H333" s="1"/>
  <c r="K323"/>
  <c r="K333" s="1"/>
  <c r="L323"/>
  <c r="L333" s="1"/>
  <c r="M323"/>
  <c r="M333" s="1"/>
  <c r="N323"/>
  <c r="N333" s="1"/>
  <c r="R323"/>
  <c r="R333" s="1"/>
  <c r="S323"/>
  <c r="S333" s="1"/>
  <c r="T323"/>
  <c r="T333" s="1"/>
  <c r="V323"/>
  <c r="V333" s="1"/>
  <c r="W323"/>
  <c r="W333" s="1"/>
  <c r="V458"/>
  <c r="V468" s="1"/>
  <c r="X323"/>
  <c r="X333" s="1"/>
  <c r="W458"/>
  <c r="W468" s="1"/>
  <c r="X458"/>
  <c r="X468" s="1"/>
  <c r="Y323"/>
  <c r="Y333" s="1"/>
  <c r="Z323"/>
  <c r="Z333" s="1"/>
  <c r="Y458"/>
  <c r="Y468" s="1"/>
  <c r="AA323"/>
  <c r="AA333" s="1"/>
  <c r="Z458"/>
  <c r="Z468" s="1"/>
  <c r="AA458"/>
  <c r="AA468" s="1"/>
  <c r="AB323"/>
  <c r="AB333" s="1"/>
  <c r="AB458"/>
  <c r="AB468" s="1"/>
  <c r="AC323"/>
  <c r="AC333" s="1"/>
  <c r="AD323"/>
  <c r="AD333" s="1"/>
  <c r="AC458"/>
  <c r="AC468" s="1"/>
  <c r="AE323"/>
  <c r="AE333" s="1"/>
  <c r="AD458"/>
  <c r="AD468" s="1"/>
  <c r="AE458"/>
  <c r="AE468" s="1"/>
  <c r="AF323"/>
  <c r="AF333" s="1"/>
  <c r="AG323"/>
  <c r="AG333" s="1"/>
  <c r="AF458"/>
  <c r="AF468" s="1"/>
  <c r="AG458"/>
  <c r="AG468" s="1"/>
  <c r="AH323"/>
  <c r="AH333" s="1"/>
  <c r="AH458"/>
  <c r="AH468" s="1"/>
  <c r="AI323"/>
  <c r="AI333" s="1"/>
  <c r="AJ323"/>
  <c r="AJ333" s="1"/>
  <c r="AI458"/>
  <c r="AI468" s="1"/>
  <c r="AK323"/>
  <c r="AK333" s="1"/>
  <c r="AJ458"/>
  <c r="AJ468" s="1"/>
  <c r="AL323"/>
  <c r="AL333" s="1"/>
  <c r="AK458"/>
  <c r="AK468" s="1"/>
  <c r="AM323"/>
  <c r="AM333" s="1"/>
  <c r="AL458"/>
  <c r="AL468" s="1"/>
  <c r="AN323"/>
  <c r="AN333" s="1"/>
  <c r="AM458"/>
  <c r="AM468" s="1"/>
  <c r="AO323"/>
  <c r="AO333" s="1"/>
  <c r="AN458"/>
  <c r="AN468" s="1"/>
  <c r="AP606"/>
  <c r="AP80"/>
  <c r="AP81" s="1"/>
  <c r="AM168"/>
  <c r="AM169" s="1"/>
  <c r="AM197" s="1"/>
  <c r="AM198" s="1"/>
  <c r="AM108" s="1"/>
  <c r="AM107"/>
  <c r="AO164"/>
  <c r="AO128"/>
  <c r="AO132" s="1"/>
  <c r="AO47"/>
  <c r="AO416"/>
  <c r="AO468"/>
  <c r="AP695"/>
  <c r="AP667" s="1"/>
  <c r="AP64" s="1"/>
  <c r="B331"/>
  <c r="B466"/>
  <c r="B329"/>
  <c r="B464"/>
  <c r="B462"/>
  <c r="B460"/>
  <c r="B325"/>
  <c r="B305"/>
  <c r="B440"/>
  <c r="B303"/>
  <c r="B434"/>
  <c r="B414"/>
  <c r="B279"/>
  <c r="B275"/>
  <c r="AL66"/>
  <c r="AL72" s="1"/>
  <c r="AL82" s="1"/>
  <c r="AL87" s="1"/>
  <c r="AH66"/>
  <c r="AH72" s="1"/>
  <c r="AH82" s="1"/>
  <c r="AH87" s="1"/>
  <c r="AP71"/>
  <c r="AP323"/>
  <c r="AP333" s="1"/>
  <c r="AO53"/>
  <c r="AO194"/>
  <c r="AO195" s="1"/>
  <c r="AO432"/>
  <c r="AO442" s="1"/>
  <c r="B467"/>
  <c r="B332"/>
  <c r="B465"/>
  <c r="B328"/>
  <c r="B326"/>
  <c r="B459"/>
  <c r="B306"/>
  <c r="B441"/>
  <c r="B304"/>
  <c r="B439"/>
  <c r="B437"/>
  <c r="B300"/>
  <c r="B298"/>
  <c r="B280"/>
  <c r="B415"/>
  <c r="B413"/>
  <c r="AO66"/>
  <c r="AO72" s="1"/>
  <c r="AM66"/>
  <c r="AM72" s="1"/>
  <c r="AM82" s="1"/>
  <c r="AM87" s="1"/>
  <c r="B409"/>
  <c r="Z66"/>
  <c r="Z72" s="1"/>
  <c r="X66"/>
  <c r="X72" s="1"/>
  <c r="AP105"/>
  <c r="AP191"/>
  <c r="AP154"/>
  <c r="AP50"/>
  <c r="D685"/>
  <c r="D695" s="1"/>
  <c r="D667" s="1"/>
  <c r="D64" s="1"/>
  <c r="C685"/>
  <c r="E685"/>
  <c r="E695" s="1"/>
  <c r="E667" s="1"/>
  <c r="E64" s="1"/>
  <c r="F685"/>
  <c r="F695" s="1"/>
  <c r="F667" s="1"/>
  <c r="F64" s="1"/>
  <c r="G685"/>
  <c r="G695" s="1"/>
  <c r="G667" s="1"/>
  <c r="G64" s="1"/>
  <c r="H685"/>
  <c r="H695" s="1"/>
  <c r="H667" s="1"/>
  <c r="H64" s="1"/>
  <c r="I685"/>
  <c r="I695" s="1"/>
  <c r="I667" s="1"/>
  <c r="I64" s="1"/>
  <c r="J685"/>
  <c r="J695" s="1"/>
  <c r="J667" s="1"/>
  <c r="J64" s="1"/>
  <c r="K685"/>
  <c r="K695" s="1"/>
  <c r="K667" s="1"/>
  <c r="K64" s="1"/>
  <c r="L685"/>
  <c r="L695" s="1"/>
  <c r="L667" s="1"/>
  <c r="L64" s="1"/>
  <c r="M685"/>
  <c r="M695" s="1"/>
  <c r="M667" s="1"/>
  <c r="M64" s="1"/>
  <c r="N685"/>
  <c r="N695" s="1"/>
  <c r="N667" s="1"/>
  <c r="N64" s="1"/>
  <c r="O685"/>
  <c r="O695" s="1"/>
  <c r="O667" s="1"/>
  <c r="O64" s="1"/>
  <c r="P685"/>
  <c r="P695" s="1"/>
  <c r="P667" s="1"/>
  <c r="P64" s="1"/>
  <c r="Q685"/>
  <c r="Q695" s="1"/>
  <c r="Q667" s="1"/>
  <c r="Q64" s="1"/>
  <c r="U297"/>
  <c r="U307" s="1"/>
  <c r="T432"/>
  <c r="T442" s="1"/>
  <c r="V297"/>
  <c r="V307" s="1"/>
  <c r="D432"/>
  <c r="D442" s="1"/>
  <c r="C432"/>
  <c r="E432"/>
  <c r="E442" s="1"/>
  <c r="F432"/>
  <c r="F442" s="1"/>
  <c r="H432"/>
  <c r="H442" s="1"/>
  <c r="I432"/>
  <c r="I442" s="1"/>
  <c r="M432"/>
  <c r="M442" s="1"/>
  <c r="O432"/>
  <c r="O442" s="1"/>
  <c r="R432"/>
  <c r="R442" s="1"/>
  <c r="S432"/>
  <c r="S442" s="1"/>
  <c r="U432"/>
  <c r="U442" s="1"/>
  <c r="D297"/>
  <c r="D307" s="1"/>
  <c r="E297"/>
  <c r="E307" s="1"/>
  <c r="H297"/>
  <c r="H307" s="1"/>
  <c r="I297"/>
  <c r="I307" s="1"/>
  <c r="K297"/>
  <c r="K307" s="1"/>
  <c r="L297"/>
  <c r="L307" s="1"/>
  <c r="M297"/>
  <c r="M307" s="1"/>
  <c r="N297"/>
  <c r="N307" s="1"/>
  <c r="P297"/>
  <c r="P307" s="1"/>
  <c r="Q297"/>
  <c r="Q307" s="1"/>
  <c r="G432"/>
  <c r="G442" s="1"/>
  <c r="J432"/>
  <c r="J442" s="1"/>
  <c r="K432"/>
  <c r="K442" s="1"/>
  <c r="L432"/>
  <c r="L442" s="1"/>
  <c r="N432"/>
  <c r="N442" s="1"/>
  <c r="P432"/>
  <c r="P442" s="1"/>
  <c r="Q432"/>
  <c r="Q442" s="1"/>
  <c r="C297"/>
  <c r="F297"/>
  <c r="F307" s="1"/>
  <c r="G297"/>
  <c r="G307" s="1"/>
  <c r="J297"/>
  <c r="J307" s="1"/>
  <c r="O297"/>
  <c r="O307" s="1"/>
  <c r="S297"/>
  <c r="S307" s="1"/>
  <c r="R297"/>
  <c r="R307" s="1"/>
  <c r="T297"/>
  <c r="T307" s="1"/>
  <c r="V432"/>
  <c r="V442" s="1"/>
  <c r="W297"/>
  <c r="W307" s="1"/>
  <c r="X297"/>
  <c r="X307" s="1"/>
  <c r="W432"/>
  <c r="W442" s="1"/>
  <c r="Y297"/>
  <c r="Y307" s="1"/>
  <c r="X432"/>
  <c r="X442" s="1"/>
  <c r="Y432"/>
  <c r="Y442" s="1"/>
  <c r="Z297"/>
  <c r="Z307" s="1"/>
  <c r="AA297"/>
  <c r="AA307" s="1"/>
  <c r="Z432"/>
  <c r="Z442" s="1"/>
  <c r="AB297"/>
  <c r="AB307" s="1"/>
  <c r="AA432"/>
  <c r="AA442" s="1"/>
  <c r="AC297"/>
  <c r="AC307" s="1"/>
  <c r="AB432"/>
  <c r="AB442" s="1"/>
  <c r="AC432"/>
  <c r="AC442" s="1"/>
  <c r="AD297"/>
  <c r="AD307" s="1"/>
  <c r="AE297"/>
  <c r="AE307" s="1"/>
  <c r="AD432"/>
  <c r="AD442" s="1"/>
  <c r="AF297"/>
  <c r="AF307" s="1"/>
  <c r="AE432"/>
  <c r="AE442" s="1"/>
  <c r="AG297"/>
  <c r="AG307" s="1"/>
  <c r="AF432"/>
  <c r="AF442" s="1"/>
  <c r="AG432"/>
  <c r="AG442" s="1"/>
  <c r="AH297"/>
  <c r="AH307" s="1"/>
  <c r="AI297"/>
  <c r="AI307" s="1"/>
  <c r="AH432"/>
  <c r="AH442" s="1"/>
  <c r="AI432"/>
  <c r="AI442" s="1"/>
  <c r="AJ297"/>
  <c r="AJ307" s="1"/>
  <c r="AK297"/>
  <c r="AK307" s="1"/>
  <c r="AJ432"/>
  <c r="AJ442" s="1"/>
  <c r="AL297"/>
  <c r="AL307" s="1"/>
  <c r="AK432"/>
  <c r="AK442" s="1"/>
  <c r="AL432"/>
  <c r="AL442" s="1"/>
  <c r="AM297"/>
  <c r="AM307" s="1"/>
  <c r="AM432"/>
  <c r="AM442" s="1"/>
  <c r="AN297"/>
  <c r="AN307" s="1"/>
  <c r="AO297"/>
  <c r="AO307" s="1"/>
  <c r="AN432"/>
  <c r="AN442" s="1"/>
  <c r="D653"/>
  <c r="D663" s="1"/>
  <c r="D635" s="1"/>
  <c r="D63" s="1"/>
  <c r="C653"/>
  <c r="E653"/>
  <c r="E663" s="1"/>
  <c r="E635" s="1"/>
  <c r="E63" s="1"/>
  <c r="F653"/>
  <c r="F663" s="1"/>
  <c r="F635" s="1"/>
  <c r="F63" s="1"/>
  <c r="G653"/>
  <c r="G663" s="1"/>
  <c r="G635" s="1"/>
  <c r="G63" s="1"/>
  <c r="H653"/>
  <c r="H663" s="1"/>
  <c r="H635" s="1"/>
  <c r="H63" s="1"/>
  <c r="I653"/>
  <c r="I663" s="1"/>
  <c r="I635" s="1"/>
  <c r="I63" s="1"/>
  <c r="J653"/>
  <c r="J663" s="1"/>
  <c r="J635" s="1"/>
  <c r="J63" s="1"/>
  <c r="K653"/>
  <c r="K663" s="1"/>
  <c r="K635" s="1"/>
  <c r="K63" s="1"/>
  <c r="L653"/>
  <c r="L663" s="1"/>
  <c r="L635" s="1"/>
  <c r="L63" s="1"/>
  <c r="M653"/>
  <c r="M663" s="1"/>
  <c r="M635" s="1"/>
  <c r="M63" s="1"/>
  <c r="N653"/>
  <c r="N663" s="1"/>
  <c r="N635" s="1"/>
  <c r="N63" s="1"/>
  <c r="U271"/>
  <c r="U281" s="1"/>
  <c r="T406"/>
  <c r="T416" s="1"/>
  <c r="C406"/>
  <c r="E406"/>
  <c r="E416" s="1"/>
  <c r="G406"/>
  <c r="G416" s="1"/>
  <c r="H406"/>
  <c r="H416" s="1"/>
  <c r="L406"/>
  <c r="L416" s="1"/>
  <c r="K406"/>
  <c r="K416" s="1"/>
  <c r="M406"/>
  <c r="M416" s="1"/>
  <c r="P406"/>
  <c r="P416" s="1"/>
  <c r="K271"/>
  <c r="K281" s="1"/>
  <c r="L271"/>
  <c r="L281" s="1"/>
  <c r="M271"/>
  <c r="M281" s="1"/>
  <c r="P271"/>
  <c r="P281" s="1"/>
  <c r="T271"/>
  <c r="T281" s="1"/>
  <c r="V271"/>
  <c r="V281" s="1"/>
  <c r="D406"/>
  <c r="D416" s="1"/>
  <c r="F406"/>
  <c r="F416" s="1"/>
  <c r="I406"/>
  <c r="I416" s="1"/>
  <c r="J406"/>
  <c r="J416" s="1"/>
  <c r="N406"/>
  <c r="N416" s="1"/>
  <c r="O406"/>
  <c r="O416" s="1"/>
  <c r="Q406"/>
  <c r="Q416" s="1"/>
  <c r="R406"/>
  <c r="R416" s="1"/>
  <c r="S406"/>
  <c r="S416" s="1"/>
  <c r="U406"/>
  <c r="U416" s="1"/>
  <c r="C271"/>
  <c r="D271"/>
  <c r="D281" s="1"/>
  <c r="E271"/>
  <c r="E281" s="1"/>
  <c r="F271"/>
  <c r="F281" s="1"/>
  <c r="G271"/>
  <c r="G281" s="1"/>
  <c r="H271"/>
  <c r="H281" s="1"/>
  <c r="I271"/>
  <c r="I281" s="1"/>
  <c r="J271"/>
  <c r="J281" s="1"/>
  <c r="N271"/>
  <c r="N281" s="1"/>
  <c r="O271"/>
  <c r="O281" s="1"/>
  <c r="Q271"/>
  <c r="Q281" s="1"/>
  <c r="S271"/>
  <c r="S281" s="1"/>
  <c r="R271"/>
  <c r="R281" s="1"/>
  <c r="V406"/>
  <c r="V416" s="1"/>
  <c r="W271"/>
  <c r="W281" s="1"/>
  <c r="X271"/>
  <c r="X281" s="1"/>
  <c r="W406"/>
  <c r="W416" s="1"/>
  <c r="Y271"/>
  <c r="Y281" s="1"/>
  <c r="X406"/>
  <c r="X416" s="1"/>
  <c r="Z271"/>
  <c r="Z281" s="1"/>
  <c r="Y406"/>
  <c r="Y416" s="1"/>
  <c r="AA271"/>
  <c r="AA281" s="1"/>
  <c r="Z406"/>
  <c r="Z416" s="1"/>
  <c r="AA406"/>
  <c r="AA416" s="1"/>
  <c r="AB271"/>
  <c r="AB281" s="1"/>
  <c r="AB406"/>
  <c r="AB416" s="1"/>
  <c r="AC271"/>
  <c r="AC281" s="1"/>
  <c r="AD271"/>
  <c r="AD281" s="1"/>
  <c r="AC406"/>
  <c r="AC416" s="1"/>
  <c r="AE271"/>
  <c r="AE281" s="1"/>
  <c r="AD406"/>
  <c r="AD416" s="1"/>
  <c r="AE406"/>
  <c r="AE416" s="1"/>
  <c r="AF271"/>
  <c r="AF281" s="1"/>
  <c r="AG271"/>
  <c r="AG281" s="1"/>
  <c r="AF406"/>
  <c r="AF416" s="1"/>
  <c r="AH271"/>
  <c r="AH281" s="1"/>
  <c r="AG406"/>
  <c r="AG416" s="1"/>
  <c r="AI271"/>
  <c r="AI281" s="1"/>
  <c r="AH406"/>
  <c r="AH416" s="1"/>
  <c r="AJ271"/>
  <c r="AJ281" s="1"/>
  <c r="AI406"/>
  <c r="AI416" s="1"/>
  <c r="AJ406"/>
  <c r="AJ416" s="1"/>
  <c r="AK271"/>
  <c r="AK281" s="1"/>
  <c r="AL271"/>
  <c r="AL281" s="1"/>
  <c r="AK406"/>
  <c r="AK416" s="1"/>
  <c r="AL406"/>
  <c r="AL416" s="1"/>
  <c r="AM271"/>
  <c r="AM281" s="1"/>
  <c r="AN271"/>
  <c r="AN281" s="1"/>
  <c r="AM406"/>
  <c r="AM416" s="1"/>
  <c r="AN406"/>
  <c r="AN416" s="1"/>
  <c r="AO271"/>
  <c r="AO281" s="1"/>
  <c r="AP119"/>
  <c r="B122" s="1"/>
  <c r="AP20"/>
  <c r="AP43" s="1"/>
  <c r="B120"/>
  <c r="AL109"/>
  <c r="B327"/>
  <c r="B438"/>
  <c r="B301"/>
  <c r="B436"/>
  <c r="B299"/>
  <c r="B277"/>
  <c r="B412"/>
  <c r="B410"/>
  <c r="AK66"/>
  <c r="AK72" s="1"/>
  <c r="AK82" s="1"/>
  <c r="AK87" s="1"/>
  <c r="AJ66"/>
  <c r="AJ72" s="1"/>
  <c r="AJ82" s="1"/>
  <c r="AJ87" s="1"/>
  <c r="AI66"/>
  <c r="AI72" s="1"/>
  <c r="AI82" s="1"/>
  <c r="AI87" s="1"/>
  <c r="AG66"/>
  <c r="AG72" s="1"/>
  <c r="AG82" s="1"/>
  <c r="AG87" s="1"/>
  <c r="B408"/>
  <c r="B273"/>
  <c r="AP458"/>
  <c r="AP468" s="1"/>
  <c r="AP406"/>
  <c r="AP416" s="1"/>
  <c r="AO157"/>
  <c r="AO158" s="1"/>
  <c r="AP65"/>
  <c r="B330"/>
  <c r="B463"/>
  <c r="B461"/>
  <c r="B324"/>
  <c r="B302"/>
  <c r="B435"/>
  <c r="B433"/>
  <c r="B278"/>
  <c r="B276"/>
  <c r="B411"/>
  <c r="AN66"/>
  <c r="AN72" s="1"/>
  <c r="AN82" s="1"/>
  <c r="AN87" s="1"/>
  <c r="B274"/>
  <c r="Y66"/>
  <c r="Y72" s="1"/>
  <c r="B272"/>
  <c r="W66"/>
  <c r="W72" s="1"/>
  <c r="B407"/>
  <c r="AP432"/>
  <c r="AP442" s="1"/>
  <c r="G464" i="2"/>
  <c r="D268"/>
  <c r="D269" s="1"/>
  <c r="E15"/>
  <c r="E50"/>
  <c r="E228"/>
  <c r="E265"/>
  <c r="E17"/>
  <c r="E52"/>
  <c r="E230"/>
  <c r="E267"/>
  <c r="F71"/>
  <c r="G362"/>
  <c r="G497" s="1"/>
  <c r="G789"/>
  <c r="G774" s="1"/>
  <c r="G70" s="1"/>
  <c r="G360"/>
  <c r="G495" s="1"/>
  <c r="G365"/>
  <c r="G500" s="1"/>
  <c r="G363"/>
  <c r="G498" s="1"/>
  <c r="G364"/>
  <c r="G499" s="1"/>
  <c r="G359"/>
  <c r="G494" s="1"/>
  <c r="G361"/>
  <c r="G496" s="1"/>
  <c r="G367"/>
  <c r="G502" s="1"/>
  <c r="G368"/>
  <c r="G503" s="1"/>
  <c r="H5"/>
  <c r="H787"/>
  <c r="H393" s="1"/>
  <c r="H528" s="1"/>
  <c r="H785"/>
  <c r="H391" s="1"/>
  <c r="H526" s="1"/>
  <c r="H783"/>
  <c r="H389" s="1"/>
  <c r="H524" s="1"/>
  <c r="H781"/>
  <c r="H387" s="1"/>
  <c r="H522" s="1"/>
  <c r="H779"/>
  <c r="H385" s="1"/>
  <c r="H520" s="1"/>
  <c r="H755"/>
  <c r="H367" s="1"/>
  <c r="H502" s="1"/>
  <c r="H788"/>
  <c r="H394" s="1"/>
  <c r="H529" s="1"/>
  <c r="H786"/>
  <c r="H392" s="1"/>
  <c r="H527" s="1"/>
  <c r="H784"/>
  <c r="H390" s="1"/>
  <c r="H525" s="1"/>
  <c r="H782"/>
  <c r="H388" s="1"/>
  <c r="H523" s="1"/>
  <c r="H780"/>
  <c r="H386" s="1"/>
  <c r="H521" s="1"/>
  <c r="H756"/>
  <c r="H368" s="1"/>
  <c r="H503" s="1"/>
  <c r="H753"/>
  <c r="H751"/>
  <c r="H363" s="1"/>
  <c r="H498" s="1"/>
  <c r="H749"/>
  <c r="H361" s="1"/>
  <c r="H496" s="1"/>
  <c r="H747"/>
  <c r="H723"/>
  <c r="H342" s="1"/>
  <c r="H476" s="1"/>
  <c r="H721"/>
  <c r="H340" s="1"/>
  <c r="H474" s="1"/>
  <c r="H719"/>
  <c r="H338" s="1"/>
  <c r="H472" s="1"/>
  <c r="H717"/>
  <c r="H336" s="1"/>
  <c r="H470" s="1"/>
  <c r="H715"/>
  <c r="H334" s="1"/>
  <c r="H468" s="1"/>
  <c r="H794"/>
  <c r="H795"/>
  <c r="H797"/>
  <c r="H799"/>
  <c r="H754"/>
  <c r="H752"/>
  <c r="H364" s="1"/>
  <c r="H499" s="1"/>
  <c r="H748"/>
  <c r="H724"/>
  <c r="H343" s="1"/>
  <c r="H477" s="1"/>
  <c r="H720"/>
  <c r="H339" s="1"/>
  <c r="H473" s="1"/>
  <c r="H750"/>
  <c r="H722"/>
  <c r="H341" s="1"/>
  <c r="H475" s="1"/>
  <c r="H718"/>
  <c r="H337" s="1"/>
  <c r="H471" s="1"/>
  <c r="H793"/>
  <c r="H798"/>
  <c r="H796"/>
  <c r="H760"/>
  <c r="H762"/>
  <c r="H764"/>
  <c r="H766"/>
  <c r="H768"/>
  <c r="H716"/>
  <c r="H800"/>
  <c r="H761"/>
  <c r="H763"/>
  <c r="H765"/>
  <c r="H767"/>
  <c r="G757"/>
  <c r="G742" s="1"/>
  <c r="G69" s="1"/>
  <c r="D231"/>
  <c r="D232" s="1"/>
  <c r="H617"/>
  <c r="H618" s="1"/>
  <c r="H623"/>
  <c r="H624" s="1"/>
  <c r="H670"/>
  <c r="H674"/>
  <c r="H671"/>
  <c r="I11"/>
  <c r="H312"/>
  <c r="H314"/>
  <c r="H316"/>
  <c r="H445"/>
  <c r="H447"/>
  <c r="H449"/>
  <c r="H464" s="1"/>
  <c r="H311"/>
  <c r="H315"/>
  <c r="H446"/>
  <c r="H450"/>
  <c r="H313"/>
  <c r="H448"/>
  <c r="F117"/>
  <c r="H19"/>
  <c r="E116"/>
  <c r="G705"/>
  <c r="H702" s="1"/>
  <c r="H730"/>
  <c r="H731"/>
  <c r="H732"/>
  <c r="H733"/>
  <c r="H734"/>
  <c r="H735"/>
  <c r="H736"/>
  <c r="H728"/>
  <c r="H729"/>
  <c r="E105"/>
  <c r="H463"/>
  <c r="G330"/>
  <c r="H329"/>
  <c r="G340"/>
  <c r="G474" s="1"/>
  <c r="G339"/>
  <c r="G473" s="1"/>
  <c r="G334"/>
  <c r="G468" s="1"/>
  <c r="G341"/>
  <c r="G475" s="1"/>
  <c r="G343"/>
  <c r="G477" s="1"/>
  <c r="G336"/>
  <c r="G470" s="1"/>
  <c r="G338"/>
  <c r="G472" s="1"/>
  <c r="G337"/>
  <c r="G471" s="1"/>
  <c r="G342"/>
  <c r="G476" s="1"/>
  <c r="G335"/>
  <c r="G469" s="1"/>
  <c r="G725"/>
  <c r="G710" s="1"/>
  <c r="G68" s="1"/>
  <c r="H704"/>
  <c r="F619"/>
  <c r="F620" s="1"/>
  <c r="F103" s="1"/>
  <c r="F625"/>
  <c r="F626" s="1"/>
  <c r="F104" s="1"/>
  <c r="H23"/>
  <c r="H26"/>
  <c r="H30"/>
  <c r="E266"/>
  <c r="E229"/>
  <c r="E264"/>
  <c r="E227"/>
  <c r="E666"/>
  <c r="F659"/>
  <c r="F660" s="1"/>
  <c r="F51" s="1"/>
  <c r="F663"/>
  <c r="F664" s="1"/>
  <c r="F655"/>
  <c r="F656" s="1"/>
  <c r="F651"/>
  <c r="F652" s="1"/>
  <c r="H698"/>
  <c r="G27"/>
  <c r="G10"/>
  <c r="G12" s="1"/>
  <c r="I2"/>
  <c r="H25"/>
  <c r="F29"/>
  <c r="F31" s="1"/>
  <c r="AG142" i="10" l="1"/>
  <c r="AG154" s="1"/>
  <c r="AG80"/>
  <c r="AG81" s="1"/>
  <c r="AG95" s="1"/>
  <c r="AN280"/>
  <c r="AN298" s="1"/>
  <c r="AN80"/>
  <c r="AN81" s="1"/>
  <c r="AN95" s="1"/>
  <c r="AI142"/>
  <c r="AI154" s="1"/>
  <c r="AI280"/>
  <c r="AI298" s="1"/>
  <c r="AI216"/>
  <c r="AM142"/>
  <c r="AM154" s="1"/>
  <c r="AM280"/>
  <c r="AM298" s="1"/>
  <c r="AM216"/>
  <c r="AM244" s="1"/>
  <c r="AH142"/>
  <c r="AH154" s="1"/>
  <c r="AH280"/>
  <c r="AH298" s="1"/>
  <c r="AH216"/>
  <c r="AH244" s="1"/>
  <c r="AK142"/>
  <c r="AK154" s="1"/>
  <c r="AK280"/>
  <c r="AK298" s="1"/>
  <c r="AK216"/>
  <c r="AK244" s="1"/>
  <c r="AL142"/>
  <c r="AL154" s="1"/>
  <c r="AL280"/>
  <c r="AL298" s="1"/>
  <c r="AL216"/>
  <c r="AL244" s="1"/>
  <c r="AJ142"/>
  <c r="AJ154" s="1"/>
  <c r="AJ280"/>
  <c r="AJ298" s="1"/>
  <c r="AJ216"/>
  <c r="AJ244" s="1"/>
  <c r="AH219"/>
  <c r="AH240" s="1"/>
  <c r="AH241" s="1"/>
  <c r="AH247" s="1"/>
  <c r="AH248" s="1"/>
  <c r="AH269" s="1"/>
  <c r="AH270" s="1"/>
  <c r="AH166" s="1"/>
  <c r="AG280"/>
  <c r="AG298" s="1"/>
  <c r="AL219"/>
  <c r="AL240" s="1"/>
  <c r="AL241" s="1"/>
  <c r="AL165" s="1"/>
  <c r="AK219"/>
  <c r="AK240" s="1"/>
  <c r="AK241" s="1"/>
  <c r="AK165" s="1"/>
  <c r="AG216"/>
  <c r="AG244" s="1"/>
  <c r="F49" i="2"/>
  <c r="F14"/>
  <c r="AO216" i="10"/>
  <c r="AO244" s="1"/>
  <c r="AO142"/>
  <c r="AO154" s="1"/>
  <c r="AN216"/>
  <c r="AN142"/>
  <c r="AN154" s="1"/>
  <c r="AI109"/>
  <c r="AI110" s="1"/>
  <c r="AI123" s="1"/>
  <c r="AH101"/>
  <c r="AG110"/>
  <c r="AG123" s="1"/>
  <c r="AK110"/>
  <c r="AK123" s="1"/>
  <c r="AL109"/>
  <c r="AJ101"/>
  <c r="AM101"/>
  <c r="AN110"/>
  <c r="AJ110"/>
  <c r="AJ123" s="1"/>
  <c r="AH110"/>
  <c r="AH123" s="1"/>
  <c r="AM110"/>
  <c r="AN123"/>
  <c r="AO109"/>
  <c r="AO280"/>
  <c r="AO298" s="1"/>
  <c r="AM123"/>
  <c r="C61"/>
  <c r="C753"/>
  <c r="D750" s="1"/>
  <c r="D753" s="1"/>
  <c r="E750" s="1"/>
  <c r="E753" s="1"/>
  <c r="F750" s="1"/>
  <c r="F753" s="1"/>
  <c r="G750" s="1"/>
  <c r="G753" s="1"/>
  <c r="H750" s="1"/>
  <c r="H753" s="1"/>
  <c r="I750" s="1"/>
  <c r="I753" s="1"/>
  <c r="J750" s="1"/>
  <c r="J753" s="1"/>
  <c r="K750" s="1"/>
  <c r="K753" s="1"/>
  <c r="L750" s="1"/>
  <c r="L753" s="1"/>
  <c r="M750" s="1"/>
  <c r="M753" s="1"/>
  <c r="N750" s="1"/>
  <c r="N753" s="1"/>
  <c r="O750" s="1"/>
  <c r="O753" s="1"/>
  <c r="P750" s="1"/>
  <c r="P753" s="1"/>
  <c r="Q750" s="1"/>
  <c r="Q753" s="1"/>
  <c r="R750" s="1"/>
  <c r="R753" s="1"/>
  <c r="S750" s="1"/>
  <c r="S753" s="1"/>
  <c r="T750" s="1"/>
  <c r="T753" s="1"/>
  <c r="U750" s="1"/>
  <c r="U753" s="1"/>
  <c r="V750" s="1"/>
  <c r="V753" s="1"/>
  <c r="W750" s="1"/>
  <c r="W753" s="1"/>
  <c r="X750" s="1"/>
  <c r="X753" s="1"/>
  <c r="Y750" s="1"/>
  <c r="Y753" s="1"/>
  <c r="Z750" s="1"/>
  <c r="Z753" s="1"/>
  <c r="AA750" s="1"/>
  <c r="AA753" s="1"/>
  <c r="AB750" s="1"/>
  <c r="AB753" s="1"/>
  <c r="AC750" s="1"/>
  <c r="AC753" s="1"/>
  <c r="AD750" s="1"/>
  <c r="AD753" s="1"/>
  <c r="AE750" s="1"/>
  <c r="AE753" s="1"/>
  <c r="AF750" s="1"/>
  <c r="AF753" s="1"/>
  <c r="AG750" s="1"/>
  <c r="AG753" s="1"/>
  <c r="AH750" s="1"/>
  <c r="AH753" s="1"/>
  <c r="AI750" s="1"/>
  <c r="AI753" s="1"/>
  <c r="AJ750" s="1"/>
  <c r="AJ753" s="1"/>
  <c r="AK750" s="1"/>
  <c r="AK753" s="1"/>
  <c r="AL750" s="1"/>
  <c r="AL753" s="1"/>
  <c r="AM750" s="1"/>
  <c r="AM753" s="1"/>
  <c r="AN750" s="1"/>
  <c r="AN753" s="1"/>
  <c r="AO750" s="1"/>
  <c r="AO753" s="1"/>
  <c r="AP750" s="1"/>
  <c r="AP753" s="1"/>
  <c r="C60"/>
  <c r="C721"/>
  <c r="C62"/>
  <c r="C785"/>
  <c r="D782" s="1"/>
  <c r="D785" s="1"/>
  <c r="E782" s="1"/>
  <c r="E785" s="1"/>
  <c r="F782" s="1"/>
  <c r="F785" s="1"/>
  <c r="G782" s="1"/>
  <c r="G785" s="1"/>
  <c r="H782" s="1"/>
  <c r="H785" s="1"/>
  <c r="I782" s="1"/>
  <c r="I785" s="1"/>
  <c r="J782" s="1"/>
  <c r="J785" s="1"/>
  <c r="K782" s="1"/>
  <c r="K785" s="1"/>
  <c r="L782" s="1"/>
  <c r="L785" s="1"/>
  <c r="M782" s="1"/>
  <c r="M785" s="1"/>
  <c r="N782" s="1"/>
  <c r="N785" s="1"/>
  <c r="O782" s="1"/>
  <c r="O785" s="1"/>
  <c r="P782" s="1"/>
  <c r="P785" s="1"/>
  <c r="Q782" s="1"/>
  <c r="Q785" s="1"/>
  <c r="R782" s="1"/>
  <c r="R785" s="1"/>
  <c r="S782" s="1"/>
  <c r="S785" s="1"/>
  <c r="T782" s="1"/>
  <c r="T785" s="1"/>
  <c r="U782" s="1"/>
  <c r="U785" s="1"/>
  <c r="V782" s="1"/>
  <c r="V785" s="1"/>
  <c r="W782" s="1"/>
  <c r="W785" s="1"/>
  <c r="X782" s="1"/>
  <c r="X785" s="1"/>
  <c r="Y782" s="1"/>
  <c r="Y785" s="1"/>
  <c r="Z782" s="1"/>
  <c r="Z785" s="1"/>
  <c r="AA782" s="1"/>
  <c r="AA785" s="1"/>
  <c r="AB782" s="1"/>
  <c r="AB785" s="1"/>
  <c r="AC782" s="1"/>
  <c r="AC785" s="1"/>
  <c r="AD782" s="1"/>
  <c r="AD785" s="1"/>
  <c r="AE782" s="1"/>
  <c r="AE785" s="1"/>
  <c r="AF782" s="1"/>
  <c r="AF785" s="1"/>
  <c r="AG782" s="1"/>
  <c r="AG785" s="1"/>
  <c r="AH782" s="1"/>
  <c r="AH785" s="1"/>
  <c r="AI782" s="1"/>
  <c r="AI785" s="1"/>
  <c r="AJ782" s="1"/>
  <c r="AJ785" s="1"/>
  <c r="AK782" s="1"/>
  <c r="AK785" s="1"/>
  <c r="AL782" s="1"/>
  <c r="AL785" s="1"/>
  <c r="AM782" s="1"/>
  <c r="AM785" s="1"/>
  <c r="AN782" s="1"/>
  <c r="AN785" s="1"/>
  <c r="AO782" s="1"/>
  <c r="AO785" s="1"/>
  <c r="AP782" s="1"/>
  <c r="AP785" s="1"/>
  <c r="AP48"/>
  <c r="AP50" s="1"/>
  <c r="AP74" s="1"/>
  <c r="AP76" s="1"/>
  <c r="AP80" s="1"/>
  <c r="AP81" s="1"/>
  <c r="AP95" s="1"/>
  <c r="AP18" i="8"/>
  <c r="AP20" s="1"/>
  <c r="AP43" s="1"/>
  <c r="B695"/>
  <c r="AO514"/>
  <c r="AE58"/>
  <c r="AE64" s="1"/>
  <c r="AD58"/>
  <c r="AD64" s="1"/>
  <c r="AB58"/>
  <c r="AB64" s="1"/>
  <c r="AA58"/>
  <c r="AA64" s="1"/>
  <c r="AM98"/>
  <c r="AM100" s="1"/>
  <c r="AP353"/>
  <c r="AO478"/>
  <c r="AO488" s="1"/>
  <c r="B727"/>
  <c r="AP703"/>
  <c r="AP675" s="1"/>
  <c r="AP55" s="1"/>
  <c r="AN233"/>
  <c r="AN234" s="1"/>
  <c r="AN98" s="1"/>
  <c r="AF58"/>
  <c r="AF64" s="1"/>
  <c r="B726"/>
  <c r="B694"/>
  <c r="AP96"/>
  <c r="C757"/>
  <c r="D757"/>
  <c r="D767" s="1"/>
  <c r="D739" s="1"/>
  <c r="D57" s="1"/>
  <c r="E757"/>
  <c r="E767" s="1"/>
  <c r="E739" s="1"/>
  <c r="E57" s="1"/>
  <c r="F757"/>
  <c r="F767" s="1"/>
  <c r="F739" s="1"/>
  <c r="F57" s="1"/>
  <c r="G757"/>
  <c r="G767" s="1"/>
  <c r="G739" s="1"/>
  <c r="G57" s="1"/>
  <c r="H757"/>
  <c r="H767" s="1"/>
  <c r="H739" s="1"/>
  <c r="H57" s="1"/>
  <c r="I757"/>
  <c r="I767" s="1"/>
  <c r="I739" s="1"/>
  <c r="I57" s="1"/>
  <c r="J757"/>
  <c r="J767" s="1"/>
  <c r="J739" s="1"/>
  <c r="J57" s="1"/>
  <c r="K757"/>
  <c r="K767" s="1"/>
  <c r="K739" s="1"/>
  <c r="K57" s="1"/>
  <c r="L757"/>
  <c r="L767" s="1"/>
  <c r="L739" s="1"/>
  <c r="L57" s="1"/>
  <c r="M757"/>
  <c r="M767" s="1"/>
  <c r="M739" s="1"/>
  <c r="M57" s="1"/>
  <c r="N757"/>
  <c r="N767" s="1"/>
  <c r="N739" s="1"/>
  <c r="N57" s="1"/>
  <c r="O757"/>
  <c r="O767" s="1"/>
  <c r="O739" s="1"/>
  <c r="O57" s="1"/>
  <c r="P757"/>
  <c r="P767" s="1"/>
  <c r="P739" s="1"/>
  <c r="P57" s="1"/>
  <c r="Q757"/>
  <c r="Q767" s="1"/>
  <c r="Q739" s="1"/>
  <c r="Q57" s="1"/>
  <c r="R757"/>
  <c r="R767" s="1"/>
  <c r="R739" s="1"/>
  <c r="R57" s="1"/>
  <c r="R58" s="1"/>
  <c r="R64" s="1"/>
  <c r="S757"/>
  <c r="S767" s="1"/>
  <c r="S739" s="1"/>
  <c r="S57" s="1"/>
  <c r="T757"/>
  <c r="T767" s="1"/>
  <c r="T739" s="1"/>
  <c r="T57" s="1"/>
  <c r="T58" s="1"/>
  <c r="T64" s="1"/>
  <c r="U757"/>
  <c r="U767" s="1"/>
  <c r="U739" s="1"/>
  <c r="U57" s="1"/>
  <c r="V757"/>
  <c r="V767" s="1"/>
  <c r="V739" s="1"/>
  <c r="V57" s="1"/>
  <c r="V58" s="1"/>
  <c r="V64" s="1"/>
  <c r="C395"/>
  <c r="D395"/>
  <c r="D405" s="1"/>
  <c r="G395"/>
  <c r="G405" s="1"/>
  <c r="I395"/>
  <c r="I405" s="1"/>
  <c r="K395"/>
  <c r="K405" s="1"/>
  <c r="L395"/>
  <c r="L405" s="1"/>
  <c r="M395"/>
  <c r="M405" s="1"/>
  <c r="N395"/>
  <c r="N405" s="1"/>
  <c r="P395"/>
  <c r="P405" s="1"/>
  <c r="Q395"/>
  <c r="Q405" s="1"/>
  <c r="S395"/>
  <c r="S405" s="1"/>
  <c r="V395"/>
  <c r="V405" s="1"/>
  <c r="E530"/>
  <c r="E540" s="1"/>
  <c r="I530"/>
  <c r="I540" s="1"/>
  <c r="L530"/>
  <c r="L540" s="1"/>
  <c r="M530"/>
  <c r="M540" s="1"/>
  <c r="Q530"/>
  <c r="Q540" s="1"/>
  <c r="U530"/>
  <c r="U540" s="1"/>
  <c r="E395"/>
  <c r="E405" s="1"/>
  <c r="F395"/>
  <c r="F405" s="1"/>
  <c r="H395"/>
  <c r="H405" s="1"/>
  <c r="J395"/>
  <c r="J405" s="1"/>
  <c r="O395"/>
  <c r="O405" s="1"/>
  <c r="R395"/>
  <c r="R405" s="1"/>
  <c r="T395"/>
  <c r="T405" s="1"/>
  <c r="T530"/>
  <c r="T540" s="1"/>
  <c r="U395"/>
  <c r="U405" s="1"/>
  <c r="C530"/>
  <c r="D530"/>
  <c r="D540" s="1"/>
  <c r="F530"/>
  <c r="F540" s="1"/>
  <c r="G530"/>
  <c r="G540" s="1"/>
  <c r="H530"/>
  <c r="H540" s="1"/>
  <c r="J530"/>
  <c r="J540" s="1"/>
  <c r="K530"/>
  <c r="K540" s="1"/>
  <c r="N530"/>
  <c r="N540" s="1"/>
  <c r="O530"/>
  <c r="O540" s="1"/>
  <c r="P530"/>
  <c r="P540" s="1"/>
  <c r="R530"/>
  <c r="R540" s="1"/>
  <c r="S530"/>
  <c r="S540" s="1"/>
  <c r="W395"/>
  <c r="W405" s="1"/>
  <c r="V530"/>
  <c r="V540" s="1"/>
  <c r="W530"/>
  <c r="W540" s="1"/>
  <c r="X395"/>
  <c r="X405" s="1"/>
  <c r="Y395"/>
  <c r="Y405" s="1"/>
  <c r="X530"/>
  <c r="X540" s="1"/>
  <c r="Z395"/>
  <c r="Z405" s="1"/>
  <c r="Y530"/>
  <c r="Y540" s="1"/>
  <c r="AA395"/>
  <c r="AA405" s="1"/>
  <c r="Z530"/>
  <c r="Z540" s="1"/>
  <c r="AB395"/>
  <c r="AB405" s="1"/>
  <c r="AA530"/>
  <c r="AA540" s="1"/>
  <c r="AC395"/>
  <c r="AC405" s="1"/>
  <c r="AB530"/>
  <c r="AB540" s="1"/>
  <c r="AD395"/>
  <c r="AD405" s="1"/>
  <c r="AC530"/>
  <c r="AC540" s="1"/>
  <c r="AE395"/>
  <c r="AE405" s="1"/>
  <c r="AD530"/>
  <c r="AD540" s="1"/>
  <c r="AF395"/>
  <c r="AF405" s="1"/>
  <c r="AE530"/>
  <c r="AE540" s="1"/>
  <c r="AG395"/>
  <c r="AG405" s="1"/>
  <c r="AF530"/>
  <c r="AF540" s="1"/>
  <c r="AG530"/>
  <c r="AG540" s="1"/>
  <c r="AH395"/>
  <c r="AH405" s="1"/>
  <c r="AI395"/>
  <c r="AI405" s="1"/>
  <c r="AH530"/>
  <c r="AH540" s="1"/>
  <c r="AJ395"/>
  <c r="AJ405" s="1"/>
  <c r="AI530"/>
  <c r="AI540" s="1"/>
  <c r="AJ530"/>
  <c r="AJ540" s="1"/>
  <c r="AK395"/>
  <c r="AK405" s="1"/>
  <c r="AK530"/>
  <c r="AK540" s="1"/>
  <c r="AL395"/>
  <c r="AL405" s="1"/>
  <c r="AM395"/>
  <c r="AM405" s="1"/>
  <c r="AL530"/>
  <c r="AL540" s="1"/>
  <c r="AN395"/>
  <c r="AN405" s="1"/>
  <c r="AM530"/>
  <c r="AM540" s="1"/>
  <c r="AO395"/>
  <c r="AO405" s="1"/>
  <c r="AN530"/>
  <c r="AN540" s="1"/>
  <c r="AP72"/>
  <c r="B403"/>
  <c r="B536"/>
  <c r="B399"/>
  <c r="B532"/>
  <c r="B512"/>
  <c r="B375"/>
  <c r="B373"/>
  <c r="B371"/>
  <c r="B349"/>
  <c r="B347"/>
  <c r="AJ58"/>
  <c r="AJ64" s="1"/>
  <c r="AJ73" s="1"/>
  <c r="AJ78" s="1"/>
  <c r="AI58"/>
  <c r="AI64" s="1"/>
  <c r="AI73" s="1"/>
  <c r="AI78" s="1"/>
  <c r="AH58"/>
  <c r="AH64" s="1"/>
  <c r="AH73" s="1"/>
  <c r="AH78" s="1"/>
  <c r="AG58"/>
  <c r="AG64" s="1"/>
  <c r="AG73" s="1"/>
  <c r="AG78" s="1"/>
  <c r="AP63"/>
  <c r="AP395"/>
  <c r="AP405" s="1"/>
  <c r="AO266"/>
  <c r="AO267" s="1"/>
  <c r="B404"/>
  <c r="B539"/>
  <c r="B402"/>
  <c r="B398"/>
  <c r="B511"/>
  <c r="B376"/>
  <c r="B372"/>
  <c r="B505"/>
  <c r="B350"/>
  <c r="B483"/>
  <c r="AO58"/>
  <c r="AO64" s="1"/>
  <c r="AN58"/>
  <c r="AN64" s="1"/>
  <c r="B346"/>
  <c r="Y58"/>
  <c r="Y64" s="1"/>
  <c r="W58"/>
  <c r="W64" s="1"/>
  <c r="B479"/>
  <c r="B344"/>
  <c r="AP504"/>
  <c r="AP514" s="1"/>
  <c r="AP664"/>
  <c r="AP266"/>
  <c r="AP267" s="1"/>
  <c r="AO237"/>
  <c r="AO202"/>
  <c r="AO205" s="1"/>
  <c r="AO47"/>
  <c r="AO49" s="1"/>
  <c r="C725"/>
  <c r="D725"/>
  <c r="D735" s="1"/>
  <c r="D707" s="1"/>
  <c r="D56" s="1"/>
  <c r="E725"/>
  <c r="E735" s="1"/>
  <c r="E707" s="1"/>
  <c r="E56" s="1"/>
  <c r="F725"/>
  <c r="F735" s="1"/>
  <c r="F707" s="1"/>
  <c r="F56" s="1"/>
  <c r="G725"/>
  <c r="G735" s="1"/>
  <c r="G707" s="1"/>
  <c r="G56" s="1"/>
  <c r="H725"/>
  <c r="H735" s="1"/>
  <c r="H707" s="1"/>
  <c r="H56" s="1"/>
  <c r="I725"/>
  <c r="I735" s="1"/>
  <c r="I707" s="1"/>
  <c r="I56" s="1"/>
  <c r="J725"/>
  <c r="J735" s="1"/>
  <c r="J707" s="1"/>
  <c r="J56" s="1"/>
  <c r="K725"/>
  <c r="K735" s="1"/>
  <c r="K707" s="1"/>
  <c r="K56" s="1"/>
  <c r="L725"/>
  <c r="L735" s="1"/>
  <c r="L707" s="1"/>
  <c r="L56" s="1"/>
  <c r="M725"/>
  <c r="M735" s="1"/>
  <c r="M707" s="1"/>
  <c r="M56" s="1"/>
  <c r="N725"/>
  <c r="N735" s="1"/>
  <c r="N707" s="1"/>
  <c r="N56" s="1"/>
  <c r="O725"/>
  <c r="O735" s="1"/>
  <c r="O707" s="1"/>
  <c r="O56" s="1"/>
  <c r="O58" s="1"/>
  <c r="O64" s="1"/>
  <c r="P725"/>
  <c r="P735" s="1"/>
  <c r="P707" s="1"/>
  <c r="P56" s="1"/>
  <c r="Q725"/>
  <c r="Q735" s="1"/>
  <c r="Q707" s="1"/>
  <c r="Q56" s="1"/>
  <c r="U369"/>
  <c r="U379" s="1"/>
  <c r="T504"/>
  <c r="T514" s="1"/>
  <c r="D369"/>
  <c r="D379" s="1"/>
  <c r="H369"/>
  <c r="H379" s="1"/>
  <c r="I369"/>
  <c r="I379" s="1"/>
  <c r="J369"/>
  <c r="J379" s="1"/>
  <c r="L369"/>
  <c r="L379" s="1"/>
  <c r="M369"/>
  <c r="M379" s="1"/>
  <c r="N369"/>
  <c r="N379" s="1"/>
  <c r="O369"/>
  <c r="O379" s="1"/>
  <c r="P369"/>
  <c r="P379" s="1"/>
  <c r="Q369"/>
  <c r="Q379" s="1"/>
  <c r="S369"/>
  <c r="S379" s="1"/>
  <c r="V369"/>
  <c r="V379" s="1"/>
  <c r="D504"/>
  <c r="D514" s="1"/>
  <c r="H504"/>
  <c r="H514" s="1"/>
  <c r="G504"/>
  <c r="G514" s="1"/>
  <c r="I504"/>
  <c r="I514" s="1"/>
  <c r="N504"/>
  <c r="N514" s="1"/>
  <c r="R504"/>
  <c r="R514" s="1"/>
  <c r="C369"/>
  <c r="E369"/>
  <c r="E379" s="1"/>
  <c r="F369"/>
  <c r="F379" s="1"/>
  <c r="G369"/>
  <c r="G379" s="1"/>
  <c r="K369"/>
  <c r="K379" s="1"/>
  <c r="R369"/>
  <c r="R379" s="1"/>
  <c r="T369"/>
  <c r="T379" s="1"/>
  <c r="C504"/>
  <c r="E504"/>
  <c r="E514" s="1"/>
  <c r="F504"/>
  <c r="F514" s="1"/>
  <c r="J504"/>
  <c r="J514" s="1"/>
  <c r="K504"/>
  <c r="K514" s="1"/>
  <c r="L504"/>
  <c r="L514" s="1"/>
  <c r="M504"/>
  <c r="M514" s="1"/>
  <c r="O504"/>
  <c r="O514" s="1"/>
  <c r="P504"/>
  <c r="P514" s="1"/>
  <c r="Q504"/>
  <c r="Q514" s="1"/>
  <c r="S504"/>
  <c r="S514" s="1"/>
  <c r="U504"/>
  <c r="U514" s="1"/>
  <c r="W369"/>
  <c r="W379" s="1"/>
  <c r="V504"/>
  <c r="V514" s="1"/>
  <c r="X369"/>
  <c r="X379" s="1"/>
  <c r="W504"/>
  <c r="W514" s="1"/>
  <c r="X504"/>
  <c r="X514" s="1"/>
  <c r="Y369"/>
  <c r="Y379" s="1"/>
  <c r="Z369"/>
  <c r="Z379" s="1"/>
  <c r="Y504"/>
  <c r="Y514" s="1"/>
  <c r="AA369"/>
  <c r="AA379" s="1"/>
  <c r="Z504"/>
  <c r="Z514" s="1"/>
  <c r="AB369"/>
  <c r="AB379" s="1"/>
  <c r="AA504"/>
  <c r="AA514" s="1"/>
  <c r="AB504"/>
  <c r="AB514" s="1"/>
  <c r="AC369"/>
  <c r="AC379" s="1"/>
  <c r="AC504"/>
  <c r="AC514" s="1"/>
  <c r="AD369"/>
  <c r="AD379" s="1"/>
  <c r="AD504"/>
  <c r="AD514" s="1"/>
  <c r="AE369"/>
  <c r="AE379" s="1"/>
  <c r="AF369"/>
  <c r="AF379" s="1"/>
  <c r="AE504"/>
  <c r="AE514" s="1"/>
  <c r="AG369"/>
  <c r="AG379" s="1"/>
  <c r="AF504"/>
  <c r="AF514" s="1"/>
  <c r="AG504"/>
  <c r="AG514" s="1"/>
  <c r="AH369"/>
  <c r="AH379" s="1"/>
  <c r="AI369"/>
  <c r="AI379" s="1"/>
  <c r="AH504"/>
  <c r="AH514" s="1"/>
  <c r="AI504"/>
  <c r="AI514" s="1"/>
  <c r="AJ369"/>
  <c r="AJ379" s="1"/>
  <c r="AK369"/>
  <c r="AK379" s="1"/>
  <c r="AJ504"/>
  <c r="AJ514" s="1"/>
  <c r="AL369"/>
  <c r="AL379" s="1"/>
  <c r="AK504"/>
  <c r="AK514" s="1"/>
  <c r="AM369"/>
  <c r="AM379" s="1"/>
  <c r="AL504"/>
  <c r="AL514" s="1"/>
  <c r="AN369"/>
  <c r="AN379" s="1"/>
  <c r="AM504"/>
  <c r="AM514" s="1"/>
  <c r="AN504"/>
  <c r="AN514" s="1"/>
  <c r="AO369"/>
  <c r="AO379" s="1"/>
  <c r="C693"/>
  <c r="D693"/>
  <c r="D703" s="1"/>
  <c r="D675" s="1"/>
  <c r="D55" s="1"/>
  <c r="E693"/>
  <c r="E703" s="1"/>
  <c r="E675" s="1"/>
  <c r="E55" s="1"/>
  <c r="F693"/>
  <c r="F703" s="1"/>
  <c r="F675" s="1"/>
  <c r="F55" s="1"/>
  <c r="G693"/>
  <c r="G703" s="1"/>
  <c r="G675" s="1"/>
  <c r="G55" s="1"/>
  <c r="H693"/>
  <c r="H703" s="1"/>
  <c r="H675" s="1"/>
  <c r="H55" s="1"/>
  <c r="I693"/>
  <c r="I703" s="1"/>
  <c r="I675" s="1"/>
  <c r="I55" s="1"/>
  <c r="J693"/>
  <c r="J703" s="1"/>
  <c r="J675" s="1"/>
  <c r="J55" s="1"/>
  <c r="K693"/>
  <c r="K703" s="1"/>
  <c r="K675" s="1"/>
  <c r="K55" s="1"/>
  <c r="L693"/>
  <c r="L703" s="1"/>
  <c r="L675" s="1"/>
  <c r="L55" s="1"/>
  <c r="M693"/>
  <c r="M703" s="1"/>
  <c r="M675" s="1"/>
  <c r="M55" s="1"/>
  <c r="M58" s="1"/>
  <c r="M64" s="1"/>
  <c r="N693"/>
  <c r="N703" s="1"/>
  <c r="N675" s="1"/>
  <c r="N55" s="1"/>
  <c r="C343"/>
  <c r="E343"/>
  <c r="E353" s="1"/>
  <c r="F343"/>
  <c r="F353" s="1"/>
  <c r="G343"/>
  <c r="G353" s="1"/>
  <c r="H343"/>
  <c r="H353" s="1"/>
  <c r="J343"/>
  <c r="J353" s="1"/>
  <c r="K343"/>
  <c r="K353" s="1"/>
  <c r="R343"/>
  <c r="R353" s="1"/>
  <c r="S343"/>
  <c r="S353" s="1"/>
  <c r="T343"/>
  <c r="T353" s="1"/>
  <c r="U478"/>
  <c r="U488" s="1"/>
  <c r="V343"/>
  <c r="V353" s="1"/>
  <c r="C478"/>
  <c r="D478"/>
  <c r="D488" s="1"/>
  <c r="E478"/>
  <c r="E488" s="1"/>
  <c r="F478"/>
  <c r="F488" s="1"/>
  <c r="G478"/>
  <c r="G488" s="1"/>
  <c r="H478"/>
  <c r="H488" s="1"/>
  <c r="I478"/>
  <c r="I488" s="1"/>
  <c r="J478"/>
  <c r="J488" s="1"/>
  <c r="K478"/>
  <c r="K488" s="1"/>
  <c r="M478"/>
  <c r="M488" s="1"/>
  <c r="N478"/>
  <c r="N488" s="1"/>
  <c r="O478"/>
  <c r="O488" s="1"/>
  <c r="Q478"/>
  <c r="Q488" s="1"/>
  <c r="R478"/>
  <c r="R488" s="1"/>
  <c r="D343"/>
  <c r="D353" s="1"/>
  <c r="I343"/>
  <c r="I353" s="1"/>
  <c r="L343"/>
  <c r="L353" s="1"/>
  <c r="M343"/>
  <c r="M353" s="1"/>
  <c r="N343"/>
  <c r="N353" s="1"/>
  <c r="O343"/>
  <c r="O353" s="1"/>
  <c r="P343"/>
  <c r="P353" s="1"/>
  <c r="Q343"/>
  <c r="Q353" s="1"/>
  <c r="L478"/>
  <c r="L488" s="1"/>
  <c r="P478"/>
  <c r="P488" s="1"/>
  <c r="S478"/>
  <c r="S488" s="1"/>
  <c r="T478"/>
  <c r="T488" s="1"/>
  <c r="U343"/>
  <c r="U353" s="1"/>
  <c r="V478"/>
  <c r="V488" s="1"/>
  <c r="W343"/>
  <c r="W353" s="1"/>
  <c r="X343"/>
  <c r="X353" s="1"/>
  <c r="W478"/>
  <c r="W488" s="1"/>
  <c r="Y343"/>
  <c r="Y353" s="1"/>
  <c r="X478"/>
  <c r="X488" s="1"/>
  <c r="Y478"/>
  <c r="Y488" s="1"/>
  <c r="Z343"/>
  <c r="Z353" s="1"/>
  <c r="Z478"/>
  <c r="Z488" s="1"/>
  <c r="AA343"/>
  <c r="AA353" s="1"/>
  <c r="AA478"/>
  <c r="AA488" s="1"/>
  <c r="AB343"/>
  <c r="AB353" s="1"/>
  <c r="AC343"/>
  <c r="AC353" s="1"/>
  <c r="AB478"/>
  <c r="AB488" s="1"/>
  <c r="AD343"/>
  <c r="AD353" s="1"/>
  <c r="AC478"/>
  <c r="AC488" s="1"/>
  <c r="AD478"/>
  <c r="AD488" s="1"/>
  <c r="AE343"/>
  <c r="AE353" s="1"/>
  <c r="AF343"/>
  <c r="AF353" s="1"/>
  <c r="AE478"/>
  <c r="AE488" s="1"/>
  <c r="AG343"/>
  <c r="AG353" s="1"/>
  <c r="AF478"/>
  <c r="AF488" s="1"/>
  <c r="AH343"/>
  <c r="AH353" s="1"/>
  <c r="AG478"/>
  <c r="AG488" s="1"/>
  <c r="AI343"/>
  <c r="AI353" s="1"/>
  <c r="AH478"/>
  <c r="AH488" s="1"/>
  <c r="AJ343"/>
  <c r="AJ353" s="1"/>
  <c r="AI478"/>
  <c r="AI488" s="1"/>
  <c r="AK343"/>
  <c r="AK353" s="1"/>
  <c r="AJ478"/>
  <c r="AJ488" s="1"/>
  <c r="AK478"/>
  <c r="AK488" s="1"/>
  <c r="AL343"/>
  <c r="AL353" s="1"/>
  <c r="AM343"/>
  <c r="AM353" s="1"/>
  <c r="AL478"/>
  <c r="AL488" s="1"/>
  <c r="AN343"/>
  <c r="AN353" s="1"/>
  <c r="AM478"/>
  <c r="AM488" s="1"/>
  <c r="AO343"/>
  <c r="AO353" s="1"/>
  <c r="AN478"/>
  <c r="AN488" s="1"/>
  <c r="AP107"/>
  <c r="B110" s="1"/>
  <c r="B108"/>
  <c r="AL100"/>
  <c r="AP735"/>
  <c r="AP707" s="1"/>
  <c r="AP56" s="1"/>
  <c r="B538"/>
  <c r="B401"/>
  <c r="B534"/>
  <c r="B397"/>
  <c r="B377"/>
  <c r="B510"/>
  <c r="B508"/>
  <c r="B506"/>
  <c r="B486"/>
  <c r="B351"/>
  <c r="B484"/>
  <c r="B482"/>
  <c r="AL58"/>
  <c r="AL64" s="1"/>
  <c r="AL73" s="1"/>
  <c r="AL78" s="1"/>
  <c r="AK58"/>
  <c r="AK64" s="1"/>
  <c r="AK73" s="1"/>
  <c r="AK78" s="1"/>
  <c r="B345"/>
  <c r="B480"/>
  <c r="AP530"/>
  <c r="AP540" s="1"/>
  <c r="AP478"/>
  <c r="AP488" s="1"/>
  <c r="AO230"/>
  <c r="AO231" s="1"/>
  <c r="AO530"/>
  <c r="AO540" s="1"/>
  <c r="AP767"/>
  <c r="AP739" s="1"/>
  <c r="AP57" s="1"/>
  <c r="B537"/>
  <c r="B535"/>
  <c r="B400"/>
  <c r="B533"/>
  <c r="B531"/>
  <c r="B396"/>
  <c r="B513"/>
  <c r="B378"/>
  <c r="B509"/>
  <c r="B374"/>
  <c r="B507"/>
  <c r="B370"/>
  <c r="B487"/>
  <c r="B352"/>
  <c r="B485"/>
  <c r="B348"/>
  <c r="AM58"/>
  <c r="AM64" s="1"/>
  <c r="AM73" s="1"/>
  <c r="AM78" s="1"/>
  <c r="B481"/>
  <c r="Z58"/>
  <c r="Z64" s="1"/>
  <c r="X58"/>
  <c r="X64" s="1"/>
  <c r="U58"/>
  <c r="U64" s="1"/>
  <c r="S58"/>
  <c r="S64" s="1"/>
  <c r="Q58"/>
  <c r="Q64" s="1"/>
  <c r="AP369"/>
  <c r="AP379" s="1"/>
  <c r="G71" i="2"/>
  <c r="AN96" i="7"/>
  <c r="AN88"/>
  <c r="AM96"/>
  <c r="AM88"/>
  <c r="AI96"/>
  <c r="AI88"/>
  <c r="AK96"/>
  <c r="AK88"/>
  <c r="B119"/>
  <c r="B124"/>
  <c r="E81" i="1" s="1"/>
  <c r="B653" i="7"/>
  <c r="C663"/>
  <c r="C635" s="1"/>
  <c r="B432"/>
  <c r="C442"/>
  <c r="B685"/>
  <c r="C695"/>
  <c r="C667" s="1"/>
  <c r="AH96"/>
  <c r="AH88"/>
  <c r="C727"/>
  <c r="C699" s="1"/>
  <c r="B717"/>
  <c r="AN109"/>
  <c r="AP66"/>
  <c r="AP72" s="1"/>
  <c r="AO56"/>
  <c r="AO82" s="1"/>
  <c r="AO87" s="1"/>
  <c r="AP53"/>
  <c r="AP194"/>
  <c r="AP195" s="1"/>
  <c r="AG96"/>
  <c r="AG88"/>
  <c r="AJ96"/>
  <c r="AJ88"/>
  <c r="AP164"/>
  <c r="AP128"/>
  <c r="AP132" s="1"/>
  <c r="AP47"/>
  <c r="AP56" s="1"/>
  <c r="C281"/>
  <c r="B271"/>
  <c r="C416"/>
  <c r="B406"/>
  <c r="C307"/>
  <c r="B297"/>
  <c r="AL96"/>
  <c r="AL88"/>
  <c r="AM109"/>
  <c r="C333"/>
  <c r="B323"/>
  <c r="B458"/>
  <c r="C468"/>
  <c r="AO160"/>
  <c r="AO161" s="1"/>
  <c r="AP157"/>
  <c r="AP158" s="1"/>
  <c r="E53" i="2"/>
  <c r="E18"/>
  <c r="E20" s="1"/>
  <c r="F17"/>
  <c r="F52"/>
  <c r="F230"/>
  <c r="F267"/>
  <c r="F15"/>
  <c r="F50"/>
  <c r="F228"/>
  <c r="F265"/>
  <c r="H362"/>
  <c r="H497" s="1"/>
  <c r="H366"/>
  <c r="H501" s="1"/>
  <c r="H359"/>
  <c r="H494" s="1"/>
  <c r="H365"/>
  <c r="H500" s="1"/>
  <c r="H360"/>
  <c r="H495" s="1"/>
  <c r="H757"/>
  <c r="H742" s="1"/>
  <c r="H69" s="1"/>
  <c r="I5"/>
  <c r="I788"/>
  <c r="I394" s="1"/>
  <c r="I529" s="1"/>
  <c r="I786"/>
  <c r="I392" s="1"/>
  <c r="I527" s="1"/>
  <c r="I784"/>
  <c r="I390" s="1"/>
  <c r="I525" s="1"/>
  <c r="I782"/>
  <c r="I388" s="1"/>
  <c r="I523" s="1"/>
  <c r="I780"/>
  <c r="I386" s="1"/>
  <c r="I521" s="1"/>
  <c r="I756"/>
  <c r="I368" s="1"/>
  <c r="I503" s="1"/>
  <c r="I754"/>
  <c r="I366" s="1"/>
  <c r="I501" s="1"/>
  <c r="I787"/>
  <c r="I393" s="1"/>
  <c r="I528" s="1"/>
  <c r="I785"/>
  <c r="I391" s="1"/>
  <c r="I526" s="1"/>
  <c r="I783"/>
  <c r="I389" s="1"/>
  <c r="I524" s="1"/>
  <c r="I781"/>
  <c r="I387" s="1"/>
  <c r="I522" s="1"/>
  <c r="I779"/>
  <c r="I385" s="1"/>
  <c r="I520" s="1"/>
  <c r="I755"/>
  <c r="I367" s="1"/>
  <c r="I502" s="1"/>
  <c r="I752"/>
  <c r="I364" s="1"/>
  <c r="I499" s="1"/>
  <c r="I750"/>
  <c r="I362" s="1"/>
  <c r="I497" s="1"/>
  <c r="I748"/>
  <c r="I360" s="1"/>
  <c r="I495" s="1"/>
  <c r="I724"/>
  <c r="I343" s="1"/>
  <c r="I477" s="1"/>
  <c r="I722"/>
  <c r="I341" s="1"/>
  <c r="I475" s="1"/>
  <c r="I720"/>
  <c r="I339" s="1"/>
  <c r="I473" s="1"/>
  <c r="I718"/>
  <c r="I716"/>
  <c r="I335" s="1"/>
  <c r="I469" s="1"/>
  <c r="I792"/>
  <c r="I796"/>
  <c r="I798"/>
  <c r="I800"/>
  <c r="I753"/>
  <c r="I365" s="1"/>
  <c r="I500" s="1"/>
  <c r="I749"/>
  <c r="I361" s="1"/>
  <c r="I496" s="1"/>
  <c r="I721"/>
  <c r="I340" s="1"/>
  <c r="I474" s="1"/>
  <c r="I751"/>
  <c r="I363" s="1"/>
  <c r="I498" s="1"/>
  <c r="I747"/>
  <c r="I359" s="1"/>
  <c r="I494" s="1"/>
  <c r="I723"/>
  <c r="I342" s="1"/>
  <c r="I476" s="1"/>
  <c r="I719"/>
  <c r="I338" s="1"/>
  <c r="I472" s="1"/>
  <c r="I715"/>
  <c r="I334" s="1"/>
  <c r="I468" s="1"/>
  <c r="I795"/>
  <c r="I799"/>
  <c r="I797"/>
  <c r="I761"/>
  <c r="I763"/>
  <c r="I765"/>
  <c r="I767"/>
  <c r="I717"/>
  <c r="I336" s="1"/>
  <c r="I470" s="1"/>
  <c r="I794"/>
  <c r="I760"/>
  <c r="I762"/>
  <c r="I764"/>
  <c r="I766"/>
  <c r="I768"/>
  <c r="H789"/>
  <c r="H774" s="1"/>
  <c r="H70" s="1"/>
  <c r="I617"/>
  <c r="I618" s="1"/>
  <c r="I623"/>
  <c r="I624" s="1"/>
  <c r="I674"/>
  <c r="I670"/>
  <c r="I671" s="1"/>
  <c r="J11"/>
  <c r="I311"/>
  <c r="I313"/>
  <c r="I315"/>
  <c r="I312"/>
  <c r="I316"/>
  <c r="I445"/>
  <c r="I447"/>
  <c r="I449"/>
  <c r="I464" s="1"/>
  <c r="I314"/>
  <c r="I446"/>
  <c r="I448"/>
  <c r="I450"/>
  <c r="G117"/>
  <c r="I19"/>
  <c r="F116"/>
  <c r="E231"/>
  <c r="E232" s="1"/>
  <c r="I728"/>
  <c r="I729"/>
  <c r="I730"/>
  <c r="I731"/>
  <c r="I732"/>
  <c r="I733"/>
  <c r="I734"/>
  <c r="I735"/>
  <c r="I736"/>
  <c r="F105"/>
  <c r="I463"/>
  <c r="H330"/>
  <c r="I329"/>
  <c r="E268"/>
  <c r="E269" s="1"/>
  <c r="H335"/>
  <c r="H469" s="1"/>
  <c r="H705"/>
  <c r="I702" s="1"/>
  <c r="H62"/>
  <c r="H725"/>
  <c r="H710" s="1"/>
  <c r="H68" s="1"/>
  <c r="I337"/>
  <c r="I471" s="1"/>
  <c r="I704"/>
  <c r="G619"/>
  <c r="G620" s="1"/>
  <c r="G103" s="1"/>
  <c r="G625"/>
  <c r="G626" s="1"/>
  <c r="G104" s="1"/>
  <c r="I23"/>
  <c r="I26"/>
  <c r="I30"/>
  <c r="F266"/>
  <c r="F229"/>
  <c r="F264"/>
  <c r="F227"/>
  <c r="F666"/>
  <c r="G663"/>
  <c r="G664" s="1"/>
  <c r="G655"/>
  <c r="G656" s="1"/>
  <c r="G651"/>
  <c r="G652" s="1"/>
  <c r="G659"/>
  <c r="G660" s="1"/>
  <c r="G51" s="1"/>
  <c r="I698"/>
  <c r="H27"/>
  <c r="G29"/>
  <c r="G31" s="1"/>
  <c r="J2"/>
  <c r="I25"/>
  <c r="H10"/>
  <c r="H12" s="1"/>
  <c r="AP82" i="7" l="1"/>
  <c r="AP87" s="1"/>
  <c r="AK281" i="10"/>
  <c r="AK288" s="1"/>
  <c r="AK289" s="1"/>
  <c r="AK299" s="1"/>
  <c r="AK300" s="1"/>
  <c r="AK307" s="1"/>
  <c r="AK308" s="1"/>
  <c r="AK204" s="1"/>
  <c r="AI281"/>
  <c r="AI288" s="1"/>
  <c r="AI289" s="1"/>
  <c r="AJ281"/>
  <c r="AJ288" s="1"/>
  <c r="AJ289" s="1"/>
  <c r="AJ203" s="1"/>
  <c r="F53" i="2"/>
  <c r="AM281" i="10"/>
  <c r="AM288" s="1"/>
  <c r="AM289" s="1"/>
  <c r="AM299" s="1"/>
  <c r="AM300" s="1"/>
  <c r="AM307" s="1"/>
  <c r="AM308" s="1"/>
  <c r="AM204" s="1"/>
  <c r="AN281"/>
  <c r="AN288" s="1"/>
  <c r="AN289" s="1"/>
  <c r="AG281"/>
  <c r="AG288" s="1"/>
  <c r="AG289" s="1"/>
  <c r="AG299" s="1"/>
  <c r="AG300" s="1"/>
  <c r="AG307" s="1"/>
  <c r="AG308" s="1"/>
  <c r="AG204" s="1"/>
  <c r="AH281"/>
  <c r="AH288" s="1"/>
  <c r="AH289" s="1"/>
  <c r="AH203" s="1"/>
  <c r="AL281"/>
  <c r="AL288" s="1"/>
  <c r="AL289" s="1"/>
  <c r="AL203" s="1"/>
  <c r="AH165"/>
  <c r="AJ219"/>
  <c r="AJ240" s="1"/>
  <c r="AJ241" s="1"/>
  <c r="AJ247" s="1"/>
  <c r="AJ248" s="1"/>
  <c r="AJ269" s="1"/>
  <c r="AJ270" s="1"/>
  <c r="AJ166" s="1"/>
  <c r="AM219"/>
  <c r="AM240" s="1"/>
  <c r="AM241" s="1"/>
  <c r="AM247" s="1"/>
  <c r="AM248" s="1"/>
  <c r="AM269" s="1"/>
  <c r="AM270" s="1"/>
  <c r="AM166" s="1"/>
  <c r="AI244"/>
  <c r="AI219"/>
  <c r="AI240" s="1"/>
  <c r="AI241" s="1"/>
  <c r="AI247" s="1"/>
  <c r="AL247"/>
  <c r="AL248" s="1"/>
  <c r="AL269" s="1"/>
  <c r="AL270" s="1"/>
  <c r="AL166" s="1"/>
  <c r="AK247"/>
  <c r="AK248" s="1"/>
  <c r="AK269" s="1"/>
  <c r="AK270" s="1"/>
  <c r="AK166" s="1"/>
  <c r="F18" i="2"/>
  <c r="F20" s="1"/>
  <c r="AN240" i="8"/>
  <c r="AN241" s="1"/>
  <c r="AN269" s="1"/>
  <c r="AN270" s="1"/>
  <c r="AN99" s="1"/>
  <c r="AN100" s="1"/>
  <c r="AO219" i="10"/>
  <c r="AO240" s="1"/>
  <c r="AO241" s="1"/>
  <c r="AG219"/>
  <c r="AG240" s="1"/>
  <c r="AG241" s="1"/>
  <c r="AG165" s="1"/>
  <c r="G49" i="2"/>
  <c r="G14"/>
  <c r="AI299" i="10"/>
  <c r="AI300" s="1"/>
  <c r="AI307" s="1"/>
  <c r="AI308" s="1"/>
  <c r="AI204" s="1"/>
  <c r="AI203"/>
  <c r="AN299"/>
  <c r="AN300" s="1"/>
  <c r="AN307" s="1"/>
  <c r="AN308" s="1"/>
  <c r="AN204" s="1"/>
  <c r="AN203"/>
  <c r="AH299"/>
  <c r="AH300" s="1"/>
  <c r="AH307" s="1"/>
  <c r="AH308" s="1"/>
  <c r="AH204" s="1"/>
  <c r="AP216"/>
  <c r="AP244" s="1"/>
  <c r="AP142"/>
  <c r="AP154" s="1"/>
  <c r="AN244"/>
  <c r="AN219"/>
  <c r="AN240" s="1"/>
  <c r="AN241" s="1"/>
  <c r="AO101"/>
  <c r="AO281"/>
  <c r="AO288" s="1"/>
  <c r="AO289" s="1"/>
  <c r="AL110"/>
  <c r="AL123" s="1"/>
  <c r="AO110"/>
  <c r="AP101"/>
  <c r="AP280"/>
  <c r="AP298" s="1"/>
  <c r="D718"/>
  <c r="D721" s="1"/>
  <c r="C814"/>
  <c r="D815" s="1"/>
  <c r="AP109"/>
  <c r="AO122"/>
  <c r="N58" i="8"/>
  <c r="N64" s="1"/>
  <c r="P58"/>
  <c r="P64" s="1"/>
  <c r="AP230"/>
  <c r="AP231" s="1"/>
  <c r="AO73"/>
  <c r="AO78" s="1"/>
  <c r="AP58"/>
  <c r="AP64" s="1"/>
  <c r="AN73"/>
  <c r="AN78" s="1"/>
  <c r="AN79" s="1"/>
  <c r="AM87"/>
  <c r="AM79"/>
  <c r="AL87"/>
  <c r="AL79"/>
  <c r="B112"/>
  <c r="B81" i="1" s="1"/>
  <c r="B107" i="8"/>
  <c r="C379"/>
  <c r="B369"/>
  <c r="AG87"/>
  <c r="AG79"/>
  <c r="AI87"/>
  <c r="AI79"/>
  <c r="C405"/>
  <c r="B395"/>
  <c r="C767"/>
  <c r="C739" s="1"/>
  <c r="B757"/>
  <c r="AK87"/>
  <c r="AK79"/>
  <c r="AP237"/>
  <c r="AP202"/>
  <c r="AP205" s="1"/>
  <c r="AP47"/>
  <c r="AP49" s="1"/>
  <c r="C488"/>
  <c r="B478"/>
  <c r="C353"/>
  <c r="B343"/>
  <c r="C703"/>
  <c r="C675" s="1"/>
  <c r="B693"/>
  <c r="B504"/>
  <c r="C514"/>
  <c r="B725"/>
  <c r="C735"/>
  <c r="C707" s="1"/>
  <c r="AH87"/>
  <c r="AH79"/>
  <c r="AJ87"/>
  <c r="AJ79"/>
  <c r="C540"/>
  <c r="B530"/>
  <c r="AO233"/>
  <c r="AO234" s="1"/>
  <c r="AO168" i="7"/>
  <c r="AO169" s="1"/>
  <c r="AO197" s="1"/>
  <c r="AO198" s="1"/>
  <c r="AO108" s="1"/>
  <c r="AO107"/>
  <c r="AP96"/>
  <c r="AP88"/>
  <c r="AJ97"/>
  <c r="AJ110" s="1"/>
  <c r="AG97"/>
  <c r="AG110" s="1"/>
  <c r="C65"/>
  <c r="C701"/>
  <c r="D698" s="1"/>
  <c r="D701" s="1"/>
  <c r="E698" s="1"/>
  <c r="E701" s="1"/>
  <c r="F698" s="1"/>
  <c r="F701" s="1"/>
  <c r="G698" s="1"/>
  <c r="G701" s="1"/>
  <c r="H698" s="1"/>
  <c r="H701" s="1"/>
  <c r="I698" s="1"/>
  <c r="I701" s="1"/>
  <c r="J698" s="1"/>
  <c r="J701" s="1"/>
  <c r="K698" s="1"/>
  <c r="K701" s="1"/>
  <c r="L698" s="1"/>
  <c r="L701" s="1"/>
  <c r="M698" s="1"/>
  <c r="M701" s="1"/>
  <c r="N698" s="1"/>
  <c r="N701" s="1"/>
  <c r="O698" s="1"/>
  <c r="O701" s="1"/>
  <c r="P698" s="1"/>
  <c r="P701" s="1"/>
  <c r="Q698" s="1"/>
  <c r="Q701" s="1"/>
  <c r="R698" s="1"/>
  <c r="R701" s="1"/>
  <c r="S698" s="1"/>
  <c r="S701" s="1"/>
  <c r="T698" s="1"/>
  <c r="T701" s="1"/>
  <c r="U698" s="1"/>
  <c r="U701" s="1"/>
  <c r="V698" s="1"/>
  <c r="V701" s="1"/>
  <c r="W698" s="1"/>
  <c r="W701" s="1"/>
  <c r="X698" s="1"/>
  <c r="X701" s="1"/>
  <c r="Y698" s="1"/>
  <c r="Y701" s="1"/>
  <c r="Z698" s="1"/>
  <c r="Z701" s="1"/>
  <c r="AA698" s="1"/>
  <c r="AA701" s="1"/>
  <c r="AB698" s="1"/>
  <c r="AB701" s="1"/>
  <c r="AC698" s="1"/>
  <c r="AC701" s="1"/>
  <c r="AD698" s="1"/>
  <c r="AD701" s="1"/>
  <c r="AE698" s="1"/>
  <c r="AE701" s="1"/>
  <c r="AF698" s="1"/>
  <c r="AF701" s="1"/>
  <c r="AG698" s="1"/>
  <c r="AG701" s="1"/>
  <c r="AH698" s="1"/>
  <c r="AH701" s="1"/>
  <c r="AI698" s="1"/>
  <c r="AI701" s="1"/>
  <c r="AJ698" s="1"/>
  <c r="AJ701" s="1"/>
  <c r="AK698" s="1"/>
  <c r="AK701" s="1"/>
  <c r="AL698" s="1"/>
  <c r="AL701" s="1"/>
  <c r="AM698" s="1"/>
  <c r="AM701" s="1"/>
  <c r="AN698" s="1"/>
  <c r="AN701" s="1"/>
  <c r="AO698" s="1"/>
  <c r="AO701" s="1"/>
  <c r="AP698" s="1"/>
  <c r="AP701" s="1"/>
  <c r="AH97"/>
  <c r="AH110" s="1"/>
  <c r="AK97"/>
  <c r="AK110" s="1"/>
  <c r="AI97"/>
  <c r="AI110" s="1"/>
  <c r="AM97"/>
  <c r="AM110" s="1"/>
  <c r="AN97"/>
  <c r="AN110" s="1"/>
  <c r="AL97"/>
  <c r="AL110" s="1"/>
  <c r="AO96"/>
  <c r="AO88"/>
  <c r="C64"/>
  <c r="C669"/>
  <c r="D666" s="1"/>
  <c r="D669" s="1"/>
  <c r="E666" s="1"/>
  <c r="E669" s="1"/>
  <c r="F666" s="1"/>
  <c r="F669" s="1"/>
  <c r="G666" s="1"/>
  <c r="G669" s="1"/>
  <c r="H666" s="1"/>
  <c r="H669" s="1"/>
  <c r="I666" s="1"/>
  <c r="I669" s="1"/>
  <c r="J666" s="1"/>
  <c r="J669" s="1"/>
  <c r="K666" s="1"/>
  <c r="K669" s="1"/>
  <c r="L666" s="1"/>
  <c r="L669" s="1"/>
  <c r="M666" s="1"/>
  <c r="M669" s="1"/>
  <c r="N666" s="1"/>
  <c r="N669" s="1"/>
  <c r="O666" s="1"/>
  <c r="O669" s="1"/>
  <c r="P666" s="1"/>
  <c r="P669" s="1"/>
  <c r="Q666" s="1"/>
  <c r="Q669" s="1"/>
  <c r="R666" s="1"/>
  <c r="R669" s="1"/>
  <c r="S666" s="1"/>
  <c r="S669" s="1"/>
  <c r="T666" s="1"/>
  <c r="T669" s="1"/>
  <c r="U666" s="1"/>
  <c r="U669" s="1"/>
  <c r="V666" s="1"/>
  <c r="V669" s="1"/>
  <c r="W666" s="1"/>
  <c r="W669" s="1"/>
  <c r="X666" s="1"/>
  <c r="X669" s="1"/>
  <c r="Y666" s="1"/>
  <c r="Y669" s="1"/>
  <c r="Z666" s="1"/>
  <c r="Z669" s="1"/>
  <c r="AA666" s="1"/>
  <c r="AA669" s="1"/>
  <c r="AB666" s="1"/>
  <c r="AB669" s="1"/>
  <c r="AC666" s="1"/>
  <c r="AC669" s="1"/>
  <c r="AD666" s="1"/>
  <c r="AD669" s="1"/>
  <c r="AE666" s="1"/>
  <c r="AE669" s="1"/>
  <c r="AF666" s="1"/>
  <c r="AF669" s="1"/>
  <c r="AG666" s="1"/>
  <c r="AG669" s="1"/>
  <c r="AH666" s="1"/>
  <c r="AH669" s="1"/>
  <c r="AI666" s="1"/>
  <c r="AI669" s="1"/>
  <c r="AJ666" s="1"/>
  <c r="AJ669" s="1"/>
  <c r="AK666" s="1"/>
  <c r="AK669" s="1"/>
  <c r="AL666" s="1"/>
  <c r="AL669" s="1"/>
  <c r="AM666" s="1"/>
  <c r="AM669" s="1"/>
  <c r="AN666" s="1"/>
  <c r="AN669" s="1"/>
  <c r="AO666" s="1"/>
  <c r="AO669" s="1"/>
  <c r="AP666" s="1"/>
  <c r="AP669" s="1"/>
  <c r="C63"/>
  <c r="C637"/>
  <c r="D634" s="1"/>
  <c r="D637" s="1"/>
  <c r="E634" s="1"/>
  <c r="E637" s="1"/>
  <c r="F634" s="1"/>
  <c r="F637" s="1"/>
  <c r="G634" s="1"/>
  <c r="G637" s="1"/>
  <c r="H634" s="1"/>
  <c r="H637" s="1"/>
  <c r="I634" s="1"/>
  <c r="I637" s="1"/>
  <c r="J634" s="1"/>
  <c r="J637" s="1"/>
  <c r="K634" s="1"/>
  <c r="K637" s="1"/>
  <c r="L634" s="1"/>
  <c r="L637" s="1"/>
  <c r="AP160"/>
  <c r="AP161" s="1"/>
  <c r="G17" i="2"/>
  <c r="G52"/>
  <c r="G230"/>
  <c r="G267"/>
  <c r="G15"/>
  <c r="G50"/>
  <c r="G53" s="1"/>
  <c r="G228"/>
  <c r="G265"/>
  <c r="H71"/>
  <c r="I789"/>
  <c r="I774" s="1"/>
  <c r="I70" s="1"/>
  <c r="J5"/>
  <c r="J787"/>
  <c r="J393" s="1"/>
  <c r="J528" s="1"/>
  <c r="J785"/>
  <c r="J391" s="1"/>
  <c r="J526" s="1"/>
  <c r="J783"/>
  <c r="J389" s="1"/>
  <c r="J524" s="1"/>
  <c r="J781"/>
  <c r="J387" s="1"/>
  <c r="J522" s="1"/>
  <c r="J779"/>
  <c r="J385" s="1"/>
  <c r="J520" s="1"/>
  <c r="J755"/>
  <c r="J367" s="1"/>
  <c r="J502" s="1"/>
  <c r="J788"/>
  <c r="J394" s="1"/>
  <c r="J529" s="1"/>
  <c r="J786"/>
  <c r="J392" s="1"/>
  <c r="J527" s="1"/>
  <c r="J784"/>
  <c r="J390" s="1"/>
  <c r="J525" s="1"/>
  <c r="J782"/>
  <c r="J388" s="1"/>
  <c r="J523" s="1"/>
  <c r="J780"/>
  <c r="J386" s="1"/>
  <c r="J521" s="1"/>
  <c r="J756"/>
  <c r="J368" s="1"/>
  <c r="J503" s="1"/>
  <c r="J754"/>
  <c r="J366" s="1"/>
  <c r="J501" s="1"/>
  <c r="J753"/>
  <c r="J365" s="1"/>
  <c r="J500" s="1"/>
  <c r="J751"/>
  <c r="J363" s="1"/>
  <c r="J498" s="1"/>
  <c r="J749"/>
  <c r="J361" s="1"/>
  <c r="J496" s="1"/>
  <c r="J747"/>
  <c r="J359" s="1"/>
  <c r="J494" s="1"/>
  <c r="J723"/>
  <c r="J342" s="1"/>
  <c r="J476" s="1"/>
  <c r="J721"/>
  <c r="J340" s="1"/>
  <c r="J474" s="1"/>
  <c r="J719"/>
  <c r="J338" s="1"/>
  <c r="J472" s="1"/>
  <c r="J717"/>
  <c r="J336" s="1"/>
  <c r="J470" s="1"/>
  <c r="J715"/>
  <c r="J334" s="1"/>
  <c r="J468" s="1"/>
  <c r="J794"/>
  <c r="J795"/>
  <c r="J797"/>
  <c r="J799"/>
  <c r="J750"/>
  <c r="J362" s="1"/>
  <c r="J497" s="1"/>
  <c r="J722"/>
  <c r="J341" s="1"/>
  <c r="J475" s="1"/>
  <c r="J718"/>
  <c r="J337" s="1"/>
  <c r="J471" s="1"/>
  <c r="J752"/>
  <c r="J364" s="1"/>
  <c r="J499" s="1"/>
  <c r="J748"/>
  <c r="J360" s="1"/>
  <c r="J495" s="1"/>
  <c r="J724"/>
  <c r="J343" s="1"/>
  <c r="J477" s="1"/>
  <c r="J720"/>
  <c r="J339" s="1"/>
  <c r="J473" s="1"/>
  <c r="J716"/>
  <c r="J335" s="1"/>
  <c r="J469" s="1"/>
  <c r="J792"/>
  <c r="J796"/>
  <c r="J800"/>
  <c r="J798"/>
  <c r="J760"/>
  <c r="J762"/>
  <c r="J764"/>
  <c r="J766"/>
  <c r="J768"/>
  <c r="J761"/>
  <c r="J763"/>
  <c r="J765"/>
  <c r="J767"/>
  <c r="I757"/>
  <c r="I742" s="1"/>
  <c r="I69" s="1"/>
  <c r="J617"/>
  <c r="J618" s="1"/>
  <c r="J623"/>
  <c r="J624" s="1"/>
  <c r="J670"/>
  <c r="J674"/>
  <c r="J671"/>
  <c r="K11"/>
  <c r="J312"/>
  <c r="J314"/>
  <c r="J316"/>
  <c r="J445"/>
  <c r="J446"/>
  <c r="J447"/>
  <c r="J448"/>
  <c r="J449"/>
  <c r="J464" s="1"/>
  <c r="J450"/>
  <c r="J313"/>
  <c r="J311"/>
  <c r="J315"/>
  <c r="H117"/>
  <c r="J19"/>
  <c r="G116"/>
  <c r="J730"/>
  <c r="J731"/>
  <c r="J732"/>
  <c r="J733"/>
  <c r="J734"/>
  <c r="J735"/>
  <c r="J736"/>
  <c r="J729"/>
  <c r="G105"/>
  <c r="I330"/>
  <c r="J463"/>
  <c r="J329"/>
  <c r="I705"/>
  <c r="J702" s="1"/>
  <c r="I62"/>
  <c r="I725"/>
  <c r="I710" s="1"/>
  <c r="I68" s="1"/>
  <c r="J704"/>
  <c r="H619"/>
  <c r="H620" s="1"/>
  <c r="H103" s="1"/>
  <c r="H625"/>
  <c r="H626" s="1"/>
  <c r="H104" s="1"/>
  <c r="F268"/>
  <c r="F269" s="1"/>
  <c r="J23"/>
  <c r="J26"/>
  <c r="J30"/>
  <c r="F231"/>
  <c r="F232" s="1"/>
  <c r="G266"/>
  <c r="G229"/>
  <c r="G264"/>
  <c r="G227"/>
  <c r="G666"/>
  <c r="H659"/>
  <c r="H660" s="1"/>
  <c r="H51" s="1"/>
  <c r="H663"/>
  <c r="H664" s="1"/>
  <c r="H655"/>
  <c r="H656" s="1"/>
  <c r="H651"/>
  <c r="H652" s="1"/>
  <c r="J698"/>
  <c r="I27"/>
  <c r="H29"/>
  <c r="H31" s="1"/>
  <c r="K2"/>
  <c r="J25"/>
  <c r="I10"/>
  <c r="I12" s="1"/>
  <c r="AJ165" i="10" l="1"/>
  <c r="AL299"/>
  <c r="AL300" s="1"/>
  <c r="AL307" s="1"/>
  <c r="AL308" s="1"/>
  <c r="AL204" s="1"/>
  <c r="AK203"/>
  <c r="AG203"/>
  <c r="AJ299"/>
  <c r="AJ300" s="1"/>
  <c r="AJ307" s="1"/>
  <c r="AJ308" s="1"/>
  <c r="AJ204" s="1"/>
  <c r="AM203"/>
  <c r="AI165"/>
  <c r="AM165"/>
  <c r="AI248"/>
  <c r="AI269" s="1"/>
  <c r="AI270" s="1"/>
  <c r="AI166" s="1"/>
  <c r="AG247"/>
  <c r="AG248" s="1"/>
  <c r="AG269" s="1"/>
  <c r="AG270" s="1"/>
  <c r="AG166" s="1"/>
  <c r="AO165"/>
  <c r="AO247"/>
  <c r="AO248" s="1"/>
  <c r="G18" i="2"/>
  <c r="G20" s="1"/>
  <c r="H49"/>
  <c r="H14"/>
  <c r="AO299" i="10"/>
  <c r="AO300" s="1"/>
  <c r="AO307" s="1"/>
  <c r="AO308" s="1"/>
  <c r="AO204" s="1"/>
  <c r="AO203"/>
  <c r="AP219"/>
  <c r="AP240" s="1"/>
  <c r="AP241" s="1"/>
  <c r="AN247"/>
  <c r="AN248" s="1"/>
  <c r="AN269" s="1"/>
  <c r="AN270" s="1"/>
  <c r="AN166" s="1"/>
  <c r="AN165"/>
  <c r="AO123"/>
  <c r="AP281"/>
  <c r="AP288" s="1"/>
  <c r="AP289" s="1"/>
  <c r="AP110"/>
  <c r="E718"/>
  <c r="E721" s="1"/>
  <c r="D814"/>
  <c r="E815" s="1"/>
  <c r="AP122"/>
  <c r="D49"/>
  <c r="D275" s="1"/>
  <c r="D293" s="1"/>
  <c r="AP233" i="8"/>
  <c r="AP234" s="1"/>
  <c r="AP240" s="1"/>
  <c r="AP241" s="1"/>
  <c r="AP269" s="1"/>
  <c r="AP270" s="1"/>
  <c r="AP99" s="1"/>
  <c r="AN87"/>
  <c r="AN88" s="1"/>
  <c r="AN101" s="1"/>
  <c r="AO87"/>
  <c r="AO88" s="1"/>
  <c r="AO79"/>
  <c r="AP73"/>
  <c r="AP78" s="1"/>
  <c r="AJ88"/>
  <c r="AJ101" s="1"/>
  <c r="AH88"/>
  <c r="AH101" s="1"/>
  <c r="C55"/>
  <c r="C677"/>
  <c r="C57"/>
  <c r="C741"/>
  <c r="D738" s="1"/>
  <c r="D741" s="1"/>
  <c r="E738" s="1"/>
  <c r="E741" s="1"/>
  <c r="F738" s="1"/>
  <c r="F741" s="1"/>
  <c r="G738" s="1"/>
  <c r="G741" s="1"/>
  <c r="H738" s="1"/>
  <c r="H741" s="1"/>
  <c r="I738" s="1"/>
  <c r="I741" s="1"/>
  <c r="J738" s="1"/>
  <c r="J741" s="1"/>
  <c r="K738" s="1"/>
  <c r="K741" s="1"/>
  <c r="L738" s="1"/>
  <c r="L741" s="1"/>
  <c r="M738" s="1"/>
  <c r="M741" s="1"/>
  <c r="N738" s="1"/>
  <c r="N741" s="1"/>
  <c r="O738" s="1"/>
  <c r="O741" s="1"/>
  <c r="P738" s="1"/>
  <c r="P741" s="1"/>
  <c r="Q738" s="1"/>
  <c r="Q741" s="1"/>
  <c r="R738" s="1"/>
  <c r="R741" s="1"/>
  <c r="S738" s="1"/>
  <c r="S741" s="1"/>
  <c r="T738" s="1"/>
  <c r="T741" s="1"/>
  <c r="U738" s="1"/>
  <c r="U741" s="1"/>
  <c r="V738" s="1"/>
  <c r="V741" s="1"/>
  <c r="W738" s="1"/>
  <c r="W741" s="1"/>
  <c r="X738" s="1"/>
  <c r="X741" s="1"/>
  <c r="Y738" s="1"/>
  <c r="Y741" s="1"/>
  <c r="Z738" s="1"/>
  <c r="Z741" s="1"/>
  <c r="AA738" s="1"/>
  <c r="AA741" s="1"/>
  <c r="AB738" s="1"/>
  <c r="AB741" s="1"/>
  <c r="AC738" s="1"/>
  <c r="AC741" s="1"/>
  <c r="AD738" s="1"/>
  <c r="AD741" s="1"/>
  <c r="AE738" s="1"/>
  <c r="AE741" s="1"/>
  <c r="AF738" s="1"/>
  <c r="AF741" s="1"/>
  <c r="AG738" s="1"/>
  <c r="AG741" s="1"/>
  <c r="AH738" s="1"/>
  <c r="AH741" s="1"/>
  <c r="AI738" s="1"/>
  <c r="AI741" s="1"/>
  <c r="AJ738" s="1"/>
  <c r="AJ741" s="1"/>
  <c r="AK738" s="1"/>
  <c r="AK741" s="1"/>
  <c r="AL738" s="1"/>
  <c r="AL741" s="1"/>
  <c r="AM738" s="1"/>
  <c r="AM741" s="1"/>
  <c r="AN738" s="1"/>
  <c r="AN741" s="1"/>
  <c r="AO738" s="1"/>
  <c r="AO741" s="1"/>
  <c r="AP738" s="1"/>
  <c r="AP741" s="1"/>
  <c r="AI88"/>
  <c r="AI101" s="1"/>
  <c r="AG88"/>
  <c r="AG101" s="1"/>
  <c r="AL88"/>
  <c r="AL101" s="1"/>
  <c r="AM88"/>
  <c r="AM101" s="1"/>
  <c r="AO240"/>
  <c r="AO241" s="1"/>
  <c r="AO269" s="1"/>
  <c r="AO270" s="1"/>
  <c r="AO99" s="1"/>
  <c r="AO98"/>
  <c r="C56"/>
  <c r="C709"/>
  <c r="D706" s="1"/>
  <c r="D709" s="1"/>
  <c r="E706" s="1"/>
  <c r="E709" s="1"/>
  <c r="F706" s="1"/>
  <c r="F709" s="1"/>
  <c r="G706" s="1"/>
  <c r="G709" s="1"/>
  <c r="H706" s="1"/>
  <c r="H709" s="1"/>
  <c r="I706" s="1"/>
  <c r="I709" s="1"/>
  <c r="J706" s="1"/>
  <c r="J709" s="1"/>
  <c r="K706" s="1"/>
  <c r="K709" s="1"/>
  <c r="L706" s="1"/>
  <c r="L709" s="1"/>
  <c r="M706" s="1"/>
  <c r="M709" s="1"/>
  <c r="N706" s="1"/>
  <c r="N709" s="1"/>
  <c r="O706" s="1"/>
  <c r="O709" s="1"/>
  <c r="P706" s="1"/>
  <c r="P709" s="1"/>
  <c r="Q706" s="1"/>
  <c r="Q709" s="1"/>
  <c r="R706" s="1"/>
  <c r="R709" s="1"/>
  <c r="S706" s="1"/>
  <c r="S709" s="1"/>
  <c r="T706" s="1"/>
  <c r="T709" s="1"/>
  <c r="U706" s="1"/>
  <c r="U709" s="1"/>
  <c r="V706" s="1"/>
  <c r="V709" s="1"/>
  <c r="W706" s="1"/>
  <c r="W709" s="1"/>
  <c r="X706" s="1"/>
  <c r="X709" s="1"/>
  <c r="Y706" s="1"/>
  <c r="Y709" s="1"/>
  <c r="Z706" s="1"/>
  <c r="Z709" s="1"/>
  <c r="AA706" s="1"/>
  <c r="AA709" s="1"/>
  <c r="AB706" s="1"/>
  <c r="AB709" s="1"/>
  <c r="AC706" s="1"/>
  <c r="AC709" s="1"/>
  <c r="AD706" s="1"/>
  <c r="AD709" s="1"/>
  <c r="AE706" s="1"/>
  <c r="AE709" s="1"/>
  <c r="AF706" s="1"/>
  <c r="AF709" s="1"/>
  <c r="AG706" s="1"/>
  <c r="AG709" s="1"/>
  <c r="AH706" s="1"/>
  <c r="AH709" s="1"/>
  <c r="AI706" s="1"/>
  <c r="AI709" s="1"/>
  <c r="AJ706" s="1"/>
  <c r="AJ709" s="1"/>
  <c r="AK706" s="1"/>
  <c r="AK709" s="1"/>
  <c r="AL706" s="1"/>
  <c r="AL709" s="1"/>
  <c r="AM706" s="1"/>
  <c r="AM709" s="1"/>
  <c r="AN706" s="1"/>
  <c r="AN709" s="1"/>
  <c r="AO706" s="1"/>
  <c r="AO709" s="1"/>
  <c r="AP706" s="1"/>
  <c r="AP709" s="1"/>
  <c r="AK88"/>
  <c r="AK101" s="1"/>
  <c r="M634" i="7"/>
  <c r="M637" s="1"/>
  <c r="AP97"/>
  <c r="AP168"/>
  <c r="AP169" s="1"/>
  <c r="AP197" s="1"/>
  <c r="AP198" s="1"/>
  <c r="AP108" s="1"/>
  <c r="AP107"/>
  <c r="AO97"/>
  <c r="AO109"/>
  <c r="H15" i="2"/>
  <c r="H50"/>
  <c r="H228"/>
  <c r="H265"/>
  <c r="H17"/>
  <c r="H52"/>
  <c r="H230"/>
  <c r="H267"/>
  <c r="I71"/>
  <c r="K5"/>
  <c r="K788"/>
  <c r="K394" s="1"/>
  <c r="K529" s="1"/>
  <c r="K786"/>
  <c r="K392" s="1"/>
  <c r="K527" s="1"/>
  <c r="K784"/>
  <c r="K390" s="1"/>
  <c r="K525" s="1"/>
  <c r="K782"/>
  <c r="K388" s="1"/>
  <c r="K523" s="1"/>
  <c r="K780"/>
  <c r="K386" s="1"/>
  <c r="K521" s="1"/>
  <c r="K756"/>
  <c r="K368" s="1"/>
  <c r="K503" s="1"/>
  <c r="K754"/>
  <c r="K366" s="1"/>
  <c r="K501" s="1"/>
  <c r="K787"/>
  <c r="K393" s="1"/>
  <c r="K528" s="1"/>
  <c r="K785"/>
  <c r="K391" s="1"/>
  <c r="K526" s="1"/>
  <c r="K783"/>
  <c r="K389" s="1"/>
  <c r="K524" s="1"/>
  <c r="K781"/>
  <c r="K387" s="1"/>
  <c r="K522" s="1"/>
  <c r="K779"/>
  <c r="K385" s="1"/>
  <c r="K520" s="1"/>
  <c r="K755"/>
  <c r="K367" s="1"/>
  <c r="K502" s="1"/>
  <c r="K752"/>
  <c r="K364" s="1"/>
  <c r="K499" s="1"/>
  <c r="K750"/>
  <c r="K362" s="1"/>
  <c r="K497" s="1"/>
  <c r="K748"/>
  <c r="K360" s="1"/>
  <c r="K495" s="1"/>
  <c r="K724"/>
  <c r="K722"/>
  <c r="K720"/>
  <c r="K718"/>
  <c r="K716"/>
  <c r="K792"/>
  <c r="K796"/>
  <c r="K798"/>
  <c r="K800"/>
  <c r="K751"/>
  <c r="K363" s="1"/>
  <c r="K498" s="1"/>
  <c r="K747"/>
  <c r="K359" s="1"/>
  <c r="K494" s="1"/>
  <c r="K723"/>
  <c r="K342" s="1"/>
  <c r="K476" s="1"/>
  <c r="K719"/>
  <c r="K338" s="1"/>
  <c r="K472" s="1"/>
  <c r="K753"/>
  <c r="K365" s="1"/>
  <c r="K500" s="1"/>
  <c r="K749"/>
  <c r="K361" s="1"/>
  <c r="K496" s="1"/>
  <c r="K721"/>
  <c r="K717"/>
  <c r="K336" s="1"/>
  <c r="K470" s="1"/>
  <c r="K794"/>
  <c r="K797"/>
  <c r="K715"/>
  <c r="K334" s="1"/>
  <c r="K468" s="1"/>
  <c r="K799"/>
  <c r="K761"/>
  <c r="K763"/>
  <c r="K765"/>
  <c r="K767"/>
  <c r="K795"/>
  <c r="K760"/>
  <c r="K762"/>
  <c r="K764"/>
  <c r="K766"/>
  <c r="K768"/>
  <c r="J757"/>
  <c r="J742" s="1"/>
  <c r="J69" s="1"/>
  <c r="J789"/>
  <c r="J774" s="1"/>
  <c r="J70" s="1"/>
  <c r="G268"/>
  <c r="G269" s="1"/>
  <c r="K617"/>
  <c r="K618" s="1"/>
  <c r="K623"/>
  <c r="K624" s="1"/>
  <c r="K674"/>
  <c r="K670"/>
  <c r="K671" s="1"/>
  <c r="L11"/>
  <c r="K311"/>
  <c r="K313"/>
  <c r="K315"/>
  <c r="K314"/>
  <c r="K446"/>
  <c r="K448"/>
  <c r="K450"/>
  <c r="K312"/>
  <c r="K316"/>
  <c r="K445"/>
  <c r="K447"/>
  <c r="K449"/>
  <c r="K464" s="1"/>
  <c r="K19"/>
  <c r="I117"/>
  <c r="H116"/>
  <c r="K729"/>
  <c r="K730"/>
  <c r="K731"/>
  <c r="K732"/>
  <c r="K733"/>
  <c r="K734"/>
  <c r="K735"/>
  <c r="K736"/>
  <c r="H105"/>
  <c r="J330"/>
  <c r="K463"/>
  <c r="K329"/>
  <c r="J705"/>
  <c r="K702" s="1"/>
  <c r="J62"/>
  <c r="K335"/>
  <c r="K469" s="1"/>
  <c r="K337"/>
  <c r="K471" s="1"/>
  <c r="K339"/>
  <c r="K473" s="1"/>
  <c r="K341"/>
  <c r="K475" s="1"/>
  <c r="K343"/>
  <c r="K477" s="1"/>
  <c r="K704"/>
  <c r="K62" s="1"/>
  <c r="K340"/>
  <c r="K474" s="1"/>
  <c r="J725"/>
  <c r="J710" s="1"/>
  <c r="J68" s="1"/>
  <c r="G231"/>
  <c r="G232" s="1"/>
  <c r="I619"/>
  <c r="I620" s="1"/>
  <c r="I103" s="1"/>
  <c r="I625"/>
  <c r="I626" s="1"/>
  <c r="I104" s="1"/>
  <c r="K23"/>
  <c r="K26"/>
  <c r="K30"/>
  <c r="H18"/>
  <c r="H20" s="1"/>
  <c r="H264"/>
  <c r="H227"/>
  <c r="H266"/>
  <c r="H229"/>
  <c r="H666"/>
  <c r="I663"/>
  <c r="I664" s="1"/>
  <c r="I655"/>
  <c r="I656" s="1"/>
  <c r="I651"/>
  <c r="I652" s="1"/>
  <c r="I659"/>
  <c r="I660" s="1"/>
  <c r="I51" s="1"/>
  <c r="K698"/>
  <c r="J27"/>
  <c r="I29"/>
  <c r="I31" s="1"/>
  <c r="L2"/>
  <c r="K25"/>
  <c r="J10"/>
  <c r="J12" s="1"/>
  <c r="F9" i="1"/>
  <c r="AP165" i="10" l="1"/>
  <c r="AP247"/>
  <c r="AP248" s="1"/>
  <c r="I49" i="2"/>
  <c r="I14"/>
  <c r="AP299" i="10"/>
  <c r="AP300" s="1"/>
  <c r="AP307" s="1"/>
  <c r="AP308" s="1"/>
  <c r="AP204" s="1"/>
  <c r="AP203"/>
  <c r="AP98" i="8"/>
  <c r="AP100" s="1"/>
  <c r="AP123" i="10"/>
  <c r="AO269"/>
  <c r="AO270" s="1"/>
  <c r="AO166" s="1"/>
  <c r="F718"/>
  <c r="F721" s="1"/>
  <c r="E814"/>
  <c r="F815" s="1"/>
  <c r="E49"/>
  <c r="E275" s="1"/>
  <c r="E293" s="1"/>
  <c r="D674" i="8"/>
  <c r="D677" s="1"/>
  <c r="C770"/>
  <c r="AP87"/>
  <c r="AP79"/>
  <c r="AP88"/>
  <c r="AO100"/>
  <c r="AO101" s="1"/>
  <c r="N634" i="7"/>
  <c r="N637" s="1"/>
  <c r="AO110"/>
  <c r="AP109"/>
  <c r="AP110" s="1"/>
  <c r="H53" i="2"/>
  <c r="I17"/>
  <c r="I52"/>
  <c r="I230"/>
  <c r="I267"/>
  <c r="I15"/>
  <c r="I50"/>
  <c r="I228"/>
  <c r="I265"/>
  <c r="J71"/>
  <c r="K789"/>
  <c r="K774" s="1"/>
  <c r="K70" s="1"/>
  <c r="L5"/>
  <c r="L787"/>
  <c r="L393" s="1"/>
  <c r="L528" s="1"/>
  <c r="L785"/>
  <c r="L391" s="1"/>
  <c r="L526" s="1"/>
  <c r="L783"/>
  <c r="L389" s="1"/>
  <c r="L524" s="1"/>
  <c r="L781"/>
  <c r="L387" s="1"/>
  <c r="L522" s="1"/>
  <c r="L779"/>
  <c r="L385" s="1"/>
  <c r="L520" s="1"/>
  <c r="L755"/>
  <c r="L367" s="1"/>
  <c r="L502" s="1"/>
  <c r="L788"/>
  <c r="L394" s="1"/>
  <c r="L529" s="1"/>
  <c r="L786"/>
  <c r="L392" s="1"/>
  <c r="L527" s="1"/>
  <c r="L784"/>
  <c r="L390" s="1"/>
  <c r="L525" s="1"/>
  <c r="L782"/>
  <c r="L388" s="1"/>
  <c r="L523" s="1"/>
  <c r="L780"/>
  <c r="L386" s="1"/>
  <c r="L521" s="1"/>
  <c r="L756"/>
  <c r="L368" s="1"/>
  <c r="L503" s="1"/>
  <c r="L753"/>
  <c r="L365" s="1"/>
  <c r="L500" s="1"/>
  <c r="L751"/>
  <c r="L363" s="1"/>
  <c r="L498" s="1"/>
  <c r="L749"/>
  <c r="L361" s="1"/>
  <c r="L496" s="1"/>
  <c r="L747"/>
  <c r="L359" s="1"/>
  <c r="L494" s="1"/>
  <c r="L723"/>
  <c r="L342" s="1"/>
  <c r="L476" s="1"/>
  <c r="L721"/>
  <c r="L340" s="1"/>
  <c r="L474" s="1"/>
  <c r="L719"/>
  <c r="L338" s="1"/>
  <c r="L472" s="1"/>
  <c r="L717"/>
  <c r="L336" s="1"/>
  <c r="L470" s="1"/>
  <c r="L715"/>
  <c r="L334" s="1"/>
  <c r="L468" s="1"/>
  <c r="L795"/>
  <c r="L797"/>
  <c r="L799"/>
  <c r="L754"/>
  <c r="L366" s="1"/>
  <c r="L501" s="1"/>
  <c r="L752"/>
  <c r="L364" s="1"/>
  <c r="L499" s="1"/>
  <c r="L748"/>
  <c r="L360" s="1"/>
  <c r="L495" s="1"/>
  <c r="L724"/>
  <c r="L343" s="1"/>
  <c r="L477" s="1"/>
  <c r="L720"/>
  <c r="L339" s="1"/>
  <c r="L473" s="1"/>
  <c r="L750"/>
  <c r="L362" s="1"/>
  <c r="L497" s="1"/>
  <c r="L722"/>
  <c r="L718"/>
  <c r="L337" s="1"/>
  <c r="L471" s="1"/>
  <c r="L793"/>
  <c r="L798"/>
  <c r="L716"/>
  <c r="L792"/>
  <c r="L800"/>
  <c r="L760"/>
  <c r="L762"/>
  <c r="L764"/>
  <c r="L766"/>
  <c r="L768"/>
  <c r="L796"/>
  <c r="L761"/>
  <c r="L763"/>
  <c r="L765"/>
  <c r="L767"/>
  <c r="K757"/>
  <c r="K742" s="1"/>
  <c r="K69" s="1"/>
  <c r="L617"/>
  <c r="L618" s="1"/>
  <c r="L623"/>
  <c r="L624" s="1"/>
  <c r="L670"/>
  <c r="L671" s="1"/>
  <c r="L674"/>
  <c r="M11"/>
  <c r="L312"/>
  <c r="L314"/>
  <c r="L316"/>
  <c r="L445"/>
  <c r="L446"/>
  <c r="L447"/>
  <c r="L448"/>
  <c r="L449"/>
  <c r="L464" s="1"/>
  <c r="L450"/>
  <c r="L311"/>
  <c r="L315"/>
  <c r="L313"/>
  <c r="L19"/>
  <c r="J117"/>
  <c r="I116"/>
  <c r="L730"/>
  <c r="L731"/>
  <c r="L732"/>
  <c r="L733"/>
  <c r="L734"/>
  <c r="L735"/>
  <c r="L736"/>
  <c r="L729"/>
  <c r="I105"/>
  <c r="I53"/>
  <c r="K330"/>
  <c r="L463"/>
  <c r="L329"/>
  <c r="K705"/>
  <c r="L702" s="1"/>
  <c r="L335"/>
  <c r="L469" s="1"/>
  <c r="L341"/>
  <c r="L475" s="1"/>
  <c r="L704"/>
  <c r="L62" s="1"/>
  <c r="K725"/>
  <c r="K710" s="1"/>
  <c r="K68" s="1"/>
  <c r="J619"/>
  <c r="J620" s="1"/>
  <c r="J103" s="1"/>
  <c r="J625"/>
  <c r="J626" s="1"/>
  <c r="J104" s="1"/>
  <c r="L23"/>
  <c r="L26"/>
  <c r="L30"/>
  <c r="I266"/>
  <c r="I229"/>
  <c r="H268"/>
  <c r="H269" s="1"/>
  <c r="I264"/>
  <c r="I227"/>
  <c r="H231"/>
  <c r="H232" s="1"/>
  <c r="I18"/>
  <c r="I20" s="1"/>
  <c r="I666"/>
  <c r="J659"/>
  <c r="J660" s="1"/>
  <c r="J51" s="1"/>
  <c r="J663"/>
  <c r="J664" s="1"/>
  <c r="J655"/>
  <c r="J656" s="1"/>
  <c r="J651"/>
  <c r="J652" s="1"/>
  <c r="J29"/>
  <c r="J31" s="1"/>
  <c r="M2"/>
  <c r="L25"/>
  <c r="K10"/>
  <c r="K12" s="1"/>
  <c r="K27"/>
  <c r="J49" l="1"/>
  <c r="J14"/>
  <c r="AP269" i="10"/>
  <c r="AP270" s="1"/>
  <c r="AP166" s="1"/>
  <c r="G718"/>
  <c r="G721" s="1"/>
  <c r="F814"/>
  <c r="G815" s="1"/>
  <c r="F49"/>
  <c r="F275" s="1"/>
  <c r="F293" s="1"/>
  <c r="E674" i="8"/>
  <c r="E677" s="1"/>
  <c r="D770"/>
  <c r="AP101"/>
  <c r="O634" i="7"/>
  <c r="O637" s="1"/>
  <c r="J17" i="2"/>
  <c r="J52"/>
  <c r="J230"/>
  <c r="J267"/>
  <c r="J15"/>
  <c r="J50"/>
  <c r="J53" s="1"/>
  <c r="J228"/>
  <c r="J265"/>
  <c r="K71"/>
  <c r="M5"/>
  <c r="M788"/>
  <c r="M394" s="1"/>
  <c r="M529" s="1"/>
  <c r="M786"/>
  <c r="M392" s="1"/>
  <c r="M527" s="1"/>
  <c r="M784"/>
  <c r="M390" s="1"/>
  <c r="M525" s="1"/>
  <c r="M782"/>
  <c r="M388" s="1"/>
  <c r="M523" s="1"/>
  <c r="M780"/>
  <c r="M386" s="1"/>
  <c r="M521" s="1"/>
  <c r="M756"/>
  <c r="M368" s="1"/>
  <c r="M503" s="1"/>
  <c r="M754"/>
  <c r="M366" s="1"/>
  <c r="M501" s="1"/>
  <c r="M787"/>
  <c r="M393" s="1"/>
  <c r="M528" s="1"/>
  <c r="M785"/>
  <c r="M391" s="1"/>
  <c r="M526" s="1"/>
  <c r="M783"/>
  <c r="M389" s="1"/>
  <c r="M524" s="1"/>
  <c r="M781"/>
  <c r="M387" s="1"/>
  <c r="M522" s="1"/>
  <c r="M779"/>
  <c r="M385" s="1"/>
  <c r="M520" s="1"/>
  <c r="M755"/>
  <c r="M367" s="1"/>
  <c r="M502" s="1"/>
  <c r="M752"/>
  <c r="M364" s="1"/>
  <c r="M499" s="1"/>
  <c r="M750"/>
  <c r="M362" s="1"/>
  <c r="M497" s="1"/>
  <c r="M748"/>
  <c r="M360" s="1"/>
  <c r="M495" s="1"/>
  <c r="M724"/>
  <c r="M722"/>
  <c r="M341" s="1"/>
  <c r="M475" s="1"/>
  <c r="M720"/>
  <c r="M718"/>
  <c r="M337" s="1"/>
  <c r="M471" s="1"/>
  <c r="M716"/>
  <c r="M792"/>
  <c r="M793"/>
  <c r="M796"/>
  <c r="M798"/>
  <c r="M800"/>
  <c r="M753"/>
  <c r="M365" s="1"/>
  <c r="M500" s="1"/>
  <c r="M749"/>
  <c r="M361" s="1"/>
  <c r="M496" s="1"/>
  <c r="M721"/>
  <c r="M340" s="1"/>
  <c r="M474" s="1"/>
  <c r="M717"/>
  <c r="M336" s="1"/>
  <c r="M470" s="1"/>
  <c r="M751"/>
  <c r="M363" s="1"/>
  <c r="M498" s="1"/>
  <c r="M747"/>
  <c r="M359" s="1"/>
  <c r="M494" s="1"/>
  <c r="M723"/>
  <c r="M342" s="1"/>
  <c r="M476" s="1"/>
  <c r="M719"/>
  <c r="M338" s="1"/>
  <c r="M472" s="1"/>
  <c r="M715"/>
  <c r="M334" s="1"/>
  <c r="M468" s="1"/>
  <c r="M795"/>
  <c r="M799"/>
  <c r="M761"/>
  <c r="M763"/>
  <c r="M765"/>
  <c r="M767"/>
  <c r="M797"/>
  <c r="M762"/>
  <c r="M764"/>
  <c r="M766"/>
  <c r="M768"/>
  <c r="L757"/>
  <c r="L742" s="1"/>
  <c r="L69" s="1"/>
  <c r="L789"/>
  <c r="L774" s="1"/>
  <c r="L70" s="1"/>
  <c r="M617"/>
  <c r="M618" s="1"/>
  <c r="M623"/>
  <c r="M624" s="1"/>
  <c r="M674"/>
  <c r="M670"/>
  <c r="M671" s="1"/>
  <c r="N11"/>
  <c r="M311"/>
  <c r="M313"/>
  <c r="M315"/>
  <c r="M312"/>
  <c r="M316"/>
  <c r="M445"/>
  <c r="M447"/>
  <c r="M449"/>
  <c r="M464" s="1"/>
  <c r="M314"/>
  <c r="M446"/>
  <c r="M448"/>
  <c r="M450"/>
  <c r="K117"/>
  <c r="M19"/>
  <c r="J116"/>
  <c r="M729"/>
  <c r="M730"/>
  <c r="M731"/>
  <c r="M732"/>
  <c r="M733"/>
  <c r="M734"/>
  <c r="M735"/>
  <c r="M736"/>
  <c r="J105"/>
  <c r="L330"/>
  <c r="M463"/>
  <c r="L705"/>
  <c r="M702" s="1"/>
  <c r="M329"/>
  <c r="M335"/>
  <c r="M469" s="1"/>
  <c r="M339"/>
  <c r="M473" s="1"/>
  <c r="M343"/>
  <c r="M477" s="1"/>
  <c r="M704"/>
  <c r="M62" s="1"/>
  <c r="L725"/>
  <c r="L710" s="1"/>
  <c r="L68" s="1"/>
  <c r="K619"/>
  <c r="K620" s="1"/>
  <c r="K103" s="1"/>
  <c r="K625"/>
  <c r="K626" s="1"/>
  <c r="K104" s="1"/>
  <c r="I268"/>
  <c r="I269" s="1"/>
  <c r="M23"/>
  <c r="M26"/>
  <c r="M30"/>
  <c r="J18"/>
  <c r="J20" s="1"/>
  <c r="I231"/>
  <c r="I232" s="1"/>
  <c r="J266"/>
  <c r="J229"/>
  <c r="J264"/>
  <c r="J227"/>
  <c r="J666"/>
  <c r="K663"/>
  <c r="K664" s="1"/>
  <c r="K655"/>
  <c r="K656" s="1"/>
  <c r="K651"/>
  <c r="K652" s="1"/>
  <c r="K659"/>
  <c r="K660" s="1"/>
  <c r="K51" s="1"/>
  <c r="L27"/>
  <c r="N2"/>
  <c r="M25"/>
  <c r="L10"/>
  <c r="L12" s="1"/>
  <c r="K29"/>
  <c r="K31" s="1"/>
  <c r="K49" l="1"/>
  <c r="K14"/>
  <c r="H718" i="10"/>
  <c r="H721" s="1"/>
  <c r="G814"/>
  <c r="H815" s="1"/>
  <c r="G49"/>
  <c r="G275" s="1"/>
  <c r="G293" s="1"/>
  <c r="F674" i="8"/>
  <c r="F677" s="1"/>
  <c r="E770"/>
  <c r="P634" i="7"/>
  <c r="P637" s="1"/>
  <c r="K17" i="2"/>
  <c r="K52"/>
  <c r="K230"/>
  <c r="K267"/>
  <c r="K15"/>
  <c r="K50"/>
  <c r="K228"/>
  <c r="K265"/>
  <c r="L71"/>
  <c r="N5"/>
  <c r="N787"/>
  <c r="N393" s="1"/>
  <c r="N528" s="1"/>
  <c r="N785"/>
  <c r="N391" s="1"/>
  <c r="N526" s="1"/>
  <c r="N783"/>
  <c r="N389" s="1"/>
  <c r="N524" s="1"/>
  <c r="N781"/>
  <c r="N387" s="1"/>
  <c r="N522" s="1"/>
  <c r="N779"/>
  <c r="N385" s="1"/>
  <c r="N520" s="1"/>
  <c r="N755"/>
  <c r="N367" s="1"/>
  <c r="N502" s="1"/>
  <c r="N788"/>
  <c r="N394" s="1"/>
  <c r="N529" s="1"/>
  <c r="N786"/>
  <c r="N392" s="1"/>
  <c r="N527" s="1"/>
  <c r="N784"/>
  <c r="N390" s="1"/>
  <c r="N525" s="1"/>
  <c r="N782"/>
  <c r="N388" s="1"/>
  <c r="N523" s="1"/>
  <c r="N780"/>
  <c r="N386" s="1"/>
  <c r="N521" s="1"/>
  <c r="N756"/>
  <c r="N368" s="1"/>
  <c r="N503" s="1"/>
  <c r="N754"/>
  <c r="N366" s="1"/>
  <c r="N501" s="1"/>
  <c r="N753"/>
  <c r="N365" s="1"/>
  <c r="N500" s="1"/>
  <c r="N751"/>
  <c r="N363" s="1"/>
  <c r="N498" s="1"/>
  <c r="N749"/>
  <c r="N361" s="1"/>
  <c r="N496" s="1"/>
  <c r="N747"/>
  <c r="N359" s="1"/>
  <c r="N494" s="1"/>
  <c r="N723"/>
  <c r="N342" s="1"/>
  <c r="N476" s="1"/>
  <c r="N721"/>
  <c r="N340" s="1"/>
  <c r="N474" s="1"/>
  <c r="N719"/>
  <c r="N338" s="1"/>
  <c r="N472" s="1"/>
  <c r="N717"/>
  <c r="N715"/>
  <c r="N334" s="1"/>
  <c r="N468" s="1"/>
  <c r="N795"/>
  <c r="N797"/>
  <c r="N799"/>
  <c r="N750"/>
  <c r="N362" s="1"/>
  <c r="N497" s="1"/>
  <c r="N722"/>
  <c r="N341" s="1"/>
  <c r="N475" s="1"/>
  <c r="N718"/>
  <c r="N337" s="1"/>
  <c r="N471" s="1"/>
  <c r="N752"/>
  <c r="N364" s="1"/>
  <c r="N499" s="1"/>
  <c r="N748"/>
  <c r="N360" s="1"/>
  <c r="N495" s="1"/>
  <c r="N724"/>
  <c r="N343" s="1"/>
  <c r="N477" s="1"/>
  <c r="N720"/>
  <c r="N339" s="1"/>
  <c r="N473" s="1"/>
  <c r="N716"/>
  <c r="N335" s="1"/>
  <c r="N469" s="1"/>
  <c r="N792"/>
  <c r="N796"/>
  <c r="N800"/>
  <c r="N793"/>
  <c r="N762"/>
  <c r="N764"/>
  <c r="N766"/>
  <c r="N768"/>
  <c r="N798"/>
  <c r="N761"/>
  <c r="N763"/>
  <c r="N765"/>
  <c r="N767"/>
  <c r="M757"/>
  <c r="M742" s="1"/>
  <c r="M69" s="1"/>
  <c r="M789"/>
  <c r="M774" s="1"/>
  <c r="M70" s="1"/>
  <c r="N617"/>
  <c r="N618" s="1"/>
  <c r="N623"/>
  <c r="N624" s="1"/>
  <c r="N670"/>
  <c r="N671" s="1"/>
  <c r="N674"/>
  <c r="O11"/>
  <c r="N312"/>
  <c r="N314"/>
  <c r="N316"/>
  <c r="N445"/>
  <c r="N446"/>
  <c r="N447"/>
  <c r="N448"/>
  <c r="N449"/>
  <c r="N464" s="1"/>
  <c r="N450"/>
  <c r="N313"/>
  <c r="N311"/>
  <c r="N315"/>
  <c r="L117"/>
  <c r="N19"/>
  <c r="K116"/>
  <c r="J231"/>
  <c r="J232" s="1"/>
  <c r="N730"/>
  <c r="N731"/>
  <c r="N732"/>
  <c r="N733"/>
  <c r="N734"/>
  <c r="N735"/>
  <c r="N736"/>
  <c r="N729"/>
  <c r="K105"/>
  <c r="N463"/>
  <c r="M330"/>
  <c r="N329"/>
  <c r="J268"/>
  <c r="J269" s="1"/>
  <c r="M705"/>
  <c r="N702" s="1"/>
  <c r="N336"/>
  <c r="N470" s="1"/>
  <c r="N704"/>
  <c r="N62" s="1"/>
  <c r="M725"/>
  <c r="M710" s="1"/>
  <c r="M68" s="1"/>
  <c r="L619"/>
  <c r="L620" s="1"/>
  <c r="L103" s="1"/>
  <c r="L625"/>
  <c r="L626" s="1"/>
  <c r="L104" s="1"/>
  <c r="N23"/>
  <c r="N26"/>
  <c r="N30"/>
  <c r="K264"/>
  <c r="K227"/>
  <c r="K266"/>
  <c r="K229"/>
  <c r="M27"/>
  <c r="K18"/>
  <c r="K20" s="1"/>
  <c r="K666"/>
  <c r="L659"/>
  <c r="L660" s="1"/>
  <c r="L51" s="1"/>
  <c r="L663"/>
  <c r="L664" s="1"/>
  <c r="L655"/>
  <c r="L656" s="1"/>
  <c r="L651"/>
  <c r="L652" s="1"/>
  <c r="E153" i="1"/>
  <c r="D153"/>
  <c r="C153"/>
  <c r="B153"/>
  <c r="M10" i="2"/>
  <c r="M12" s="1"/>
  <c r="O2"/>
  <c r="N25"/>
  <c r="L29"/>
  <c r="L31" s="1"/>
  <c r="K53" l="1"/>
  <c r="L49"/>
  <c r="L14"/>
  <c r="I718" i="10"/>
  <c r="I721" s="1"/>
  <c r="H814"/>
  <c r="I815" s="1"/>
  <c r="H49"/>
  <c r="H275" s="1"/>
  <c r="H293" s="1"/>
  <c r="G674" i="8"/>
  <c r="G677" s="1"/>
  <c r="F770"/>
  <c r="Q634" i="7"/>
  <c r="Q637" s="1"/>
  <c r="L17" i="2"/>
  <c r="L52"/>
  <c r="L230"/>
  <c r="L267"/>
  <c r="L15"/>
  <c r="L50"/>
  <c r="L228"/>
  <c r="L265"/>
  <c r="M71"/>
  <c r="O5"/>
  <c r="O788"/>
  <c r="O394" s="1"/>
  <c r="O529" s="1"/>
  <c r="O786"/>
  <c r="O392" s="1"/>
  <c r="O527" s="1"/>
  <c r="O784"/>
  <c r="O390" s="1"/>
  <c r="O525" s="1"/>
  <c r="O782"/>
  <c r="O388" s="1"/>
  <c r="O523" s="1"/>
  <c r="O780"/>
  <c r="O386" s="1"/>
  <c r="O521" s="1"/>
  <c r="O756"/>
  <c r="O368" s="1"/>
  <c r="O503" s="1"/>
  <c r="O754"/>
  <c r="O366" s="1"/>
  <c r="O501" s="1"/>
  <c r="O787"/>
  <c r="O393" s="1"/>
  <c r="O528" s="1"/>
  <c r="O785"/>
  <c r="O391" s="1"/>
  <c r="O526" s="1"/>
  <c r="O783"/>
  <c r="O389" s="1"/>
  <c r="O524" s="1"/>
  <c r="O781"/>
  <c r="O387" s="1"/>
  <c r="O522" s="1"/>
  <c r="O779"/>
  <c r="O385" s="1"/>
  <c r="O520" s="1"/>
  <c r="O755"/>
  <c r="O367" s="1"/>
  <c r="O502" s="1"/>
  <c r="O752"/>
  <c r="O364" s="1"/>
  <c r="O499" s="1"/>
  <c r="O750"/>
  <c r="O362" s="1"/>
  <c r="O497" s="1"/>
  <c r="O748"/>
  <c r="O360" s="1"/>
  <c r="O495" s="1"/>
  <c r="O724"/>
  <c r="O343" s="1"/>
  <c r="O477" s="1"/>
  <c r="O722"/>
  <c r="O341" s="1"/>
  <c r="O475" s="1"/>
  <c r="O720"/>
  <c r="O339" s="1"/>
  <c r="O473" s="1"/>
  <c r="O718"/>
  <c r="O337" s="1"/>
  <c r="O471" s="1"/>
  <c r="O716"/>
  <c r="O335" s="1"/>
  <c r="O469" s="1"/>
  <c r="O792"/>
  <c r="O793"/>
  <c r="O796"/>
  <c r="O798"/>
  <c r="O800"/>
  <c r="O751"/>
  <c r="O363" s="1"/>
  <c r="O498" s="1"/>
  <c r="O747"/>
  <c r="O359" s="1"/>
  <c r="O494" s="1"/>
  <c r="O723"/>
  <c r="O342" s="1"/>
  <c r="O476" s="1"/>
  <c r="O719"/>
  <c r="O338" s="1"/>
  <c r="O472" s="1"/>
  <c r="O753"/>
  <c r="O365" s="1"/>
  <c r="O500" s="1"/>
  <c r="O749"/>
  <c r="O361" s="1"/>
  <c r="O496" s="1"/>
  <c r="O721"/>
  <c r="O340" s="1"/>
  <c r="O474" s="1"/>
  <c r="O717"/>
  <c r="O336" s="1"/>
  <c r="O470" s="1"/>
  <c r="O794"/>
  <c r="O797"/>
  <c r="O761"/>
  <c r="O763"/>
  <c r="O765"/>
  <c r="O767"/>
  <c r="O715"/>
  <c r="O334" s="1"/>
  <c r="O468" s="1"/>
  <c r="O799"/>
  <c r="O762"/>
  <c r="O764"/>
  <c r="O766"/>
  <c r="O768"/>
  <c r="N757"/>
  <c r="N742" s="1"/>
  <c r="N69" s="1"/>
  <c r="N789"/>
  <c r="N774" s="1"/>
  <c r="N70" s="1"/>
  <c r="O727"/>
  <c r="O617"/>
  <c r="O623"/>
  <c r="O624" s="1"/>
  <c r="O674"/>
  <c r="O697"/>
  <c r="O670"/>
  <c r="O671" s="1"/>
  <c r="J33" i="1"/>
  <c r="J6"/>
  <c r="P11" i="2"/>
  <c r="O311"/>
  <c r="O313"/>
  <c r="O315"/>
  <c r="O314"/>
  <c r="O446"/>
  <c r="O448"/>
  <c r="O450"/>
  <c r="O312"/>
  <c r="O316"/>
  <c r="O445"/>
  <c r="O447"/>
  <c r="O449"/>
  <c r="O464" s="1"/>
  <c r="M117"/>
  <c r="O19"/>
  <c r="L116"/>
  <c r="B22" i="1"/>
  <c r="O729" i="2"/>
  <c r="O730"/>
  <c r="O731"/>
  <c r="O732"/>
  <c r="O733"/>
  <c r="O734"/>
  <c r="O735"/>
  <c r="O736"/>
  <c r="L105"/>
  <c r="O463"/>
  <c r="N330"/>
  <c r="O329"/>
  <c r="N705"/>
  <c r="O702" s="1"/>
  <c r="O704"/>
  <c r="O62" s="1"/>
  <c r="N725"/>
  <c r="N710" s="1"/>
  <c r="N68" s="1"/>
  <c r="O618"/>
  <c r="M619"/>
  <c r="M620" s="1"/>
  <c r="M103" s="1"/>
  <c r="M625"/>
  <c r="M626" s="1"/>
  <c r="M104" s="1"/>
  <c r="O23"/>
  <c r="O26"/>
  <c r="O30"/>
  <c r="E40"/>
  <c r="G40"/>
  <c r="I40"/>
  <c r="K40"/>
  <c r="M40"/>
  <c r="O40"/>
  <c r="C40"/>
  <c r="D40"/>
  <c r="F40"/>
  <c r="H40"/>
  <c r="J40"/>
  <c r="L40"/>
  <c r="N40"/>
  <c r="L264"/>
  <c r="L227"/>
  <c r="K268"/>
  <c r="K269" s="1"/>
  <c r="L266"/>
  <c r="L229"/>
  <c r="L18"/>
  <c r="L20" s="1"/>
  <c r="K231"/>
  <c r="K232" s="1"/>
  <c r="B58" i="1"/>
  <c r="C675" i="10" s="1"/>
  <c r="B56" i="1"/>
  <c r="C673" i="10" s="1"/>
  <c r="B57" i="1"/>
  <c r="C674" i="10" s="1"/>
  <c r="B55" i="1"/>
  <c r="C672" i="10" s="1"/>
  <c r="L666" i="2"/>
  <c r="M663"/>
  <c r="M664" s="1"/>
  <c r="M655"/>
  <c r="M656" s="1"/>
  <c r="M651"/>
  <c r="M652" s="1"/>
  <c r="M659"/>
  <c r="M660" s="1"/>
  <c r="M51" s="1"/>
  <c r="B126" i="1"/>
  <c r="B128"/>
  <c r="M29" i="2"/>
  <c r="M31" s="1"/>
  <c r="N27"/>
  <c r="P2"/>
  <c r="O25"/>
  <c r="N10"/>
  <c r="N12" s="1"/>
  <c r="L53" l="1"/>
  <c r="M49"/>
  <c r="M14"/>
  <c r="C676" i="10"/>
  <c r="C257"/>
  <c r="C228"/>
  <c r="C259"/>
  <c r="C230"/>
  <c r="C260"/>
  <c r="C231"/>
  <c r="C33"/>
  <c r="C35" s="1"/>
  <c r="C37" s="1"/>
  <c r="D33"/>
  <c r="D35" s="1"/>
  <c r="D37" s="1"/>
  <c r="E33"/>
  <c r="E35" s="1"/>
  <c r="E37" s="1"/>
  <c r="F33"/>
  <c r="F35" s="1"/>
  <c r="F37" s="1"/>
  <c r="G33"/>
  <c r="G35" s="1"/>
  <c r="G37" s="1"/>
  <c r="H33"/>
  <c r="H35" s="1"/>
  <c r="H37" s="1"/>
  <c r="I33"/>
  <c r="I35" s="1"/>
  <c r="I37" s="1"/>
  <c r="J33"/>
  <c r="J35" s="1"/>
  <c r="J37" s="1"/>
  <c r="K33"/>
  <c r="K35" s="1"/>
  <c r="K37" s="1"/>
  <c r="L33"/>
  <c r="L35" s="1"/>
  <c r="L37" s="1"/>
  <c r="M33"/>
  <c r="M35" s="1"/>
  <c r="M37" s="1"/>
  <c r="N33"/>
  <c r="N35" s="1"/>
  <c r="N37" s="1"/>
  <c r="O33"/>
  <c r="O35" s="1"/>
  <c r="O37" s="1"/>
  <c r="P33"/>
  <c r="P35" s="1"/>
  <c r="P37" s="1"/>
  <c r="Q33"/>
  <c r="Q35" s="1"/>
  <c r="Q37" s="1"/>
  <c r="R33"/>
  <c r="R35" s="1"/>
  <c r="R37" s="1"/>
  <c r="S33"/>
  <c r="S35" s="1"/>
  <c r="S37" s="1"/>
  <c r="T33"/>
  <c r="T35" s="1"/>
  <c r="T37" s="1"/>
  <c r="U33"/>
  <c r="U35" s="1"/>
  <c r="U37" s="1"/>
  <c r="V33"/>
  <c r="V35" s="1"/>
  <c r="V37" s="1"/>
  <c r="W33"/>
  <c r="W35" s="1"/>
  <c r="W37" s="1"/>
  <c r="X33"/>
  <c r="X35" s="1"/>
  <c r="X37" s="1"/>
  <c r="Y33"/>
  <c r="Y35" s="1"/>
  <c r="Y37" s="1"/>
  <c r="Z33"/>
  <c r="Z35" s="1"/>
  <c r="Z37" s="1"/>
  <c r="AA33"/>
  <c r="AA35" s="1"/>
  <c r="AA37" s="1"/>
  <c r="AB33"/>
  <c r="AB35" s="1"/>
  <c r="AB37" s="1"/>
  <c r="AC33"/>
  <c r="AC35" s="1"/>
  <c r="AC37" s="1"/>
  <c r="AD33"/>
  <c r="AD35" s="1"/>
  <c r="AD37" s="1"/>
  <c r="AE33"/>
  <c r="AE35" s="1"/>
  <c r="AE37" s="1"/>
  <c r="AF33"/>
  <c r="AF35" s="1"/>
  <c r="AF37" s="1"/>
  <c r="J718"/>
  <c r="J721" s="1"/>
  <c r="I814"/>
  <c r="J815" s="1"/>
  <c r="C258"/>
  <c r="C229"/>
  <c r="I49"/>
  <c r="I275" s="1"/>
  <c r="I293" s="1"/>
  <c r="C636" i="8"/>
  <c r="C216" s="1"/>
  <c r="C637"/>
  <c r="C217" s="1"/>
  <c r="C635"/>
  <c r="C251" s="1"/>
  <c r="H674"/>
  <c r="H677" s="1"/>
  <c r="G770"/>
  <c r="C252"/>
  <c r="C33"/>
  <c r="C35" s="1"/>
  <c r="C37" s="1"/>
  <c r="C39" s="1"/>
  <c r="C41" s="1"/>
  <c r="C43" s="1"/>
  <c r="D33"/>
  <c r="D35" s="1"/>
  <c r="D37" s="1"/>
  <c r="D39" s="1"/>
  <c r="D41" s="1"/>
  <c r="D43" s="1"/>
  <c r="E33"/>
  <c r="E35" s="1"/>
  <c r="E37" s="1"/>
  <c r="E39" s="1"/>
  <c r="E41" s="1"/>
  <c r="E43" s="1"/>
  <c r="F33"/>
  <c r="F35" s="1"/>
  <c r="F37" s="1"/>
  <c r="F39" s="1"/>
  <c r="F41" s="1"/>
  <c r="F43" s="1"/>
  <c r="G33"/>
  <c r="G35" s="1"/>
  <c r="G37" s="1"/>
  <c r="G39" s="1"/>
  <c r="G41" s="1"/>
  <c r="G43" s="1"/>
  <c r="H33"/>
  <c r="H35" s="1"/>
  <c r="H37" s="1"/>
  <c r="H39" s="1"/>
  <c r="H41" s="1"/>
  <c r="H43" s="1"/>
  <c r="I33"/>
  <c r="I35" s="1"/>
  <c r="I37" s="1"/>
  <c r="I39" s="1"/>
  <c r="I41" s="1"/>
  <c r="I43" s="1"/>
  <c r="J33"/>
  <c r="J35" s="1"/>
  <c r="J37" s="1"/>
  <c r="J39" s="1"/>
  <c r="J41" s="1"/>
  <c r="J43" s="1"/>
  <c r="K33"/>
  <c r="K35" s="1"/>
  <c r="K37" s="1"/>
  <c r="K39" s="1"/>
  <c r="K41" s="1"/>
  <c r="K43" s="1"/>
  <c r="L33"/>
  <c r="L35" s="1"/>
  <c r="L37" s="1"/>
  <c r="L39" s="1"/>
  <c r="L41" s="1"/>
  <c r="L43" s="1"/>
  <c r="M33"/>
  <c r="M35" s="1"/>
  <c r="M37" s="1"/>
  <c r="M39" s="1"/>
  <c r="M41" s="1"/>
  <c r="M43" s="1"/>
  <c r="N33"/>
  <c r="N35" s="1"/>
  <c r="N37" s="1"/>
  <c r="N39" s="1"/>
  <c r="N41" s="1"/>
  <c r="N43" s="1"/>
  <c r="O33"/>
  <c r="O35" s="1"/>
  <c r="O37" s="1"/>
  <c r="O39" s="1"/>
  <c r="O41" s="1"/>
  <c r="O43" s="1"/>
  <c r="P33"/>
  <c r="P35" s="1"/>
  <c r="P37" s="1"/>
  <c r="P39" s="1"/>
  <c r="P41" s="1"/>
  <c r="P43" s="1"/>
  <c r="Q33"/>
  <c r="Q35" s="1"/>
  <c r="Q37" s="1"/>
  <c r="Q39" s="1"/>
  <c r="Q41" s="1"/>
  <c r="Q43" s="1"/>
  <c r="R33"/>
  <c r="R35" s="1"/>
  <c r="R37" s="1"/>
  <c r="R39" s="1"/>
  <c r="R41" s="1"/>
  <c r="R43" s="1"/>
  <c r="S33"/>
  <c r="S35" s="1"/>
  <c r="S37" s="1"/>
  <c r="S39" s="1"/>
  <c r="S41" s="1"/>
  <c r="S43" s="1"/>
  <c r="T33"/>
  <c r="T35" s="1"/>
  <c r="T37" s="1"/>
  <c r="T39" s="1"/>
  <c r="T41" s="1"/>
  <c r="T43" s="1"/>
  <c r="U33"/>
  <c r="U35" s="1"/>
  <c r="U37" s="1"/>
  <c r="U39" s="1"/>
  <c r="U41" s="1"/>
  <c r="U43" s="1"/>
  <c r="V33"/>
  <c r="V35" s="1"/>
  <c r="V37" s="1"/>
  <c r="V39" s="1"/>
  <c r="V41" s="1"/>
  <c r="V43" s="1"/>
  <c r="W33"/>
  <c r="W35" s="1"/>
  <c r="W37" s="1"/>
  <c r="W39" s="1"/>
  <c r="W41" s="1"/>
  <c r="W43" s="1"/>
  <c r="X33"/>
  <c r="X35" s="1"/>
  <c r="X37" s="1"/>
  <c r="X39" s="1"/>
  <c r="X41" s="1"/>
  <c r="X43" s="1"/>
  <c r="Y33"/>
  <c r="Y35" s="1"/>
  <c r="Y37" s="1"/>
  <c r="Y39" s="1"/>
  <c r="Y41" s="1"/>
  <c r="Y43" s="1"/>
  <c r="Z33"/>
  <c r="Z35" s="1"/>
  <c r="Z37" s="1"/>
  <c r="Z39" s="1"/>
  <c r="Z41" s="1"/>
  <c r="Z43" s="1"/>
  <c r="AA33"/>
  <c r="AA35" s="1"/>
  <c r="AA37" s="1"/>
  <c r="AA39" s="1"/>
  <c r="AA41" s="1"/>
  <c r="AA43" s="1"/>
  <c r="AB33"/>
  <c r="AB35" s="1"/>
  <c r="AB37" s="1"/>
  <c r="AB39" s="1"/>
  <c r="AB41" s="1"/>
  <c r="AB43" s="1"/>
  <c r="AC33"/>
  <c r="AC35" s="1"/>
  <c r="AC37" s="1"/>
  <c r="AC39" s="1"/>
  <c r="AC41" s="1"/>
  <c r="AC43" s="1"/>
  <c r="AD33"/>
  <c r="AD35" s="1"/>
  <c r="AD37" s="1"/>
  <c r="AD39" s="1"/>
  <c r="AD41" s="1"/>
  <c r="AD43" s="1"/>
  <c r="AE33"/>
  <c r="AE35" s="1"/>
  <c r="AE37" s="1"/>
  <c r="AE39" s="1"/>
  <c r="AE41" s="1"/>
  <c r="AE43" s="1"/>
  <c r="AF33"/>
  <c r="AF35" s="1"/>
  <c r="AF37" s="1"/>
  <c r="AF39" s="1"/>
  <c r="AF41" s="1"/>
  <c r="AF43" s="1"/>
  <c r="C562" i="7"/>
  <c r="C178" s="1"/>
  <c r="C634" i="8"/>
  <c r="B567" i="2"/>
  <c r="C563" i="7"/>
  <c r="R634"/>
  <c r="R637" s="1"/>
  <c r="C638" i="2"/>
  <c r="C217" s="1"/>
  <c r="C564" i="7"/>
  <c r="B604" i="2"/>
  <c r="C565" i="7"/>
  <c r="O33" i="2"/>
  <c r="O35" s="1"/>
  <c r="O37" s="1"/>
  <c r="O39" s="1"/>
  <c r="C33" i="7"/>
  <c r="C35" s="1"/>
  <c r="C37" s="1"/>
  <c r="C39" s="1"/>
  <c r="C41" s="1"/>
  <c r="C43" s="1"/>
  <c r="D33"/>
  <c r="D35" s="1"/>
  <c r="D37" s="1"/>
  <c r="D39" s="1"/>
  <c r="D41" s="1"/>
  <c r="D43" s="1"/>
  <c r="E33"/>
  <c r="E35" s="1"/>
  <c r="E37" s="1"/>
  <c r="E39" s="1"/>
  <c r="E41" s="1"/>
  <c r="E43" s="1"/>
  <c r="F33"/>
  <c r="F35" s="1"/>
  <c r="F37" s="1"/>
  <c r="F39" s="1"/>
  <c r="F41" s="1"/>
  <c r="F43" s="1"/>
  <c r="G33"/>
  <c r="G35" s="1"/>
  <c r="G37" s="1"/>
  <c r="G39" s="1"/>
  <c r="G41" s="1"/>
  <c r="G43" s="1"/>
  <c r="H33"/>
  <c r="H35" s="1"/>
  <c r="H37" s="1"/>
  <c r="H39" s="1"/>
  <c r="H41" s="1"/>
  <c r="H43" s="1"/>
  <c r="I33"/>
  <c r="I35" s="1"/>
  <c r="I37" s="1"/>
  <c r="I39" s="1"/>
  <c r="I41" s="1"/>
  <c r="I43" s="1"/>
  <c r="J33"/>
  <c r="J35" s="1"/>
  <c r="J37" s="1"/>
  <c r="J39" s="1"/>
  <c r="J41" s="1"/>
  <c r="J43" s="1"/>
  <c r="K33"/>
  <c r="K35" s="1"/>
  <c r="K37" s="1"/>
  <c r="K39" s="1"/>
  <c r="K41" s="1"/>
  <c r="K43" s="1"/>
  <c r="L33"/>
  <c r="L35" s="1"/>
  <c r="L37" s="1"/>
  <c r="L39" s="1"/>
  <c r="L41" s="1"/>
  <c r="L43" s="1"/>
  <c r="M33"/>
  <c r="M35" s="1"/>
  <c r="M37" s="1"/>
  <c r="M39" s="1"/>
  <c r="M41" s="1"/>
  <c r="M43" s="1"/>
  <c r="N33"/>
  <c r="N35" s="1"/>
  <c r="N37" s="1"/>
  <c r="N39" s="1"/>
  <c r="N41" s="1"/>
  <c r="N43" s="1"/>
  <c r="O33"/>
  <c r="O35" s="1"/>
  <c r="O37" s="1"/>
  <c r="O39" s="1"/>
  <c r="O41" s="1"/>
  <c r="O43" s="1"/>
  <c r="P33"/>
  <c r="P35" s="1"/>
  <c r="P37" s="1"/>
  <c r="P39" s="1"/>
  <c r="P41" s="1"/>
  <c r="P43" s="1"/>
  <c r="Q33"/>
  <c r="Q35" s="1"/>
  <c r="Q37" s="1"/>
  <c r="Q39" s="1"/>
  <c r="Q41" s="1"/>
  <c r="Q43" s="1"/>
  <c r="R33"/>
  <c r="R35" s="1"/>
  <c r="R37" s="1"/>
  <c r="R39" s="1"/>
  <c r="R41" s="1"/>
  <c r="R43" s="1"/>
  <c r="S33"/>
  <c r="S35" s="1"/>
  <c r="S37" s="1"/>
  <c r="S39" s="1"/>
  <c r="S41" s="1"/>
  <c r="S43" s="1"/>
  <c r="T33"/>
  <c r="T35" s="1"/>
  <c r="T37" s="1"/>
  <c r="T39" s="1"/>
  <c r="T41" s="1"/>
  <c r="T43" s="1"/>
  <c r="U33"/>
  <c r="U35" s="1"/>
  <c r="U37" s="1"/>
  <c r="U39" s="1"/>
  <c r="U41" s="1"/>
  <c r="U43" s="1"/>
  <c r="V33"/>
  <c r="V35" s="1"/>
  <c r="V37" s="1"/>
  <c r="V39" s="1"/>
  <c r="V41" s="1"/>
  <c r="V43" s="1"/>
  <c r="W33"/>
  <c r="W35" s="1"/>
  <c r="W37" s="1"/>
  <c r="W39" s="1"/>
  <c r="W41" s="1"/>
  <c r="W43" s="1"/>
  <c r="X33"/>
  <c r="X35" s="1"/>
  <c r="X37" s="1"/>
  <c r="X39" s="1"/>
  <c r="X41" s="1"/>
  <c r="X43" s="1"/>
  <c r="Y33"/>
  <c r="Y35" s="1"/>
  <c r="Y37" s="1"/>
  <c r="Y39" s="1"/>
  <c r="Y41" s="1"/>
  <c r="Y43" s="1"/>
  <c r="Z33"/>
  <c r="Z35" s="1"/>
  <c r="Z37" s="1"/>
  <c r="Z39" s="1"/>
  <c r="Z41" s="1"/>
  <c r="Z43" s="1"/>
  <c r="AA33"/>
  <c r="AA35" s="1"/>
  <c r="AA37" s="1"/>
  <c r="AA39" s="1"/>
  <c r="AA41" s="1"/>
  <c r="AA43" s="1"/>
  <c r="AB33"/>
  <c r="AB35" s="1"/>
  <c r="AB37" s="1"/>
  <c r="AB39" s="1"/>
  <c r="AB41" s="1"/>
  <c r="AB43" s="1"/>
  <c r="AC33"/>
  <c r="AC35" s="1"/>
  <c r="AC37" s="1"/>
  <c r="AC39" s="1"/>
  <c r="AC41" s="1"/>
  <c r="AC43" s="1"/>
  <c r="AD33"/>
  <c r="AD35" s="1"/>
  <c r="AD37" s="1"/>
  <c r="AD39" s="1"/>
  <c r="AD41" s="1"/>
  <c r="AD43" s="1"/>
  <c r="AE33"/>
  <c r="AE35" s="1"/>
  <c r="AE37" s="1"/>
  <c r="AE39" s="1"/>
  <c r="AE41" s="1"/>
  <c r="AE43" s="1"/>
  <c r="AF33"/>
  <c r="AF35" s="1"/>
  <c r="AF37" s="1"/>
  <c r="AF39" s="1"/>
  <c r="AF41" s="1"/>
  <c r="AF43" s="1"/>
  <c r="M17" i="2"/>
  <c r="M52"/>
  <c r="M230"/>
  <c r="M267"/>
  <c r="M15"/>
  <c r="M50"/>
  <c r="M228"/>
  <c r="M265"/>
  <c r="N71"/>
  <c r="P5"/>
  <c r="P787"/>
  <c r="P393" s="1"/>
  <c r="P528" s="1"/>
  <c r="P785"/>
  <c r="P391" s="1"/>
  <c r="P526" s="1"/>
  <c r="P783"/>
  <c r="P389" s="1"/>
  <c r="P524" s="1"/>
  <c r="P781"/>
  <c r="P387" s="1"/>
  <c r="P522" s="1"/>
  <c r="P779"/>
  <c r="P385" s="1"/>
  <c r="P520" s="1"/>
  <c r="P755"/>
  <c r="P367" s="1"/>
  <c r="P502" s="1"/>
  <c r="P788"/>
  <c r="P394" s="1"/>
  <c r="P529" s="1"/>
  <c r="P786"/>
  <c r="P392" s="1"/>
  <c r="P527" s="1"/>
  <c r="P784"/>
  <c r="P390" s="1"/>
  <c r="P525" s="1"/>
  <c r="P782"/>
  <c r="P388" s="1"/>
  <c r="P523" s="1"/>
  <c r="P780"/>
  <c r="P386" s="1"/>
  <c r="P521" s="1"/>
  <c r="P756"/>
  <c r="P368" s="1"/>
  <c r="P503" s="1"/>
  <c r="P753"/>
  <c r="P365" s="1"/>
  <c r="P500" s="1"/>
  <c r="P751"/>
  <c r="P363" s="1"/>
  <c r="P498" s="1"/>
  <c r="P749"/>
  <c r="P361" s="1"/>
  <c r="P496" s="1"/>
  <c r="P747"/>
  <c r="P359" s="1"/>
  <c r="P494" s="1"/>
  <c r="P723"/>
  <c r="P342" s="1"/>
  <c r="P476" s="1"/>
  <c r="P721"/>
  <c r="P719"/>
  <c r="P338" s="1"/>
  <c r="P472" s="1"/>
  <c r="P717"/>
  <c r="P715"/>
  <c r="P334" s="1"/>
  <c r="P468" s="1"/>
  <c r="P794"/>
  <c r="P797"/>
  <c r="P799"/>
  <c r="P754"/>
  <c r="P366" s="1"/>
  <c r="P501" s="1"/>
  <c r="P752"/>
  <c r="P364" s="1"/>
  <c r="P499" s="1"/>
  <c r="P748"/>
  <c r="P360" s="1"/>
  <c r="P495" s="1"/>
  <c r="P724"/>
  <c r="P343" s="1"/>
  <c r="P477" s="1"/>
  <c r="P720"/>
  <c r="P339" s="1"/>
  <c r="P473" s="1"/>
  <c r="P750"/>
  <c r="P362" s="1"/>
  <c r="P497" s="1"/>
  <c r="P722"/>
  <c r="P718"/>
  <c r="P337" s="1"/>
  <c r="P471" s="1"/>
  <c r="P793"/>
  <c r="P798"/>
  <c r="P796"/>
  <c r="P762"/>
  <c r="P764"/>
  <c r="P766"/>
  <c r="P768"/>
  <c r="P716"/>
  <c r="P335" s="1"/>
  <c r="P469" s="1"/>
  <c r="P800"/>
  <c r="P761"/>
  <c r="P763"/>
  <c r="P765"/>
  <c r="P767"/>
  <c r="P792"/>
  <c r="O757"/>
  <c r="O742" s="1"/>
  <c r="O69" s="1"/>
  <c r="O789"/>
  <c r="O774" s="1"/>
  <c r="O70" s="1"/>
  <c r="J8" i="1"/>
  <c r="C33" i="2"/>
  <c r="C35" s="1"/>
  <c r="C37" s="1"/>
  <c r="C39" s="1"/>
  <c r="C41" s="1"/>
  <c r="C43" s="1"/>
  <c r="D33"/>
  <c r="D35" s="1"/>
  <c r="D37" s="1"/>
  <c r="D39" s="1"/>
  <c r="D41" s="1"/>
  <c r="D43" s="1"/>
  <c r="D672" s="1"/>
  <c r="E33"/>
  <c r="E35" s="1"/>
  <c r="E37" s="1"/>
  <c r="E39" s="1"/>
  <c r="E41" s="1"/>
  <c r="E43" s="1"/>
  <c r="F33"/>
  <c r="F35" s="1"/>
  <c r="F37" s="1"/>
  <c r="F39" s="1"/>
  <c r="F41" s="1"/>
  <c r="F43" s="1"/>
  <c r="G33"/>
  <c r="G35" s="1"/>
  <c r="G37" s="1"/>
  <c r="G39" s="1"/>
  <c r="G41" s="1"/>
  <c r="G43" s="1"/>
  <c r="H33"/>
  <c r="H35" s="1"/>
  <c r="H37" s="1"/>
  <c r="H39" s="1"/>
  <c r="H41" s="1"/>
  <c r="H43" s="1"/>
  <c r="I33"/>
  <c r="I35" s="1"/>
  <c r="I37" s="1"/>
  <c r="I39" s="1"/>
  <c r="I41" s="1"/>
  <c r="I43" s="1"/>
  <c r="J33"/>
  <c r="J35" s="1"/>
  <c r="J37" s="1"/>
  <c r="J39" s="1"/>
  <c r="J41" s="1"/>
  <c r="J43" s="1"/>
  <c r="K33"/>
  <c r="K35" s="1"/>
  <c r="K37" s="1"/>
  <c r="K39" s="1"/>
  <c r="K41" s="1"/>
  <c r="K43" s="1"/>
  <c r="L33"/>
  <c r="L35" s="1"/>
  <c r="L37" s="1"/>
  <c r="L39" s="1"/>
  <c r="L41" s="1"/>
  <c r="L43" s="1"/>
  <c r="M33"/>
  <c r="M35" s="1"/>
  <c r="M37" s="1"/>
  <c r="M39" s="1"/>
  <c r="M41" s="1"/>
  <c r="N33"/>
  <c r="N35" s="1"/>
  <c r="N37" s="1"/>
  <c r="N39" s="1"/>
  <c r="P727"/>
  <c r="P33"/>
  <c r="P35" s="1"/>
  <c r="P37" s="1"/>
  <c r="P39" s="1"/>
  <c r="P617"/>
  <c r="P618" s="1"/>
  <c r="P623"/>
  <c r="P624" s="1"/>
  <c r="P697"/>
  <c r="P699"/>
  <c r="P671"/>
  <c r="P675"/>
  <c r="P670"/>
  <c r="P684"/>
  <c r="P55" s="1"/>
  <c r="P674"/>
  <c r="P685" s="1"/>
  <c r="O699" s="1"/>
  <c r="Q11"/>
  <c r="P312"/>
  <c r="P314"/>
  <c r="P316"/>
  <c r="P445"/>
  <c r="P464" s="1"/>
  <c r="P446"/>
  <c r="P447"/>
  <c r="P448"/>
  <c r="P449"/>
  <c r="P450"/>
  <c r="P690"/>
  <c r="P311"/>
  <c r="P315"/>
  <c r="P313"/>
  <c r="N117"/>
  <c r="P19"/>
  <c r="M116"/>
  <c r="P730"/>
  <c r="P731"/>
  <c r="P732"/>
  <c r="P733"/>
  <c r="P734"/>
  <c r="P735"/>
  <c r="P736"/>
  <c r="P729"/>
  <c r="M105"/>
  <c r="O330"/>
  <c r="P463"/>
  <c r="P329"/>
  <c r="O705"/>
  <c r="P702" s="1"/>
  <c r="P336"/>
  <c r="P470" s="1"/>
  <c r="P340"/>
  <c r="P474" s="1"/>
  <c r="P341"/>
  <c r="P475" s="1"/>
  <c r="P704"/>
  <c r="O725"/>
  <c r="O710" s="1"/>
  <c r="O68" s="1"/>
  <c r="D162" i="1"/>
  <c r="B91" i="10" s="1"/>
  <c r="B162" i="1"/>
  <c r="C162"/>
  <c r="E162"/>
  <c r="B76" i="7" s="1"/>
  <c r="N619" i="2"/>
  <c r="N620" s="1"/>
  <c r="N103" s="1"/>
  <c r="N625"/>
  <c r="N626" s="1"/>
  <c r="N104" s="1"/>
  <c r="P40"/>
  <c r="B601"/>
  <c r="B605" s="1"/>
  <c r="B566"/>
  <c r="B570" s="1"/>
  <c r="E555" s="1"/>
  <c r="P23"/>
  <c r="P26"/>
  <c r="P30"/>
  <c r="C636"/>
  <c r="C215" s="1"/>
  <c r="B430"/>
  <c r="B296"/>
  <c r="B148" s="1"/>
  <c r="C637"/>
  <c r="C253" s="1"/>
  <c r="B431"/>
  <c r="C639"/>
  <c r="C255" s="1"/>
  <c r="B299"/>
  <c r="L268"/>
  <c r="L269" s="1"/>
  <c r="M264"/>
  <c r="M227"/>
  <c r="M266"/>
  <c r="M229"/>
  <c r="L231"/>
  <c r="L232" s="1"/>
  <c r="M666"/>
  <c r="N659"/>
  <c r="N660" s="1"/>
  <c r="N51" s="1"/>
  <c r="N663"/>
  <c r="N664" s="1"/>
  <c r="N655"/>
  <c r="N656" s="1"/>
  <c r="N651"/>
  <c r="N652" s="1"/>
  <c r="P698"/>
  <c r="P688"/>
  <c r="B129" i="1"/>
  <c r="O27" i="2"/>
  <c r="O10"/>
  <c r="O12" s="1"/>
  <c r="Q2"/>
  <c r="P25"/>
  <c r="N29"/>
  <c r="N31" s="1"/>
  <c r="L672" l="1"/>
  <c r="L685" s="1"/>
  <c r="K672"/>
  <c r="K685" s="1"/>
  <c r="G672"/>
  <c r="G685" s="1"/>
  <c r="C672"/>
  <c r="C685" s="1"/>
  <c r="I672"/>
  <c r="I685" s="1"/>
  <c r="H672"/>
  <c r="H685" s="1"/>
  <c r="E672"/>
  <c r="E685" s="1"/>
  <c r="J672"/>
  <c r="J685" s="1"/>
  <c r="F672"/>
  <c r="F685" s="1"/>
  <c r="C254"/>
  <c r="C141" i="7"/>
  <c r="B93" i="10"/>
  <c r="B139"/>
  <c r="B151" s="1"/>
  <c r="C215" i="8"/>
  <c r="M18" i="2"/>
  <c r="M20" s="1"/>
  <c r="M43" s="1"/>
  <c r="M53"/>
  <c r="N49"/>
  <c r="N14"/>
  <c r="AF39" i="10"/>
  <c r="AF279" s="1"/>
  <c r="AF297" s="1"/>
  <c r="AD39"/>
  <c r="AD279" s="1"/>
  <c r="AD297" s="1"/>
  <c r="AB39"/>
  <c r="AB279" s="1"/>
  <c r="AB297" s="1"/>
  <c r="Z39"/>
  <c r="Z279" s="1"/>
  <c r="Z297" s="1"/>
  <c r="X39"/>
  <c r="X279" s="1"/>
  <c r="X297" s="1"/>
  <c r="V39"/>
  <c r="V279" s="1"/>
  <c r="V297" s="1"/>
  <c r="T39"/>
  <c r="T279" s="1"/>
  <c r="T297" s="1"/>
  <c r="R39"/>
  <c r="R279" s="1"/>
  <c r="R297" s="1"/>
  <c r="P39"/>
  <c r="P279" s="1"/>
  <c r="P297" s="1"/>
  <c r="N39"/>
  <c r="N279" s="1"/>
  <c r="N297" s="1"/>
  <c r="L39"/>
  <c r="L279" s="1"/>
  <c r="L297" s="1"/>
  <c r="J39"/>
  <c r="J279" s="1"/>
  <c r="J297" s="1"/>
  <c r="H39"/>
  <c r="H279" s="1"/>
  <c r="H297" s="1"/>
  <c r="F39"/>
  <c r="F279" s="1"/>
  <c r="F297" s="1"/>
  <c r="D39"/>
  <c r="D279" s="1"/>
  <c r="D297" s="1"/>
  <c r="AE39"/>
  <c r="AE279" s="1"/>
  <c r="AE297" s="1"/>
  <c r="AC39"/>
  <c r="AC279" s="1"/>
  <c r="AC297" s="1"/>
  <c r="AA39"/>
  <c r="AA279" s="1"/>
  <c r="AA297" s="1"/>
  <c r="Y39"/>
  <c r="Y279" s="1"/>
  <c r="Y297" s="1"/>
  <c r="W39"/>
  <c r="W279" s="1"/>
  <c r="W297" s="1"/>
  <c r="U39"/>
  <c r="U279" s="1"/>
  <c r="U297" s="1"/>
  <c r="S39"/>
  <c r="S279" s="1"/>
  <c r="S297" s="1"/>
  <c r="Q39"/>
  <c r="Q279" s="1"/>
  <c r="Q297" s="1"/>
  <c r="O39"/>
  <c r="O279" s="1"/>
  <c r="O297" s="1"/>
  <c r="M39"/>
  <c r="M279" s="1"/>
  <c r="M297" s="1"/>
  <c r="K39"/>
  <c r="K279" s="1"/>
  <c r="K297" s="1"/>
  <c r="I39"/>
  <c r="I279" s="1"/>
  <c r="I297" s="1"/>
  <c r="G39"/>
  <c r="G279" s="1"/>
  <c r="G297" s="1"/>
  <c r="E39"/>
  <c r="E279" s="1"/>
  <c r="E297" s="1"/>
  <c r="C39"/>
  <c r="C279" s="1"/>
  <c r="C297" s="1"/>
  <c r="C253" i="8"/>
  <c r="J49" i="10"/>
  <c r="J275" s="1"/>
  <c r="J293" s="1"/>
  <c r="C232"/>
  <c r="K718"/>
  <c r="K721" s="1"/>
  <c r="J814"/>
  <c r="K815" s="1"/>
  <c r="C261"/>
  <c r="B68" i="8"/>
  <c r="B70" s="1"/>
  <c r="I674"/>
  <c r="I677" s="1"/>
  <c r="H770"/>
  <c r="B78" i="7"/>
  <c r="AE237" i="8"/>
  <c r="AE202"/>
  <c r="AE47"/>
  <c r="AC237"/>
  <c r="AC202"/>
  <c r="AC47"/>
  <c r="AA237"/>
  <c r="AA202"/>
  <c r="AA47"/>
  <c r="Y237"/>
  <c r="Y202"/>
  <c r="Y47"/>
  <c r="W237"/>
  <c r="W202"/>
  <c r="W47"/>
  <c r="U237"/>
  <c r="U202"/>
  <c r="U47"/>
  <c r="S237"/>
  <c r="S202"/>
  <c r="S47"/>
  <c r="Q237"/>
  <c r="Q202"/>
  <c r="Q47"/>
  <c r="O237"/>
  <c r="O202"/>
  <c r="O47"/>
  <c r="M237"/>
  <c r="M202"/>
  <c r="M47"/>
  <c r="K237"/>
  <c r="K202"/>
  <c r="K47"/>
  <c r="I237"/>
  <c r="I202"/>
  <c r="I47"/>
  <c r="G237"/>
  <c r="G202"/>
  <c r="G47"/>
  <c r="E237"/>
  <c r="E202"/>
  <c r="E47"/>
  <c r="C237"/>
  <c r="C202"/>
  <c r="C47"/>
  <c r="C638"/>
  <c r="C250"/>
  <c r="C214"/>
  <c r="C218" s="1"/>
  <c r="C231" s="1"/>
  <c r="AF237"/>
  <c r="AF202"/>
  <c r="AF47"/>
  <c r="AD237"/>
  <c r="AD202"/>
  <c r="AD47"/>
  <c r="AB237"/>
  <c r="AB202"/>
  <c r="AB47"/>
  <c r="Z237"/>
  <c r="Z202"/>
  <c r="Z47"/>
  <c r="X237"/>
  <c r="X202"/>
  <c r="X47"/>
  <c r="V237"/>
  <c r="V202"/>
  <c r="V47"/>
  <c r="T237"/>
  <c r="T202"/>
  <c r="T47"/>
  <c r="R237"/>
  <c r="R202"/>
  <c r="R47"/>
  <c r="P237"/>
  <c r="P202"/>
  <c r="P47"/>
  <c r="N237"/>
  <c r="N202"/>
  <c r="N47"/>
  <c r="L237"/>
  <c r="L202"/>
  <c r="L47"/>
  <c r="J237"/>
  <c r="J202"/>
  <c r="J47"/>
  <c r="H237"/>
  <c r="H202"/>
  <c r="H47"/>
  <c r="F237"/>
  <c r="F202"/>
  <c r="F47"/>
  <c r="D237"/>
  <c r="D202"/>
  <c r="D47"/>
  <c r="V614" i="7"/>
  <c r="T614"/>
  <c r="R614"/>
  <c r="P614"/>
  <c r="U614"/>
  <c r="S614"/>
  <c r="Q614"/>
  <c r="O614"/>
  <c r="N614"/>
  <c r="L614"/>
  <c r="J614"/>
  <c r="H614"/>
  <c r="F614"/>
  <c r="D614"/>
  <c r="M614"/>
  <c r="K614"/>
  <c r="I614"/>
  <c r="G614"/>
  <c r="E614"/>
  <c r="C614"/>
  <c r="AE164"/>
  <c r="AE128"/>
  <c r="AE47"/>
  <c r="AC164"/>
  <c r="AC128"/>
  <c r="AC47"/>
  <c r="AA164"/>
  <c r="AA128"/>
  <c r="AA47"/>
  <c r="Y164"/>
  <c r="Y128"/>
  <c r="Y47"/>
  <c r="W164"/>
  <c r="W128"/>
  <c r="W47"/>
  <c r="U164"/>
  <c r="U128"/>
  <c r="U47"/>
  <c r="S164"/>
  <c r="S128"/>
  <c r="S47"/>
  <c r="Q164"/>
  <c r="Q128"/>
  <c r="Q47"/>
  <c r="O164"/>
  <c r="O128"/>
  <c r="O47"/>
  <c r="M164"/>
  <c r="M128"/>
  <c r="M47"/>
  <c r="K164"/>
  <c r="K128"/>
  <c r="K47"/>
  <c r="I164"/>
  <c r="I128"/>
  <c r="I47"/>
  <c r="G164"/>
  <c r="G128"/>
  <c r="G47"/>
  <c r="E164"/>
  <c r="E128"/>
  <c r="E47"/>
  <c r="C164"/>
  <c r="C128"/>
  <c r="C47"/>
  <c r="C181"/>
  <c r="C144"/>
  <c r="C180"/>
  <c r="C143"/>
  <c r="C179"/>
  <c r="C142"/>
  <c r="C566"/>
  <c r="AF164"/>
  <c r="AF128"/>
  <c r="AF47"/>
  <c r="AD164"/>
  <c r="AD128"/>
  <c r="AD47"/>
  <c r="AB164"/>
  <c r="AB128"/>
  <c r="AB47"/>
  <c r="Z164"/>
  <c r="Z128"/>
  <c r="Z47"/>
  <c r="X164"/>
  <c r="X128"/>
  <c r="X47"/>
  <c r="V164"/>
  <c r="V128"/>
  <c r="V47"/>
  <c r="T164"/>
  <c r="T128"/>
  <c r="T47"/>
  <c r="R164"/>
  <c r="R128"/>
  <c r="R47"/>
  <c r="P164"/>
  <c r="P128"/>
  <c r="P47"/>
  <c r="N164"/>
  <c r="N128"/>
  <c r="N47"/>
  <c r="L164"/>
  <c r="L128"/>
  <c r="L47"/>
  <c r="J164"/>
  <c r="J128"/>
  <c r="J47"/>
  <c r="H164"/>
  <c r="H128"/>
  <c r="H47"/>
  <c r="F164"/>
  <c r="F128"/>
  <c r="F47"/>
  <c r="D164"/>
  <c r="D128"/>
  <c r="D47"/>
  <c r="S634"/>
  <c r="S637" s="1"/>
  <c r="N15" i="2"/>
  <c r="N50"/>
  <c r="N228"/>
  <c r="N265"/>
  <c r="N17"/>
  <c r="N52"/>
  <c r="N230"/>
  <c r="N267"/>
  <c r="O71"/>
  <c r="Q5"/>
  <c r="Q788"/>
  <c r="Q394" s="1"/>
  <c r="Q529" s="1"/>
  <c r="Q786"/>
  <c r="Q392" s="1"/>
  <c r="Q527" s="1"/>
  <c r="Q784"/>
  <c r="Q390" s="1"/>
  <c r="Q525" s="1"/>
  <c r="Q782"/>
  <c r="Q388" s="1"/>
  <c r="Q523" s="1"/>
  <c r="Q780"/>
  <c r="Q386" s="1"/>
  <c r="Q521" s="1"/>
  <c r="Q756"/>
  <c r="Q368" s="1"/>
  <c r="Q503" s="1"/>
  <c r="Q754"/>
  <c r="Q366" s="1"/>
  <c r="Q501" s="1"/>
  <c r="Q787"/>
  <c r="Q393" s="1"/>
  <c r="Q528" s="1"/>
  <c r="Q785"/>
  <c r="Q391" s="1"/>
  <c r="Q526" s="1"/>
  <c r="Q783"/>
  <c r="Q389" s="1"/>
  <c r="Q524" s="1"/>
  <c r="Q781"/>
  <c r="Q387" s="1"/>
  <c r="Q522" s="1"/>
  <c r="Q779"/>
  <c r="Q385" s="1"/>
  <c r="Q520" s="1"/>
  <c r="Q755"/>
  <c r="Q367" s="1"/>
  <c r="Q502" s="1"/>
  <c r="Q752"/>
  <c r="Q364" s="1"/>
  <c r="Q499" s="1"/>
  <c r="Q750"/>
  <c r="Q362" s="1"/>
  <c r="Q497" s="1"/>
  <c r="Q748"/>
  <c r="Q360" s="1"/>
  <c r="Q495" s="1"/>
  <c r="Q724"/>
  <c r="Q343" s="1"/>
  <c r="Q477" s="1"/>
  <c r="Q722"/>
  <c r="Q341" s="1"/>
  <c r="Q475" s="1"/>
  <c r="Q720"/>
  <c r="Q339" s="1"/>
  <c r="Q473" s="1"/>
  <c r="Q718"/>
  <c r="Q337" s="1"/>
  <c r="Q471" s="1"/>
  <c r="Q716"/>
  <c r="Q335" s="1"/>
  <c r="Q469" s="1"/>
  <c r="Q793"/>
  <c r="Q796"/>
  <c r="Q798"/>
  <c r="Q800"/>
  <c r="Q753"/>
  <c r="Q365" s="1"/>
  <c r="Q500" s="1"/>
  <c r="Q749"/>
  <c r="Q361" s="1"/>
  <c r="Q496" s="1"/>
  <c r="Q721"/>
  <c r="Q340" s="1"/>
  <c r="Q474" s="1"/>
  <c r="Q717"/>
  <c r="Q336" s="1"/>
  <c r="Q470" s="1"/>
  <c r="Q751"/>
  <c r="Q363" s="1"/>
  <c r="Q498" s="1"/>
  <c r="Q747"/>
  <c r="Q359" s="1"/>
  <c r="Q494" s="1"/>
  <c r="Q723"/>
  <c r="Q342" s="1"/>
  <c r="Q476" s="1"/>
  <c r="Q719"/>
  <c r="Q338" s="1"/>
  <c r="Q472" s="1"/>
  <c r="Q715"/>
  <c r="Q334" s="1"/>
  <c r="Q468" s="1"/>
  <c r="Q799"/>
  <c r="Q797"/>
  <c r="Q761"/>
  <c r="Q763"/>
  <c r="Q765"/>
  <c r="Q767"/>
  <c r="Q794"/>
  <c r="Q762"/>
  <c r="Q764"/>
  <c r="Q766"/>
  <c r="Q768"/>
  <c r="Q792"/>
  <c r="P757"/>
  <c r="P742" s="1"/>
  <c r="P69" s="1"/>
  <c r="P789"/>
  <c r="P774" s="1"/>
  <c r="P70" s="1"/>
  <c r="C146" i="1"/>
  <c r="D146"/>
  <c r="B54" i="10" s="1"/>
  <c r="E146" i="1"/>
  <c r="B146"/>
  <c r="N41" i="2"/>
  <c r="P689"/>
  <c r="C252"/>
  <c r="C256" s="1"/>
  <c r="C269" s="1"/>
  <c r="D47"/>
  <c r="D202"/>
  <c r="D238"/>
  <c r="D688"/>
  <c r="Q33"/>
  <c r="Q35" s="1"/>
  <c r="Q37" s="1"/>
  <c r="Q39" s="1"/>
  <c r="Q727"/>
  <c r="P61"/>
  <c r="P673"/>
  <c r="Q617"/>
  <c r="Q618" s="1"/>
  <c r="Q623"/>
  <c r="Q624" s="1"/>
  <c r="Q684"/>
  <c r="Q55" s="1"/>
  <c r="Q674"/>
  <c r="Q685" s="1"/>
  <c r="Q689" s="1"/>
  <c r="Q697"/>
  <c r="Q699"/>
  <c r="Q671"/>
  <c r="Q675"/>
  <c r="Q670"/>
  <c r="E47"/>
  <c r="H47"/>
  <c r="H673"/>
  <c r="H675" s="1"/>
  <c r="G47"/>
  <c r="F47"/>
  <c r="F673"/>
  <c r="F675" s="1"/>
  <c r="I47"/>
  <c r="C47"/>
  <c r="L47"/>
  <c r="K47"/>
  <c r="J47"/>
  <c r="R11"/>
  <c r="Q311"/>
  <c r="Q313"/>
  <c r="Q315"/>
  <c r="Q312"/>
  <c r="Q316"/>
  <c r="Q445"/>
  <c r="Q447"/>
  <c r="Q449"/>
  <c r="Q464" s="1"/>
  <c r="Q314"/>
  <c r="Q446"/>
  <c r="Q448"/>
  <c r="Q450"/>
  <c r="Q690"/>
  <c r="O117"/>
  <c r="Q19"/>
  <c r="B76"/>
  <c r="B78" s="1"/>
  <c r="N116"/>
  <c r="Q730"/>
  <c r="Q731"/>
  <c r="Q732"/>
  <c r="Q733"/>
  <c r="Q734"/>
  <c r="Q735"/>
  <c r="Q736"/>
  <c r="N105"/>
  <c r="N53"/>
  <c r="P330"/>
  <c r="Q463"/>
  <c r="Q329"/>
  <c r="P705"/>
  <c r="Q702" s="1"/>
  <c r="P62"/>
  <c r="P725"/>
  <c r="P710" s="1"/>
  <c r="P68" s="1"/>
  <c r="Q704"/>
  <c r="O619"/>
  <c r="O620" s="1"/>
  <c r="O103" s="1"/>
  <c r="O625"/>
  <c r="O626" s="1"/>
  <c r="O104" s="1"/>
  <c r="C216"/>
  <c r="B612"/>
  <c r="B613" s="1"/>
  <c r="B577"/>
  <c r="B578" s="1"/>
  <c r="C218"/>
  <c r="Q23"/>
  <c r="Q26"/>
  <c r="Q30"/>
  <c r="Q40"/>
  <c r="C640"/>
  <c r="P240"/>
  <c r="P204"/>
  <c r="B300"/>
  <c r="B434"/>
  <c r="L238"/>
  <c r="L202"/>
  <c r="L688"/>
  <c r="E238"/>
  <c r="E202"/>
  <c r="E688"/>
  <c r="H202"/>
  <c r="H238"/>
  <c r="H688"/>
  <c r="K202"/>
  <c r="K688"/>
  <c r="K238"/>
  <c r="F202"/>
  <c r="F238"/>
  <c r="F688"/>
  <c r="I238"/>
  <c r="I202"/>
  <c r="I688"/>
  <c r="C202"/>
  <c r="C238"/>
  <c r="C688"/>
  <c r="G238"/>
  <c r="G202"/>
  <c r="G688"/>
  <c r="J202"/>
  <c r="J238"/>
  <c r="J688"/>
  <c r="N266"/>
  <c r="N229"/>
  <c r="M268"/>
  <c r="M269" s="1"/>
  <c r="N264"/>
  <c r="N227"/>
  <c r="M231"/>
  <c r="M232" s="1"/>
  <c r="N666"/>
  <c r="O663"/>
  <c r="O664" s="1"/>
  <c r="O655"/>
  <c r="O656" s="1"/>
  <c r="O651"/>
  <c r="O652" s="1"/>
  <c r="O659"/>
  <c r="O660" s="1"/>
  <c r="O51" s="1"/>
  <c r="P27"/>
  <c r="Q688"/>
  <c r="Q698"/>
  <c r="O29"/>
  <c r="O31" s="1"/>
  <c r="O41" s="1"/>
  <c r="R2"/>
  <c r="Q25"/>
  <c r="P10"/>
  <c r="P12" s="1"/>
  <c r="L673" l="1"/>
  <c r="L675" s="1"/>
  <c r="I673"/>
  <c r="I675" s="1"/>
  <c r="J673"/>
  <c r="J675" s="1"/>
  <c r="K673"/>
  <c r="K675" s="1"/>
  <c r="G673"/>
  <c r="G675" s="1"/>
  <c r="E673"/>
  <c r="E675" s="1"/>
  <c r="H689"/>
  <c r="H690" s="1"/>
  <c r="G699"/>
  <c r="J689"/>
  <c r="J690" s="1"/>
  <c r="I699"/>
  <c r="B699"/>
  <c r="C689"/>
  <c r="C690" s="1"/>
  <c r="J699"/>
  <c r="K689"/>
  <c r="K690" s="1"/>
  <c r="E699"/>
  <c r="F689"/>
  <c r="F690" s="1"/>
  <c r="K699"/>
  <c r="L689"/>
  <c r="L690" s="1"/>
  <c r="D699"/>
  <c r="E689"/>
  <c r="E690" s="1"/>
  <c r="H699"/>
  <c r="I689"/>
  <c r="I690" s="1"/>
  <c r="G689"/>
  <c r="G690" s="1"/>
  <c r="F699"/>
  <c r="C254" i="8"/>
  <c r="C267" s="1"/>
  <c r="D42" i="10"/>
  <c r="D44" s="1"/>
  <c r="D48" s="1"/>
  <c r="D50" s="1"/>
  <c r="Q42"/>
  <c r="Q44" s="1"/>
  <c r="Q48" s="1"/>
  <c r="T42"/>
  <c r="T44" s="1"/>
  <c r="T48" s="1"/>
  <c r="I42"/>
  <c r="I44" s="1"/>
  <c r="I48" s="1"/>
  <c r="I50" s="1"/>
  <c r="Y42"/>
  <c r="Y44" s="1"/>
  <c r="Y48" s="1"/>
  <c r="L42"/>
  <c r="L44" s="1"/>
  <c r="L48" s="1"/>
  <c r="AB42"/>
  <c r="AB44" s="1"/>
  <c r="O49" i="2"/>
  <c r="O14"/>
  <c r="E42" i="10"/>
  <c r="E44" s="1"/>
  <c r="M42"/>
  <c r="M44" s="1"/>
  <c r="U42"/>
  <c r="U44" s="1"/>
  <c r="AC42"/>
  <c r="AC44" s="1"/>
  <c r="AC48" s="1"/>
  <c r="H42"/>
  <c r="H44" s="1"/>
  <c r="H48" s="1"/>
  <c r="H50" s="1"/>
  <c r="P42"/>
  <c r="P44" s="1"/>
  <c r="P48" s="1"/>
  <c r="X42"/>
  <c r="X44" s="1"/>
  <c r="X48" s="1"/>
  <c r="AF42"/>
  <c r="AF44" s="1"/>
  <c r="AF48" s="1"/>
  <c r="C268"/>
  <c r="C42"/>
  <c r="C44" s="1"/>
  <c r="C48" s="1"/>
  <c r="G42"/>
  <c r="G44" s="1"/>
  <c r="G48" s="1"/>
  <c r="G50" s="1"/>
  <c r="K42"/>
  <c r="K44" s="1"/>
  <c r="K48" s="1"/>
  <c r="O42"/>
  <c r="O44" s="1"/>
  <c r="O48" s="1"/>
  <c r="S42"/>
  <c r="S44" s="1"/>
  <c r="S48" s="1"/>
  <c r="W42"/>
  <c r="W44" s="1"/>
  <c r="W48" s="1"/>
  <c r="AA42"/>
  <c r="AA44" s="1"/>
  <c r="AA48" s="1"/>
  <c r="AE42"/>
  <c r="AE44" s="1"/>
  <c r="AE48" s="1"/>
  <c r="F42"/>
  <c r="F44" s="1"/>
  <c r="F48" s="1"/>
  <c r="F50" s="1"/>
  <c r="J42"/>
  <c r="J44" s="1"/>
  <c r="N42"/>
  <c r="N44" s="1"/>
  <c r="N48" s="1"/>
  <c r="R42"/>
  <c r="R44" s="1"/>
  <c r="V42"/>
  <c r="V44" s="1"/>
  <c r="V48" s="1"/>
  <c r="Z42"/>
  <c r="Z44" s="1"/>
  <c r="AD42"/>
  <c r="AD44" s="1"/>
  <c r="AD48" s="1"/>
  <c r="C239"/>
  <c r="AB48"/>
  <c r="L718"/>
  <c r="L721" s="1"/>
  <c r="K814"/>
  <c r="L815" s="1"/>
  <c r="K49"/>
  <c r="J674" i="8"/>
  <c r="J677" s="1"/>
  <c r="I770"/>
  <c r="C182" i="7"/>
  <c r="C195" s="1"/>
  <c r="O611"/>
  <c r="O599"/>
  <c r="O601" s="1"/>
  <c r="Q611"/>
  <c r="Q599"/>
  <c r="Q601" s="1"/>
  <c r="S611"/>
  <c r="S599"/>
  <c r="S601" s="1"/>
  <c r="U611"/>
  <c r="U599"/>
  <c r="U601" s="1"/>
  <c r="P599"/>
  <c r="P601" s="1"/>
  <c r="P611"/>
  <c r="R611"/>
  <c r="R599"/>
  <c r="R601" s="1"/>
  <c r="T599"/>
  <c r="T601" s="1"/>
  <c r="T611"/>
  <c r="V611"/>
  <c r="V599"/>
  <c r="V601" s="1"/>
  <c r="C145"/>
  <c r="C158" s="1"/>
  <c r="M611"/>
  <c r="L625" s="1"/>
  <c r="M599"/>
  <c r="M601" s="1"/>
  <c r="N611"/>
  <c r="N599"/>
  <c r="N601" s="1"/>
  <c r="T634"/>
  <c r="T637" s="1"/>
  <c r="D599"/>
  <c r="D601" s="1"/>
  <c r="D611"/>
  <c r="C625" s="1"/>
  <c r="F599"/>
  <c r="F601" s="1"/>
  <c r="F611"/>
  <c r="E625" s="1"/>
  <c r="H599"/>
  <c r="H601" s="1"/>
  <c r="H611"/>
  <c r="G625" s="1"/>
  <c r="J611"/>
  <c r="I625" s="1"/>
  <c r="J599"/>
  <c r="J601" s="1"/>
  <c r="L599"/>
  <c r="L601" s="1"/>
  <c r="L611"/>
  <c r="K625" s="1"/>
  <c r="B598"/>
  <c r="C611"/>
  <c r="B625" s="1"/>
  <c r="B623" s="1"/>
  <c r="C599"/>
  <c r="C601" s="1"/>
  <c r="E599"/>
  <c r="E601" s="1"/>
  <c r="E611"/>
  <c r="D625" s="1"/>
  <c r="I611"/>
  <c r="H625" s="1"/>
  <c r="I599"/>
  <c r="I601" s="1"/>
  <c r="K611"/>
  <c r="J625" s="1"/>
  <c r="K599"/>
  <c r="K601" s="1"/>
  <c r="B614"/>
  <c r="G599"/>
  <c r="G601" s="1"/>
  <c r="G611"/>
  <c r="F625" s="1"/>
  <c r="B149" i="1"/>
  <c r="B154" s="1"/>
  <c r="B155" s="1"/>
  <c r="B52" i="8" s="1"/>
  <c r="N18" i="2"/>
  <c r="N20" s="1"/>
  <c r="N43" s="1"/>
  <c r="O15"/>
  <c r="O50"/>
  <c r="O228"/>
  <c r="O265"/>
  <c r="O17"/>
  <c r="O52"/>
  <c r="O230"/>
  <c r="O267"/>
  <c r="P71"/>
  <c r="Q789"/>
  <c r="Q774" s="1"/>
  <c r="Q70" s="1"/>
  <c r="R5"/>
  <c r="R787"/>
  <c r="R393" s="1"/>
  <c r="R528" s="1"/>
  <c r="R785"/>
  <c r="R391" s="1"/>
  <c r="R526" s="1"/>
  <c r="R783"/>
  <c r="R389" s="1"/>
  <c r="R524" s="1"/>
  <c r="R781"/>
  <c r="R387" s="1"/>
  <c r="R522" s="1"/>
  <c r="R779"/>
  <c r="R385" s="1"/>
  <c r="R520" s="1"/>
  <c r="R755"/>
  <c r="R367" s="1"/>
  <c r="R502" s="1"/>
  <c r="R788"/>
  <c r="R394" s="1"/>
  <c r="R529" s="1"/>
  <c r="R786"/>
  <c r="R392" s="1"/>
  <c r="R527" s="1"/>
  <c r="R784"/>
  <c r="R390" s="1"/>
  <c r="R525" s="1"/>
  <c r="R782"/>
  <c r="R388" s="1"/>
  <c r="R523" s="1"/>
  <c r="R780"/>
  <c r="R386" s="1"/>
  <c r="R521" s="1"/>
  <c r="R756"/>
  <c r="R368" s="1"/>
  <c r="R503" s="1"/>
  <c r="R754"/>
  <c r="R366" s="1"/>
  <c r="R501" s="1"/>
  <c r="R753"/>
  <c r="R365" s="1"/>
  <c r="R500" s="1"/>
  <c r="R751"/>
  <c r="R363" s="1"/>
  <c r="R498" s="1"/>
  <c r="R749"/>
  <c r="R361" s="1"/>
  <c r="R496" s="1"/>
  <c r="R747"/>
  <c r="R359" s="1"/>
  <c r="R494" s="1"/>
  <c r="R723"/>
  <c r="R342" s="1"/>
  <c r="R476" s="1"/>
  <c r="R721"/>
  <c r="R340" s="1"/>
  <c r="R474" s="1"/>
  <c r="R719"/>
  <c r="R338" s="1"/>
  <c r="R472" s="1"/>
  <c r="R717"/>
  <c r="R336" s="1"/>
  <c r="R470" s="1"/>
  <c r="R715"/>
  <c r="R334" s="1"/>
  <c r="R468" s="1"/>
  <c r="R794"/>
  <c r="R795"/>
  <c r="R797"/>
  <c r="R799"/>
  <c r="R750"/>
  <c r="R362" s="1"/>
  <c r="R497" s="1"/>
  <c r="R722"/>
  <c r="R341" s="1"/>
  <c r="R475" s="1"/>
  <c r="R718"/>
  <c r="R337" s="1"/>
  <c r="R471" s="1"/>
  <c r="R752"/>
  <c r="R364" s="1"/>
  <c r="R499" s="1"/>
  <c r="R748"/>
  <c r="R360" s="1"/>
  <c r="R495" s="1"/>
  <c r="R724"/>
  <c r="R343" s="1"/>
  <c r="R477" s="1"/>
  <c r="R720"/>
  <c r="R339" s="1"/>
  <c r="R473" s="1"/>
  <c r="R716"/>
  <c r="R335" s="1"/>
  <c r="R469" s="1"/>
  <c r="R800"/>
  <c r="R798"/>
  <c r="R762"/>
  <c r="R764"/>
  <c r="R766"/>
  <c r="R768"/>
  <c r="R793"/>
  <c r="R759"/>
  <c r="R761"/>
  <c r="R763"/>
  <c r="R765"/>
  <c r="R767"/>
  <c r="Q757"/>
  <c r="Q742" s="1"/>
  <c r="Q69" s="1"/>
  <c r="Q61"/>
  <c r="Q673"/>
  <c r="D685"/>
  <c r="D673"/>
  <c r="D675" s="1"/>
  <c r="R727"/>
  <c r="R33"/>
  <c r="R35" s="1"/>
  <c r="R37" s="1"/>
  <c r="R39" s="1"/>
  <c r="R617"/>
  <c r="R618" s="1"/>
  <c r="R623"/>
  <c r="R624" s="1"/>
  <c r="R697"/>
  <c r="R699"/>
  <c r="R671"/>
  <c r="R675"/>
  <c r="R670"/>
  <c r="R684"/>
  <c r="R55" s="1"/>
  <c r="R674"/>
  <c r="R685" s="1"/>
  <c r="R689" s="1"/>
  <c r="M238"/>
  <c r="C673"/>
  <c r="C675" s="1"/>
  <c r="S11"/>
  <c r="R312"/>
  <c r="R314"/>
  <c r="R316"/>
  <c r="R445"/>
  <c r="R464" s="1"/>
  <c r="R446"/>
  <c r="R447"/>
  <c r="R448"/>
  <c r="R449"/>
  <c r="R450"/>
  <c r="R690"/>
  <c r="R313"/>
  <c r="R311"/>
  <c r="R315"/>
  <c r="C219"/>
  <c r="C232" s="1"/>
  <c r="P117"/>
  <c r="R19"/>
  <c r="O116"/>
  <c r="R730"/>
  <c r="R731"/>
  <c r="R732"/>
  <c r="R733"/>
  <c r="R734"/>
  <c r="R735"/>
  <c r="R736"/>
  <c r="O105"/>
  <c r="Q330"/>
  <c r="R463"/>
  <c r="R329"/>
  <c r="Q705"/>
  <c r="R702" s="1"/>
  <c r="Q62"/>
  <c r="M202"/>
  <c r="M47"/>
  <c r="R704"/>
  <c r="Q725"/>
  <c r="Q710" s="1"/>
  <c r="Q68" s="1"/>
  <c r="M688"/>
  <c r="P619"/>
  <c r="P620" s="1"/>
  <c r="P103" s="1"/>
  <c r="P625"/>
  <c r="P626" s="1"/>
  <c r="P104" s="1"/>
  <c r="R23"/>
  <c r="R26"/>
  <c r="R30"/>
  <c r="R40"/>
  <c r="Q240"/>
  <c r="Q204"/>
  <c r="D285"/>
  <c r="B307"/>
  <c r="D419"/>
  <c r="B441"/>
  <c r="N268"/>
  <c r="N269" s="1"/>
  <c r="N231"/>
  <c r="N232" s="1"/>
  <c r="O264"/>
  <c r="O227"/>
  <c r="O266"/>
  <c r="O229"/>
  <c r="O666"/>
  <c r="P659"/>
  <c r="P660" s="1"/>
  <c r="P51" s="1"/>
  <c r="P663"/>
  <c r="P664" s="1"/>
  <c r="P655"/>
  <c r="P656" s="1"/>
  <c r="P651"/>
  <c r="P652" s="1"/>
  <c r="R698"/>
  <c r="R688"/>
  <c r="S2"/>
  <c r="R25"/>
  <c r="P29"/>
  <c r="P31" s="1"/>
  <c r="P41" s="1"/>
  <c r="Q10"/>
  <c r="Q12" s="1"/>
  <c r="Q27"/>
  <c r="B804" l="1"/>
  <c r="C805" s="1"/>
  <c r="B697"/>
  <c r="I74" i="10"/>
  <c r="I76" s="1"/>
  <c r="F74"/>
  <c r="F76" s="1"/>
  <c r="H74"/>
  <c r="H76" s="1"/>
  <c r="D74"/>
  <c r="D76" s="1"/>
  <c r="G74"/>
  <c r="G76" s="1"/>
  <c r="U48"/>
  <c r="E48"/>
  <c r="E50" s="1"/>
  <c r="P49" i="2"/>
  <c r="P14"/>
  <c r="R48" i="10"/>
  <c r="M48"/>
  <c r="Z48"/>
  <c r="J48"/>
  <c r="J50" s="1"/>
  <c r="J74" s="1"/>
  <c r="J76" s="1"/>
  <c r="J80" s="1"/>
  <c r="J81" s="1"/>
  <c r="J95" s="1"/>
  <c r="D280"/>
  <c r="D298" s="1"/>
  <c r="G280"/>
  <c r="G298" s="1"/>
  <c r="K50"/>
  <c r="K275"/>
  <c r="K293" s="1"/>
  <c r="K101"/>
  <c r="K109"/>
  <c r="M718"/>
  <c r="M721" s="1"/>
  <c r="L814"/>
  <c r="M815" s="1"/>
  <c r="L49"/>
  <c r="K674" i="8"/>
  <c r="K677" s="1"/>
  <c r="J770"/>
  <c r="O18" i="2"/>
  <c r="U625" i="7"/>
  <c r="V615"/>
  <c r="V616" s="1"/>
  <c r="Q625"/>
  <c r="R615"/>
  <c r="R616" s="1"/>
  <c r="T625"/>
  <c r="T730" s="1"/>
  <c r="U731" s="1"/>
  <c r="U615"/>
  <c r="U616" s="1"/>
  <c r="R625"/>
  <c r="S615"/>
  <c r="S616" s="1"/>
  <c r="P625"/>
  <c r="Q615"/>
  <c r="Q616" s="1"/>
  <c r="N625"/>
  <c r="O615"/>
  <c r="O616" s="1"/>
  <c r="S625"/>
  <c r="T615"/>
  <c r="T616" s="1"/>
  <c r="O625"/>
  <c r="P615"/>
  <c r="P616" s="1"/>
  <c r="N615"/>
  <c r="N616" s="1"/>
  <c r="M625"/>
  <c r="M615"/>
  <c r="M616" s="1"/>
  <c r="G615"/>
  <c r="G616" s="1"/>
  <c r="E615"/>
  <c r="E616" s="1"/>
  <c r="B599"/>
  <c r="B601"/>
  <c r="B605" s="1"/>
  <c r="J615"/>
  <c r="J616" s="1"/>
  <c r="U634"/>
  <c r="U637" s="1"/>
  <c r="K615"/>
  <c r="K616" s="1"/>
  <c r="I615"/>
  <c r="I616" s="1"/>
  <c r="C615"/>
  <c r="C616" s="1"/>
  <c r="B611"/>
  <c r="L615"/>
  <c r="L616" s="1"/>
  <c r="H615"/>
  <c r="H616" s="1"/>
  <c r="F615"/>
  <c r="F616" s="1"/>
  <c r="D615"/>
  <c r="D616" s="1"/>
  <c r="B159" i="1"/>
  <c r="B226"/>
  <c r="B227"/>
  <c r="B224"/>
  <c r="B225"/>
  <c r="B222"/>
  <c r="B223"/>
  <c r="B156"/>
  <c r="B221"/>
  <c r="O53" i="2"/>
  <c r="P17"/>
  <c r="P52"/>
  <c r="P230"/>
  <c r="P267"/>
  <c r="P15"/>
  <c r="P50"/>
  <c r="P228"/>
  <c r="P265"/>
  <c r="Q71"/>
  <c r="R757"/>
  <c r="R742" s="1"/>
  <c r="R69" s="1"/>
  <c r="R789"/>
  <c r="R774" s="1"/>
  <c r="R70" s="1"/>
  <c r="S5"/>
  <c r="S788"/>
  <c r="S394" s="1"/>
  <c r="S529" s="1"/>
  <c r="S786"/>
  <c r="S392" s="1"/>
  <c r="S527" s="1"/>
  <c r="S784"/>
  <c r="S390" s="1"/>
  <c r="S525" s="1"/>
  <c r="S782"/>
  <c r="S388" s="1"/>
  <c r="S523" s="1"/>
  <c r="S780"/>
  <c r="S386" s="1"/>
  <c r="S521" s="1"/>
  <c r="S756"/>
  <c r="S368" s="1"/>
  <c r="S503" s="1"/>
  <c r="S754"/>
  <c r="S366" s="1"/>
  <c r="S501" s="1"/>
  <c r="S787"/>
  <c r="S393" s="1"/>
  <c r="S528" s="1"/>
  <c r="S785"/>
  <c r="S391" s="1"/>
  <c r="S526" s="1"/>
  <c r="S783"/>
  <c r="S389" s="1"/>
  <c r="S524" s="1"/>
  <c r="S781"/>
  <c r="S387" s="1"/>
  <c r="S522" s="1"/>
  <c r="S779"/>
  <c r="S385" s="1"/>
  <c r="S520" s="1"/>
  <c r="S755"/>
  <c r="S367" s="1"/>
  <c r="S502" s="1"/>
  <c r="S752"/>
  <c r="S364" s="1"/>
  <c r="S499" s="1"/>
  <c r="S750"/>
  <c r="S362" s="1"/>
  <c r="S497" s="1"/>
  <c r="S748"/>
  <c r="S360" s="1"/>
  <c r="S495" s="1"/>
  <c r="S724"/>
  <c r="S343" s="1"/>
  <c r="S477" s="1"/>
  <c r="S722"/>
  <c r="S341" s="1"/>
  <c r="S475" s="1"/>
  <c r="S720"/>
  <c r="S339" s="1"/>
  <c r="S473" s="1"/>
  <c r="S718"/>
  <c r="S337" s="1"/>
  <c r="S471" s="1"/>
  <c r="S716"/>
  <c r="S335" s="1"/>
  <c r="S469" s="1"/>
  <c r="S793"/>
  <c r="S798"/>
  <c r="S800"/>
  <c r="S751"/>
  <c r="S363" s="1"/>
  <c r="S498" s="1"/>
  <c r="S747"/>
  <c r="S359" s="1"/>
  <c r="S494" s="1"/>
  <c r="S723"/>
  <c r="S342" s="1"/>
  <c r="S476" s="1"/>
  <c r="S719"/>
  <c r="S338" s="1"/>
  <c r="S472" s="1"/>
  <c r="S753"/>
  <c r="S365" s="1"/>
  <c r="S500" s="1"/>
  <c r="S749"/>
  <c r="S361" s="1"/>
  <c r="S496" s="1"/>
  <c r="S721"/>
  <c r="S340" s="1"/>
  <c r="S474" s="1"/>
  <c r="S717"/>
  <c r="S336" s="1"/>
  <c r="S470" s="1"/>
  <c r="S794"/>
  <c r="S797"/>
  <c r="S715"/>
  <c r="S334" s="1"/>
  <c r="S468" s="1"/>
  <c r="S799"/>
  <c r="S759"/>
  <c r="S761"/>
  <c r="S763"/>
  <c r="S765"/>
  <c r="S767"/>
  <c r="S795"/>
  <c r="S762"/>
  <c r="S764"/>
  <c r="S766"/>
  <c r="S768"/>
  <c r="R61"/>
  <c r="D689"/>
  <c r="D690" s="1"/>
  <c r="C699"/>
  <c r="R673"/>
  <c r="S727"/>
  <c r="S33"/>
  <c r="S35" s="1"/>
  <c r="S37" s="1"/>
  <c r="S39" s="1"/>
  <c r="S617"/>
  <c r="S618" s="1"/>
  <c r="S623"/>
  <c r="S624" s="1"/>
  <c r="S684"/>
  <c r="S55" s="1"/>
  <c r="S674"/>
  <c r="S685" s="1"/>
  <c r="S689" s="1"/>
  <c r="S697"/>
  <c r="S699"/>
  <c r="S671"/>
  <c r="S675"/>
  <c r="S670"/>
  <c r="N688"/>
  <c r="M685"/>
  <c r="M673"/>
  <c r="M675" s="1"/>
  <c r="C696"/>
  <c r="T11"/>
  <c r="S311"/>
  <c r="S313"/>
  <c r="S315"/>
  <c r="S314"/>
  <c r="S446"/>
  <c r="S448"/>
  <c r="S450"/>
  <c r="S690"/>
  <c r="S312"/>
  <c r="S316"/>
  <c r="S445"/>
  <c r="S447"/>
  <c r="S449"/>
  <c r="S464" s="1"/>
  <c r="Q117"/>
  <c r="S19"/>
  <c r="O20"/>
  <c r="O43" s="1"/>
  <c r="N47"/>
  <c r="N238"/>
  <c r="N202"/>
  <c r="P116"/>
  <c r="R27"/>
  <c r="S730"/>
  <c r="S731"/>
  <c r="S732"/>
  <c r="S733"/>
  <c r="S734"/>
  <c r="S735"/>
  <c r="S736"/>
  <c r="P105"/>
  <c r="R330"/>
  <c r="S463"/>
  <c r="S329"/>
  <c r="R705"/>
  <c r="S702" s="1"/>
  <c r="R62"/>
  <c r="S704"/>
  <c r="R725"/>
  <c r="R710" s="1"/>
  <c r="R68" s="1"/>
  <c r="Q619"/>
  <c r="Q620" s="1"/>
  <c r="Q103" s="1"/>
  <c r="Q625"/>
  <c r="Q626" s="1"/>
  <c r="Q104" s="1"/>
  <c r="S23"/>
  <c r="S26"/>
  <c r="S30"/>
  <c r="S40"/>
  <c r="R240"/>
  <c r="R204"/>
  <c r="O268"/>
  <c r="O269" s="1"/>
  <c r="P264"/>
  <c r="P227"/>
  <c r="P266"/>
  <c r="P229"/>
  <c r="O231"/>
  <c r="O232" s="1"/>
  <c r="P666"/>
  <c r="Q663"/>
  <c r="Q664" s="1"/>
  <c r="Q655"/>
  <c r="Q656" s="1"/>
  <c r="Q651"/>
  <c r="Q652" s="1"/>
  <c r="Q659"/>
  <c r="Q660" s="1"/>
  <c r="Q51" s="1"/>
  <c r="S688"/>
  <c r="S698"/>
  <c r="T2"/>
  <c r="S25"/>
  <c r="Q29"/>
  <c r="Q31" s="1"/>
  <c r="Q41" s="1"/>
  <c r="R10"/>
  <c r="R12" s="1"/>
  <c r="C144" i="1" l="1"/>
  <c r="C149" s="1"/>
  <c r="C154" s="1"/>
  <c r="C155" s="1"/>
  <c r="C225" s="1"/>
  <c r="C282" i="2" s="1"/>
  <c r="B61"/>
  <c r="B66" s="1"/>
  <c r="G142" i="10"/>
  <c r="G154" s="1"/>
  <c r="G80"/>
  <c r="G81" s="1"/>
  <c r="G95" s="1"/>
  <c r="H142"/>
  <c r="H154" s="1"/>
  <c r="H80"/>
  <c r="H81" s="1"/>
  <c r="H95" s="1"/>
  <c r="I142"/>
  <c r="I154" s="1"/>
  <c r="I80"/>
  <c r="I81" s="1"/>
  <c r="I95" s="1"/>
  <c r="D142"/>
  <c r="D154" s="1"/>
  <c r="D80"/>
  <c r="D81" s="1"/>
  <c r="D95" s="1"/>
  <c r="F142"/>
  <c r="F154" s="1"/>
  <c r="F80"/>
  <c r="F81" s="1"/>
  <c r="F95" s="1"/>
  <c r="P53" i="2"/>
  <c r="I280" i="10"/>
  <c r="I298" s="1"/>
  <c r="F280"/>
  <c r="F298" s="1"/>
  <c r="F216"/>
  <c r="F244" s="1"/>
  <c r="D216"/>
  <c r="D244" s="1"/>
  <c r="H280"/>
  <c r="H298" s="1"/>
  <c r="I216"/>
  <c r="I244" s="1"/>
  <c r="H216"/>
  <c r="H244" s="1"/>
  <c r="G216"/>
  <c r="G244" s="1"/>
  <c r="K74"/>
  <c r="K76" s="1"/>
  <c r="E74"/>
  <c r="E76" s="1"/>
  <c r="P18" i="2"/>
  <c r="P20" s="1"/>
  <c r="P43" s="1"/>
  <c r="Q49"/>
  <c r="Q14"/>
  <c r="J280" i="10"/>
  <c r="J298" s="1"/>
  <c r="J142"/>
  <c r="J154" s="1"/>
  <c r="J216"/>
  <c r="J244" s="1"/>
  <c r="K110"/>
  <c r="L50"/>
  <c r="L275"/>
  <c r="L293" s="1"/>
  <c r="I101"/>
  <c r="I109"/>
  <c r="H109"/>
  <c r="H101"/>
  <c r="G109"/>
  <c r="G101"/>
  <c r="F109"/>
  <c r="F101"/>
  <c r="E101"/>
  <c r="E109"/>
  <c r="D109"/>
  <c r="D101"/>
  <c r="J101"/>
  <c r="J109"/>
  <c r="M49"/>
  <c r="N718"/>
  <c r="N721" s="1"/>
  <c r="M814"/>
  <c r="N815" s="1"/>
  <c r="B71" i="8"/>
  <c r="B546"/>
  <c r="C410"/>
  <c r="C276"/>
  <c r="B581"/>
  <c r="B583"/>
  <c r="C412"/>
  <c r="C278"/>
  <c r="B548"/>
  <c r="B585"/>
  <c r="C414"/>
  <c r="C280"/>
  <c r="B550"/>
  <c r="B587"/>
  <c r="B552"/>
  <c r="B547"/>
  <c r="B582"/>
  <c r="C411"/>
  <c r="C277"/>
  <c r="B549"/>
  <c r="B584"/>
  <c r="C413"/>
  <c r="C279"/>
  <c r="B551"/>
  <c r="B586"/>
  <c r="C415"/>
  <c r="C281"/>
  <c r="L674"/>
  <c r="L677" s="1"/>
  <c r="K770"/>
  <c r="L771" s="1"/>
  <c r="H771"/>
  <c r="C771"/>
  <c r="B58"/>
  <c r="B64" s="1"/>
  <c r="C58"/>
  <c r="C64" s="1"/>
  <c r="F771"/>
  <c r="F58"/>
  <c r="F64" s="1"/>
  <c r="I771"/>
  <c r="H58"/>
  <c r="H64" s="1"/>
  <c r="E771"/>
  <c r="E58"/>
  <c r="E64" s="1"/>
  <c r="L58"/>
  <c r="L64" s="1"/>
  <c r="G771"/>
  <c r="G58"/>
  <c r="G64" s="1"/>
  <c r="K771"/>
  <c r="K58"/>
  <c r="K64" s="1"/>
  <c r="D771"/>
  <c r="D58"/>
  <c r="D64" s="1"/>
  <c r="J771"/>
  <c r="J58"/>
  <c r="J64" s="1"/>
  <c r="I58"/>
  <c r="I64" s="1"/>
  <c r="B228" i="1"/>
  <c r="P622" i="7"/>
  <c r="P623" s="1"/>
  <c r="P61" s="1"/>
  <c r="P66" s="1"/>
  <c r="P72" s="1"/>
  <c r="O730"/>
  <c r="P731" s="1"/>
  <c r="T622"/>
  <c r="T623" s="1"/>
  <c r="T61" s="1"/>
  <c r="T66" s="1"/>
  <c r="T72" s="1"/>
  <c r="S730"/>
  <c r="T731" s="1"/>
  <c r="O622"/>
  <c r="O623" s="1"/>
  <c r="O61" s="1"/>
  <c r="O66" s="1"/>
  <c r="O72" s="1"/>
  <c r="N730"/>
  <c r="O731" s="1"/>
  <c r="Q622"/>
  <c r="Q623" s="1"/>
  <c r="Q61" s="1"/>
  <c r="Q66" s="1"/>
  <c r="Q72" s="1"/>
  <c r="P730"/>
  <c r="Q731" s="1"/>
  <c r="S622"/>
  <c r="S623" s="1"/>
  <c r="S61" s="1"/>
  <c r="S66" s="1"/>
  <c r="S72" s="1"/>
  <c r="R730"/>
  <c r="S731" s="1"/>
  <c r="U622"/>
  <c r="U623" s="1"/>
  <c r="U61" s="1"/>
  <c r="U66" s="1"/>
  <c r="U72" s="1"/>
  <c r="R622"/>
  <c r="R623" s="1"/>
  <c r="R61" s="1"/>
  <c r="R66" s="1"/>
  <c r="R72" s="1"/>
  <c r="Q730"/>
  <c r="R731" s="1"/>
  <c r="V622"/>
  <c r="V624" s="1"/>
  <c r="V61" s="1"/>
  <c r="V66" s="1"/>
  <c r="V72" s="1"/>
  <c r="N622"/>
  <c r="M730"/>
  <c r="N731" s="1"/>
  <c r="M622"/>
  <c r="M623" s="1"/>
  <c r="M61" s="1"/>
  <c r="M66" s="1"/>
  <c r="M72" s="1"/>
  <c r="L730"/>
  <c r="M731" s="1"/>
  <c r="B607"/>
  <c r="E131" i="1"/>
  <c r="E730" i="7"/>
  <c r="F731" s="1"/>
  <c r="F622"/>
  <c r="K730"/>
  <c r="L731" s="1"/>
  <c r="L622"/>
  <c r="B730"/>
  <c r="C731" s="1"/>
  <c r="C622"/>
  <c r="B615"/>
  <c r="B617" s="1"/>
  <c r="B618"/>
  <c r="J730"/>
  <c r="K731" s="1"/>
  <c r="K622"/>
  <c r="V634"/>
  <c r="V637" s="1"/>
  <c r="U730"/>
  <c r="V731" s="1"/>
  <c r="D730"/>
  <c r="E731" s="1"/>
  <c r="E622"/>
  <c r="C730"/>
  <c r="D731" s="1"/>
  <c r="D622"/>
  <c r="G730"/>
  <c r="H731" s="1"/>
  <c r="H622"/>
  <c r="H730"/>
  <c r="I731" s="1"/>
  <c r="I622"/>
  <c r="U165"/>
  <c r="U129"/>
  <c r="U54"/>
  <c r="I730"/>
  <c r="J731" s="1"/>
  <c r="J622"/>
  <c r="F730"/>
  <c r="G731" s="1"/>
  <c r="G622"/>
  <c r="B177" i="1"/>
  <c r="B164"/>
  <c r="B180"/>
  <c r="Q15" i="2"/>
  <c r="Q50"/>
  <c r="Q228"/>
  <c r="Q265"/>
  <c r="Q17"/>
  <c r="Q18" s="1"/>
  <c r="Q20" s="1"/>
  <c r="Q52"/>
  <c r="Q230"/>
  <c r="Q267"/>
  <c r="R71"/>
  <c r="S789"/>
  <c r="S774" s="1"/>
  <c r="S70" s="1"/>
  <c r="S757"/>
  <c r="S742" s="1"/>
  <c r="S69" s="1"/>
  <c r="T5"/>
  <c r="T787"/>
  <c r="T393" s="1"/>
  <c r="T528" s="1"/>
  <c r="T785"/>
  <c r="T391" s="1"/>
  <c r="T526" s="1"/>
  <c r="T783"/>
  <c r="T389" s="1"/>
  <c r="T524" s="1"/>
  <c r="T781"/>
  <c r="T387" s="1"/>
  <c r="T522" s="1"/>
  <c r="T779"/>
  <c r="T385" s="1"/>
  <c r="T520" s="1"/>
  <c r="T755"/>
  <c r="T367" s="1"/>
  <c r="T502" s="1"/>
  <c r="T788"/>
  <c r="T394" s="1"/>
  <c r="T529" s="1"/>
  <c r="T786"/>
  <c r="T392" s="1"/>
  <c r="T527" s="1"/>
  <c r="T784"/>
  <c r="T390" s="1"/>
  <c r="T525" s="1"/>
  <c r="T782"/>
  <c r="T388" s="1"/>
  <c r="T523" s="1"/>
  <c r="T780"/>
  <c r="T386" s="1"/>
  <c r="T521" s="1"/>
  <c r="T756"/>
  <c r="T368" s="1"/>
  <c r="T503" s="1"/>
  <c r="T754"/>
  <c r="T366" s="1"/>
  <c r="T501" s="1"/>
  <c r="T753"/>
  <c r="T365" s="1"/>
  <c r="T500" s="1"/>
  <c r="T751"/>
  <c r="T363" s="1"/>
  <c r="T498" s="1"/>
  <c r="T749"/>
  <c r="T361" s="1"/>
  <c r="T496" s="1"/>
  <c r="T747"/>
  <c r="T359" s="1"/>
  <c r="T494" s="1"/>
  <c r="T723"/>
  <c r="T342" s="1"/>
  <c r="T476" s="1"/>
  <c r="T721"/>
  <c r="T340" s="1"/>
  <c r="T474" s="1"/>
  <c r="T719"/>
  <c r="T338" s="1"/>
  <c r="T472" s="1"/>
  <c r="T717"/>
  <c r="T715"/>
  <c r="T334" s="1"/>
  <c r="T468" s="1"/>
  <c r="T794"/>
  <c r="T795"/>
  <c r="T797"/>
  <c r="T799"/>
  <c r="T752"/>
  <c r="T364" s="1"/>
  <c r="T499" s="1"/>
  <c r="T748"/>
  <c r="T360" s="1"/>
  <c r="T495" s="1"/>
  <c r="T724"/>
  <c r="T343" s="1"/>
  <c r="T477" s="1"/>
  <c r="T720"/>
  <c r="T339" s="1"/>
  <c r="T473" s="1"/>
  <c r="T750"/>
  <c r="T362" s="1"/>
  <c r="T497" s="1"/>
  <c r="T722"/>
  <c r="T718"/>
  <c r="T337" s="1"/>
  <c r="T471" s="1"/>
  <c r="T793"/>
  <c r="T798"/>
  <c r="T716"/>
  <c r="T335" s="1"/>
  <c r="T469" s="1"/>
  <c r="T800"/>
  <c r="T762"/>
  <c r="T764"/>
  <c r="T766"/>
  <c r="T768"/>
  <c r="T759"/>
  <c r="T761"/>
  <c r="T763"/>
  <c r="T765"/>
  <c r="T767"/>
  <c r="S61"/>
  <c r="S673"/>
  <c r="T727"/>
  <c r="T33"/>
  <c r="T35" s="1"/>
  <c r="T37" s="1"/>
  <c r="T39" s="1"/>
  <c r="T617"/>
  <c r="T618" s="1"/>
  <c r="T623"/>
  <c r="T624" s="1"/>
  <c r="T697"/>
  <c r="T671"/>
  <c r="T675"/>
  <c r="T670"/>
  <c r="T699"/>
  <c r="T684"/>
  <c r="T55" s="1"/>
  <c r="T674"/>
  <c r="T685" s="1"/>
  <c r="T689" s="1"/>
  <c r="O688"/>
  <c r="L699"/>
  <c r="M689"/>
  <c r="M690" s="1"/>
  <c r="N685"/>
  <c r="N673"/>
  <c r="N675" s="1"/>
  <c r="D696"/>
  <c r="C697"/>
  <c r="C61" s="1"/>
  <c r="C239"/>
  <c r="C54"/>
  <c r="C203"/>
  <c r="U11"/>
  <c r="T312"/>
  <c r="T314"/>
  <c r="T316"/>
  <c r="T445"/>
  <c r="T446"/>
  <c r="T447"/>
  <c r="T448"/>
  <c r="T449"/>
  <c r="T464" s="1"/>
  <c r="T450"/>
  <c r="T690"/>
  <c r="T311"/>
  <c r="T315"/>
  <c r="T313"/>
  <c r="R117"/>
  <c r="T19"/>
  <c r="O47"/>
  <c r="O238"/>
  <c r="O202"/>
  <c r="Q116"/>
  <c r="T730"/>
  <c r="T731"/>
  <c r="T732"/>
  <c r="T733"/>
  <c r="T734"/>
  <c r="T735"/>
  <c r="T736"/>
  <c r="Q105"/>
  <c r="T463"/>
  <c r="S330"/>
  <c r="T329"/>
  <c r="S705"/>
  <c r="T702" s="1"/>
  <c r="S62"/>
  <c r="T336"/>
  <c r="T470" s="1"/>
  <c r="T341"/>
  <c r="T475" s="1"/>
  <c r="T704"/>
  <c r="S725"/>
  <c r="S710" s="1"/>
  <c r="S68" s="1"/>
  <c r="S27"/>
  <c r="R619"/>
  <c r="R620" s="1"/>
  <c r="R103" s="1"/>
  <c r="R625"/>
  <c r="R626" s="1"/>
  <c r="R104" s="1"/>
  <c r="T23"/>
  <c r="T26"/>
  <c r="T30"/>
  <c r="T40"/>
  <c r="S240"/>
  <c r="S204"/>
  <c r="Q266"/>
  <c r="Q229"/>
  <c r="P268"/>
  <c r="P269" s="1"/>
  <c r="Q264"/>
  <c r="Q227"/>
  <c r="P231"/>
  <c r="P232" s="1"/>
  <c r="Q666"/>
  <c r="R659"/>
  <c r="R660" s="1"/>
  <c r="R51" s="1"/>
  <c r="R663"/>
  <c r="R664" s="1"/>
  <c r="R655"/>
  <c r="R656" s="1"/>
  <c r="R651"/>
  <c r="R652" s="1"/>
  <c r="T698"/>
  <c r="T688"/>
  <c r="U2"/>
  <c r="T25"/>
  <c r="R29"/>
  <c r="R31" s="1"/>
  <c r="R41" s="1"/>
  <c r="S10"/>
  <c r="S12" s="1"/>
  <c r="C156" i="1" l="1"/>
  <c r="C224"/>
  <c r="B551" i="2" s="1"/>
  <c r="C227" i="1"/>
  <c r="B589" i="2" s="1"/>
  <c r="B59"/>
  <c r="B72" s="1"/>
  <c r="C223" i="1"/>
  <c r="B585" i="2" s="1"/>
  <c r="C221" i="1"/>
  <c r="B583" i="2" s="1"/>
  <c r="C583" s="1"/>
  <c r="C590" s="1"/>
  <c r="D583" s="1"/>
  <c r="C222" i="1"/>
  <c r="C279" i="2" s="1"/>
  <c r="C226" i="1"/>
  <c r="C283" i="2" s="1"/>
  <c r="E142" i="10"/>
  <c r="E154" s="1"/>
  <c r="E80"/>
  <c r="E81" s="1"/>
  <c r="E95" s="1"/>
  <c r="K142"/>
  <c r="K154" s="1"/>
  <c r="K80"/>
  <c r="K81" s="1"/>
  <c r="K95" s="1"/>
  <c r="K280"/>
  <c r="K216"/>
  <c r="K244" s="1"/>
  <c r="L74"/>
  <c r="L76" s="1"/>
  <c r="E280"/>
  <c r="E216"/>
  <c r="E244" s="1"/>
  <c r="R49" i="2"/>
  <c r="R14"/>
  <c r="J110" i="10"/>
  <c r="E110"/>
  <c r="I110"/>
  <c r="D110"/>
  <c r="F110"/>
  <c r="G110"/>
  <c r="H110"/>
  <c r="M50"/>
  <c r="M275"/>
  <c r="M293" s="1"/>
  <c r="M101"/>
  <c r="N49"/>
  <c r="O718"/>
  <c r="O721" s="1"/>
  <c r="N814"/>
  <c r="O815" s="1"/>
  <c r="B125" i="8"/>
  <c r="L770"/>
  <c r="M771" s="1"/>
  <c r="M674"/>
  <c r="M677" s="1"/>
  <c r="B587" i="2"/>
  <c r="D238" i="8"/>
  <c r="D203"/>
  <c r="D48"/>
  <c r="D49" s="1"/>
  <c r="K238"/>
  <c r="K203"/>
  <c r="K48"/>
  <c r="K49" s="1"/>
  <c r="G238"/>
  <c r="G203"/>
  <c r="G48"/>
  <c r="G49" s="1"/>
  <c r="E238"/>
  <c r="E203"/>
  <c r="E48"/>
  <c r="E49" s="1"/>
  <c r="F238"/>
  <c r="F203"/>
  <c r="F48"/>
  <c r="F49" s="1"/>
  <c r="H238"/>
  <c r="H203"/>
  <c r="H48"/>
  <c r="H49" s="1"/>
  <c r="J238"/>
  <c r="J203"/>
  <c r="J48"/>
  <c r="J49" s="1"/>
  <c r="L238"/>
  <c r="L203"/>
  <c r="L48"/>
  <c r="L49" s="1"/>
  <c r="I238"/>
  <c r="I203"/>
  <c r="I48"/>
  <c r="I49" s="1"/>
  <c r="C238"/>
  <c r="C203"/>
  <c r="C48"/>
  <c r="C49" s="1"/>
  <c r="C416" i="2"/>
  <c r="R165" i="7"/>
  <c r="R54"/>
  <c r="R129"/>
  <c r="Q165"/>
  <c r="Q54"/>
  <c r="Q129"/>
  <c r="P129"/>
  <c r="P165"/>
  <c r="P54"/>
  <c r="S129"/>
  <c r="S165"/>
  <c r="S54"/>
  <c r="O129"/>
  <c r="O165"/>
  <c r="O54"/>
  <c r="T129"/>
  <c r="T165"/>
  <c r="T54"/>
  <c r="N624"/>
  <c r="N623"/>
  <c r="N129"/>
  <c r="N165"/>
  <c r="N54"/>
  <c r="B552" i="2"/>
  <c r="G623" i="7"/>
  <c r="G61" s="1"/>
  <c r="G66" s="1"/>
  <c r="G72" s="1"/>
  <c r="J623"/>
  <c r="J61" s="1"/>
  <c r="J66" s="1"/>
  <c r="J72" s="1"/>
  <c r="I623"/>
  <c r="I61" s="1"/>
  <c r="I66" s="1"/>
  <c r="I72" s="1"/>
  <c r="H623"/>
  <c r="H61" s="1"/>
  <c r="H66" s="1"/>
  <c r="H72" s="1"/>
  <c r="D623"/>
  <c r="D61" s="1"/>
  <c r="D66" s="1"/>
  <c r="D72" s="1"/>
  <c r="E623"/>
  <c r="E61" s="1"/>
  <c r="E66" s="1"/>
  <c r="E72" s="1"/>
  <c r="K623"/>
  <c r="K61" s="1"/>
  <c r="K66" s="1"/>
  <c r="K72" s="1"/>
  <c r="L623"/>
  <c r="L61" s="1"/>
  <c r="L66" s="1"/>
  <c r="L72" s="1"/>
  <c r="F623"/>
  <c r="F61" s="1"/>
  <c r="F66" s="1"/>
  <c r="F72" s="1"/>
  <c r="C623"/>
  <c r="C61" s="1"/>
  <c r="C66" s="1"/>
  <c r="C72" s="1"/>
  <c r="B61"/>
  <c r="B66" s="1"/>
  <c r="E144" i="1"/>
  <c r="E149" s="1"/>
  <c r="E154" s="1"/>
  <c r="E155" s="1"/>
  <c r="M129" i="7"/>
  <c r="M165"/>
  <c r="M54"/>
  <c r="C604"/>
  <c r="C610"/>
  <c r="C166" s="1"/>
  <c r="E132" i="1"/>
  <c r="E160"/>
  <c r="B80" i="7" s="1"/>
  <c r="G165"/>
  <c r="G129"/>
  <c r="G54"/>
  <c r="I165"/>
  <c r="I129"/>
  <c r="I54"/>
  <c r="D165"/>
  <c r="D129"/>
  <c r="D54"/>
  <c r="E165"/>
  <c r="E129"/>
  <c r="E54"/>
  <c r="W634"/>
  <c r="W637" s="1"/>
  <c r="V730"/>
  <c r="W731" s="1"/>
  <c r="C165"/>
  <c r="C129"/>
  <c r="C54"/>
  <c r="F165"/>
  <c r="F129"/>
  <c r="F54"/>
  <c r="J165"/>
  <c r="J129"/>
  <c r="J54"/>
  <c r="H165"/>
  <c r="H129"/>
  <c r="H54"/>
  <c r="V165"/>
  <c r="V129"/>
  <c r="V54"/>
  <c r="K165"/>
  <c r="K129"/>
  <c r="K54"/>
  <c r="L165"/>
  <c r="L129"/>
  <c r="L54"/>
  <c r="B170" i="1"/>
  <c r="B168"/>
  <c r="B169"/>
  <c r="B166"/>
  <c r="Q53" i="2"/>
  <c r="R15"/>
  <c r="R50"/>
  <c r="R228"/>
  <c r="R265"/>
  <c r="R17"/>
  <c r="R52"/>
  <c r="R230"/>
  <c r="R267"/>
  <c r="S71"/>
  <c r="U5"/>
  <c r="U788"/>
  <c r="U394" s="1"/>
  <c r="U529" s="1"/>
  <c r="U786"/>
  <c r="U392" s="1"/>
  <c r="U527" s="1"/>
  <c r="U784"/>
  <c r="U390" s="1"/>
  <c r="U525" s="1"/>
  <c r="U782"/>
  <c r="U388" s="1"/>
  <c r="U523" s="1"/>
  <c r="U780"/>
  <c r="U386" s="1"/>
  <c r="U521" s="1"/>
  <c r="U756"/>
  <c r="U368" s="1"/>
  <c r="U503" s="1"/>
  <c r="U754"/>
  <c r="U366" s="1"/>
  <c r="U501" s="1"/>
  <c r="U787"/>
  <c r="U393" s="1"/>
  <c r="U528" s="1"/>
  <c r="U785"/>
  <c r="U391" s="1"/>
  <c r="U526" s="1"/>
  <c r="U783"/>
  <c r="U389" s="1"/>
  <c r="U524" s="1"/>
  <c r="U781"/>
  <c r="U387" s="1"/>
  <c r="U522" s="1"/>
  <c r="U779"/>
  <c r="U385" s="1"/>
  <c r="U520" s="1"/>
  <c r="U755"/>
  <c r="U367" s="1"/>
  <c r="U502" s="1"/>
  <c r="U752"/>
  <c r="U364" s="1"/>
  <c r="U499" s="1"/>
  <c r="U750"/>
  <c r="U362" s="1"/>
  <c r="U497" s="1"/>
  <c r="U748"/>
  <c r="U360" s="1"/>
  <c r="U495" s="1"/>
  <c r="U724"/>
  <c r="U343" s="1"/>
  <c r="U477" s="1"/>
  <c r="U722"/>
  <c r="U341" s="1"/>
  <c r="U475" s="1"/>
  <c r="U720"/>
  <c r="U339" s="1"/>
  <c r="U473" s="1"/>
  <c r="U718"/>
  <c r="U337" s="1"/>
  <c r="U471" s="1"/>
  <c r="U716"/>
  <c r="U335" s="1"/>
  <c r="U469" s="1"/>
  <c r="U793"/>
  <c r="U796"/>
  <c r="U798"/>
  <c r="U800"/>
  <c r="U753"/>
  <c r="U365" s="1"/>
  <c r="U500" s="1"/>
  <c r="U749"/>
  <c r="U361" s="1"/>
  <c r="U496" s="1"/>
  <c r="U721"/>
  <c r="U340" s="1"/>
  <c r="U474" s="1"/>
  <c r="U717"/>
  <c r="U751"/>
  <c r="U363" s="1"/>
  <c r="U498" s="1"/>
  <c r="U747"/>
  <c r="U359" s="1"/>
  <c r="U494" s="1"/>
  <c r="U723"/>
  <c r="U342" s="1"/>
  <c r="U476" s="1"/>
  <c r="U719"/>
  <c r="U338" s="1"/>
  <c r="U472" s="1"/>
  <c r="U715"/>
  <c r="U334" s="1"/>
  <c r="U468" s="1"/>
  <c r="U795"/>
  <c r="U799"/>
  <c r="U794"/>
  <c r="U759"/>
  <c r="U761"/>
  <c r="U763"/>
  <c r="U765"/>
  <c r="U767"/>
  <c r="U762"/>
  <c r="U764"/>
  <c r="U766"/>
  <c r="U768"/>
  <c r="T757"/>
  <c r="T742" s="1"/>
  <c r="T69" s="1"/>
  <c r="T789"/>
  <c r="T774" s="1"/>
  <c r="T70" s="1"/>
  <c r="T61"/>
  <c r="T673"/>
  <c r="U727"/>
  <c r="U33"/>
  <c r="U35" s="1"/>
  <c r="U37" s="1"/>
  <c r="U39" s="1"/>
  <c r="U617"/>
  <c r="U618" s="1"/>
  <c r="U623"/>
  <c r="U624" s="1"/>
  <c r="U699"/>
  <c r="U684"/>
  <c r="U55" s="1"/>
  <c r="U674"/>
  <c r="U685" s="1"/>
  <c r="U689" s="1"/>
  <c r="U697"/>
  <c r="U671"/>
  <c r="U675"/>
  <c r="U670"/>
  <c r="M699"/>
  <c r="N689"/>
  <c r="N690" s="1"/>
  <c r="O685"/>
  <c r="O673"/>
  <c r="O675" s="1"/>
  <c r="E696"/>
  <c r="D697"/>
  <c r="D61" s="1"/>
  <c r="M696"/>
  <c r="V11"/>
  <c r="U311"/>
  <c r="U313"/>
  <c r="U315"/>
  <c r="U312"/>
  <c r="U316"/>
  <c r="U445"/>
  <c r="U447"/>
  <c r="U449"/>
  <c r="U314"/>
  <c r="U446"/>
  <c r="U448"/>
  <c r="U450"/>
  <c r="U690"/>
  <c r="S117"/>
  <c r="U19"/>
  <c r="P47"/>
  <c r="P202"/>
  <c r="P238"/>
  <c r="R116"/>
  <c r="Q43"/>
  <c r="Q47" s="1"/>
  <c r="U730"/>
  <c r="U731"/>
  <c r="U732"/>
  <c r="U733"/>
  <c r="U734"/>
  <c r="U735"/>
  <c r="U736"/>
  <c r="R105"/>
  <c r="U463"/>
  <c r="T330"/>
  <c r="U329"/>
  <c r="T705"/>
  <c r="U702" s="1"/>
  <c r="T62"/>
  <c r="U336"/>
  <c r="U470" s="1"/>
  <c r="U704"/>
  <c r="T725"/>
  <c r="T710" s="1"/>
  <c r="T68" s="1"/>
  <c r="S619"/>
  <c r="S620" s="1"/>
  <c r="S103" s="1"/>
  <c r="S625"/>
  <c r="S626" s="1"/>
  <c r="S104" s="1"/>
  <c r="R18"/>
  <c r="R20" s="1"/>
  <c r="Q268"/>
  <c r="Q269" s="1"/>
  <c r="U464"/>
  <c r="U23"/>
  <c r="U26"/>
  <c r="U30"/>
  <c r="U40"/>
  <c r="T240"/>
  <c r="T204"/>
  <c r="Q231"/>
  <c r="Q232" s="1"/>
  <c r="R266"/>
  <c r="R229"/>
  <c r="R264"/>
  <c r="R227"/>
  <c r="R666"/>
  <c r="S663"/>
  <c r="S664" s="1"/>
  <c r="S655"/>
  <c r="S656" s="1"/>
  <c r="S651"/>
  <c r="S652" s="1"/>
  <c r="S659"/>
  <c r="S660" s="1"/>
  <c r="S51" s="1"/>
  <c r="U688"/>
  <c r="U698"/>
  <c r="V2"/>
  <c r="U25"/>
  <c r="S29"/>
  <c r="S31" s="1"/>
  <c r="S41" s="1"/>
  <c r="T27"/>
  <c r="T10"/>
  <c r="T12" s="1"/>
  <c r="C281" l="1"/>
  <c r="B586"/>
  <c r="C415"/>
  <c r="B584"/>
  <c r="B548"/>
  <c r="C548" s="1"/>
  <c r="C555" s="1"/>
  <c r="D551" s="1"/>
  <c r="J551" s="1"/>
  <c r="K551" s="1"/>
  <c r="B554"/>
  <c r="C413"/>
  <c r="B549"/>
  <c r="C417"/>
  <c r="B550"/>
  <c r="C414"/>
  <c r="C280"/>
  <c r="B553"/>
  <c r="B588"/>
  <c r="C228" i="1"/>
  <c r="C278" i="2"/>
  <c r="C412"/>
  <c r="E583"/>
  <c r="F583"/>
  <c r="R53"/>
  <c r="L142" i="10"/>
  <c r="L154" s="1"/>
  <c r="L80"/>
  <c r="L81" s="1"/>
  <c r="L95" s="1"/>
  <c r="L216"/>
  <c r="L244" s="1"/>
  <c r="K298"/>
  <c r="L280"/>
  <c r="L298" s="1"/>
  <c r="M74"/>
  <c r="M76" s="1"/>
  <c r="E298"/>
  <c r="S49" i="2"/>
  <c r="S14"/>
  <c r="M109" i="10"/>
  <c r="M110" s="1"/>
  <c r="L109"/>
  <c r="L101"/>
  <c r="N50"/>
  <c r="N275"/>
  <c r="N293" s="1"/>
  <c r="N109"/>
  <c r="P718"/>
  <c r="P721" s="1"/>
  <c r="O814"/>
  <c r="P815" s="1"/>
  <c r="O49"/>
  <c r="M203" i="8"/>
  <c r="M238"/>
  <c r="M48"/>
  <c r="M770"/>
  <c r="N771" s="1"/>
  <c r="N674"/>
  <c r="N677" s="1"/>
  <c r="C417"/>
  <c r="B410" s="1"/>
  <c r="B588"/>
  <c r="C581"/>
  <c r="C72"/>
  <c r="C73" s="1"/>
  <c r="C78" s="1"/>
  <c r="C283"/>
  <c r="B279" s="1"/>
  <c r="B553"/>
  <c r="C546"/>
  <c r="N61" i="7"/>
  <c r="N66" s="1"/>
  <c r="N72" s="1"/>
  <c r="C609"/>
  <c r="C80" s="1"/>
  <c r="C81" s="1"/>
  <c r="C130"/>
  <c r="C55"/>
  <c r="C56" s="1"/>
  <c r="B59"/>
  <c r="B72" s="1"/>
  <c r="E227" i="1"/>
  <c r="E223"/>
  <c r="E225"/>
  <c r="E228"/>
  <c r="E156"/>
  <c r="E226"/>
  <c r="E224"/>
  <c r="E222"/>
  <c r="E221"/>
  <c r="E159"/>
  <c r="C606" i="7"/>
  <c r="C607" s="1"/>
  <c r="D610" s="1"/>
  <c r="W165"/>
  <c r="W129"/>
  <c r="W54"/>
  <c r="W56" s="1"/>
  <c r="W82" s="1"/>
  <c r="W87" s="1"/>
  <c r="X634"/>
  <c r="X637" s="1"/>
  <c r="W730"/>
  <c r="X731" s="1"/>
  <c r="B171" i="1"/>
  <c r="S17" i="2"/>
  <c r="S52"/>
  <c r="S230"/>
  <c r="S267"/>
  <c r="S15"/>
  <c r="S50"/>
  <c r="S228"/>
  <c r="S265"/>
  <c r="D584"/>
  <c r="J584" s="1"/>
  <c r="K584" s="1"/>
  <c r="T71"/>
  <c r="U789"/>
  <c r="U774" s="1"/>
  <c r="U70" s="1"/>
  <c r="V787"/>
  <c r="V393" s="1"/>
  <c r="V528" s="1"/>
  <c r="V785"/>
  <c r="V391" s="1"/>
  <c r="V526" s="1"/>
  <c r="V783"/>
  <c r="V389" s="1"/>
  <c r="V524" s="1"/>
  <c r="V781"/>
  <c r="V387" s="1"/>
  <c r="V522" s="1"/>
  <c r="V779"/>
  <c r="V385" s="1"/>
  <c r="V520" s="1"/>
  <c r="V755"/>
  <c r="V367" s="1"/>
  <c r="V502" s="1"/>
  <c r="V788"/>
  <c r="V394" s="1"/>
  <c r="V529" s="1"/>
  <c r="V786"/>
  <c r="V392" s="1"/>
  <c r="V527" s="1"/>
  <c r="V784"/>
  <c r="V390" s="1"/>
  <c r="V525" s="1"/>
  <c r="V782"/>
  <c r="V388" s="1"/>
  <c r="V523" s="1"/>
  <c r="V780"/>
  <c r="V386" s="1"/>
  <c r="V521" s="1"/>
  <c r="V756"/>
  <c r="V368" s="1"/>
  <c r="V503" s="1"/>
  <c r="V754"/>
  <c r="V366" s="1"/>
  <c r="V501" s="1"/>
  <c r="V753"/>
  <c r="V365" s="1"/>
  <c r="V500" s="1"/>
  <c r="V751"/>
  <c r="V363" s="1"/>
  <c r="V498" s="1"/>
  <c r="V749"/>
  <c r="V361" s="1"/>
  <c r="V496" s="1"/>
  <c r="V747"/>
  <c r="V359" s="1"/>
  <c r="V494" s="1"/>
  <c r="V723"/>
  <c r="V342" s="1"/>
  <c r="V476" s="1"/>
  <c r="V721"/>
  <c r="V340" s="1"/>
  <c r="V474" s="1"/>
  <c r="V719"/>
  <c r="V338" s="1"/>
  <c r="V472" s="1"/>
  <c r="V717"/>
  <c r="V336" s="1"/>
  <c r="V470" s="1"/>
  <c r="V715"/>
  <c r="V794"/>
  <c r="V795"/>
  <c r="V799"/>
  <c r="V750"/>
  <c r="V362" s="1"/>
  <c r="V497" s="1"/>
  <c r="V722"/>
  <c r="V341" s="1"/>
  <c r="V475" s="1"/>
  <c r="V718"/>
  <c r="V337" s="1"/>
  <c r="V471" s="1"/>
  <c r="V752"/>
  <c r="V364" s="1"/>
  <c r="V499" s="1"/>
  <c r="V748"/>
  <c r="V360" s="1"/>
  <c r="V495" s="1"/>
  <c r="V724"/>
  <c r="V343" s="1"/>
  <c r="V477" s="1"/>
  <c r="V720"/>
  <c r="V339" s="1"/>
  <c r="V473" s="1"/>
  <c r="V716"/>
  <c r="V335" s="1"/>
  <c r="V469" s="1"/>
  <c r="V796"/>
  <c r="V800"/>
  <c r="V793"/>
  <c r="V762"/>
  <c r="V764"/>
  <c r="V766"/>
  <c r="V798"/>
  <c r="V759"/>
  <c r="V761"/>
  <c r="V763"/>
  <c r="V765"/>
  <c r="V767"/>
  <c r="V768"/>
  <c r="U757"/>
  <c r="U742" s="1"/>
  <c r="U69" s="1"/>
  <c r="V5"/>
  <c r="U61"/>
  <c r="D552"/>
  <c r="J552" s="1"/>
  <c r="K552" s="1"/>
  <c r="V727"/>
  <c r="V33"/>
  <c r="V35" s="1"/>
  <c r="V37" s="1"/>
  <c r="V39" s="1"/>
  <c r="V617"/>
  <c r="V618" s="1"/>
  <c r="V623"/>
  <c r="V624" s="1"/>
  <c r="V697"/>
  <c r="V671"/>
  <c r="V675"/>
  <c r="V670"/>
  <c r="V699"/>
  <c r="V684"/>
  <c r="V55" s="1"/>
  <c r="V674"/>
  <c r="V685" s="1"/>
  <c r="V689" s="1"/>
  <c r="V673"/>
  <c r="J583"/>
  <c r="K583" s="1"/>
  <c r="D587"/>
  <c r="J587" s="1"/>
  <c r="K587" s="1"/>
  <c r="D588"/>
  <c r="J588" s="1"/>
  <c r="K588" s="1"/>
  <c r="D585"/>
  <c r="J585" s="1"/>
  <c r="K585" s="1"/>
  <c r="D586"/>
  <c r="F586" s="1"/>
  <c r="N699"/>
  <c r="O689"/>
  <c r="O690" s="1"/>
  <c r="F696"/>
  <c r="E697"/>
  <c r="E61" s="1"/>
  <c r="M698"/>
  <c r="N696" s="1"/>
  <c r="N698" s="1"/>
  <c r="M697"/>
  <c r="U673"/>
  <c r="W11"/>
  <c r="V312"/>
  <c r="V314"/>
  <c r="V316"/>
  <c r="V445"/>
  <c r="V446"/>
  <c r="V447"/>
  <c r="V448"/>
  <c r="V449"/>
  <c r="V464" s="1"/>
  <c r="V450"/>
  <c r="V690"/>
  <c r="V313"/>
  <c r="V311"/>
  <c r="V315"/>
  <c r="Q238"/>
  <c r="T117"/>
  <c r="V19"/>
  <c r="S116"/>
  <c r="Q202"/>
  <c r="R43"/>
  <c r="R268"/>
  <c r="R269" s="1"/>
  <c r="V732"/>
  <c r="V734"/>
  <c r="V736"/>
  <c r="V730"/>
  <c r="V731"/>
  <c r="V733"/>
  <c r="V735"/>
  <c r="R231"/>
  <c r="R232" s="1"/>
  <c r="S105"/>
  <c r="S53"/>
  <c r="V463"/>
  <c r="U330"/>
  <c r="V329"/>
  <c r="U705"/>
  <c r="V702" s="1"/>
  <c r="U62"/>
  <c r="V334"/>
  <c r="V468" s="1"/>
  <c r="V704"/>
  <c r="U725"/>
  <c r="U710" s="1"/>
  <c r="U68" s="1"/>
  <c r="S696"/>
  <c r="T619"/>
  <c r="T620" s="1"/>
  <c r="T103" s="1"/>
  <c r="T625"/>
  <c r="T626" s="1"/>
  <c r="T104" s="1"/>
  <c r="U27"/>
  <c r="E551"/>
  <c r="V23"/>
  <c r="V26"/>
  <c r="V30"/>
  <c r="V40"/>
  <c r="U240"/>
  <c r="U204"/>
  <c r="S264"/>
  <c r="S227"/>
  <c r="S266"/>
  <c r="S229"/>
  <c r="S666"/>
  <c r="T659"/>
  <c r="T660" s="1"/>
  <c r="T51" s="1"/>
  <c r="T663"/>
  <c r="T664" s="1"/>
  <c r="T655"/>
  <c r="T656" s="1"/>
  <c r="T651"/>
  <c r="T652" s="1"/>
  <c r="V698"/>
  <c r="V688"/>
  <c r="T29"/>
  <c r="T31" s="1"/>
  <c r="T41" s="1"/>
  <c r="W2"/>
  <c r="V25"/>
  <c r="U10"/>
  <c r="U12" s="1"/>
  <c r="C285" l="1"/>
  <c r="B283" s="1"/>
  <c r="B590"/>
  <c r="F551"/>
  <c r="G551" s="1"/>
  <c r="D550"/>
  <c r="J550" s="1"/>
  <c r="K550" s="1"/>
  <c r="D549"/>
  <c r="J549" s="1"/>
  <c r="K549" s="1"/>
  <c r="D548"/>
  <c r="J548" s="1"/>
  <c r="K548" s="1"/>
  <c r="D553"/>
  <c r="J553" s="1"/>
  <c r="K553" s="1"/>
  <c r="B555"/>
  <c r="C419"/>
  <c r="B413" s="1"/>
  <c r="D413" s="1"/>
  <c r="G583"/>
  <c r="B413" i="8"/>
  <c r="S18" i="2"/>
  <c r="S20" s="1"/>
  <c r="S43" s="1"/>
  <c r="S47" s="1"/>
  <c r="M142" i="10"/>
  <c r="M154" s="1"/>
  <c r="M80"/>
  <c r="M81" s="1"/>
  <c r="M95" s="1"/>
  <c r="M280"/>
  <c r="M298" s="1"/>
  <c r="M216"/>
  <c r="M244" s="1"/>
  <c r="N74"/>
  <c r="N76" s="1"/>
  <c r="T49" i="2"/>
  <c r="T14"/>
  <c r="N101" i="10"/>
  <c r="N110"/>
  <c r="L110"/>
  <c r="O50"/>
  <c r="O74" s="1"/>
  <c r="O76" s="1"/>
  <c r="O80" s="1"/>
  <c r="O81" s="1"/>
  <c r="O95" s="1"/>
  <c r="O275"/>
  <c r="O293" s="1"/>
  <c r="Q718"/>
  <c r="Q721" s="1"/>
  <c r="P814"/>
  <c r="Q815" s="1"/>
  <c r="M49" i="8"/>
  <c r="M73" s="1"/>
  <c r="M78" s="1"/>
  <c r="P49" i="10"/>
  <c r="B415" i="8"/>
  <c r="D415" s="1"/>
  <c r="B412"/>
  <c r="E412" s="1"/>
  <c r="B411"/>
  <c r="E411" s="1"/>
  <c r="B414"/>
  <c r="D414" s="1"/>
  <c r="N770"/>
  <c r="O771" s="1"/>
  <c r="O674"/>
  <c r="O677" s="1"/>
  <c r="N203"/>
  <c r="N238"/>
  <c r="N48"/>
  <c r="B280"/>
  <c r="E280" s="1"/>
  <c r="B276"/>
  <c r="D276" s="1"/>
  <c r="D279"/>
  <c r="E279"/>
  <c r="C87"/>
  <c r="C79"/>
  <c r="E415"/>
  <c r="D413"/>
  <c r="E413"/>
  <c r="C553"/>
  <c r="D546" s="1"/>
  <c r="B281"/>
  <c r="B278"/>
  <c r="B277"/>
  <c r="D411"/>
  <c r="C588"/>
  <c r="D581" s="1"/>
  <c r="E410"/>
  <c r="D410"/>
  <c r="F584" i="2"/>
  <c r="B510" i="7"/>
  <c r="C339"/>
  <c r="C205"/>
  <c r="B475"/>
  <c r="B514"/>
  <c r="C343"/>
  <c r="C209"/>
  <c r="B479"/>
  <c r="B476"/>
  <c r="B511"/>
  <c r="C340"/>
  <c r="C206"/>
  <c r="B509"/>
  <c r="B474"/>
  <c r="C338"/>
  <c r="C204"/>
  <c r="B512"/>
  <c r="C341"/>
  <c r="C207"/>
  <c r="B477"/>
  <c r="B478"/>
  <c r="B513"/>
  <c r="C342"/>
  <c r="C208"/>
  <c r="B480"/>
  <c r="B515"/>
  <c r="C82"/>
  <c r="C87" s="1"/>
  <c r="C96" s="1"/>
  <c r="E164" i="1"/>
  <c r="E166" s="1"/>
  <c r="E180"/>
  <c r="B79" i="7"/>
  <c r="X165"/>
  <c r="X129"/>
  <c r="X54"/>
  <c r="X56" s="1"/>
  <c r="X82" s="1"/>
  <c r="X87" s="1"/>
  <c r="W96"/>
  <c r="W88"/>
  <c r="D604"/>
  <c r="Y634"/>
  <c r="Y637" s="1"/>
  <c r="X730"/>
  <c r="Y731" s="1"/>
  <c r="T17" i="2"/>
  <c r="T52"/>
  <c r="T230"/>
  <c r="T267"/>
  <c r="T15"/>
  <c r="T50"/>
  <c r="T53" s="1"/>
  <c r="T228"/>
  <c r="T265"/>
  <c r="E584"/>
  <c r="E585"/>
  <c r="U71"/>
  <c r="W5"/>
  <c r="W788"/>
  <c r="W394" s="1"/>
  <c r="W529" s="1"/>
  <c r="W786"/>
  <c r="W392" s="1"/>
  <c r="W527" s="1"/>
  <c r="W784"/>
  <c r="W390" s="1"/>
  <c r="W525" s="1"/>
  <c r="W782"/>
  <c r="W388" s="1"/>
  <c r="W523" s="1"/>
  <c r="W780"/>
  <c r="W386" s="1"/>
  <c r="W521" s="1"/>
  <c r="W756"/>
  <c r="W368" s="1"/>
  <c r="W503" s="1"/>
  <c r="W754"/>
  <c r="W366" s="1"/>
  <c r="W501" s="1"/>
  <c r="W787"/>
  <c r="W393" s="1"/>
  <c r="W528" s="1"/>
  <c r="W785"/>
  <c r="W391" s="1"/>
  <c r="W526" s="1"/>
  <c r="W783"/>
  <c r="W389" s="1"/>
  <c r="W524" s="1"/>
  <c r="W781"/>
  <c r="W387" s="1"/>
  <c r="W522" s="1"/>
  <c r="W779"/>
  <c r="W385" s="1"/>
  <c r="W520" s="1"/>
  <c r="W755"/>
  <c r="W367" s="1"/>
  <c r="W502" s="1"/>
  <c r="W752"/>
  <c r="W364" s="1"/>
  <c r="W499" s="1"/>
  <c r="W750"/>
  <c r="W362" s="1"/>
  <c r="W497" s="1"/>
  <c r="W748"/>
  <c r="W360" s="1"/>
  <c r="W495" s="1"/>
  <c r="W724"/>
  <c r="W343" s="1"/>
  <c r="W477" s="1"/>
  <c r="W722"/>
  <c r="W341" s="1"/>
  <c r="W475" s="1"/>
  <c r="W720"/>
  <c r="W339" s="1"/>
  <c r="W473" s="1"/>
  <c r="W718"/>
  <c r="W337" s="1"/>
  <c r="W471" s="1"/>
  <c r="W716"/>
  <c r="W335" s="1"/>
  <c r="W469" s="1"/>
  <c r="W793"/>
  <c r="W796"/>
  <c r="W798"/>
  <c r="W800"/>
  <c r="W751"/>
  <c r="W363" s="1"/>
  <c r="W498" s="1"/>
  <c r="W747"/>
  <c r="W359" s="1"/>
  <c r="W494" s="1"/>
  <c r="W723"/>
  <c r="W342" s="1"/>
  <c r="W476" s="1"/>
  <c r="W719"/>
  <c r="W338" s="1"/>
  <c r="W472" s="1"/>
  <c r="W753"/>
  <c r="W365" s="1"/>
  <c r="W500" s="1"/>
  <c r="W749"/>
  <c r="W361" s="1"/>
  <c r="W496" s="1"/>
  <c r="W721"/>
  <c r="W340" s="1"/>
  <c r="W474" s="1"/>
  <c r="W717"/>
  <c r="W336" s="1"/>
  <c r="W470" s="1"/>
  <c r="W794"/>
  <c r="W795"/>
  <c r="W759"/>
  <c r="W763"/>
  <c r="W765"/>
  <c r="W767"/>
  <c r="W715"/>
  <c r="W334" s="1"/>
  <c r="W468" s="1"/>
  <c r="W791"/>
  <c r="W799"/>
  <c r="W762"/>
  <c r="W764"/>
  <c r="W766"/>
  <c r="W768"/>
  <c r="V757"/>
  <c r="V742" s="1"/>
  <c r="V69" s="1"/>
  <c r="V789"/>
  <c r="V774" s="1"/>
  <c r="V70" s="1"/>
  <c r="E552"/>
  <c r="V61"/>
  <c r="F552"/>
  <c r="F587"/>
  <c r="E586"/>
  <c r="G586" s="1"/>
  <c r="W727"/>
  <c r="W33"/>
  <c r="W35" s="1"/>
  <c r="W37" s="1"/>
  <c r="W39" s="1"/>
  <c r="W617"/>
  <c r="W618" s="1"/>
  <c r="W623"/>
  <c r="W624" s="1"/>
  <c r="W699"/>
  <c r="W684"/>
  <c r="W55" s="1"/>
  <c r="W674"/>
  <c r="W685" s="1"/>
  <c r="W689" s="1"/>
  <c r="W697"/>
  <c r="W671"/>
  <c r="W675"/>
  <c r="W670"/>
  <c r="J586"/>
  <c r="K586" s="1"/>
  <c r="K590" s="1"/>
  <c r="F588"/>
  <c r="E587"/>
  <c r="E588"/>
  <c r="D590"/>
  <c r="F585"/>
  <c r="M61"/>
  <c r="O696"/>
  <c r="N697"/>
  <c r="N61" s="1"/>
  <c r="G696"/>
  <c r="F697"/>
  <c r="F61" s="1"/>
  <c r="X11"/>
  <c r="W311"/>
  <c r="W313"/>
  <c r="W315"/>
  <c r="W314"/>
  <c r="W446"/>
  <c r="W448"/>
  <c r="W450"/>
  <c r="W690"/>
  <c r="W312"/>
  <c r="W316"/>
  <c r="W445"/>
  <c r="W447"/>
  <c r="W449"/>
  <c r="W464" s="1"/>
  <c r="U117"/>
  <c r="W19"/>
  <c r="R47"/>
  <c r="R238"/>
  <c r="R202"/>
  <c r="T116"/>
  <c r="W730"/>
  <c r="W731"/>
  <c r="W733"/>
  <c r="W735"/>
  <c r="W732"/>
  <c r="W734"/>
  <c r="W736"/>
  <c r="T105"/>
  <c r="V330"/>
  <c r="W463"/>
  <c r="W329"/>
  <c r="V705"/>
  <c r="W702" s="1"/>
  <c r="V62"/>
  <c r="W704"/>
  <c r="W62" s="1"/>
  <c r="V725"/>
  <c r="V710" s="1"/>
  <c r="V68" s="1"/>
  <c r="T696"/>
  <c r="U619"/>
  <c r="U620" s="1"/>
  <c r="U103" s="1"/>
  <c r="U625"/>
  <c r="U626" s="1"/>
  <c r="U104" s="1"/>
  <c r="V27"/>
  <c r="W23"/>
  <c r="W26"/>
  <c r="W30"/>
  <c r="W40"/>
  <c r="V240"/>
  <c r="V204"/>
  <c r="T266"/>
  <c r="T229"/>
  <c r="S268"/>
  <c r="S269" s="1"/>
  <c r="T264"/>
  <c r="T227"/>
  <c r="S231"/>
  <c r="S232" s="1"/>
  <c r="T18"/>
  <c r="T20" s="1"/>
  <c r="T666"/>
  <c r="U663"/>
  <c r="U664" s="1"/>
  <c r="U655"/>
  <c r="U656" s="1"/>
  <c r="U651"/>
  <c r="U652" s="1"/>
  <c r="U659"/>
  <c r="U660" s="1"/>
  <c r="U51" s="1"/>
  <c r="W688"/>
  <c r="W698"/>
  <c r="X2"/>
  <c r="W25"/>
  <c r="U29"/>
  <c r="U31" s="1"/>
  <c r="U41" s="1"/>
  <c r="V10"/>
  <c r="V12" s="1"/>
  <c r="E549" l="1"/>
  <c r="B279"/>
  <c r="D279" s="1"/>
  <c r="B414"/>
  <c r="D414" s="1"/>
  <c r="D283"/>
  <c r="E283"/>
  <c r="B281"/>
  <c r="D281" s="1"/>
  <c r="B278"/>
  <c r="E278" s="1"/>
  <c r="B280"/>
  <c r="D280" s="1"/>
  <c r="B282"/>
  <c r="E282" s="1"/>
  <c r="F550"/>
  <c r="E550"/>
  <c r="K555"/>
  <c r="E413"/>
  <c r="F413" s="1"/>
  <c r="F549"/>
  <c r="E548"/>
  <c r="B416"/>
  <c r="E416" s="1"/>
  <c r="F553"/>
  <c r="F548"/>
  <c r="D555"/>
  <c r="E553"/>
  <c r="B417"/>
  <c r="E417" s="1"/>
  <c r="B415"/>
  <c r="E415" s="1"/>
  <c r="B412"/>
  <c r="D412" s="1"/>
  <c r="G588"/>
  <c r="N142" i="10"/>
  <c r="N154" s="1"/>
  <c r="N80"/>
  <c r="N81" s="1"/>
  <c r="N95" s="1"/>
  <c r="N280"/>
  <c r="N298" s="1"/>
  <c r="N216"/>
  <c r="N244" s="1"/>
  <c r="D280" i="8"/>
  <c r="F280" s="1"/>
  <c r="U49" i="2"/>
  <c r="U14"/>
  <c r="O109" i="10"/>
  <c r="O110" s="1"/>
  <c r="O142"/>
  <c r="O154" s="1"/>
  <c r="O101"/>
  <c r="O280"/>
  <c r="O216"/>
  <c r="O244" s="1"/>
  <c r="P50"/>
  <c r="P275"/>
  <c r="P293" s="1"/>
  <c r="P101"/>
  <c r="M87" i="8"/>
  <c r="M88" s="1"/>
  <c r="M79"/>
  <c r="P109" i="10"/>
  <c r="Q49"/>
  <c r="N49" i="8"/>
  <c r="N73" s="1"/>
  <c r="N78" s="1"/>
  <c r="R718" i="10"/>
  <c r="R721" s="1"/>
  <c r="Q814"/>
  <c r="R815" s="1"/>
  <c r="E414" i="8"/>
  <c r="F414" s="1"/>
  <c r="D412"/>
  <c r="F412" s="1"/>
  <c r="B417"/>
  <c r="E276"/>
  <c r="F276" s="1"/>
  <c r="O203"/>
  <c r="O238"/>
  <c r="O48"/>
  <c r="O770"/>
  <c r="P771" s="1"/>
  <c r="P674"/>
  <c r="P677" s="1"/>
  <c r="G584" i="2"/>
  <c r="F413" i="8"/>
  <c r="D586"/>
  <c r="D584"/>
  <c r="D582"/>
  <c r="D583"/>
  <c r="D585"/>
  <c r="D277"/>
  <c r="E277"/>
  <c r="E278"/>
  <c r="D278"/>
  <c r="D551"/>
  <c r="D549"/>
  <c r="D547"/>
  <c r="D548"/>
  <c r="D550"/>
  <c r="C88"/>
  <c r="F410"/>
  <c r="F411"/>
  <c r="B283"/>
  <c r="F415"/>
  <c r="F279"/>
  <c r="J581"/>
  <c r="K581" s="1"/>
  <c r="F581"/>
  <c r="E581"/>
  <c r="D281"/>
  <c r="E281"/>
  <c r="J546"/>
  <c r="K546" s="1"/>
  <c r="F546"/>
  <c r="E546"/>
  <c r="C88" i="7"/>
  <c r="C509"/>
  <c r="C516" s="1"/>
  <c r="D509" s="1"/>
  <c r="J509" s="1"/>
  <c r="K509" s="1"/>
  <c r="B516"/>
  <c r="C345"/>
  <c r="B342" s="1"/>
  <c r="B481"/>
  <c r="C474"/>
  <c r="C481" s="1"/>
  <c r="D474" s="1"/>
  <c r="F474" s="1"/>
  <c r="C211"/>
  <c r="E168" i="1"/>
  <c r="E169"/>
  <c r="E170"/>
  <c r="E167"/>
  <c r="Y165" i="7"/>
  <c r="Y129"/>
  <c r="Y54"/>
  <c r="Y56" s="1"/>
  <c r="Y82" s="1"/>
  <c r="Y87" s="1"/>
  <c r="W97"/>
  <c r="X96"/>
  <c r="X88"/>
  <c r="C97"/>
  <c r="Z634"/>
  <c r="Z637" s="1"/>
  <c r="Y730"/>
  <c r="Z731" s="1"/>
  <c r="D166"/>
  <c r="D130"/>
  <c r="D55"/>
  <c r="D56" s="1"/>
  <c r="D609"/>
  <c r="U15" i="2"/>
  <c r="U50"/>
  <c r="U228"/>
  <c r="U265"/>
  <c r="U17"/>
  <c r="U52"/>
  <c r="U230"/>
  <c r="U267"/>
  <c r="G585"/>
  <c r="V71"/>
  <c r="W789"/>
  <c r="W774" s="1"/>
  <c r="W70" s="1"/>
  <c r="X5"/>
  <c r="X787"/>
  <c r="X393" s="1"/>
  <c r="X528" s="1"/>
  <c r="X785"/>
  <c r="X391" s="1"/>
  <c r="X526" s="1"/>
  <c r="X783"/>
  <c r="X389" s="1"/>
  <c r="X524" s="1"/>
  <c r="X781"/>
  <c r="X387" s="1"/>
  <c r="X522" s="1"/>
  <c r="X779"/>
  <c r="X385" s="1"/>
  <c r="X520" s="1"/>
  <c r="X755"/>
  <c r="X367" s="1"/>
  <c r="X502" s="1"/>
  <c r="X788"/>
  <c r="X394" s="1"/>
  <c r="X529" s="1"/>
  <c r="X786"/>
  <c r="X392" s="1"/>
  <c r="X527" s="1"/>
  <c r="X784"/>
  <c r="X390" s="1"/>
  <c r="X525" s="1"/>
  <c r="X782"/>
  <c r="X388" s="1"/>
  <c r="X523" s="1"/>
  <c r="X780"/>
  <c r="X386" s="1"/>
  <c r="X521" s="1"/>
  <c r="X756"/>
  <c r="X368" s="1"/>
  <c r="X503" s="1"/>
  <c r="X754"/>
  <c r="X366" s="1"/>
  <c r="X501" s="1"/>
  <c r="X753"/>
  <c r="X365" s="1"/>
  <c r="X500" s="1"/>
  <c r="X751"/>
  <c r="X363" s="1"/>
  <c r="X498" s="1"/>
  <c r="X749"/>
  <c r="X361" s="1"/>
  <c r="X496" s="1"/>
  <c r="X747"/>
  <c r="X359" s="1"/>
  <c r="X494" s="1"/>
  <c r="X723"/>
  <c r="X342" s="1"/>
  <c r="X476" s="1"/>
  <c r="X721"/>
  <c r="X340" s="1"/>
  <c r="X474" s="1"/>
  <c r="X719"/>
  <c r="X338" s="1"/>
  <c r="X472" s="1"/>
  <c r="X717"/>
  <c r="X336" s="1"/>
  <c r="X470" s="1"/>
  <c r="X715"/>
  <c r="X334" s="1"/>
  <c r="X468" s="1"/>
  <c r="X791"/>
  <c r="X794"/>
  <c r="X795"/>
  <c r="X797"/>
  <c r="X799"/>
  <c r="X752"/>
  <c r="X364" s="1"/>
  <c r="X499" s="1"/>
  <c r="X748"/>
  <c r="X360" s="1"/>
  <c r="X495" s="1"/>
  <c r="X724"/>
  <c r="X343" s="1"/>
  <c r="X477" s="1"/>
  <c r="X720"/>
  <c r="X339" s="1"/>
  <c r="X473" s="1"/>
  <c r="X750"/>
  <c r="X362" s="1"/>
  <c r="X497" s="1"/>
  <c r="X722"/>
  <c r="X718"/>
  <c r="X337" s="1"/>
  <c r="X471" s="1"/>
  <c r="X793"/>
  <c r="X796"/>
  <c r="X762"/>
  <c r="X764"/>
  <c r="X766"/>
  <c r="X768"/>
  <c r="X716"/>
  <c r="X335" s="1"/>
  <c r="X469" s="1"/>
  <c r="X800"/>
  <c r="X759"/>
  <c r="X763"/>
  <c r="X765"/>
  <c r="X767"/>
  <c r="W757"/>
  <c r="W742" s="1"/>
  <c r="W69" s="1"/>
  <c r="G587"/>
  <c r="G552"/>
  <c r="W61"/>
  <c r="W673"/>
  <c r="X727"/>
  <c r="X33"/>
  <c r="X35" s="1"/>
  <c r="X37" s="1"/>
  <c r="X39" s="1"/>
  <c r="X617"/>
  <c r="X618" s="1"/>
  <c r="X623"/>
  <c r="X624" s="1"/>
  <c r="X697"/>
  <c r="X671"/>
  <c r="X675"/>
  <c r="X670"/>
  <c r="X699"/>
  <c r="X684"/>
  <c r="X55" s="1"/>
  <c r="X674"/>
  <c r="X685" s="1"/>
  <c r="X689" s="1"/>
  <c r="H696"/>
  <c r="G697"/>
  <c r="G61" s="1"/>
  <c r="P696"/>
  <c r="Q696" s="1"/>
  <c r="R696" s="1"/>
  <c r="O698"/>
  <c r="O61" s="1"/>
  <c r="Y11"/>
  <c r="X312"/>
  <c r="X314"/>
  <c r="X316"/>
  <c r="X445"/>
  <c r="X446"/>
  <c r="X447"/>
  <c r="X448"/>
  <c r="X449"/>
  <c r="X464" s="1"/>
  <c r="X450"/>
  <c r="X690"/>
  <c r="X311"/>
  <c r="X315"/>
  <c r="X313"/>
  <c r="V117"/>
  <c r="X19"/>
  <c r="S238"/>
  <c r="U116"/>
  <c r="S202"/>
  <c r="T43"/>
  <c r="X732"/>
  <c r="X734"/>
  <c r="X736"/>
  <c r="X731"/>
  <c r="X733"/>
  <c r="X735"/>
  <c r="W705"/>
  <c r="X702" s="1"/>
  <c r="U105"/>
  <c r="X463"/>
  <c r="W330"/>
  <c r="X329"/>
  <c r="X341"/>
  <c r="X475" s="1"/>
  <c r="X704"/>
  <c r="X62" s="1"/>
  <c r="W725"/>
  <c r="W710" s="1"/>
  <c r="W68" s="1"/>
  <c r="U696"/>
  <c r="V619"/>
  <c r="V620" s="1"/>
  <c r="V103" s="1"/>
  <c r="V625"/>
  <c r="V626" s="1"/>
  <c r="V104" s="1"/>
  <c r="W27"/>
  <c r="X23"/>
  <c r="X26"/>
  <c r="X30"/>
  <c r="X40"/>
  <c r="T268"/>
  <c r="T269" s="1"/>
  <c r="W240"/>
  <c r="W204"/>
  <c r="T231"/>
  <c r="T232" s="1"/>
  <c r="U264"/>
  <c r="U227"/>
  <c r="U266"/>
  <c r="U229"/>
  <c r="U666"/>
  <c r="V659"/>
  <c r="V660" s="1"/>
  <c r="V51" s="1"/>
  <c r="V663"/>
  <c r="V664" s="1"/>
  <c r="V655"/>
  <c r="V656" s="1"/>
  <c r="V651"/>
  <c r="V652" s="1"/>
  <c r="X698"/>
  <c r="X688"/>
  <c r="Y2"/>
  <c r="X25"/>
  <c r="V29"/>
  <c r="V31" s="1"/>
  <c r="V41" s="1"/>
  <c r="W10"/>
  <c r="W12" s="1"/>
  <c r="E279" l="1"/>
  <c r="F279" s="1"/>
  <c r="E414"/>
  <c r="F414" s="1"/>
  <c r="G549"/>
  <c r="F283"/>
  <c r="E280"/>
  <c r="F280" s="1"/>
  <c r="D415"/>
  <c r="F415" s="1"/>
  <c r="E281"/>
  <c r="F281" s="1"/>
  <c r="G550"/>
  <c r="D282"/>
  <c r="F282" s="1"/>
  <c r="B285"/>
  <c r="D278"/>
  <c r="F278" s="1"/>
  <c r="G553"/>
  <c r="D417"/>
  <c r="F417" s="1"/>
  <c r="D416"/>
  <c r="F416" s="1"/>
  <c r="G548"/>
  <c r="E412"/>
  <c r="F412" s="1"/>
  <c r="B419"/>
  <c r="P74" i="10"/>
  <c r="P76" s="1"/>
  <c r="V49" i="2"/>
  <c r="V14"/>
  <c r="O298" i="10"/>
  <c r="P110"/>
  <c r="Q50"/>
  <c r="Q74" s="1"/>
  <c r="Q76" s="1"/>
  <c r="Q80" s="1"/>
  <c r="Q81" s="1"/>
  <c r="Q95" s="1"/>
  <c r="Q275"/>
  <c r="Q293" s="1"/>
  <c r="N87" i="8"/>
  <c r="N88" s="1"/>
  <c r="N79"/>
  <c r="S718" i="10"/>
  <c r="S721" s="1"/>
  <c r="R814"/>
  <c r="S815" s="1"/>
  <c r="C163"/>
  <c r="O49" i="8"/>
  <c r="O73" s="1"/>
  <c r="O78" s="1"/>
  <c r="R49" i="10"/>
  <c r="P770" i="8"/>
  <c r="Q771" s="1"/>
  <c r="Q674"/>
  <c r="Q677" s="1"/>
  <c r="P203"/>
  <c r="P238"/>
  <c r="P48"/>
  <c r="D553"/>
  <c r="D588"/>
  <c r="F278"/>
  <c r="G581"/>
  <c r="D72"/>
  <c r="J548"/>
  <c r="K548" s="1"/>
  <c r="F548"/>
  <c r="E548"/>
  <c r="J549"/>
  <c r="K549" s="1"/>
  <c r="F549"/>
  <c r="E549"/>
  <c r="J585"/>
  <c r="K585" s="1"/>
  <c r="F585"/>
  <c r="E585"/>
  <c r="J582"/>
  <c r="K582" s="1"/>
  <c r="F582"/>
  <c r="E582"/>
  <c r="J586"/>
  <c r="K586" s="1"/>
  <c r="F586"/>
  <c r="E586"/>
  <c r="F417"/>
  <c r="J550"/>
  <c r="K550" s="1"/>
  <c r="F550"/>
  <c r="E550"/>
  <c r="J547"/>
  <c r="K547" s="1"/>
  <c r="F547"/>
  <c r="E547"/>
  <c r="J551"/>
  <c r="K551" s="1"/>
  <c r="F551"/>
  <c r="E551"/>
  <c r="J583"/>
  <c r="K583" s="1"/>
  <c r="F583"/>
  <c r="E583"/>
  <c r="J584"/>
  <c r="K584" s="1"/>
  <c r="F584"/>
  <c r="E584"/>
  <c r="G546"/>
  <c r="F281"/>
  <c r="D73"/>
  <c r="D78" s="1"/>
  <c r="F277"/>
  <c r="D478" i="7"/>
  <c r="J478" s="1"/>
  <c r="K478" s="1"/>
  <c r="J474"/>
  <c r="K474" s="1"/>
  <c r="D475"/>
  <c r="J475" s="1"/>
  <c r="K475" s="1"/>
  <c r="D479"/>
  <c r="F479" s="1"/>
  <c r="E474"/>
  <c r="G474" s="1"/>
  <c r="D477"/>
  <c r="F477" s="1"/>
  <c r="D476"/>
  <c r="F476" s="1"/>
  <c r="D512"/>
  <c r="F512" s="1"/>
  <c r="D513"/>
  <c r="J513" s="1"/>
  <c r="K513" s="1"/>
  <c r="D510"/>
  <c r="J510" s="1"/>
  <c r="K510" s="1"/>
  <c r="F509"/>
  <c r="D514"/>
  <c r="J514" s="1"/>
  <c r="K514" s="1"/>
  <c r="D511"/>
  <c r="F511" s="1"/>
  <c r="E509"/>
  <c r="B206"/>
  <c r="B209"/>
  <c r="B207"/>
  <c r="B204"/>
  <c r="B205"/>
  <c r="B208"/>
  <c r="D342"/>
  <c r="E342"/>
  <c r="B339"/>
  <c r="B341"/>
  <c r="B343"/>
  <c r="B338"/>
  <c r="B340"/>
  <c r="E171" i="1"/>
  <c r="AA634" i="7"/>
  <c r="AA637" s="1"/>
  <c r="Z730"/>
  <c r="AA731" s="1"/>
  <c r="X97"/>
  <c r="Y96"/>
  <c r="Y88"/>
  <c r="J479"/>
  <c r="K479" s="1"/>
  <c r="D606"/>
  <c r="D607" s="1"/>
  <c r="E610" s="1"/>
  <c r="D80"/>
  <c r="D81" s="1"/>
  <c r="D82" s="1"/>
  <c r="D87" s="1"/>
  <c r="Z165"/>
  <c r="Z129"/>
  <c r="Z54"/>
  <c r="Z56" s="1"/>
  <c r="Z82" s="1"/>
  <c r="Z87" s="1"/>
  <c r="U53" i="2"/>
  <c r="U18"/>
  <c r="U20" s="1"/>
  <c r="U43" s="1"/>
  <c r="U47" s="1"/>
  <c r="W71"/>
  <c r="V15"/>
  <c r="V50"/>
  <c r="V228"/>
  <c r="V265"/>
  <c r="V17"/>
  <c r="V52"/>
  <c r="V230"/>
  <c r="V267"/>
  <c r="X757"/>
  <c r="X742" s="1"/>
  <c r="X69" s="1"/>
  <c r="X789"/>
  <c r="X774" s="1"/>
  <c r="X70" s="1"/>
  <c r="Y5"/>
  <c r="Y788"/>
  <c r="Y394" s="1"/>
  <c r="Y529" s="1"/>
  <c r="Y786"/>
  <c r="Y392" s="1"/>
  <c r="Y527" s="1"/>
  <c r="Y784"/>
  <c r="Y390" s="1"/>
  <c r="Y525" s="1"/>
  <c r="Y782"/>
  <c r="Y388" s="1"/>
  <c r="Y523" s="1"/>
  <c r="Y780"/>
  <c r="Y386" s="1"/>
  <c r="Y521" s="1"/>
  <c r="Y756"/>
  <c r="Y368" s="1"/>
  <c r="Y503" s="1"/>
  <c r="Y754"/>
  <c r="Y366" s="1"/>
  <c r="Y501" s="1"/>
  <c r="Y787"/>
  <c r="Y393" s="1"/>
  <c r="Y528" s="1"/>
  <c r="Y785"/>
  <c r="Y391" s="1"/>
  <c r="Y526" s="1"/>
  <c r="Y783"/>
  <c r="Y389" s="1"/>
  <c r="Y524" s="1"/>
  <c r="Y781"/>
  <c r="Y387" s="1"/>
  <c r="Y522" s="1"/>
  <c r="Y779"/>
  <c r="Y385" s="1"/>
  <c r="Y520" s="1"/>
  <c r="Y755"/>
  <c r="Y367" s="1"/>
  <c r="Y502" s="1"/>
  <c r="Y752"/>
  <c r="Y364" s="1"/>
  <c r="Y499" s="1"/>
  <c r="Y750"/>
  <c r="Y362" s="1"/>
  <c r="Y497" s="1"/>
  <c r="Y748"/>
  <c r="Y360" s="1"/>
  <c r="Y495" s="1"/>
  <c r="Y724"/>
  <c r="Y343" s="1"/>
  <c r="Y477" s="1"/>
  <c r="Y722"/>
  <c r="Y341" s="1"/>
  <c r="Y475" s="1"/>
  <c r="Y720"/>
  <c r="Y339" s="1"/>
  <c r="Y473" s="1"/>
  <c r="Y718"/>
  <c r="Y337" s="1"/>
  <c r="Y471" s="1"/>
  <c r="Y716"/>
  <c r="Y335" s="1"/>
  <c r="Y469" s="1"/>
  <c r="Y793"/>
  <c r="Y796"/>
  <c r="Y800"/>
  <c r="Y753"/>
  <c r="Y365" s="1"/>
  <c r="Y500" s="1"/>
  <c r="Y749"/>
  <c r="Y361" s="1"/>
  <c r="Y496" s="1"/>
  <c r="Y721"/>
  <c r="Y340" s="1"/>
  <c r="Y474" s="1"/>
  <c r="Y717"/>
  <c r="Y336" s="1"/>
  <c r="Y470" s="1"/>
  <c r="Y751"/>
  <c r="Y363" s="1"/>
  <c r="Y498" s="1"/>
  <c r="Y747"/>
  <c r="Y359" s="1"/>
  <c r="Y494" s="1"/>
  <c r="Y723"/>
  <c r="Y342" s="1"/>
  <c r="Y476" s="1"/>
  <c r="Y719"/>
  <c r="Y338" s="1"/>
  <c r="Y472" s="1"/>
  <c r="Y715"/>
  <c r="Y334" s="1"/>
  <c r="Y468" s="1"/>
  <c r="Y791"/>
  <c r="Y795"/>
  <c r="Y799"/>
  <c r="Y797"/>
  <c r="Y759"/>
  <c r="Y763"/>
  <c r="Y765"/>
  <c r="Y767"/>
  <c r="Y794"/>
  <c r="Y762"/>
  <c r="Y764"/>
  <c r="Y766"/>
  <c r="Y768"/>
  <c r="X61"/>
  <c r="Y727"/>
  <c r="Y33"/>
  <c r="Y35" s="1"/>
  <c r="Y37" s="1"/>
  <c r="Y39" s="1"/>
  <c r="Y617"/>
  <c r="Y618" s="1"/>
  <c r="Y623"/>
  <c r="Y624" s="1"/>
  <c r="Y699"/>
  <c r="Y684"/>
  <c r="Y55" s="1"/>
  <c r="Y674"/>
  <c r="Y685" s="1"/>
  <c r="Y689" s="1"/>
  <c r="Y697"/>
  <c r="Y671"/>
  <c r="Y675"/>
  <c r="Y670"/>
  <c r="I696"/>
  <c r="H697"/>
  <c r="H61" s="1"/>
  <c r="X673"/>
  <c r="Z11"/>
  <c r="Y311"/>
  <c r="Y313"/>
  <c r="Y315"/>
  <c r="Y312"/>
  <c r="Y316"/>
  <c r="Y445"/>
  <c r="Y447"/>
  <c r="Y449"/>
  <c r="Y464" s="1"/>
  <c r="Y314"/>
  <c r="Y446"/>
  <c r="Y448"/>
  <c r="Y450"/>
  <c r="Y690"/>
  <c r="Y19"/>
  <c r="W117"/>
  <c r="T47"/>
  <c r="T202"/>
  <c r="T238"/>
  <c r="V116"/>
  <c r="X705"/>
  <c r="Y702" s="1"/>
  <c r="Y731"/>
  <c r="Y733"/>
  <c r="Y735"/>
  <c r="Y732"/>
  <c r="Y734"/>
  <c r="Y736"/>
  <c r="V105"/>
  <c r="V53"/>
  <c r="X330"/>
  <c r="Y463"/>
  <c r="Y329"/>
  <c r="Y704"/>
  <c r="Y62" s="1"/>
  <c r="X725"/>
  <c r="X710" s="1"/>
  <c r="X68" s="1"/>
  <c r="V696"/>
  <c r="W619"/>
  <c r="W620" s="1"/>
  <c r="W103" s="1"/>
  <c r="W625"/>
  <c r="W626" s="1"/>
  <c r="W104" s="1"/>
  <c r="Y23"/>
  <c r="Y26"/>
  <c r="Y30"/>
  <c r="Y40"/>
  <c r="U268"/>
  <c r="U269" s="1"/>
  <c r="X240"/>
  <c r="X204"/>
  <c r="V264"/>
  <c r="V227"/>
  <c r="V266"/>
  <c r="V229"/>
  <c r="U231"/>
  <c r="U232" s="1"/>
  <c r="V18"/>
  <c r="V20" s="1"/>
  <c r="V666"/>
  <c r="W663"/>
  <c r="W664" s="1"/>
  <c r="W655"/>
  <c r="W656" s="1"/>
  <c r="W651"/>
  <c r="W652" s="1"/>
  <c r="W659"/>
  <c r="W660" s="1"/>
  <c r="W51" s="1"/>
  <c r="Y688"/>
  <c r="Y698"/>
  <c r="P683"/>
  <c r="Z2"/>
  <c r="Y25"/>
  <c r="W29"/>
  <c r="W31" s="1"/>
  <c r="W41" s="1"/>
  <c r="X27"/>
  <c r="X10"/>
  <c r="X12" s="1"/>
  <c r="G555" l="1"/>
  <c r="H555" s="1"/>
  <c r="H549" s="1"/>
  <c r="I549" s="1"/>
  <c r="G279" s="1"/>
  <c r="F285"/>
  <c r="F419"/>
  <c r="F475" i="7"/>
  <c r="J476"/>
  <c r="K476" s="1"/>
  <c r="P142" i="10"/>
  <c r="P154" s="1"/>
  <c r="P80"/>
  <c r="P81" s="1"/>
  <c r="P95" s="1"/>
  <c r="P216"/>
  <c r="P244" s="1"/>
  <c r="P280"/>
  <c r="P298" s="1"/>
  <c r="W49" i="2"/>
  <c r="W14"/>
  <c r="Q109" i="10"/>
  <c r="Q110" s="1"/>
  <c r="Q142"/>
  <c r="Q154" s="1"/>
  <c r="Q101"/>
  <c r="Q280"/>
  <c r="Q216"/>
  <c r="Q244" s="1"/>
  <c r="R50"/>
  <c r="R74" s="1"/>
  <c r="R76" s="1"/>
  <c r="R80" s="1"/>
  <c r="R81" s="1"/>
  <c r="R95" s="1"/>
  <c r="R275"/>
  <c r="R293" s="1"/>
  <c r="O79" i="8"/>
  <c r="O87"/>
  <c r="O88" s="1"/>
  <c r="T718" i="10"/>
  <c r="T721" s="1"/>
  <c r="S814"/>
  <c r="T815" s="1"/>
  <c r="P49" i="8"/>
  <c r="P73" s="1"/>
  <c r="P78" s="1"/>
  <c r="S49" i="10"/>
  <c r="Q203" i="8"/>
  <c r="Q238"/>
  <c r="Q48"/>
  <c r="Q770"/>
  <c r="R771" s="1"/>
  <c r="R674"/>
  <c r="R677" s="1"/>
  <c r="G548"/>
  <c r="G584"/>
  <c r="G551"/>
  <c r="G550"/>
  <c r="G586"/>
  <c r="G585"/>
  <c r="G549"/>
  <c r="D87"/>
  <c r="D79"/>
  <c r="G583"/>
  <c r="G547"/>
  <c r="G582"/>
  <c r="K553"/>
  <c r="F283"/>
  <c r="K588"/>
  <c r="E479" i="7"/>
  <c r="G479" s="1"/>
  <c r="F478"/>
  <c r="E478"/>
  <c r="E475"/>
  <c r="G475" s="1"/>
  <c r="E476"/>
  <c r="G476" s="1"/>
  <c r="E512"/>
  <c r="G512" s="1"/>
  <c r="J477"/>
  <c r="K477" s="1"/>
  <c r="F513"/>
  <c r="F510"/>
  <c r="J512"/>
  <c r="K512" s="1"/>
  <c r="F514"/>
  <c r="E477"/>
  <c r="G477" s="1"/>
  <c r="D481"/>
  <c r="E510"/>
  <c r="E513"/>
  <c r="J511"/>
  <c r="K511" s="1"/>
  <c r="D516"/>
  <c r="E514"/>
  <c r="G509"/>
  <c r="E511"/>
  <c r="G511" s="1"/>
  <c r="D340"/>
  <c r="E340"/>
  <c r="E343"/>
  <c r="D343"/>
  <c r="D339"/>
  <c r="E339"/>
  <c r="E205"/>
  <c r="D205"/>
  <c r="D207"/>
  <c r="E207"/>
  <c r="E206"/>
  <c r="D206"/>
  <c r="F342"/>
  <c r="B345"/>
  <c r="E338"/>
  <c r="D338"/>
  <c r="E341"/>
  <c r="D341"/>
  <c r="D208"/>
  <c r="E208"/>
  <c r="D204"/>
  <c r="E204"/>
  <c r="B211"/>
  <c r="E209"/>
  <c r="D209"/>
  <c r="D96"/>
  <c r="D88"/>
  <c r="Z96"/>
  <c r="Z88"/>
  <c r="AB634"/>
  <c r="AB637" s="1"/>
  <c r="AA730"/>
  <c r="AB731" s="1"/>
  <c r="E604"/>
  <c r="Y97"/>
  <c r="AA165"/>
  <c r="AA129"/>
  <c r="AA54"/>
  <c r="AA56" s="1"/>
  <c r="AA82" s="1"/>
  <c r="AA87" s="1"/>
  <c r="W15" i="2"/>
  <c r="W50"/>
  <c r="W228"/>
  <c r="W265"/>
  <c r="W17"/>
  <c r="W52"/>
  <c r="W230"/>
  <c r="W267"/>
  <c r="X71"/>
  <c r="Y757"/>
  <c r="Y742" s="1"/>
  <c r="Y69" s="1"/>
  <c r="Y789"/>
  <c r="Y774" s="1"/>
  <c r="Y70" s="1"/>
  <c r="Z5"/>
  <c r="Z787"/>
  <c r="Z393" s="1"/>
  <c r="Z528" s="1"/>
  <c r="Z785"/>
  <c r="Z391" s="1"/>
  <c r="Z526" s="1"/>
  <c r="Z783"/>
  <c r="Z389" s="1"/>
  <c r="Z524" s="1"/>
  <c r="Z781"/>
  <c r="Z387" s="1"/>
  <c r="Z522" s="1"/>
  <c r="Z779"/>
  <c r="Z385" s="1"/>
  <c r="Z520" s="1"/>
  <c r="Z755"/>
  <c r="Z367" s="1"/>
  <c r="Z502" s="1"/>
  <c r="Z788"/>
  <c r="Z394" s="1"/>
  <c r="Z529" s="1"/>
  <c r="Z786"/>
  <c r="Z392" s="1"/>
  <c r="Z527" s="1"/>
  <c r="Z784"/>
  <c r="Z390" s="1"/>
  <c r="Z525" s="1"/>
  <c r="Z782"/>
  <c r="Z388" s="1"/>
  <c r="Z523" s="1"/>
  <c r="Z780"/>
  <c r="Z386" s="1"/>
  <c r="Z521" s="1"/>
  <c r="Z756"/>
  <c r="Z368" s="1"/>
  <c r="Z503" s="1"/>
  <c r="Z754"/>
  <c r="Z366" s="1"/>
  <c r="Z501" s="1"/>
  <c r="Z753"/>
  <c r="Z365" s="1"/>
  <c r="Z500" s="1"/>
  <c r="Z751"/>
  <c r="Z363" s="1"/>
  <c r="Z498" s="1"/>
  <c r="Z749"/>
  <c r="Z361" s="1"/>
  <c r="Z496" s="1"/>
  <c r="Z747"/>
  <c r="Z359" s="1"/>
  <c r="Z494" s="1"/>
  <c r="Z723"/>
  <c r="Z342" s="1"/>
  <c r="Z476" s="1"/>
  <c r="Z721"/>
  <c r="Z340" s="1"/>
  <c r="Z474" s="1"/>
  <c r="Z719"/>
  <c r="Z338" s="1"/>
  <c r="Z472" s="1"/>
  <c r="Z717"/>
  <c r="Z715"/>
  <c r="Z334" s="1"/>
  <c r="Z468" s="1"/>
  <c r="Z791"/>
  <c r="Z794"/>
  <c r="Z795"/>
  <c r="Z797"/>
  <c r="Z799"/>
  <c r="Z750"/>
  <c r="Z362" s="1"/>
  <c r="Z497" s="1"/>
  <c r="Z722"/>
  <c r="Z341" s="1"/>
  <c r="Z475" s="1"/>
  <c r="Z718"/>
  <c r="Z337" s="1"/>
  <c r="Z471" s="1"/>
  <c r="Z752"/>
  <c r="Z364" s="1"/>
  <c r="Z499" s="1"/>
  <c r="Z748"/>
  <c r="Z360" s="1"/>
  <c r="Z495" s="1"/>
  <c r="Z724"/>
  <c r="Z720"/>
  <c r="Z339" s="1"/>
  <c r="Z473" s="1"/>
  <c r="Z716"/>
  <c r="Z335" s="1"/>
  <c r="Z469" s="1"/>
  <c r="Z796"/>
  <c r="Z800"/>
  <c r="Z762"/>
  <c r="Z764"/>
  <c r="Z766"/>
  <c r="Z793"/>
  <c r="Z759"/>
  <c r="Z763"/>
  <c r="Z765"/>
  <c r="Z767"/>
  <c r="Z768"/>
  <c r="Y61"/>
  <c r="Y705"/>
  <c r="Z702" s="1"/>
  <c r="Y673"/>
  <c r="Z727"/>
  <c r="Z33"/>
  <c r="Z35" s="1"/>
  <c r="Z37" s="1"/>
  <c r="Z39" s="1"/>
  <c r="Z617"/>
  <c r="Z618" s="1"/>
  <c r="Z623"/>
  <c r="Z624" s="1"/>
  <c r="Z697"/>
  <c r="Z671"/>
  <c r="Z675"/>
  <c r="Z670"/>
  <c r="Z699"/>
  <c r="Z684"/>
  <c r="Z55" s="1"/>
  <c r="Z674"/>
  <c r="Z685" s="1"/>
  <c r="Z689" s="1"/>
  <c r="J696"/>
  <c r="I697"/>
  <c r="I61" s="1"/>
  <c r="AA11"/>
  <c r="Z312"/>
  <c r="Z314"/>
  <c r="Z316"/>
  <c r="Z445"/>
  <c r="Z446"/>
  <c r="Z447"/>
  <c r="Z448"/>
  <c r="Z449"/>
  <c r="Z464" s="1"/>
  <c r="Z450"/>
  <c r="Z690"/>
  <c r="Z313"/>
  <c r="Z311"/>
  <c r="Z315"/>
  <c r="X117"/>
  <c r="Z19"/>
  <c r="U202"/>
  <c r="W116"/>
  <c r="U238"/>
  <c r="V43"/>
  <c r="P680"/>
  <c r="P80"/>
  <c r="P81" s="1"/>
  <c r="Z732"/>
  <c r="Z734"/>
  <c r="Z736"/>
  <c r="Z731"/>
  <c r="Z733"/>
  <c r="Z735"/>
  <c r="Y330"/>
  <c r="W53"/>
  <c r="W105"/>
  <c r="C99"/>
  <c r="Z463"/>
  <c r="Z329"/>
  <c r="Z336"/>
  <c r="Z470" s="1"/>
  <c r="Z343"/>
  <c r="Z477" s="1"/>
  <c r="Z704"/>
  <c r="Y725"/>
  <c r="Y710" s="1"/>
  <c r="Y68" s="1"/>
  <c r="W696"/>
  <c r="Y27"/>
  <c r="X619"/>
  <c r="X620" s="1"/>
  <c r="X103" s="1"/>
  <c r="X625"/>
  <c r="X626" s="1"/>
  <c r="X104" s="1"/>
  <c r="G413"/>
  <c r="H278"/>
  <c r="H283"/>
  <c r="H279"/>
  <c r="H552"/>
  <c r="I552" s="1"/>
  <c r="H281"/>
  <c r="H280"/>
  <c r="H282"/>
  <c r="H551"/>
  <c r="I551" s="1"/>
  <c r="H548"/>
  <c r="I548" s="1"/>
  <c r="H550"/>
  <c r="I550" s="1"/>
  <c r="Z23"/>
  <c r="Z26"/>
  <c r="Z30"/>
  <c r="Z40"/>
  <c r="Y240"/>
  <c r="Y204"/>
  <c r="W266"/>
  <c r="W229"/>
  <c r="V268"/>
  <c r="V269" s="1"/>
  <c r="W264"/>
  <c r="W227"/>
  <c r="V231"/>
  <c r="V232" s="1"/>
  <c r="W18"/>
  <c r="W20" s="1"/>
  <c r="W666"/>
  <c r="X659"/>
  <c r="X660" s="1"/>
  <c r="X51" s="1"/>
  <c r="X663"/>
  <c r="X664" s="1"/>
  <c r="X655"/>
  <c r="X656" s="1"/>
  <c r="X651"/>
  <c r="X652" s="1"/>
  <c r="Z698"/>
  <c r="Z688"/>
  <c r="X29"/>
  <c r="X31" s="1"/>
  <c r="X41" s="1"/>
  <c r="AA2"/>
  <c r="Z25"/>
  <c r="Y10"/>
  <c r="Y12" s="1"/>
  <c r="H553" l="1"/>
  <c r="I553" s="1"/>
  <c r="G283" s="1"/>
  <c r="K481" i="7"/>
  <c r="K516"/>
  <c r="X49" i="2"/>
  <c r="X14"/>
  <c r="P87" i="8"/>
  <c r="P88" s="1"/>
  <c r="P79"/>
  <c r="R101" i="10"/>
  <c r="R142"/>
  <c r="R154" s="1"/>
  <c r="R109"/>
  <c r="R110" s="1"/>
  <c r="Q298"/>
  <c r="R280"/>
  <c r="R216"/>
  <c r="R244" s="1"/>
  <c r="S50"/>
  <c r="S74" s="1"/>
  <c r="S76" s="1"/>
  <c r="S80" s="1"/>
  <c r="S81" s="1"/>
  <c r="S95" s="1"/>
  <c r="S275"/>
  <c r="S293" s="1"/>
  <c r="Q49" i="8"/>
  <c r="Q73" s="1"/>
  <c r="Q78" s="1"/>
  <c r="T49" i="10"/>
  <c r="U718"/>
  <c r="U721" s="1"/>
  <c r="T814"/>
  <c r="U815" s="1"/>
  <c r="R770" i="8"/>
  <c r="S771" s="1"/>
  <c r="S674"/>
  <c r="S677" s="1"/>
  <c r="R238"/>
  <c r="R48"/>
  <c r="R203"/>
  <c r="G588"/>
  <c r="H588" s="1"/>
  <c r="H586" s="1"/>
  <c r="I586" s="1"/>
  <c r="H415" s="1"/>
  <c r="I415" s="1"/>
  <c r="K415" s="1"/>
  <c r="G553"/>
  <c r="H553" s="1"/>
  <c r="H551" s="1"/>
  <c r="I551" s="1"/>
  <c r="G281" s="1"/>
  <c r="I281" s="1"/>
  <c r="K281" s="1"/>
  <c r="D88"/>
  <c r="G478" i="7"/>
  <c r="G481" s="1"/>
  <c r="H481" s="1"/>
  <c r="G513"/>
  <c r="G514"/>
  <c r="G510"/>
  <c r="F341"/>
  <c r="F338"/>
  <c r="F206"/>
  <c r="F205"/>
  <c r="F343"/>
  <c r="F209"/>
  <c r="F204"/>
  <c r="F208"/>
  <c r="F207"/>
  <c r="F339"/>
  <c r="F340"/>
  <c r="AA96"/>
  <c r="AA88"/>
  <c r="E166"/>
  <c r="E130"/>
  <c r="E55"/>
  <c r="E56" s="1"/>
  <c r="E609"/>
  <c r="AC634"/>
  <c r="AC637" s="1"/>
  <c r="AB730"/>
  <c r="AC731" s="1"/>
  <c r="Z97"/>
  <c r="D97"/>
  <c r="AB165"/>
  <c r="AB129"/>
  <c r="AB54"/>
  <c r="AB56" s="1"/>
  <c r="AB82" s="1"/>
  <c r="AB87" s="1"/>
  <c r="Y71" i="2"/>
  <c r="X17"/>
  <c r="X52"/>
  <c r="X230"/>
  <c r="X267"/>
  <c r="X15"/>
  <c r="X50"/>
  <c r="X53" s="1"/>
  <c r="X228"/>
  <c r="X265"/>
  <c r="AA5"/>
  <c r="AA788"/>
  <c r="AA394" s="1"/>
  <c r="AA529" s="1"/>
  <c r="AA786"/>
  <c r="AA392" s="1"/>
  <c r="AA527" s="1"/>
  <c r="AA784"/>
  <c r="AA390" s="1"/>
  <c r="AA525" s="1"/>
  <c r="AA782"/>
  <c r="AA388" s="1"/>
  <c r="AA523" s="1"/>
  <c r="AA780"/>
  <c r="AA386" s="1"/>
  <c r="AA521" s="1"/>
  <c r="AA756"/>
  <c r="AA368" s="1"/>
  <c r="AA503" s="1"/>
  <c r="AA754"/>
  <c r="AA366" s="1"/>
  <c r="AA501" s="1"/>
  <c r="AA787"/>
  <c r="AA393" s="1"/>
  <c r="AA528" s="1"/>
  <c r="AA785"/>
  <c r="AA391" s="1"/>
  <c r="AA526" s="1"/>
  <c r="AA783"/>
  <c r="AA389" s="1"/>
  <c r="AA524" s="1"/>
  <c r="AA781"/>
  <c r="AA387" s="1"/>
  <c r="AA522" s="1"/>
  <c r="AA779"/>
  <c r="AA385" s="1"/>
  <c r="AA520" s="1"/>
  <c r="AA755"/>
  <c r="AA367" s="1"/>
  <c r="AA502" s="1"/>
  <c r="AA752"/>
  <c r="AA364" s="1"/>
  <c r="AA499" s="1"/>
  <c r="AA750"/>
  <c r="AA362" s="1"/>
  <c r="AA497" s="1"/>
  <c r="AA748"/>
  <c r="AA360" s="1"/>
  <c r="AA495" s="1"/>
  <c r="AA724"/>
  <c r="AA343" s="1"/>
  <c r="AA477" s="1"/>
  <c r="AA722"/>
  <c r="AA720"/>
  <c r="AA339" s="1"/>
  <c r="AA473" s="1"/>
  <c r="AA718"/>
  <c r="AA337" s="1"/>
  <c r="AA471" s="1"/>
  <c r="AA716"/>
  <c r="AA335" s="1"/>
  <c r="AA469" s="1"/>
  <c r="AA793"/>
  <c r="AA796"/>
  <c r="AA798"/>
  <c r="AA800"/>
  <c r="AA751"/>
  <c r="AA363" s="1"/>
  <c r="AA498" s="1"/>
  <c r="AA747"/>
  <c r="AA359" s="1"/>
  <c r="AA494" s="1"/>
  <c r="AA723"/>
  <c r="AA342" s="1"/>
  <c r="AA476" s="1"/>
  <c r="AA719"/>
  <c r="AA338" s="1"/>
  <c r="AA472" s="1"/>
  <c r="AA753"/>
  <c r="AA365" s="1"/>
  <c r="AA500" s="1"/>
  <c r="AA749"/>
  <c r="AA361" s="1"/>
  <c r="AA496" s="1"/>
  <c r="AA721"/>
  <c r="AA340" s="1"/>
  <c r="AA474" s="1"/>
  <c r="AA717"/>
  <c r="AA336" s="1"/>
  <c r="AA470" s="1"/>
  <c r="AA794"/>
  <c r="AA797"/>
  <c r="AA715"/>
  <c r="AA334" s="1"/>
  <c r="AA468" s="1"/>
  <c r="AA791"/>
  <c r="AA759"/>
  <c r="AA763"/>
  <c r="AA765"/>
  <c r="AA767"/>
  <c r="AA795"/>
  <c r="AA762"/>
  <c r="AA764"/>
  <c r="AA766"/>
  <c r="AA768"/>
  <c r="Z61"/>
  <c r="Z757"/>
  <c r="Z742" s="1"/>
  <c r="Z69" s="1"/>
  <c r="Z789"/>
  <c r="Z774" s="1"/>
  <c r="Z70" s="1"/>
  <c r="I279"/>
  <c r="Z673"/>
  <c r="AA727"/>
  <c r="AA33"/>
  <c r="AA35" s="1"/>
  <c r="AA37" s="1"/>
  <c r="AA39" s="1"/>
  <c r="AA617"/>
  <c r="AA618" s="1"/>
  <c r="AA623"/>
  <c r="AA624" s="1"/>
  <c r="AA699"/>
  <c r="AA684"/>
  <c r="AA55" s="1"/>
  <c r="AA674"/>
  <c r="AA685" s="1"/>
  <c r="AA689" s="1"/>
  <c r="AA697"/>
  <c r="AA671"/>
  <c r="AA675"/>
  <c r="AA670"/>
  <c r="K696"/>
  <c r="J697"/>
  <c r="J61" s="1"/>
  <c r="AB11"/>
  <c r="AA311"/>
  <c r="AA313"/>
  <c r="AA315"/>
  <c r="AA314"/>
  <c r="AA446"/>
  <c r="AA448"/>
  <c r="AA450"/>
  <c r="AA690"/>
  <c r="AA312"/>
  <c r="AA316"/>
  <c r="AA445"/>
  <c r="AA447"/>
  <c r="AA449"/>
  <c r="AA464" s="1"/>
  <c r="AA19"/>
  <c r="Y117"/>
  <c r="V47"/>
  <c r="V202"/>
  <c r="V238"/>
  <c r="X116"/>
  <c r="W43"/>
  <c r="W47" s="1"/>
  <c r="AA728"/>
  <c r="AA731"/>
  <c r="AA733"/>
  <c r="AA735"/>
  <c r="AA732"/>
  <c r="AA734"/>
  <c r="AA736"/>
  <c r="X105"/>
  <c r="Z330"/>
  <c r="AA463"/>
  <c r="AA329"/>
  <c r="Z705"/>
  <c r="AA702" s="1"/>
  <c r="Z62"/>
  <c r="Z725"/>
  <c r="Z710" s="1"/>
  <c r="Z68" s="1"/>
  <c r="AA341"/>
  <c r="AA475" s="1"/>
  <c r="AA704"/>
  <c r="X696"/>
  <c r="Z27"/>
  <c r="Y619"/>
  <c r="Y620" s="1"/>
  <c r="Y103" s="1"/>
  <c r="Y625"/>
  <c r="Y626" s="1"/>
  <c r="Y104" s="1"/>
  <c r="G417"/>
  <c r="G278"/>
  <c r="I278" s="1"/>
  <c r="G412"/>
  <c r="G416"/>
  <c r="G282"/>
  <c r="H285"/>
  <c r="G280"/>
  <c r="G414"/>
  <c r="G281"/>
  <c r="G415"/>
  <c r="AA23"/>
  <c r="AA26"/>
  <c r="AA30"/>
  <c r="AA40"/>
  <c r="Z240"/>
  <c r="Z204"/>
  <c r="W268"/>
  <c r="W269" s="1"/>
  <c r="W231"/>
  <c r="W232" s="1"/>
  <c r="X266"/>
  <c r="X229"/>
  <c r="X264"/>
  <c r="X227"/>
  <c r="X666"/>
  <c r="Y663"/>
  <c r="Y664" s="1"/>
  <c r="Y655"/>
  <c r="Y656" s="1"/>
  <c r="Y651"/>
  <c r="Y652" s="1"/>
  <c r="Y659"/>
  <c r="Y660" s="1"/>
  <c r="Y51" s="1"/>
  <c r="AA688"/>
  <c r="AA698"/>
  <c r="Q683"/>
  <c r="AB2"/>
  <c r="AA25"/>
  <c r="Y29"/>
  <c r="Y31" s="1"/>
  <c r="Y41" s="1"/>
  <c r="Z10"/>
  <c r="Z12" s="1"/>
  <c r="I555" l="1"/>
  <c r="X18"/>
  <c r="X20" s="1"/>
  <c r="X43" s="1"/>
  <c r="Y49"/>
  <c r="Y14"/>
  <c r="H585" i="8"/>
  <c r="I585" s="1"/>
  <c r="H414" s="1"/>
  <c r="I414" s="1"/>
  <c r="K414" s="1"/>
  <c r="E454" s="1"/>
  <c r="S101" i="10"/>
  <c r="S142"/>
  <c r="S154" s="1"/>
  <c r="C114"/>
  <c r="S109"/>
  <c r="S110" s="1"/>
  <c r="R298"/>
  <c r="S280"/>
  <c r="S216"/>
  <c r="S244" s="1"/>
  <c r="T50"/>
  <c r="T275"/>
  <c r="T293" s="1"/>
  <c r="Q87" i="8"/>
  <c r="Q88" s="1"/>
  <c r="Q79"/>
  <c r="V718" i="10"/>
  <c r="V721" s="1"/>
  <c r="U814"/>
  <c r="V815" s="1"/>
  <c r="R49" i="8"/>
  <c r="R73" s="1"/>
  <c r="R78" s="1"/>
  <c r="U49" i="10"/>
  <c r="S203" i="8"/>
  <c r="S238"/>
  <c r="S48"/>
  <c r="S770"/>
  <c r="T771" s="1"/>
  <c r="T674"/>
  <c r="T677" s="1"/>
  <c r="H550"/>
  <c r="I550" s="1"/>
  <c r="G280" s="1"/>
  <c r="I280" s="1"/>
  <c r="K280" s="1"/>
  <c r="C320" s="1"/>
  <c r="H581"/>
  <c r="I581" s="1"/>
  <c r="H410" s="1"/>
  <c r="H584"/>
  <c r="I584" s="1"/>
  <c r="H413" s="1"/>
  <c r="I413" s="1"/>
  <c r="K413" s="1"/>
  <c r="D453" s="1"/>
  <c r="C91"/>
  <c r="H583"/>
  <c r="I583" s="1"/>
  <c r="H412" s="1"/>
  <c r="I412" s="1"/>
  <c r="K412" s="1"/>
  <c r="C452" s="1"/>
  <c r="H582"/>
  <c r="I582" s="1"/>
  <c r="H411" s="1"/>
  <c r="I411" s="1"/>
  <c r="K411" s="1"/>
  <c r="D451" s="1"/>
  <c r="H546"/>
  <c r="I546" s="1"/>
  <c r="G276" s="1"/>
  <c r="H549"/>
  <c r="I549" s="1"/>
  <c r="G279" s="1"/>
  <c r="I279" s="1"/>
  <c r="K279" s="1"/>
  <c r="D319" s="1"/>
  <c r="C90"/>
  <c r="H548"/>
  <c r="I548" s="1"/>
  <c r="G278" s="1"/>
  <c r="I278" s="1"/>
  <c r="K278" s="1"/>
  <c r="D318" s="1"/>
  <c r="H547"/>
  <c r="I547" s="1"/>
  <c r="G277" s="1"/>
  <c r="I277" s="1"/>
  <c r="K277" s="1"/>
  <c r="C317" s="1"/>
  <c r="E72"/>
  <c r="E73" s="1"/>
  <c r="E78" s="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J452"/>
  <c r="R452"/>
  <c r="Z452"/>
  <c r="AP452"/>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J320"/>
  <c r="N320"/>
  <c r="R320"/>
  <c r="V320"/>
  <c r="Z320"/>
  <c r="AD320"/>
  <c r="AH320"/>
  <c r="AL320"/>
  <c r="AP320"/>
  <c r="D454"/>
  <c r="G516" i="7"/>
  <c r="H516" s="1"/>
  <c r="H511" s="1"/>
  <c r="I511" s="1"/>
  <c r="H340" s="1"/>
  <c r="I340" s="1"/>
  <c r="K340" s="1"/>
  <c r="F345"/>
  <c r="F211"/>
  <c r="H478"/>
  <c r="I478" s="1"/>
  <c r="G208" s="1"/>
  <c r="I208" s="1"/>
  <c r="K208" s="1"/>
  <c r="H476"/>
  <c r="I476" s="1"/>
  <c r="G206" s="1"/>
  <c r="I206" s="1"/>
  <c r="K206" s="1"/>
  <c r="H474"/>
  <c r="I474" s="1"/>
  <c r="H479"/>
  <c r="I479" s="1"/>
  <c r="G209" s="1"/>
  <c r="I209" s="1"/>
  <c r="K209" s="1"/>
  <c r="H477"/>
  <c r="I477" s="1"/>
  <c r="G207" s="1"/>
  <c r="I207" s="1"/>
  <c r="K207" s="1"/>
  <c r="H475"/>
  <c r="I475" s="1"/>
  <c r="G205" s="1"/>
  <c r="I205" s="1"/>
  <c r="K205" s="1"/>
  <c r="C99"/>
  <c r="AC165"/>
  <c r="AC129"/>
  <c r="AC54"/>
  <c r="AC56" s="1"/>
  <c r="AC82" s="1"/>
  <c r="AC87" s="1"/>
  <c r="AA97"/>
  <c r="AB96"/>
  <c r="AB88"/>
  <c r="AD634"/>
  <c r="AD637" s="1"/>
  <c r="AC730"/>
  <c r="AD731" s="1"/>
  <c r="E606"/>
  <c r="E607" s="1"/>
  <c r="F610" s="1"/>
  <c r="E80"/>
  <c r="E81" s="1"/>
  <c r="E82" s="1"/>
  <c r="E87" s="1"/>
  <c r="Y15" i="2"/>
  <c r="Y50"/>
  <c r="Y228"/>
  <c r="Y265"/>
  <c r="Y17"/>
  <c r="Y52"/>
  <c r="Y230"/>
  <c r="Y267"/>
  <c r="AA673"/>
  <c r="Z71"/>
  <c r="AA789"/>
  <c r="AA774" s="1"/>
  <c r="AA70" s="1"/>
  <c r="AB5"/>
  <c r="AB787"/>
  <c r="AB393" s="1"/>
  <c r="AB528" s="1"/>
  <c r="AB785"/>
  <c r="AB391" s="1"/>
  <c r="AB526" s="1"/>
  <c r="AB783"/>
  <c r="AB389" s="1"/>
  <c r="AB524" s="1"/>
  <c r="AB781"/>
  <c r="AB387" s="1"/>
  <c r="AB522" s="1"/>
  <c r="AB779"/>
  <c r="AB385" s="1"/>
  <c r="AB520" s="1"/>
  <c r="AB755"/>
  <c r="AB367" s="1"/>
  <c r="AB502" s="1"/>
  <c r="AB788"/>
  <c r="AB394" s="1"/>
  <c r="AB529" s="1"/>
  <c r="AB786"/>
  <c r="AB392" s="1"/>
  <c r="AB527" s="1"/>
  <c r="AB784"/>
  <c r="AB390" s="1"/>
  <c r="AB525" s="1"/>
  <c r="AB782"/>
  <c r="AB388" s="1"/>
  <c r="AB523" s="1"/>
  <c r="AB780"/>
  <c r="AB386" s="1"/>
  <c r="AB521" s="1"/>
  <c r="AB756"/>
  <c r="AB368" s="1"/>
  <c r="AB503" s="1"/>
  <c r="AB754"/>
  <c r="AB366" s="1"/>
  <c r="AB501" s="1"/>
  <c r="AB753"/>
  <c r="AB365" s="1"/>
  <c r="AB500" s="1"/>
  <c r="AB751"/>
  <c r="AB363" s="1"/>
  <c r="AB498" s="1"/>
  <c r="AB749"/>
  <c r="AB361" s="1"/>
  <c r="AB496" s="1"/>
  <c r="AB747"/>
  <c r="AB359" s="1"/>
  <c r="AB494" s="1"/>
  <c r="AB723"/>
  <c r="AB342" s="1"/>
  <c r="AB476" s="1"/>
  <c r="AB721"/>
  <c r="AB340" s="1"/>
  <c r="AB474" s="1"/>
  <c r="AB719"/>
  <c r="AB338" s="1"/>
  <c r="AB472" s="1"/>
  <c r="AB717"/>
  <c r="AB715"/>
  <c r="AB791"/>
  <c r="AB794"/>
  <c r="AB795"/>
  <c r="AB797"/>
  <c r="AB752"/>
  <c r="AB364" s="1"/>
  <c r="AB499" s="1"/>
  <c r="AB748"/>
  <c r="AB360" s="1"/>
  <c r="AB495" s="1"/>
  <c r="AB724"/>
  <c r="AB343" s="1"/>
  <c r="AB477" s="1"/>
  <c r="AB720"/>
  <c r="AB339" s="1"/>
  <c r="AB473" s="1"/>
  <c r="AB750"/>
  <c r="AB362" s="1"/>
  <c r="AB497" s="1"/>
  <c r="AB722"/>
  <c r="AB341" s="1"/>
  <c r="AB475" s="1"/>
  <c r="AB718"/>
  <c r="AB793"/>
  <c r="AB798"/>
  <c r="AB716"/>
  <c r="AB335" s="1"/>
  <c r="AB469" s="1"/>
  <c r="AB800"/>
  <c r="AB762"/>
  <c r="AB764"/>
  <c r="AB766"/>
  <c r="AB768"/>
  <c r="AB796"/>
  <c r="AB759"/>
  <c r="AB763"/>
  <c r="AB765"/>
  <c r="AB767"/>
  <c r="AA757"/>
  <c r="AA742" s="1"/>
  <c r="AA69" s="1"/>
  <c r="AA61"/>
  <c r="J413"/>
  <c r="J279"/>
  <c r="K279" s="1"/>
  <c r="J278"/>
  <c r="I281"/>
  <c r="K281" s="1"/>
  <c r="AA321" s="1"/>
  <c r="I280"/>
  <c r="K280" s="1"/>
  <c r="Z320" s="1"/>
  <c r="I282"/>
  <c r="K282" s="1"/>
  <c r="Z322" s="1"/>
  <c r="I283"/>
  <c r="K283" s="1"/>
  <c r="O323" s="1"/>
  <c r="AB727"/>
  <c r="AB33"/>
  <c r="AB35" s="1"/>
  <c r="AB37" s="1"/>
  <c r="AB39" s="1"/>
  <c r="AB617"/>
  <c r="AB618" s="1"/>
  <c r="AB623"/>
  <c r="AB624" s="1"/>
  <c r="AB697"/>
  <c r="AB671"/>
  <c r="AB675"/>
  <c r="AB670"/>
  <c r="AB699"/>
  <c r="AB684"/>
  <c r="AB55" s="1"/>
  <c r="AB674"/>
  <c r="AB685" s="1"/>
  <c r="AB689" s="1"/>
  <c r="AB673"/>
  <c r="L696"/>
  <c r="K697"/>
  <c r="K61" s="1"/>
  <c r="AC11"/>
  <c r="AB312"/>
  <c r="AB314"/>
  <c r="AB316"/>
  <c r="AB445"/>
  <c r="AB446"/>
  <c r="AB447"/>
  <c r="AB448"/>
  <c r="AB449"/>
  <c r="AB450"/>
  <c r="AB690"/>
  <c r="AB311"/>
  <c r="AB315"/>
  <c r="AB313"/>
  <c r="AB19"/>
  <c r="Z117"/>
  <c r="W202"/>
  <c r="Y116"/>
  <c r="W238"/>
  <c r="Q680"/>
  <c r="Q80"/>
  <c r="Q81" s="1"/>
  <c r="AB732"/>
  <c r="AB734"/>
  <c r="AB736"/>
  <c r="AB728"/>
  <c r="AB731"/>
  <c r="AB733"/>
  <c r="AB735"/>
  <c r="Y105"/>
  <c r="AA330"/>
  <c r="AB463"/>
  <c r="AB329"/>
  <c r="AA705"/>
  <c r="AB702" s="1"/>
  <c r="AA62"/>
  <c r="AA725"/>
  <c r="AA710" s="1"/>
  <c r="AA68" s="1"/>
  <c r="AB334"/>
  <c r="AB468" s="1"/>
  <c r="AB336"/>
  <c r="AB470" s="1"/>
  <c r="AB337"/>
  <c r="AB471" s="1"/>
  <c r="AB704"/>
  <c r="Y696"/>
  <c r="Z619"/>
  <c r="Z620" s="1"/>
  <c r="Z103" s="1"/>
  <c r="Z625"/>
  <c r="Z626" s="1"/>
  <c r="Z104" s="1"/>
  <c r="G419"/>
  <c r="G285"/>
  <c r="AB23"/>
  <c r="AB26"/>
  <c r="AB30"/>
  <c r="AB40"/>
  <c r="AA27"/>
  <c r="AA240"/>
  <c r="AA204"/>
  <c r="X231"/>
  <c r="X232" s="1"/>
  <c r="X268"/>
  <c r="X269" s="1"/>
  <c r="Y266"/>
  <c r="Y229"/>
  <c r="Y264"/>
  <c r="Y227"/>
  <c r="Y18"/>
  <c r="Y20" s="1"/>
  <c r="Y666"/>
  <c r="Z659"/>
  <c r="Z660" s="1"/>
  <c r="Z51" s="1"/>
  <c r="Z663"/>
  <c r="Z664" s="1"/>
  <c r="Z655"/>
  <c r="Z656" s="1"/>
  <c r="Z651"/>
  <c r="Z652" s="1"/>
  <c r="AB698"/>
  <c r="AB688"/>
  <c r="AC2"/>
  <c r="AB25"/>
  <c r="Z29"/>
  <c r="Z31" s="1"/>
  <c r="Z41" s="1"/>
  <c r="AA10"/>
  <c r="AA12" s="1"/>
  <c r="Q319" i="8" l="1"/>
  <c r="C454"/>
  <c r="AC451"/>
  <c r="F320"/>
  <c r="AH452"/>
  <c r="AM454"/>
  <c r="AI454"/>
  <c r="AC454"/>
  <c r="G453"/>
  <c r="X454"/>
  <c r="AJ454"/>
  <c r="T454"/>
  <c r="AO454"/>
  <c r="AE454"/>
  <c r="P454"/>
  <c r="AM453"/>
  <c r="AB454"/>
  <c r="M454"/>
  <c r="O453"/>
  <c r="W454"/>
  <c r="K454"/>
  <c r="AA453"/>
  <c r="AN454"/>
  <c r="AG454"/>
  <c r="Y454"/>
  <c r="S454"/>
  <c r="I454"/>
  <c r="AE453"/>
  <c r="C453"/>
  <c r="AK454"/>
  <c r="AF454"/>
  <c r="AA454"/>
  <c r="U454"/>
  <c r="O454"/>
  <c r="H454"/>
  <c r="W453"/>
  <c r="AP454"/>
  <c r="AL454"/>
  <c r="AH454"/>
  <c r="AD454"/>
  <c r="Z454"/>
  <c r="V454"/>
  <c r="Q454"/>
  <c r="L454"/>
  <c r="G454"/>
  <c r="AI453"/>
  <c r="S453"/>
  <c r="R454"/>
  <c r="N454"/>
  <c r="J454"/>
  <c r="F454"/>
  <c r="K453"/>
  <c r="F317"/>
  <c r="H513" i="7"/>
  <c r="I513" s="1"/>
  <c r="H342" s="1"/>
  <c r="I342" s="1"/>
  <c r="K342" s="1"/>
  <c r="AL452" i="8"/>
  <c r="AD452"/>
  <c r="V452"/>
  <c r="N452"/>
  <c r="F452"/>
  <c r="Y53" i="2"/>
  <c r="X321"/>
  <c r="T74" i="10"/>
  <c r="T76" s="1"/>
  <c r="T280" s="1"/>
  <c r="T298" s="1"/>
  <c r="AO453" i="8"/>
  <c r="AK453"/>
  <c r="AG453"/>
  <c r="AC453"/>
  <c r="Y453"/>
  <c r="U453"/>
  <c r="Q453"/>
  <c r="M453"/>
  <c r="I453"/>
  <c r="E453"/>
  <c r="AN320"/>
  <c r="AJ320"/>
  <c r="AF320"/>
  <c r="AB320"/>
  <c r="X320"/>
  <c r="T320"/>
  <c r="P320"/>
  <c r="L320"/>
  <c r="H320"/>
  <c r="D320"/>
  <c r="AN452"/>
  <c r="AJ452"/>
  <c r="AF452"/>
  <c r="AB452"/>
  <c r="X452"/>
  <c r="T452"/>
  <c r="P452"/>
  <c r="L452"/>
  <c r="H452"/>
  <c r="D452"/>
  <c r="Z49" i="2"/>
  <c r="Z14"/>
  <c r="AP317" i="8"/>
  <c r="Z317"/>
  <c r="AH317"/>
  <c r="R317"/>
  <c r="AL317"/>
  <c r="AD317"/>
  <c r="V317"/>
  <c r="N317"/>
  <c r="J317"/>
  <c r="AP453"/>
  <c r="AN453"/>
  <c r="AL453"/>
  <c r="AJ453"/>
  <c r="AH453"/>
  <c r="AF453"/>
  <c r="AD453"/>
  <c r="AB453"/>
  <c r="Z453"/>
  <c r="X453"/>
  <c r="V453"/>
  <c r="T453"/>
  <c r="R453"/>
  <c r="P453"/>
  <c r="N453"/>
  <c r="L453"/>
  <c r="J453"/>
  <c r="H453"/>
  <c r="F453"/>
  <c r="AO320"/>
  <c r="AM320"/>
  <c r="AK320"/>
  <c r="AI320"/>
  <c r="AG320"/>
  <c r="AE320"/>
  <c r="AC320"/>
  <c r="AA320"/>
  <c r="Y320"/>
  <c r="W320"/>
  <c r="U320"/>
  <c r="S320"/>
  <c r="Q320"/>
  <c r="O320"/>
  <c r="M320"/>
  <c r="K320"/>
  <c r="I320"/>
  <c r="G320"/>
  <c r="E320"/>
  <c r="AO452"/>
  <c r="AM452"/>
  <c r="AK452"/>
  <c r="AI452"/>
  <c r="AG452"/>
  <c r="AE452"/>
  <c r="AC452"/>
  <c r="AA452"/>
  <c r="Y452"/>
  <c r="W452"/>
  <c r="U452"/>
  <c r="S452"/>
  <c r="Q452"/>
  <c r="O452"/>
  <c r="M452"/>
  <c r="K452"/>
  <c r="I452"/>
  <c r="G452"/>
  <c r="E452"/>
  <c r="AN317"/>
  <c r="AJ317"/>
  <c r="AF317"/>
  <c r="AB317"/>
  <c r="X317"/>
  <c r="T317"/>
  <c r="P317"/>
  <c r="L317"/>
  <c r="H317"/>
  <c r="S298" i="10"/>
  <c r="U50"/>
  <c r="U275"/>
  <c r="U293" s="1"/>
  <c r="U109"/>
  <c r="AG319" i="8"/>
  <c r="M451"/>
  <c r="AF318"/>
  <c r="R79"/>
  <c r="R87"/>
  <c r="R88" s="1"/>
  <c r="U101" i="10"/>
  <c r="V49"/>
  <c r="S49" i="8"/>
  <c r="S73" s="1"/>
  <c r="S78" s="1"/>
  <c r="W718" i="10"/>
  <c r="W721" s="1"/>
  <c r="V814"/>
  <c r="W815" s="1"/>
  <c r="AO317" i="8"/>
  <c r="AM317"/>
  <c r="AK317"/>
  <c r="AI317"/>
  <c r="AG317"/>
  <c r="AE317"/>
  <c r="AC317"/>
  <c r="AA317"/>
  <c r="Y317"/>
  <c r="W317"/>
  <c r="U317"/>
  <c r="S317"/>
  <c r="Q317"/>
  <c r="O317"/>
  <c r="M317"/>
  <c r="K317"/>
  <c r="I317"/>
  <c r="G317"/>
  <c r="D317"/>
  <c r="AO319"/>
  <c r="Y319"/>
  <c r="I319"/>
  <c r="AK451"/>
  <c r="U451"/>
  <c r="E451"/>
  <c r="P318"/>
  <c r="AA71" i="2"/>
  <c r="AK319" i="8"/>
  <c r="AC319"/>
  <c r="U319"/>
  <c r="M319"/>
  <c r="E319"/>
  <c r="AO451"/>
  <c r="AG451"/>
  <c r="Y451"/>
  <c r="Q451"/>
  <c r="I451"/>
  <c r="AN318"/>
  <c r="X318"/>
  <c r="H318"/>
  <c r="AM319"/>
  <c r="AI319"/>
  <c r="AE319"/>
  <c r="AA319"/>
  <c r="W319"/>
  <c r="S319"/>
  <c r="O319"/>
  <c r="K319"/>
  <c r="G319"/>
  <c r="C319"/>
  <c r="I553"/>
  <c r="AM451"/>
  <c r="AI451"/>
  <c r="AE451"/>
  <c r="AA451"/>
  <c r="W451"/>
  <c r="S451"/>
  <c r="O451"/>
  <c r="K451"/>
  <c r="G451"/>
  <c r="C451"/>
  <c r="AJ318"/>
  <c r="AB318"/>
  <c r="T318"/>
  <c r="L318"/>
  <c r="C318"/>
  <c r="E317"/>
  <c r="T770"/>
  <c r="U771" s="1"/>
  <c r="U674"/>
  <c r="U677" s="1"/>
  <c r="C92"/>
  <c r="I588"/>
  <c r="T238"/>
  <c r="T48"/>
  <c r="T203"/>
  <c r="AP319"/>
  <c r="AN319"/>
  <c r="AL319"/>
  <c r="AJ319"/>
  <c r="AH319"/>
  <c r="AF319"/>
  <c r="AD319"/>
  <c r="AB319"/>
  <c r="Z319"/>
  <c r="X319"/>
  <c r="V319"/>
  <c r="T319"/>
  <c r="R319"/>
  <c r="P319"/>
  <c r="N319"/>
  <c r="L319"/>
  <c r="J319"/>
  <c r="H319"/>
  <c r="F319"/>
  <c r="AP451"/>
  <c r="AN451"/>
  <c r="AL451"/>
  <c r="AJ451"/>
  <c r="AH451"/>
  <c r="AF451"/>
  <c r="AD451"/>
  <c r="AB451"/>
  <c r="Z451"/>
  <c r="X451"/>
  <c r="V451"/>
  <c r="T451"/>
  <c r="R451"/>
  <c r="P451"/>
  <c r="N451"/>
  <c r="L451"/>
  <c r="J451"/>
  <c r="H451"/>
  <c r="F451"/>
  <c r="AP318"/>
  <c r="AL318"/>
  <c r="AH318"/>
  <c r="AD318"/>
  <c r="Z318"/>
  <c r="V318"/>
  <c r="R318"/>
  <c r="N318"/>
  <c r="J318"/>
  <c r="F318"/>
  <c r="AO318"/>
  <c r="AM318"/>
  <c r="AK318"/>
  <c r="AI318"/>
  <c r="AG318"/>
  <c r="AE318"/>
  <c r="AC318"/>
  <c r="AA318"/>
  <c r="Y318"/>
  <c r="W318"/>
  <c r="U318"/>
  <c r="S318"/>
  <c r="Q318"/>
  <c r="O318"/>
  <c r="M318"/>
  <c r="K318"/>
  <c r="I318"/>
  <c r="G318"/>
  <c r="E318"/>
  <c r="E87"/>
  <c r="E79"/>
  <c r="H417"/>
  <c r="I410"/>
  <c r="G283"/>
  <c r="I276"/>
  <c r="B454"/>
  <c r="B455"/>
  <c r="B321"/>
  <c r="H512" i="7"/>
  <c r="I512" s="1"/>
  <c r="H341" s="1"/>
  <c r="I341" s="1"/>
  <c r="K341" s="1"/>
  <c r="C381" s="1"/>
  <c r="C100"/>
  <c r="C101" s="1"/>
  <c r="H509"/>
  <c r="I509" s="1"/>
  <c r="H338" s="1"/>
  <c r="H510"/>
  <c r="I510" s="1"/>
  <c r="H339" s="1"/>
  <c r="I339" s="1"/>
  <c r="K339" s="1"/>
  <c r="D379" s="1"/>
  <c r="H514"/>
  <c r="I514" s="1"/>
  <c r="H343" s="1"/>
  <c r="I343" s="1"/>
  <c r="K343" s="1"/>
  <c r="D383" s="1"/>
  <c r="E96"/>
  <c r="E88"/>
  <c r="F604"/>
  <c r="AE634"/>
  <c r="AE637" s="1"/>
  <c r="AD730"/>
  <c r="AE731" s="1"/>
  <c r="AB97"/>
  <c r="AC96"/>
  <c r="AC88"/>
  <c r="D380"/>
  <c r="C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D247"/>
  <c r="C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I481"/>
  <c r="G204"/>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D165"/>
  <c r="AD129"/>
  <c r="AD54"/>
  <c r="AD56" s="1"/>
  <c r="AD82" s="1"/>
  <c r="AD87" s="1"/>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D245"/>
  <c r="C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D249"/>
  <c r="C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L697" i="2"/>
  <c r="L698"/>
  <c r="Z17"/>
  <c r="Z52"/>
  <c r="Z230"/>
  <c r="Z267"/>
  <c r="Z15"/>
  <c r="Z18" s="1"/>
  <c r="Z20" s="1"/>
  <c r="Z50"/>
  <c r="Z53" s="1"/>
  <c r="Z228"/>
  <c r="Z265"/>
  <c r="AC5"/>
  <c r="AC788"/>
  <c r="AC394" s="1"/>
  <c r="AC529" s="1"/>
  <c r="AC786"/>
  <c r="AC392" s="1"/>
  <c r="AC527" s="1"/>
  <c r="AC784"/>
  <c r="AC390" s="1"/>
  <c r="AC525" s="1"/>
  <c r="AC782"/>
  <c r="AC388" s="1"/>
  <c r="AC523" s="1"/>
  <c r="AC780"/>
  <c r="AC386" s="1"/>
  <c r="AC521" s="1"/>
  <c r="AC756"/>
  <c r="AC368" s="1"/>
  <c r="AC503" s="1"/>
  <c r="AC754"/>
  <c r="AC366" s="1"/>
  <c r="AC501" s="1"/>
  <c r="AC787"/>
  <c r="AC393" s="1"/>
  <c r="AC528" s="1"/>
  <c r="AC785"/>
  <c r="AC391" s="1"/>
  <c r="AC526" s="1"/>
  <c r="AC783"/>
  <c r="AC389" s="1"/>
  <c r="AC524" s="1"/>
  <c r="AC781"/>
  <c r="AC387" s="1"/>
  <c r="AC522" s="1"/>
  <c r="AC779"/>
  <c r="AC385" s="1"/>
  <c r="AC520" s="1"/>
  <c r="AC755"/>
  <c r="AC367" s="1"/>
  <c r="AC502" s="1"/>
  <c r="AC752"/>
  <c r="AC364" s="1"/>
  <c r="AC499" s="1"/>
  <c r="AC750"/>
  <c r="AC362" s="1"/>
  <c r="AC497" s="1"/>
  <c r="AC748"/>
  <c r="AC360" s="1"/>
  <c r="AC495" s="1"/>
  <c r="AC724"/>
  <c r="AC343" s="1"/>
  <c r="AC477" s="1"/>
  <c r="AC722"/>
  <c r="AC341" s="1"/>
  <c r="AC475" s="1"/>
  <c r="AC720"/>
  <c r="AC339" s="1"/>
  <c r="AC473" s="1"/>
  <c r="AC718"/>
  <c r="AC337" s="1"/>
  <c r="AC471" s="1"/>
  <c r="AC716"/>
  <c r="AC335" s="1"/>
  <c r="AC469" s="1"/>
  <c r="AC796"/>
  <c r="AC798"/>
  <c r="AC800"/>
  <c r="AC753"/>
  <c r="AC365" s="1"/>
  <c r="AC500" s="1"/>
  <c r="AC749"/>
  <c r="AC361" s="1"/>
  <c r="AC496" s="1"/>
  <c r="AC721"/>
  <c r="AC340" s="1"/>
  <c r="AC474" s="1"/>
  <c r="AC717"/>
  <c r="AC751"/>
  <c r="AC363" s="1"/>
  <c r="AC498" s="1"/>
  <c r="AC747"/>
  <c r="AC359" s="1"/>
  <c r="AC494" s="1"/>
  <c r="AC723"/>
  <c r="AC342" s="1"/>
  <c r="AC476" s="1"/>
  <c r="AC719"/>
  <c r="AC338" s="1"/>
  <c r="AC472" s="1"/>
  <c r="AC715"/>
  <c r="AC334" s="1"/>
  <c r="AC468" s="1"/>
  <c r="AC791"/>
  <c r="AC795"/>
  <c r="AC794"/>
  <c r="AC759"/>
  <c r="AC763"/>
  <c r="AC765"/>
  <c r="AC767"/>
  <c r="AC797"/>
  <c r="AC762"/>
  <c r="AC764"/>
  <c r="AC766"/>
  <c r="AC768"/>
  <c r="AC793"/>
  <c r="AB757"/>
  <c r="AB742" s="1"/>
  <c r="AB69" s="1"/>
  <c r="AB789"/>
  <c r="AB774" s="1"/>
  <c r="AB70" s="1"/>
  <c r="L322"/>
  <c r="F321"/>
  <c r="K320"/>
  <c r="Q320"/>
  <c r="S322"/>
  <c r="O322"/>
  <c r="H321"/>
  <c r="G322"/>
  <c r="F322"/>
  <c r="T322"/>
  <c r="R321"/>
  <c r="C321"/>
  <c r="M321"/>
  <c r="U320"/>
  <c r="U323"/>
  <c r="V320"/>
  <c r="J320"/>
  <c r="S320"/>
  <c r="C323"/>
  <c r="M322"/>
  <c r="R322"/>
  <c r="W322"/>
  <c r="U322"/>
  <c r="I322"/>
  <c r="W321"/>
  <c r="T321"/>
  <c r="U321"/>
  <c r="J321"/>
  <c r="D321"/>
  <c r="O321"/>
  <c r="V322"/>
  <c r="N322"/>
  <c r="H322"/>
  <c r="C322"/>
  <c r="Q322"/>
  <c r="Y322"/>
  <c r="K322"/>
  <c r="E322"/>
  <c r="P322"/>
  <c r="J322"/>
  <c r="D322"/>
  <c r="X322"/>
  <c r="Z321"/>
  <c r="P321"/>
  <c r="Q321"/>
  <c r="S321"/>
  <c r="E321"/>
  <c r="G321"/>
  <c r="V321"/>
  <c r="I321"/>
  <c r="K321"/>
  <c r="N321"/>
  <c r="L321"/>
  <c r="Y321"/>
  <c r="AA322"/>
  <c r="AB322"/>
  <c r="AB321"/>
  <c r="L320"/>
  <c r="R320"/>
  <c r="Y320"/>
  <c r="M320"/>
  <c r="G320"/>
  <c r="X320"/>
  <c r="D323"/>
  <c r="AA320"/>
  <c r="AB323"/>
  <c r="AB320"/>
  <c r="N320"/>
  <c r="O320"/>
  <c r="H320"/>
  <c r="D320"/>
  <c r="I320"/>
  <c r="W320"/>
  <c r="C320"/>
  <c r="P320"/>
  <c r="F320"/>
  <c r="E320"/>
  <c r="T320"/>
  <c r="W323"/>
  <c r="E323"/>
  <c r="R323"/>
  <c r="J285"/>
  <c r="C324" s="1"/>
  <c r="B324" s="1"/>
  <c r="AA323"/>
  <c r="N323"/>
  <c r="V323"/>
  <c r="J323"/>
  <c r="M323"/>
  <c r="L323"/>
  <c r="I323"/>
  <c r="AB61"/>
  <c r="Z323"/>
  <c r="T323"/>
  <c r="H323"/>
  <c r="Q323"/>
  <c r="K323"/>
  <c r="P323"/>
  <c r="X323"/>
  <c r="S323"/>
  <c r="G323"/>
  <c r="Y323"/>
  <c r="F323"/>
  <c r="AA319"/>
  <c r="Y319"/>
  <c r="C319"/>
  <c r="H319"/>
  <c r="I319"/>
  <c r="T319"/>
  <c r="V319"/>
  <c r="E319"/>
  <c r="P319"/>
  <c r="Q319"/>
  <c r="K319"/>
  <c r="N319"/>
  <c r="AB319"/>
  <c r="X319"/>
  <c r="F319"/>
  <c r="U319"/>
  <c r="R319"/>
  <c r="J319"/>
  <c r="W319"/>
  <c r="M319"/>
  <c r="G319"/>
  <c r="S319"/>
  <c r="D319"/>
  <c r="O319"/>
  <c r="L319"/>
  <c r="Z319"/>
  <c r="I285"/>
  <c r="K278"/>
  <c r="AC727"/>
  <c r="AC33"/>
  <c r="AC35" s="1"/>
  <c r="AC37" s="1"/>
  <c r="AC39" s="1"/>
  <c r="AC617"/>
  <c r="AC618" s="1"/>
  <c r="AC623"/>
  <c r="AC624" s="1"/>
  <c r="AC699"/>
  <c r="AC684"/>
  <c r="AC55" s="1"/>
  <c r="AC674"/>
  <c r="AC685" s="1"/>
  <c r="AC689" s="1"/>
  <c r="AC697"/>
  <c r="AC671"/>
  <c r="AC675"/>
  <c r="AC670"/>
  <c r="AD11"/>
  <c r="AC311"/>
  <c r="AC313"/>
  <c r="AC320" s="1"/>
  <c r="AC315"/>
  <c r="AC322" s="1"/>
  <c r="AC312"/>
  <c r="AC316"/>
  <c r="AC323" s="1"/>
  <c r="AC445"/>
  <c r="AC447"/>
  <c r="AC449"/>
  <c r="AC314"/>
  <c r="AC321" s="1"/>
  <c r="AC446"/>
  <c r="AC448"/>
  <c r="AC450"/>
  <c r="AC690"/>
  <c r="AC19"/>
  <c r="AA117"/>
  <c r="X47"/>
  <c r="X202"/>
  <c r="X238"/>
  <c r="Z116"/>
  <c r="Y43"/>
  <c r="Y231"/>
  <c r="Y232" s="1"/>
  <c r="AC728"/>
  <c r="AC731"/>
  <c r="AC733"/>
  <c r="AC735"/>
  <c r="AC732"/>
  <c r="AC734"/>
  <c r="AC736"/>
  <c r="Y268"/>
  <c r="Y269" s="1"/>
  <c r="Z105"/>
  <c r="AB330"/>
  <c r="AB464"/>
  <c r="AC463"/>
  <c r="AC329"/>
  <c r="AB705"/>
  <c r="AC702" s="1"/>
  <c r="AB62"/>
  <c r="AB725"/>
  <c r="AB710" s="1"/>
  <c r="AB68" s="1"/>
  <c r="AC336"/>
  <c r="AC470" s="1"/>
  <c r="AC704"/>
  <c r="Z696"/>
  <c r="AA619"/>
  <c r="AA620" s="1"/>
  <c r="AA103" s="1"/>
  <c r="AA625"/>
  <c r="AA626" s="1"/>
  <c r="AA104" s="1"/>
  <c r="AC23"/>
  <c r="AC26"/>
  <c r="AC30"/>
  <c r="AC40"/>
  <c r="AB240"/>
  <c r="AB204"/>
  <c r="Z264"/>
  <c r="Z227"/>
  <c r="Z266"/>
  <c r="Z229"/>
  <c r="Z666"/>
  <c r="AA663"/>
  <c r="AA664" s="1"/>
  <c r="AA655"/>
  <c r="AA656" s="1"/>
  <c r="AA651"/>
  <c r="AA652" s="1"/>
  <c r="AA659"/>
  <c r="AA660" s="1"/>
  <c r="AA51" s="1"/>
  <c r="AC688"/>
  <c r="AC698"/>
  <c r="R683"/>
  <c r="AD2"/>
  <c r="AC25"/>
  <c r="AA29"/>
  <c r="AA31" s="1"/>
  <c r="AA41" s="1"/>
  <c r="AB27"/>
  <c r="AB10"/>
  <c r="AB12" s="1"/>
  <c r="K285" l="1"/>
  <c r="C318"/>
  <c r="C325" s="1"/>
  <c r="C205" s="1"/>
  <c r="B452" i="8"/>
  <c r="E381" i="7"/>
  <c r="T142" i="10"/>
  <c r="T154" s="1"/>
  <c r="T80"/>
  <c r="T81" s="1"/>
  <c r="T95" s="1"/>
  <c r="B320" i="8"/>
  <c r="AK381" i="7"/>
  <c r="U381"/>
  <c r="C383"/>
  <c r="C379"/>
  <c r="T216" i="10"/>
  <c r="T244" s="1"/>
  <c r="U74"/>
  <c r="U76" s="1"/>
  <c r="U280" s="1"/>
  <c r="AA49" i="2"/>
  <c r="AA14"/>
  <c r="B453" i="8"/>
  <c r="AC381" i="7"/>
  <c r="M381"/>
  <c r="U110" i="10"/>
  <c r="T101"/>
  <c r="T109"/>
  <c r="V50"/>
  <c r="V275"/>
  <c r="V293" s="1"/>
  <c r="V101"/>
  <c r="B317" i="8"/>
  <c r="AO381" i="7"/>
  <c r="AG381"/>
  <c r="Y381"/>
  <c r="Q381"/>
  <c r="I381"/>
  <c r="AJ383"/>
  <c r="S87" i="8"/>
  <c r="S88" s="1"/>
  <c r="S79"/>
  <c r="T49"/>
  <c r="T73" s="1"/>
  <c r="T78" s="1"/>
  <c r="W49" i="10"/>
  <c r="B319" i="8"/>
  <c r="X718" i="10"/>
  <c r="X721" s="1"/>
  <c r="W814"/>
  <c r="X815" s="1"/>
  <c r="V109"/>
  <c r="T383" i="7"/>
  <c r="AB383"/>
  <c r="L383"/>
  <c r="AN383"/>
  <c r="AF383"/>
  <c r="X383"/>
  <c r="P383"/>
  <c r="H383"/>
  <c r="U203" i="8"/>
  <c r="U238"/>
  <c r="U48"/>
  <c r="B318"/>
  <c r="B451"/>
  <c r="U770"/>
  <c r="V771" s="1"/>
  <c r="V674"/>
  <c r="V677" s="1"/>
  <c r="E88"/>
  <c r="I283"/>
  <c r="J276"/>
  <c r="J283" s="1"/>
  <c r="C322" s="1"/>
  <c r="B322" s="1"/>
  <c r="I417"/>
  <c r="J410"/>
  <c r="J417" s="1"/>
  <c r="C456" s="1"/>
  <c r="B456" s="1"/>
  <c r="AM381" i="7"/>
  <c r="AI381"/>
  <c r="AE381"/>
  <c r="AA381"/>
  <c r="W381"/>
  <c r="S381"/>
  <c r="O381"/>
  <c r="K381"/>
  <c r="G381"/>
  <c r="D381"/>
  <c r="AP383"/>
  <c r="AL383"/>
  <c r="AH383"/>
  <c r="AD383"/>
  <c r="Z383"/>
  <c r="V383"/>
  <c r="R383"/>
  <c r="N383"/>
  <c r="J383"/>
  <c r="F383"/>
  <c r="AP381"/>
  <c r="AN381"/>
  <c r="AL381"/>
  <c r="AJ381"/>
  <c r="AH381"/>
  <c r="AF381"/>
  <c r="AD381"/>
  <c r="AB381"/>
  <c r="Z381"/>
  <c r="X381"/>
  <c r="V381"/>
  <c r="T381"/>
  <c r="R381"/>
  <c r="P381"/>
  <c r="N381"/>
  <c r="L381"/>
  <c r="J381"/>
  <c r="H381"/>
  <c r="F381"/>
  <c r="AO383"/>
  <c r="AM383"/>
  <c r="AK383"/>
  <c r="AI383"/>
  <c r="AG383"/>
  <c r="AE383"/>
  <c r="AC383"/>
  <c r="AA383"/>
  <c r="Y383"/>
  <c r="W383"/>
  <c r="U383"/>
  <c r="S383"/>
  <c r="Q383"/>
  <c r="O383"/>
  <c r="M383"/>
  <c r="K383"/>
  <c r="I383"/>
  <c r="G383"/>
  <c r="E383"/>
  <c r="I516"/>
  <c r="AI379"/>
  <c r="S379"/>
  <c r="AA379"/>
  <c r="K379"/>
  <c r="AM379"/>
  <c r="AE379"/>
  <c r="W379"/>
  <c r="O379"/>
  <c r="G379"/>
  <c r="AO379"/>
  <c r="AK379"/>
  <c r="AG379"/>
  <c r="AC379"/>
  <c r="Y379"/>
  <c r="U379"/>
  <c r="Q379"/>
  <c r="M379"/>
  <c r="I379"/>
  <c r="E379"/>
  <c r="AP379"/>
  <c r="AN379"/>
  <c r="AL379"/>
  <c r="AJ379"/>
  <c r="AH379"/>
  <c r="AF379"/>
  <c r="AD379"/>
  <c r="AB379"/>
  <c r="Z379"/>
  <c r="X379"/>
  <c r="V379"/>
  <c r="T379"/>
  <c r="R379"/>
  <c r="P379"/>
  <c r="N379"/>
  <c r="L379"/>
  <c r="J379"/>
  <c r="H379"/>
  <c r="F379"/>
  <c r="H345"/>
  <c r="I338"/>
  <c r="AD96"/>
  <c r="AD88"/>
  <c r="G211"/>
  <c r="I204"/>
  <c r="AF634"/>
  <c r="AF637" s="1"/>
  <c r="AE730"/>
  <c r="AF731" s="1"/>
  <c r="E97"/>
  <c r="B249"/>
  <c r="B245"/>
  <c r="B247"/>
  <c r="B380"/>
  <c r="AC97"/>
  <c r="AE165"/>
  <c r="AE129"/>
  <c r="AE54"/>
  <c r="AE56" s="1"/>
  <c r="AE82" s="1"/>
  <c r="AE87" s="1"/>
  <c r="F166"/>
  <c r="F130"/>
  <c r="F55"/>
  <c r="F56" s="1"/>
  <c r="F609"/>
  <c r="B246"/>
  <c r="B382"/>
  <c r="B248"/>
  <c r="L61" i="2"/>
  <c r="AA17"/>
  <c r="AA52"/>
  <c r="AA230"/>
  <c r="AA267"/>
  <c r="AA15"/>
  <c r="AA50"/>
  <c r="AA53" s="1"/>
  <c r="AA228"/>
  <c r="AA265"/>
  <c r="AB71"/>
  <c r="AC319"/>
  <c r="AD5"/>
  <c r="AD787"/>
  <c r="AD393" s="1"/>
  <c r="AD528" s="1"/>
  <c r="AD785"/>
  <c r="AD391" s="1"/>
  <c r="AD526" s="1"/>
  <c r="AD783"/>
  <c r="AD389" s="1"/>
  <c r="AD524" s="1"/>
  <c r="AD781"/>
  <c r="AD387" s="1"/>
  <c r="AD522" s="1"/>
  <c r="AD779"/>
  <c r="AD385" s="1"/>
  <c r="AD520" s="1"/>
  <c r="AD755"/>
  <c r="AD367" s="1"/>
  <c r="AD502" s="1"/>
  <c r="AD788"/>
  <c r="AD394" s="1"/>
  <c r="AD529" s="1"/>
  <c r="AD786"/>
  <c r="AD392" s="1"/>
  <c r="AD527" s="1"/>
  <c r="AD784"/>
  <c r="AD390" s="1"/>
  <c r="AD525" s="1"/>
  <c r="AD782"/>
  <c r="AD388" s="1"/>
  <c r="AD523" s="1"/>
  <c r="AD780"/>
  <c r="AD386" s="1"/>
  <c r="AD521" s="1"/>
  <c r="AD756"/>
  <c r="AD368" s="1"/>
  <c r="AD503" s="1"/>
  <c r="AD754"/>
  <c r="AD366" s="1"/>
  <c r="AD501" s="1"/>
  <c r="AD753"/>
  <c r="AD365" s="1"/>
  <c r="AD500" s="1"/>
  <c r="AD751"/>
  <c r="AD363" s="1"/>
  <c r="AD498" s="1"/>
  <c r="AD749"/>
  <c r="AD361" s="1"/>
  <c r="AD496" s="1"/>
  <c r="AD747"/>
  <c r="AD359" s="1"/>
  <c r="AD494" s="1"/>
  <c r="AD723"/>
  <c r="AD342" s="1"/>
  <c r="AD476" s="1"/>
  <c r="AD721"/>
  <c r="AD340" s="1"/>
  <c r="AD474" s="1"/>
  <c r="AD719"/>
  <c r="AD338" s="1"/>
  <c r="AD472" s="1"/>
  <c r="AD717"/>
  <c r="AD336" s="1"/>
  <c r="AD470" s="1"/>
  <c r="AD715"/>
  <c r="AD334" s="1"/>
  <c r="AD468" s="1"/>
  <c r="AD791"/>
  <c r="AD794"/>
  <c r="AD795"/>
  <c r="AD797"/>
  <c r="AD799"/>
  <c r="AD750"/>
  <c r="AD362" s="1"/>
  <c r="AD497" s="1"/>
  <c r="AD722"/>
  <c r="AD341" s="1"/>
  <c r="AD475" s="1"/>
  <c r="AD718"/>
  <c r="AD337" s="1"/>
  <c r="AD471" s="1"/>
  <c r="AD752"/>
  <c r="AD364" s="1"/>
  <c r="AD499" s="1"/>
  <c r="AD748"/>
  <c r="AD360" s="1"/>
  <c r="AD495" s="1"/>
  <c r="AD724"/>
  <c r="AD343" s="1"/>
  <c r="AD477" s="1"/>
  <c r="AD720"/>
  <c r="AD339" s="1"/>
  <c r="AD473" s="1"/>
  <c r="AD716"/>
  <c r="AD335" s="1"/>
  <c r="AD469" s="1"/>
  <c r="AD796"/>
  <c r="AD762"/>
  <c r="AD764"/>
  <c r="AD766"/>
  <c r="AD798"/>
  <c r="AD759"/>
  <c r="AD763"/>
  <c r="AD765"/>
  <c r="AD767"/>
  <c r="AD768"/>
  <c r="AD793"/>
  <c r="AC757"/>
  <c r="AC742" s="1"/>
  <c r="AC69" s="1"/>
  <c r="AC789"/>
  <c r="AC774" s="1"/>
  <c r="AC70" s="1"/>
  <c r="AC673"/>
  <c r="T318"/>
  <c r="T325" s="1"/>
  <c r="O318"/>
  <c r="O325" s="1"/>
  <c r="G318"/>
  <c r="G325" s="1"/>
  <c r="J318"/>
  <c r="J325" s="1"/>
  <c r="Z318"/>
  <c r="Z325" s="1"/>
  <c r="I318"/>
  <c r="I325" s="1"/>
  <c r="H318"/>
  <c r="H325" s="1"/>
  <c r="N318"/>
  <c r="N325" s="1"/>
  <c r="U318"/>
  <c r="U325" s="1"/>
  <c r="P318"/>
  <c r="P325" s="1"/>
  <c r="V318"/>
  <c r="V325" s="1"/>
  <c r="Y318"/>
  <c r="Y325" s="1"/>
  <c r="AB318"/>
  <c r="AB325" s="1"/>
  <c r="AA318"/>
  <c r="AA325" s="1"/>
  <c r="K318"/>
  <c r="K325" s="1"/>
  <c r="R318"/>
  <c r="R325" s="1"/>
  <c r="E318"/>
  <c r="E325" s="1"/>
  <c r="E205" s="1"/>
  <c r="W318"/>
  <c r="W325" s="1"/>
  <c r="D318"/>
  <c r="D325" s="1"/>
  <c r="X318"/>
  <c r="X325" s="1"/>
  <c r="S318"/>
  <c r="S325" s="1"/>
  <c r="M318"/>
  <c r="M325" s="1"/>
  <c r="Q318"/>
  <c r="Q325" s="1"/>
  <c r="F318"/>
  <c r="F325" s="1"/>
  <c r="L318"/>
  <c r="L325" s="1"/>
  <c r="AC61"/>
  <c r="AD727"/>
  <c r="AD33"/>
  <c r="AD35" s="1"/>
  <c r="AD37" s="1"/>
  <c r="AD39" s="1"/>
  <c r="AD617"/>
  <c r="AD618" s="1"/>
  <c r="AD623"/>
  <c r="AD624" s="1"/>
  <c r="AD697"/>
  <c r="AD671"/>
  <c r="AD675"/>
  <c r="AD670"/>
  <c r="AD699"/>
  <c r="AD684"/>
  <c r="AD55" s="1"/>
  <c r="AD674"/>
  <c r="AD685" s="1"/>
  <c r="AD689" s="1"/>
  <c r="AE11"/>
  <c r="AD312"/>
  <c r="AD314"/>
  <c r="AD321" s="1"/>
  <c r="AD316"/>
  <c r="AD323" s="1"/>
  <c r="AD445"/>
  <c r="AD446"/>
  <c r="AD447"/>
  <c r="AD448"/>
  <c r="AD449"/>
  <c r="AD450"/>
  <c r="AD690"/>
  <c r="AD313"/>
  <c r="AD320" s="1"/>
  <c r="AD311"/>
  <c r="AD315"/>
  <c r="AD322" s="1"/>
  <c r="AB117"/>
  <c r="AD19"/>
  <c r="Y47"/>
  <c r="Y202"/>
  <c r="Y238"/>
  <c r="AA116"/>
  <c r="Z43"/>
  <c r="Z47" s="1"/>
  <c r="R680"/>
  <c r="R80"/>
  <c r="R81" s="1"/>
  <c r="AA105"/>
  <c r="AD732"/>
  <c r="AD734"/>
  <c r="AD736"/>
  <c r="AD728"/>
  <c r="AD731"/>
  <c r="AD733"/>
  <c r="AD735"/>
  <c r="Z268"/>
  <c r="Z269" s="1"/>
  <c r="AC464"/>
  <c r="AD463"/>
  <c r="AD329"/>
  <c r="AC27"/>
  <c r="AC318"/>
  <c r="AC330"/>
  <c r="AC705"/>
  <c r="AD702" s="1"/>
  <c r="AC62"/>
  <c r="AD704"/>
  <c r="AC725"/>
  <c r="AC710" s="1"/>
  <c r="AC68" s="1"/>
  <c r="AA696"/>
  <c r="AB619"/>
  <c r="AB620" s="1"/>
  <c r="AB103" s="1"/>
  <c r="AB625"/>
  <c r="AB626" s="1"/>
  <c r="AB104" s="1"/>
  <c r="AD23"/>
  <c r="AD26"/>
  <c r="AD30"/>
  <c r="AD40"/>
  <c r="AC240"/>
  <c r="AC204"/>
  <c r="AA266"/>
  <c r="AA229"/>
  <c r="AA18"/>
  <c r="AA20" s="1"/>
  <c r="AA264"/>
  <c r="AA227"/>
  <c r="Z231"/>
  <c r="Z232" s="1"/>
  <c r="AA666"/>
  <c r="AB659"/>
  <c r="AB660" s="1"/>
  <c r="AB51" s="1"/>
  <c r="AB663"/>
  <c r="AB664" s="1"/>
  <c r="AB655"/>
  <c r="AB656" s="1"/>
  <c r="AB651"/>
  <c r="AB652" s="1"/>
  <c r="AD698"/>
  <c r="AD688"/>
  <c r="S683"/>
  <c r="AB29"/>
  <c r="AB31" s="1"/>
  <c r="AB41" s="1"/>
  <c r="AE2"/>
  <c r="AD25"/>
  <c r="AC10"/>
  <c r="AC12" s="1"/>
  <c r="U142" i="10" l="1"/>
  <c r="U154" s="1"/>
  <c r="U80"/>
  <c r="U81" s="1"/>
  <c r="U95" s="1"/>
  <c r="U216"/>
  <c r="U244" s="1"/>
  <c r="V74"/>
  <c r="V76" s="1"/>
  <c r="AB49" i="2"/>
  <c r="AB14"/>
  <c r="U298" i="10"/>
  <c r="V110"/>
  <c r="T110"/>
  <c r="W50"/>
  <c r="W275"/>
  <c r="W293" s="1"/>
  <c r="T87" i="8"/>
  <c r="T88" s="1"/>
  <c r="T79"/>
  <c r="U49"/>
  <c r="U73" s="1"/>
  <c r="U78" s="1"/>
  <c r="X49" i="10"/>
  <c r="Y718"/>
  <c r="Y721" s="1"/>
  <c r="X814"/>
  <c r="Y815" s="1"/>
  <c r="V770" i="8"/>
  <c r="W771" s="1"/>
  <c r="W674"/>
  <c r="W677" s="1"/>
  <c r="V203"/>
  <c r="V238"/>
  <c r="V48"/>
  <c r="K410"/>
  <c r="F72"/>
  <c r="F73" s="1"/>
  <c r="F78" s="1"/>
  <c r="K276"/>
  <c r="B383" i="7"/>
  <c r="B381"/>
  <c r="B379"/>
  <c r="AG634"/>
  <c r="AG637" s="1"/>
  <c r="AF730"/>
  <c r="AD97"/>
  <c r="F606"/>
  <c r="F607" s="1"/>
  <c r="G610" s="1"/>
  <c r="F80"/>
  <c r="F81" s="1"/>
  <c r="F82" s="1"/>
  <c r="F87" s="1"/>
  <c r="AE96"/>
  <c r="AE88"/>
  <c r="AF165"/>
  <c r="AF129"/>
  <c r="AF54"/>
  <c r="AF56" s="1"/>
  <c r="AF82" s="1"/>
  <c r="AF87" s="1"/>
  <c r="I211"/>
  <c r="J204"/>
  <c r="J211" s="1"/>
  <c r="C250" s="1"/>
  <c r="B250" s="1"/>
  <c r="I345"/>
  <c r="J338"/>
  <c r="J345" s="1"/>
  <c r="C384" s="1"/>
  <c r="B384" s="1"/>
  <c r="AB17" i="2"/>
  <c r="AB52"/>
  <c r="AB230"/>
  <c r="AB267"/>
  <c r="AB15"/>
  <c r="AB18" s="1"/>
  <c r="AB20" s="1"/>
  <c r="AB50"/>
  <c r="AB53" s="1"/>
  <c r="AB228"/>
  <c r="AB265"/>
  <c r="AC325"/>
  <c r="AC71"/>
  <c r="AD319"/>
  <c r="AE5"/>
  <c r="AE788"/>
  <c r="AE394" s="1"/>
  <c r="AE529" s="1"/>
  <c r="AE786"/>
  <c r="AE392" s="1"/>
  <c r="AE527" s="1"/>
  <c r="AE784"/>
  <c r="AE390" s="1"/>
  <c r="AE525" s="1"/>
  <c r="AE782"/>
  <c r="AE388" s="1"/>
  <c r="AE523" s="1"/>
  <c r="AE780"/>
  <c r="AE386" s="1"/>
  <c r="AE521" s="1"/>
  <c r="AE756"/>
  <c r="AE368" s="1"/>
  <c r="AE503" s="1"/>
  <c r="AE754"/>
  <c r="AE366" s="1"/>
  <c r="AE501" s="1"/>
  <c r="AE787"/>
  <c r="AE393" s="1"/>
  <c r="AE528" s="1"/>
  <c r="AE785"/>
  <c r="AE391" s="1"/>
  <c r="AE526" s="1"/>
  <c r="AE783"/>
  <c r="AE389" s="1"/>
  <c r="AE524" s="1"/>
  <c r="AE781"/>
  <c r="AE387" s="1"/>
  <c r="AE522" s="1"/>
  <c r="AE779"/>
  <c r="AE385" s="1"/>
  <c r="AE520" s="1"/>
  <c r="AE755"/>
  <c r="AE367" s="1"/>
  <c r="AE502" s="1"/>
  <c r="AE752"/>
  <c r="AE364" s="1"/>
  <c r="AE499" s="1"/>
  <c r="AE750"/>
  <c r="AE362" s="1"/>
  <c r="AE497" s="1"/>
  <c r="AE748"/>
  <c r="AE360" s="1"/>
  <c r="AE495" s="1"/>
  <c r="AE724"/>
  <c r="AE343" s="1"/>
  <c r="AE477" s="1"/>
  <c r="AE722"/>
  <c r="AE341" s="1"/>
  <c r="AE475" s="1"/>
  <c r="AE720"/>
  <c r="AE339" s="1"/>
  <c r="AE473" s="1"/>
  <c r="AE718"/>
  <c r="AE337" s="1"/>
  <c r="AE471" s="1"/>
  <c r="AE716"/>
  <c r="AE335" s="1"/>
  <c r="AE469" s="1"/>
  <c r="AE796"/>
  <c r="AE798"/>
  <c r="AE751"/>
  <c r="AE363" s="1"/>
  <c r="AE498" s="1"/>
  <c r="AE747"/>
  <c r="AE359" s="1"/>
  <c r="AE494" s="1"/>
  <c r="AE723"/>
  <c r="AE342" s="1"/>
  <c r="AE476" s="1"/>
  <c r="AE719"/>
  <c r="AE338" s="1"/>
  <c r="AE472" s="1"/>
  <c r="AE753"/>
  <c r="AE365" s="1"/>
  <c r="AE500" s="1"/>
  <c r="AE749"/>
  <c r="AE361" s="1"/>
  <c r="AE496" s="1"/>
  <c r="AE721"/>
  <c r="AE340" s="1"/>
  <c r="AE474" s="1"/>
  <c r="AE717"/>
  <c r="AE336" s="1"/>
  <c r="AE470" s="1"/>
  <c r="AE794"/>
  <c r="AE797"/>
  <c r="AE795"/>
  <c r="AE759"/>
  <c r="AE763"/>
  <c r="AE765"/>
  <c r="AE767"/>
  <c r="AE715"/>
  <c r="AE334" s="1"/>
  <c r="AE468" s="1"/>
  <c r="AE791"/>
  <c r="AE799"/>
  <c r="AE762"/>
  <c r="AE764"/>
  <c r="AE766"/>
  <c r="AE768"/>
  <c r="AE793"/>
  <c r="AD757"/>
  <c r="AD742" s="1"/>
  <c r="AD69" s="1"/>
  <c r="AD789"/>
  <c r="AD774" s="1"/>
  <c r="AD70" s="1"/>
  <c r="AD61"/>
  <c r="AE727"/>
  <c r="AE33"/>
  <c r="AE35" s="1"/>
  <c r="AE37" s="1"/>
  <c r="AE39" s="1"/>
  <c r="AE617"/>
  <c r="AE618" s="1"/>
  <c r="AE623"/>
  <c r="AE624" s="1"/>
  <c r="AE699"/>
  <c r="AE684"/>
  <c r="AE55" s="1"/>
  <c r="AE674"/>
  <c r="AE685" s="1"/>
  <c r="AE689" s="1"/>
  <c r="AE697"/>
  <c r="AE671"/>
  <c r="AE675"/>
  <c r="AE670"/>
  <c r="AD673"/>
  <c r="AF11"/>
  <c r="AE311"/>
  <c r="AE313"/>
  <c r="AE320" s="1"/>
  <c r="AE315"/>
  <c r="AE322" s="1"/>
  <c r="AE314"/>
  <c r="AE321" s="1"/>
  <c r="AE446"/>
  <c r="AE448"/>
  <c r="AE450"/>
  <c r="AE690"/>
  <c r="AE312"/>
  <c r="AE316"/>
  <c r="AE323" s="1"/>
  <c r="AE445"/>
  <c r="AE447"/>
  <c r="AE449"/>
  <c r="AC117"/>
  <c r="AE19"/>
  <c r="Z238"/>
  <c r="Z202"/>
  <c r="AB116"/>
  <c r="AA43"/>
  <c r="AA47" s="1"/>
  <c r="S680"/>
  <c r="S80"/>
  <c r="S81" s="1"/>
  <c r="AE728"/>
  <c r="AE733"/>
  <c r="AE734"/>
  <c r="AE735"/>
  <c r="AE736"/>
  <c r="AE732"/>
  <c r="AB105"/>
  <c r="AE463"/>
  <c r="AD464"/>
  <c r="AE329"/>
  <c r="AD318"/>
  <c r="AD330"/>
  <c r="AD705"/>
  <c r="AE702" s="1"/>
  <c r="AD62"/>
  <c r="AE704"/>
  <c r="AD725"/>
  <c r="AD710" s="1"/>
  <c r="AD68" s="1"/>
  <c r="AB696"/>
  <c r="AD27"/>
  <c r="AC619"/>
  <c r="AC620" s="1"/>
  <c r="AC103" s="1"/>
  <c r="AC625"/>
  <c r="AC626" s="1"/>
  <c r="AC104" s="1"/>
  <c r="AE23"/>
  <c r="AE26"/>
  <c r="AE30"/>
  <c r="AE40"/>
  <c r="AD240"/>
  <c r="AD204"/>
  <c r="AA268"/>
  <c r="AA269" s="1"/>
  <c r="AA231"/>
  <c r="AA232" s="1"/>
  <c r="AB264"/>
  <c r="AB227"/>
  <c r="AB266"/>
  <c r="AB229"/>
  <c r="AB666"/>
  <c r="AC663"/>
  <c r="AC664" s="1"/>
  <c r="AC655"/>
  <c r="AC656" s="1"/>
  <c r="AC651"/>
  <c r="AC652" s="1"/>
  <c r="AC659"/>
  <c r="AC660" s="1"/>
  <c r="AC51" s="1"/>
  <c r="AE688"/>
  <c r="AE698"/>
  <c r="T683"/>
  <c r="AE25"/>
  <c r="AF2"/>
  <c r="AC29"/>
  <c r="AC31" s="1"/>
  <c r="AC41" s="1"/>
  <c r="AD10"/>
  <c r="AD12" s="1"/>
  <c r="V142" i="10" l="1"/>
  <c r="V154" s="1"/>
  <c r="V80"/>
  <c r="V81" s="1"/>
  <c r="V95" s="1"/>
  <c r="V216"/>
  <c r="V244" s="1"/>
  <c r="V280"/>
  <c r="V298" s="1"/>
  <c r="W74"/>
  <c r="W76" s="1"/>
  <c r="AC49" i="2"/>
  <c r="AC14"/>
  <c r="X50" i="10"/>
  <c r="X275"/>
  <c r="X293" s="1"/>
  <c r="U79" i="8"/>
  <c r="U87"/>
  <c r="U88" s="1"/>
  <c r="Z718" i="10"/>
  <c r="Z721" s="1"/>
  <c r="Y814"/>
  <c r="Z815" s="1"/>
  <c r="V49" i="8"/>
  <c r="V73" s="1"/>
  <c r="V78" s="1"/>
  <c r="Y49" i="10"/>
  <c r="W238" i="8"/>
  <c r="W48"/>
  <c r="W203"/>
  <c r="W770"/>
  <c r="X771" s="1"/>
  <c r="X674"/>
  <c r="X677" s="1"/>
  <c r="F87"/>
  <c r="F79"/>
  <c r="K283"/>
  <c r="C316"/>
  <c r="D316"/>
  <c r="D323" s="1"/>
  <c r="D204" s="1"/>
  <c r="D205" s="1"/>
  <c r="D233" s="1"/>
  <c r="D234" s="1"/>
  <c r="E316"/>
  <c r="E323" s="1"/>
  <c r="E204" s="1"/>
  <c r="E205" s="1"/>
  <c r="E233" s="1"/>
  <c r="E234" s="1"/>
  <c r="F316"/>
  <c r="F323" s="1"/>
  <c r="F204" s="1"/>
  <c r="F205" s="1"/>
  <c r="F233" s="1"/>
  <c r="F234" s="1"/>
  <c r="G316"/>
  <c r="G323" s="1"/>
  <c r="G204" s="1"/>
  <c r="H316"/>
  <c r="H323" s="1"/>
  <c r="H204" s="1"/>
  <c r="I316"/>
  <c r="I323" s="1"/>
  <c r="I204" s="1"/>
  <c r="J316"/>
  <c r="J323" s="1"/>
  <c r="J204" s="1"/>
  <c r="K316"/>
  <c r="K323" s="1"/>
  <c r="K204" s="1"/>
  <c r="L316"/>
  <c r="L323" s="1"/>
  <c r="L204" s="1"/>
  <c r="M316"/>
  <c r="M323" s="1"/>
  <c r="M204" s="1"/>
  <c r="M205" s="1"/>
  <c r="M233" s="1"/>
  <c r="M234" s="1"/>
  <c r="N316"/>
  <c r="N323" s="1"/>
  <c r="N204" s="1"/>
  <c r="N205" s="1"/>
  <c r="N233" s="1"/>
  <c r="N234" s="1"/>
  <c r="O316"/>
  <c r="O323" s="1"/>
  <c r="O204" s="1"/>
  <c r="O205" s="1"/>
  <c r="O233" s="1"/>
  <c r="O234" s="1"/>
  <c r="P316"/>
  <c r="P323" s="1"/>
  <c r="P204" s="1"/>
  <c r="P205" s="1"/>
  <c r="P233" s="1"/>
  <c r="P234" s="1"/>
  <c r="Q316"/>
  <c r="Q323" s="1"/>
  <c r="Q204" s="1"/>
  <c r="Q205" s="1"/>
  <c r="Q233" s="1"/>
  <c r="Q234" s="1"/>
  <c r="R316"/>
  <c r="R323" s="1"/>
  <c r="R204" s="1"/>
  <c r="R205" s="1"/>
  <c r="R233" s="1"/>
  <c r="R234" s="1"/>
  <c r="S316"/>
  <c r="S323" s="1"/>
  <c r="S204" s="1"/>
  <c r="S205" s="1"/>
  <c r="S233" s="1"/>
  <c r="S234" s="1"/>
  <c r="T316"/>
  <c r="T323" s="1"/>
  <c r="T204" s="1"/>
  <c r="T205" s="1"/>
  <c r="T233" s="1"/>
  <c r="T234" s="1"/>
  <c r="U316"/>
  <c r="U323" s="1"/>
  <c r="U204" s="1"/>
  <c r="U205" s="1"/>
  <c r="U233" s="1"/>
  <c r="U234" s="1"/>
  <c r="V316"/>
  <c r="V323" s="1"/>
  <c r="V204" s="1"/>
  <c r="V205" s="1"/>
  <c r="V233" s="1"/>
  <c r="V234" s="1"/>
  <c r="W316"/>
  <c r="W323" s="1"/>
  <c r="W204" s="1"/>
  <c r="W205" s="1"/>
  <c r="W233" s="1"/>
  <c r="W234" s="1"/>
  <c r="X316"/>
  <c r="X323" s="1"/>
  <c r="X204" s="1"/>
  <c r="Y316"/>
  <c r="Y323" s="1"/>
  <c r="Y204" s="1"/>
  <c r="Z316"/>
  <c r="Z323" s="1"/>
  <c r="Z204" s="1"/>
  <c r="AA316"/>
  <c r="AA323" s="1"/>
  <c r="AA204" s="1"/>
  <c r="AB316"/>
  <c r="AB323" s="1"/>
  <c r="AB204" s="1"/>
  <c r="AC316"/>
  <c r="AC323" s="1"/>
  <c r="AC204" s="1"/>
  <c r="AD316"/>
  <c r="AD323" s="1"/>
  <c r="AD204" s="1"/>
  <c r="AE316"/>
  <c r="AE323" s="1"/>
  <c r="AE204" s="1"/>
  <c r="AF316"/>
  <c r="AF323" s="1"/>
  <c r="AF204" s="1"/>
  <c r="AG316"/>
  <c r="AG323" s="1"/>
  <c r="AH316"/>
  <c r="AH323" s="1"/>
  <c r="AI316"/>
  <c r="AI323" s="1"/>
  <c r="AJ316"/>
  <c r="AJ323" s="1"/>
  <c r="AK316"/>
  <c r="AK323" s="1"/>
  <c r="AL316"/>
  <c r="AL323" s="1"/>
  <c r="AM316"/>
  <c r="AM323" s="1"/>
  <c r="AN316"/>
  <c r="AN323" s="1"/>
  <c r="AO316"/>
  <c r="AO323" s="1"/>
  <c r="AP316"/>
  <c r="AP323" s="1"/>
  <c r="K417"/>
  <c r="C450"/>
  <c r="D450"/>
  <c r="D457" s="1"/>
  <c r="D239" s="1"/>
  <c r="E450"/>
  <c r="E457" s="1"/>
  <c r="E239" s="1"/>
  <c r="F450"/>
  <c r="F457" s="1"/>
  <c r="F239" s="1"/>
  <c r="G450"/>
  <c r="G457" s="1"/>
  <c r="G239" s="1"/>
  <c r="H450"/>
  <c r="H457" s="1"/>
  <c r="H239" s="1"/>
  <c r="I450"/>
  <c r="I457" s="1"/>
  <c r="I239" s="1"/>
  <c r="J450"/>
  <c r="J457" s="1"/>
  <c r="J239" s="1"/>
  <c r="K450"/>
  <c r="K457" s="1"/>
  <c r="K239" s="1"/>
  <c r="L450"/>
  <c r="L457" s="1"/>
  <c r="L239" s="1"/>
  <c r="M450"/>
  <c r="M457" s="1"/>
  <c r="M239" s="1"/>
  <c r="N450"/>
  <c r="N457" s="1"/>
  <c r="N239" s="1"/>
  <c r="O450"/>
  <c r="O457" s="1"/>
  <c r="O239" s="1"/>
  <c r="P450"/>
  <c r="P457" s="1"/>
  <c r="P239" s="1"/>
  <c r="Q450"/>
  <c r="Q457" s="1"/>
  <c r="Q239" s="1"/>
  <c r="R450"/>
  <c r="R457" s="1"/>
  <c r="R239" s="1"/>
  <c r="S450"/>
  <c r="S457" s="1"/>
  <c r="S239" s="1"/>
  <c r="T450"/>
  <c r="T457" s="1"/>
  <c r="T239" s="1"/>
  <c r="U450"/>
  <c r="U457" s="1"/>
  <c r="U239" s="1"/>
  <c r="V450"/>
  <c r="V457" s="1"/>
  <c r="V239" s="1"/>
  <c r="W450"/>
  <c r="W457" s="1"/>
  <c r="W239" s="1"/>
  <c r="X450"/>
  <c r="X457" s="1"/>
  <c r="X239" s="1"/>
  <c r="Y450"/>
  <c r="Y457" s="1"/>
  <c r="Y239" s="1"/>
  <c r="Z450"/>
  <c r="Z457" s="1"/>
  <c r="Z239" s="1"/>
  <c r="AA450"/>
  <c r="AA457" s="1"/>
  <c r="AA239" s="1"/>
  <c r="AB450"/>
  <c r="AB457" s="1"/>
  <c r="AB239" s="1"/>
  <c r="AC450"/>
  <c r="AC457" s="1"/>
  <c r="AC239" s="1"/>
  <c r="AD450"/>
  <c r="AD457" s="1"/>
  <c r="AD239" s="1"/>
  <c r="AE450"/>
  <c r="AE457" s="1"/>
  <c r="AE239" s="1"/>
  <c r="AF450"/>
  <c r="AF457" s="1"/>
  <c r="AF239" s="1"/>
  <c r="AG450"/>
  <c r="AG457" s="1"/>
  <c r="AH450"/>
  <c r="AH457" s="1"/>
  <c r="AI450"/>
  <c r="AI457" s="1"/>
  <c r="AJ450"/>
  <c r="AJ457" s="1"/>
  <c r="AK450"/>
  <c r="AK457" s="1"/>
  <c r="AL450"/>
  <c r="AL457" s="1"/>
  <c r="AM450"/>
  <c r="AM457" s="1"/>
  <c r="AN450"/>
  <c r="AN457" s="1"/>
  <c r="AO450"/>
  <c r="AO457" s="1"/>
  <c r="AP450"/>
  <c r="AP457" s="1"/>
  <c r="F96" i="7"/>
  <c r="F88"/>
  <c r="G604"/>
  <c r="AH634"/>
  <c r="AH637" s="1"/>
  <c r="AG730"/>
  <c r="K204"/>
  <c r="AF96"/>
  <c r="AF88"/>
  <c r="AE97"/>
  <c r="K338"/>
  <c r="AC15" i="2"/>
  <c r="AC50"/>
  <c r="AC228"/>
  <c r="AC265"/>
  <c r="AC17"/>
  <c r="AC52"/>
  <c r="AC230"/>
  <c r="AC267"/>
  <c r="AD325"/>
  <c r="AE319"/>
  <c r="AD71"/>
  <c r="AF5"/>
  <c r="AF787"/>
  <c r="AF393" s="1"/>
  <c r="AF528" s="1"/>
  <c r="AF785"/>
  <c r="AF391" s="1"/>
  <c r="AF526" s="1"/>
  <c r="AF783"/>
  <c r="AF389" s="1"/>
  <c r="AF524" s="1"/>
  <c r="AF781"/>
  <c r="AF387" s="1"/>
  <c r="AF522" s="1"/>
  <c r="AF779"/>
  <c r="AF385" s="1"/>
  <c r="AF520" s="1"/>
  <c r="AF755"/>
  <c r="AF367" s="1"/>
  <c r="AF502" s="1"/>
  <c r="AF788"/>
  <c r="AF394" s="1"/>
  <c r="AF529" s="1"/>
  <c r="AF786"/>
  <c r="AF392" s="1"/>
  <c r="AF527" s="1"/>
  <c r="AF784"/>
  <c r="AF390" s="1"/>
  <c r="AF525" s="1"/>
  <c r="AF782"/>
  <c r="AF388" s="1"/>
  <c r="AF523" s="1"/>
  <c r="AF780"/>
  <c r="AF386" s="1"/>
  <c r="AF521" s="1"/>
  <c r="AF756"/>
  <c r="AF368" s="1"/>
  <c r="AF503" s="1"/>
  <c r="AF754"/>
  <c r="AF366" s="1"/>
  <c r="AF501" s="1"/>
  <c r="AF753"/>
  <c r="AF365" s="1"/>
  <c r="AF500" s="1"/>
  <c r="AF751"/>
  <c r="AF363" s="1"/>
  <c r="AF498" s="1"/>
  <c r="AF749"/>
  <c r="AF361" s="1"/>
  <c r="AF496" s="1"/>
  <c r="AF747"/>
  <c r="AF359" s="1"/>
  <c r="AF494" s="1"/>
  <c r="AF723"/>
  <c r="AF342" s="1"/>
  <c r="AF476" s="1"/>
  <c r="AF721"/>
  <c r="AF340" s="1"/>
  <c r="AF474" s="1"/>
  <c r="AF719"/>
  <c r="AF338" s="1"/>
  <c r="AF472" s="1"/>
  <c r="AF717"/>
  <c r="AF336" s="1"/>
  <c r="AF470" s="1"/>
  <c r="AF715"/>
  <c r="AF334" s="1"/>
  <c r="AF468" s="1"/>
  <c r="AF791"/>
  <c r="AF794"/>
  <c r="AF795"/>
  <c r="AF797"/>
  <c r="AF799"/>
  <c r="AF752"/>
  <c r="AF364" s="1"/>
  <c r="AF499" s="1"/>
  <c r="AF748"/>
  <c r="AF360" s="1"/>
  <c r="AF495" s="1"/>
  <c r="AF724"/>
  <c r="AF343" s="1"/>
  <c r="AF477" s="1"/>
  <c r="AF720"/>
  <c r="AF339" s="1"/>
  <c r="AF473" s="1"/>
  <c r="AF750"/>
  <c r="AF362" s="1"/>
  <c r="AF497" s="1"/>
  <c r="AF722"/>
  <c r="AF341" s="1"/>
  <c r="AF475" s="1"/>
  <c r="AF718"/>
  <c r="AF337" s="1"/>
  <c r="AF471" s="1"/>
  <c r="AF798"/>
  <c r="AF796"/>
  <c r="AF762"/>
  <c r="AF764"/>
  <c r="AF766"/>
  <c r="AF716"/>
  <c r="AF335" s="1"/>
  <c r="AF469" s="1"/>
  <c r="AF759"/>
  <c r="AF763"/>
  <c r="AF765"/>
  <c r="AF767"/>
  <c r="AF768"/>
  <c r="AF793"/>
  <c r="AE757"/>
  <c r="AE742" s="1"/>
  <c r="AE69" s="1"/>
  <c r="AE789"/>
  <c r="AE774" s="1"/>
  <c r="AE70" s="1"/>
  <c r="AE61"/>
  <c r="AF727"/>
  <c r="AF33"/>
  <c r="AF35" s="1"/>
  <c r="AF37" s="1"/>
  <c r="AF39" s="1"/>
  <c r="AF617"/>
  <c r="AF618" s="1"/>
  <c r="AF623"/>
  <c r="AF624" s="1"/>
  <c r="AF697"/>
  <c r="AF671"/>
  <c r="AF675"/>
  <c r="AF670"/>
  <c r="AF699"/>
  <c r="AF684"/>
  <c r="AF55" s="1"/>
  <c r="AF674"/>
  <c r="AF685" s="1"/>
  <c r="AF689" s="1"/>
  <c r="AE673"/>
  <c r="AG11"/>
  <c r="AF312"/>
  <c r="AF314"/>
  <c r="AF321" s="1"/>
  <c r="AF316"/>
  <c r="AF323" s="1"/>
  <c r="AF445"/>
  <c r="AF446"/>
  <c r="AF447"/>
  <c r="AF448"/>
  <c r="AF449"/>
  <c r="AF450"/>
  <c r="AF690"/>
  <c r="AF311"/>
  <c r="AF315"/>
  <c r="AF322" s="1"/>
  <c r="AF313"/>
  <c r="AF320" s="1"/>
  <c r="AD117"/>
  <c r="AF19"/>
  <c r="AA238"/>
  <c r="AC116"/>
  <c r="AA202"/>
  <c r="AB43"/>
  <c r="T680"/>
  <c r="T80"/>
  <c r="T81" s="1"/>
  <c r="AF732"/>
  <c r="AF728"/>
  <c r="AF733"/>
  <c r="AF734"/>
  <c r="AF735"/>
  <c r="AF736"/>
  <c r="AC105"/>
  <c r="AF463"/>
  <c r="AE464"/>
  <c r="AF329"/>
  <c r="AE318"/>
  <c r="AE330"/>
  <c r="AE705"/>
  <c r="AF702" s="1"/>
  <c r="AF704" s="1"/>
  <c r="AE62"/>
  <c r="AE725"/>
  <c r="AE710" s="1"/>
  <c r="AE68" s="1"/>
  <c r="AC696"/>
  <c r="AE27"/>
  <c r="AD619"/>
  <c r="AD620" s="1"/>
  <c r="AD103" s="1"/>
  <c r="AD625"/>
  <c r="AD626" s="1"/>
  <c r="AD104" s="1"/>
  <c r="AF23"/>
  <c r="AF26"/>
  <c r="AF30"/>
  <c r="AF40"/>
  <c r="AE240"/>
  <c r="AE204"/>
  <c r="AC18"/>
  <c r="AC20" s="1"/>
  <c r="AC266"/>
  <c r="AC229"/>
  <c r="AB268"/>
  <c r="AB269" s="1"/>
  <c r="AC264"/>
  <c r="AC227"/>
  <c r="AB231"/>
  <c r="AB232" s="1"/>
  <c r="AC666"/>
  <c r="AD659"/>
  <c r="AD660" s="1"/>
  <c r="AD51" s="1"/>
  <c r="AD663"/>
  <c r="AD664" s="1"/>
  <c r="AD655"/>
  <c r="AD656" s="1"/>
  <c r="AD651"/>
  <c r="AD652" s="1"/>
  <c r="AF698"/>
  <c r="AF688"/>
  <c r="U683"/>
  <c r="AE10"/>
  <c r="AE12" s="1"/>
  <c r="AD29"/>
  <c r="AD31" s="1"/>
  <c r="AD41" s="1"/>
  <c r="AG2"/>
  <c r="AG205" s="1"/>
  <c r="AF25"/>
  <c r="W142" i="10" l="1"/>
  <c r="W154" s="1"/>
  <c r="W80"/>
  <c r="W81" s="1"/>
  <c r="W95" s="1"/>
  <c r="W280"/>
  <c r="W298" s="1"/>
  <c r="X74"/>
  <c r="X76" s="1"/>
  <c r="W216"/>
  <c r="W244" s="1"/>
  <c r="AD49" i="2"/>
  <c r="AD14"/>
  <c r="D122" i="10"/>
  <c r="T122"/>
  <c r="M122"/>
  <c r="I122"/>
  <c r="Q122"/>
  <c r="F122"/>
  <c r="J122"/>
  <c r="N122"/>
  <c r="R122"/>
  <c r="W109"/>
  <c r="W101"/>
  <c r="Y50"/>
  <c r="Y275"/>
  <c r="Y293" s="1"/>
  <c r="Y109"/>
  <c r="V87" i="8"/>
  <c r="V88" s="1"/>
  <c r="V79"/>
  <c r="W49"/>
  <c r="W73" s="1"/>
  <c r="W78" s="1"/>
  <c r="H122" i="10"/>
  <c r="L122"/>
  <c r="P122"/>
  <c r="V122"/>
  <c r="E122"/>
  <c r="G122"/>
  <c r="K122"/>
  <c r="O122"/>
  <c r="S122"/>
  <c r="U122"/>
  <c r="Z49"/>
  <c r="W122"/>
  <c r="Y101"/>
  <c r="AA718"/>
  <c r="AA721" s="1"/>
  <c r="Z814"/>
  <c r="AA815" s="1"/>
  <c r="X770" i="8"/>
  <c r="Y771" s="1"/>
  <c r="Y674"/>
  <c r="Y677" s="1"/>
  <c r="X238"/>
  <c r="X48"/>
  <c r="X203"/>
  <c r="X205" s="1"/>
  <c r="X233" s="1"/>
  <c r="X234" s="1"/>
  <c r="C457"/>
  <c r="B450"/>
  <c r="G205"/>
  <c r="G233" s="1"/>
  <c r="G234" s="1"/>
  <c r="V240"/>
  <c r="V241" s="1"/>
  <c r="V269" s="1"/>
  <c r="V270" s="1"/>
  <c r="V99" s="1"/>
  <c r="V98"/>
  <c r="T240"/>
  <c r="T241" s="1"/>
  <c r="T269" s="1"/>
  <c r="T270" s="1"/>
  <c r="T99" s="1"/>
  <c r="T98"/>
  <c r="R240"/>
  <c r="R241" s="1"/>
  <c r="R269" s="1"/>
  <c r="R270" s="1"/>
  <c r="R99" s="1"/>
  <c r="R98"/>
  <c r="P240"/>
  <c r="P241" s="1"/>
  <c r="P269" s="1"/>
  <c r="P270" s="1"/>
  <c r="P99" s="1"/>
  <c r="P98"/>
  <c r="N240"/>
  <c r="N241" s="1"/>
  <c r="N269" s="1"/>
  <c r="N270" s="1"/>
  <c r="N99" s="1"/>
  <c r="N98"/>
  <c r="F240"/>
  <c r="F241" s="1"/>
  <c r="F269" s="1"/>
  <c r="F270" s="1"/>
  <c r="F99" s="1"/>
  <c r="F98"/>
  <c r="D240"/>
  <c r="D241" s="1"/>
  <c r="D269" s="1"/>
  <c r="D270" s="1"/>
  <c r="D99" s="1"/>
  <c r="D98"/>
  <c r="F88"/>
  <c r="AC53" i="2"/>
  <c r="W240" i="8"/>
  <c r="W241" s="1"/>
  <c r="W269" s="1"/>
  <c r="W270" s="1"/>
  <c r="W99" s="1"/>
  <c r="W98"/>
  <c r="U240"/>
  <c r="U241" s="1"/>
  <c r="U269" s="1"/>
  <c r="U270" s="1"/>
  <c r="U99" s="1"/>
  <c r="U98"/>
  <c r="S240"/>
  <c r="S241" s="1"/>
  <c r="S269" s="1"/>
  <c r="S270" s="1"/>
  <c r="S99" s="1"/>
  <c r="S98"/>
  <c r="Q240"/>
  <c r="Q241" s="1"/>
  <c r="Q269" s="1"/>
  <c r="Q270" s="1"/>
  <c r="Q99" s="1"/>
  <c r="Q98"/>
  <c r="O240"/>
  <c r="O241" s="1"/>
  <c r="O269" s="1"/>
  <c r="O270" s="1"/>
  <c r="O99" s="1"/>
  <c r="O98"/>
  <c r="M240"/>
  <c r="M241" s="1"/>
  <c r="M269" s="1"/>
  <c r="M270" s="1"/>
  <c r="M99" s="1"/>
  <c r="M98"/>
  <c r="E240"/>
  <c r="E241" s="1"/>
  <c r="E269" s="1"/>
  <c r="E270" s="1"/>
  <c r="E99" s="1"/>
  <c r="E98"/>
  <c r="C323"/>
  <c r="B316"/>
  <c r="K345" i="7"/>
  <c r="C378"/>
  <c r="D378"/>
  <c r="D385" s="1"/>
  <c r="D167" s="1"/>
  <c r="E378"/>
  <c r="E385" s="1"/>
  <c r="E167" s="1"/>
  <c r="F378"/>
  <c r="F385" s="1"/>
  <c r="F167" s="1"/>
  <c r="G378"/>
  <c r="G385" s="1"/>
  <c r="G167" s="1"/>
  <c r="H378"/>
  <c r="H385" s="1"/>
  <c r="H167" s="1"/>
  <c r="I378"/>
  <c r="I385" s="1"/>
  <c r="I167" s="1"/>
  <c r="J378"/>
  <c r="J385" s="1"/>
  <c r="J167" s="1"/>
  <c r="K378"/>
  <c r="K385" s="1"/>
  <c r="K167" s="1"/>
  <c r="L378"/>
  <c r="L385" s="1"/>
  <c r="L167" s="1"/>
  <c r="M378"/>
  <c r="M385" s="1"/>
  <c r="M167" s="1"/>
  <c r="N378"/>
  <c r="N385" s="1"/>
  <c r="N167" s="1"/>
  <c r="O378"/>
  <c r="O385" s="1"/>
  <c r="O167" s="1"/>
  <c r="P378"/>
  <c r="P385" s="1"/>
  <c r="P167" s="1"/>
  <c r="Q378"/>
  <c r="Q385" s="1"/>
  <c r="Q167" s="1"/>
  <c r="R378"/>
  <c r="R385" s="1"/>
  <c r="R167" s="1"/>
  <c r="S378"/>
  <c r="S385" s="1"/>
  <c r="S167" s="1"/>
  <c r="T378"/>
  <c r="T385" s="1"/>
  <c r="T167" s="1"/>
  <c r="U378"/>
  <c r="U385" s="1"/>
  <c r="U167" s="1"/>
  <c r="V378"/>
  <c r="V385" s="1"/>
  <c r="V167" s="1"/>
  <c r="W378"/>
  <c r="W385" s="1"/>
  <c r="W167" s="1"/>
  <c r="X378"/>
  <c r="X385" s="1"/>
  <c r="X167" s="1"/>
  <c r="Y378"/>
  <c r="Y385" s="1"/>
  <c r="Y167" s="1"/>
  <c r="Z378"/>
  <c r="Z385" s="1"/>
  <c r="Z167" s="1"/>
  <c r="AA378"/>
  <c r="AA385" s="1"/>
  <c r="AA167" s="1"/>
  <c r="AB378"/>
  <c r="AB385" s="1"/>
  <c r="AB167" s="1"/>
  <c r="AC378"/>
  <c r="AC385" s="1"/>
  <c r="AC167" s="1"/>
  <c r="AD378"/>
  <c r="AD385" s="1"/>
  <c r="AD167" s="1"/>
  <c r="AE378"/>
  <c r="AE385" s="1"/>
  <c r="AE167" s="1"/>
  <c r="AF378"/>
  <c r="AF385" s="1"/>
  <c r="AF167" s="1"/>
  <c r="AG378"/>
  <c r="AG385" s="1"/>
  <c r="AH378"/>
  <c r="AH385" s="1"/>
  <c r="AI378"/>
  <c r="AI385" s="1"/>
  <c r="AJ378"/>
  <c r="AJ385" s="1"/>
  <c r="AK378"/>
  <c r="AK385" s="1"/>
  <c r="AL378"/>
  <c r="AL385" s="1"/>
  <c r="AM378"/>
  <c r="AM385" s="1"/>
  <c r="AN378"/>
  <c r="AN385" s="1"/>
  <c r="AO378"/>
  <c r="AO385" s="1"/>
  <c r="AP378"/>
  <c r="AP385" s="1"/>
  <c r="K211"/>
  <c r="C244"/>
  <c r="D244"/>
  <c r="D251" s="1"/>
  <c r="D131" s="1"/>
  <c r="D132" s="1"/>
  <c r="D160" s="1"/>
  <c r="D161" s="1"/>
  <c r="E244"/>
  <c r="E251" s="1"/>
  <c r="E131" s="1"/>
  <c r="E132" s="1"/>
  <c r="E160" s="1"/>
  <c r="E161" s="1"/>
  <c r="F244"/>
  <c r="F251" s="1"/>
  <c r="F131" s="1"/>
  <c r="F132" s="1"/>
  <c r="F160" s="1"/>
  <c r="F161" s="1"/>
  <c r="G244"/>
  <c r="G251" s="1"/>
  <c r="G131" s="1"/>
  <c r="H244"/>
  <c r="H251" s="1"/>
  <c r="H131" s="1"/>
  <c r="I244"/>
  <c r="I251" s="1"/>
  <c r="I131" s="1"/>
  <c r="J244"/>
  <c r="J251" s="1"/>
  <c r="J131" s="1"/>
  <c r="K244"/>
  <c r="K251" s="1"/>
  <c r="K131" s="1"/>
  <c r="L244"/>
  <c r="L251" s="1"/>
  <c r="L131" s="1"/>
  <c r="M244"/>
  <c r="M251" s="1"/>
  <c r="M131" s="1"/>
  <c r="N244"/>
  <c r="N251" s="1"/>
  <c r="N131" s="1"/>
  <c r="O244"/>
  <c r="O251" s="1"/>
  <c r="O131" s="1"/>
  <c r="P244"/>
  <c r="P251" s="1"/>
  <c r="P131" s="1"/>
  <c r="Q244"/>
  <c r="Q251" s="1"/>
  <c r="Q131" s="1"/>
  <c r="R244"/>
  <c r="R251" s="1"/>
  <c r="R131" s="1"/>
  <c r="S244"/>
  <c r="S251" s="1"/>
  <c r="S131" s="1"/>
  <c r="T244"/>
  <c r="T251" s="1"/>
  <c r="T131" s="1"/>
  <c r="U244"/>
  <c r="U251" s="1"/>
  <c r="U131" s="1"/>
  <c r="V244"/>
  <c r="V251" s="1"/>
  <c r="V131" s="1"/>
  <c r="W244"/>
  <c r="W251" s="1"/>
  <c r="W131" s="1"/>
  <c r="W132" s="1"/>
  <c r="W160" s="1"/>
  <c r="W161" s="1"/>
  <c r="X244"/>
  <c r="X251" s="1"/>
  <c r="X131" s="1"/>
  <c r="X132" s="1"/>
  <c r="X160" s="1"/>
  <c r="X161" s="1"/>
  <c r="Y244"/>
  <c r="Y251" s="1"/>
  <c r="Y131" s="1"/>
  <c r="Y132" s="1"/>
  <c r="Y160" s="1"/>
  <c r="Y161" s="1"/>
  <c r="Z244"/>
  <c r="Z251" s="1"/>
  <c r="Z131" s="1"/>
  <c r="Z132" s="1"/>
  <c r="Z160" s="1"/>
  <c r="Z161" s="1"/>
  <c r="AA244"/>
  <c r="AA251" s="1"/>
  <c r="AA131" s="1"/>
  <c r="AA132" s="1"/>
  <c r="AA160" s="1"/>
  <c r="AA161" s="1"/>
  <c r="AB244"/>
  <c r="AB251" s="1"/>
  <c r="AB131" s="1"/>
  <c r="AB132" s="1"/>
  <c r="AB160" s="1"/>
  <c r="AB161" s="1"/>
  <c r="AC244"/>
  <c r="AC251" s="1"/>
  <c r="AC131" s="1"/>
  <c r="AC132" s="1"/>
  <c r="AC160" s="1"/>
  <c r="AC161" s="1"/>
  <c r="AD244"/>
  <c r="AD251" s="1"/>
  <c r="AD131" s="1"/>
  <c r="AD132" s="1"/>
  <c r="AD160" s="1"/>
  <c r="AD161" s="1"/>
  <c r="AE244"/>
  <c r="AE251" s="1"/>
  <c r="AE131" s="1"/>
  <c r="AE132" s="1"/>
  <c r="AE160" s="1"/>
  <c r="AE161" s="1"/>
  <c r="AF244"/>
  <c r="AF251" s="1"/>
  <c r="AF131" s="1"/>
  <c r="AF132" s="1"/>
  <c r="AF160" s="1"/>
  <c r="AF161" s="1"/>
  <c r="AG244"/>
  <c r="AG251" s="1"/>
  <c r="AH244"/>
  <c r="AH251" s="1"/>
  <c r="AI244"/>
  <c r="AI251" s="1"/>
  <c r="AJ244"/>
  <c r="AJ251" s="1"/>
  <c r="AK244"/>
  <c r="AK251" s="1"/>
  <c r="AL244"/>
  <c r="AL251" s="1"/>
  <c r="AM244"/>
  <c r="AM251" s="1"/>
  <c r="AN244"/>
  <c r="AN251" s="1"/>
  <c r="AO244"/>
  <c r="AO251" s="1"/>
  <c r="AP244"/>
  <c r="AP251" s="1"/>
  <c r="AI634"/>
  <c r="AI637" s="1"/>
  <c r="AH730"/>
  <c r="F97"/>
  <c r="AF97"/>
  <c r="G166"/>
  <c r="G130"/>
  <c r="G55"/>
  <c r="G56" s="1"/>
  <c r="G609"/>
  <c r="AD15" i="2"/>
  <c r="AD50"/>
  <c r="AD228"/>
  <c r="AD265"/>
  <c r="AD17"/>
  <c r="AD52"/>
  <c r="AD230"/>
  <c r="AD267"/>
  <c r="AE325"/>
  <c r="AG393"/>
  <c r="AG528" s="1"/>
  <c r="AG394"/>
  <c r="AG529" s="1"/>
  <c r="AG391"/>
  <c r="AG526" s="1"/>
  <c r="AG389"/>
  <c r="AG524" s="1"/>
  <c r="AG387"/>
  <c r="AG522" s="1"/>
  <c r="AG392"/>
  <c r="AG527" s="1"/>
  <c r="AG390"/>
  <c r="AG525" s="1"/>
  <c r="AG388"/>
  <c r="AG523" s="1"/>
  <c r="AG386"/>
  <c r="AG521" s="1"/>
  <c r="AG385"/>
  <c r="AG520" s="1"/>
  <c r="AG359"/>
  <c r="AG494" s="1"/>
  <c r="AG360"/>
  <c r="AG495" s="1"/>
  <c r="AG361"/>
  <c r="AG496" s="1"/>
  <c r="AG362"/>
  <c r="AG497" s="1"/>
  <c r="AG363"/>
  <c r="AG498" s="1"/>
  <c r="AG364"/>
  <c r="AG499" s="1"/>
  <c r="AG365"/>
  <c r="AG500" s="1"/>
  <c r="AG366"/>
  <c r="AG501" s="1"/>
  <c r="AG367"/>
  <c r="AG502" s="1"/>
  <c r="AG368"/>
  <c r="AG503" s="1"/>
  <c r="AF319"/>
  <c r="AE71"/>
  <c r="AG5"/>
  <c r="AG788"/>
  <c r="AG786"/>
  <c r="AG784"/>
  <c r="AG782"/>
  <c r="AG780"/>
  <c r="AG756"/>
  <c r="AG754"/>
  <c r="AG787"/>
  <c r="AG785"/>
  <c r="AG783"/>
  <c r="AG781"/>
  <c r="AG779"/>
  <c r="AG755"/>
  <c r="AG752"/>
  <c r="AG750"/>
  <c r="AG748"/>
  <c r="AG724"/>
  <c r="AG722"/>
  <c r="AG720"/>
  <c r="AG718"/>
  <c r="AG716"/>
  <c r="AG796"/>
  <c r="AG798"/>
  <c r="AG753"/>
  <c r="AG749"/>
  <c r="AG721"/>
  <c r="AG717"/>
  <c r="AG751"/>
  <c r="AG747"/>
  <c r="AG723"/>
  <c r="AG719"/>
  <c r="AG715"/>
  <c r="AG791"/>
  <c r="AG795"/>
  <c r="AG799"/>
  <c r="AG797"/>
  <c r="AG800"/>
  <c r="AG759"/>
  <c r="AG763"/>
  <c r="AG765"/>
  <c r="AG767"/>
  <c r="AG794"/>
  <c r="AG760"/>
  <c r="AG764"/>
  <c r="AG766"/>
  <c r="AG768"/>
  <c r="AF757"/>
  <c r="AF742" s="1"/>
  <c r="AF69" s="1"/>
  <c r="AF789"/>
  <c r="AF774" s="1"/>
  <c r="AF70" s="1"/>
  <c r="AF61"/>
  <c r="AG727"/>
  <c r="AG33"/>
  <c r="AG35" s="1"/>
  <c r="AG37" s="1"/>
  <c r="AG39" s="1"/>
  <c r="AG617"/>
  <c r="AG618" s="1"/>
  <c r="AG623"/>
  <c r="AG624" s="1"/>
  <c r="AG699"/>
  <c r="AG684"/>
  <c r="AG55" s="1"/>
  <c r="AG674"/>
  <c r="AG685" s="1"/>
  <c r="AG689" s="1"/>
  <c r="AG697"/>
  <c r="AG671"/>
  <c r="AG675"/>
  <c r="AG670"/>
  <c r="AF673"/>
  <c r="AH11"/>
  <c r="AG311"/>
  <c r="AG313"/>
  <c r="AG320" s="1"/>
  <c r="AG315"/>
  <c r="AG322" s="1"/>
  <c r="AG312"/>
  <c r="AG316"/>
  <c r="AG323" s="1"/>
  <c r="AG445"/>
  <c r="AG447"/>
  <c r="AG449"/>
  <c r="AG314"/>
  <c r="AG321" s="1"/>
  <c r="AG446"/>
  <c r="AG448"/>
  <c r="AG450"/>
  <c r="AG690"/>
  <c r="AG19"/>
  <c r="AE117"/>
  <c r="AB47"/>
  <c r="AB238"/>
  <c r="AB202"/>
  <c r="AD116"/>
  <c r="AC43"/>
  <c r="U680"/>
  <c r="U80"/>
  <c r="U81" s="1"/>
  <c r="AG728"/>
  <c r="AG733"/>
  <c r="AG734"/>
  <c r="AG735"/>
  <c r="AG736"/>
  <c r="AG732"/>
  <c r="AD105"/>
  <c r="AG463"/>
  <c r="AF464"/>
  <c r="AG329"/>
  <c r="AG334"/>
  <c r="AG468" s="1"/>
  <c r="AG335"/>
  <c r="AG469" s="1"/>
  <c r="AG336"/>
  <c r="AG470" s="1"/>
  <c r="AG337"/>
  <c r="AG471" s="1"/>
  <c r="AG338"/>
  <c r="AG472" s="1"/>
  <c r="AG339"/>
  <c r="AG473" s="1"/>
  <c r="AG340"/>
  <c r="AG474" s="1"/>
  <c r="AG341"/>
  <c r="AG475" s="1"/>
  <c r="AG342"/>
  <c r="AG476" s="1"/>
  <c r="AG343"/>
  <c r="AG477" s="1"/>
  <c r="AF318"/>
  <c r="AF330"/>
  <c r="AF705"/>
  <c r="AG702" s="1"/>
  <c r="AF62"/>
  <c r="AG805"/>
  <c r="AG704"/>
  <c r="AF725"/>
  <c r="AF710" s="1"/>
  <c r="AF68" s="1"/>
  <c r="AD696"/>
  <c r="AF27"/>
  <c r="AE619"/>
  <c r="AE620" s="1"/>
  <c r="AE103" s="1"/>
  <c r="AE625"/>
  <c r="AE626" s="1"/>
  <c r="AE104" s="1"/>
  <c r="AC268"/>
  <c r="AC269" s="1"/>
  <c r="AG23"/>
  <c r="AG26"/>
  <c r="AG30"/>
  <c r="AG40"/>
  <c r="AF240"/>
  <c r="AF204"/>
  <c r="AC231"/>
  <c r="AC232" s="1"/>
  <c r="AD264"/>
  <c r="AD227"/>
  <c r="AD266"/>
  <c r="AD229"/>
  <c r="AD666"/>
  <c r="AE663"/>
  <c r="AE664" s="1"/>
  <c r="AE655"/>
  <c r="AE656" s="1"/>
  <c r="AE651"/>
  <c r="AE652" s="1"/>
  <c r="AE659"/>
  <c r="AE660" s="1"/>
  <c r="AE51" s="1"/>
  <c r="AG688"/>
  <c r="AG698"/>
  <c r="V683"/>
  <c r="AE29"/>
  <c r="AE31" s="1"/>
  <c r="AE41" s="1"/>
  <c r="AH2"/>
  <c r="AH205" s="1"/>
  <c r="AG25"/>
  <c r="AF10"/>
  <c r="AF12" s="1"/>
  <c r="X142" i="10" l="1"/>
  <c r="X154" s="1"/>
  <c r="X80"/>
  <c r="X81" s="1"/>
  <c r="X95" s="1"/>
  <c r="X280"/>
  <c r="Y74"/>
  <c r="Y76" s="1"/>
  <c r="X216"/>
  <c r="X244" s="1"/>
  <c r="AE49" i="2"/>
  <c r="AE14"/>
  <c r="U123" i="10"/>
  <c r="O123"/>
  <c r="G123"/>
  <c r="V123"/>
  <c r="R123"/>
  <c r="N123"/>
  <c r="J123"/>
  <c r="F123"/>
  <c r="I123"/>
  <c r="M123"/>
  <c r="S123"/>
  <c r="K123"/>
  <c r="E123"/>
  <c r="T123"/>
  <c r="P123"/>
  <c r="L123"/>
  <c r="H123"/>
  <c r="D123"/>
  <c r="Q123"/>
  <c r="Y110"/>
  <c r="W110"/>
  <c r="W123" s="1"/>
  <c r="X109"/>
  <c r="X101"/>
  <c r="Z50"/>
  <c r="Z275"/>
  <c r="Z293" s="1"/>
  <c r="W79" i="8"/>
  <c r="W87"/>
  <c r="W88" s="1"/>
  <c r="AA49" i="10"/>
  <c r="X122"/>
  <c r="AD18" i="2"/>
  <c r="AD20" s="1"/>
  <c r="AD43" s="1"/>
  <c r="AD47" s="1"/>
  <c r="X49" i="8"/>
  <c r="X73" s="1"/>
  <c r="X78" s="1"/>
  <c r="AB718" i="10"/>
  <c r="AB721" s="1"/>
  <c r="AA814"/>
  <c r="AB815" s="1"/>
  <c r="Y122"/>
  <c r="X98" i="8"/>
  <c r="X240"/>
  <c r="X241" s="1"/>
  <c r="X269" s="1"/>
  <c r="X270" s="1"/>
  <c r="X99" s="1"/>
  <c r="Y203"/>
  <c r="Y205" s="1"/>
  <c r="Y233" s="1"/>
  <c r="Y234" s="1"/>
  <c r="Y238"/>
  <c r="Y48"/>
  <c r="Y770"/>
  <c r="Z771" s="1"/>
  <c r="Z674"/>
  <c r="Z677" s="1"/>
  <c r="E100"/>
  <c r="E101" s="1"/>
  <c r="M100"/>
  <c r="M101" s="1"/>
  <c r="O100"/>
  <c r="O101" s="1"/>
  <c r="Q100"/>
  <c r="Q101" s="1"/>
  <c r="S100"/>
  <c r="S101" s="1"/>
  <c r="U100"/>
  <c r="U101" s="1"/>
  <c r="W100"/>
  <c r="G72"/>
  <c r="G73" s="1"/>
  <c r="G78" s="1"/>
  <c r="G240"/>
  <c r="G241" s="1"/>
  <c r="G269" s="1"/>
  <c r="G270" s="1"/>
  <c r="G99" s="1"/>
  <c r="G98"/>
  <c r="B323"/>
  <c r="C204"/>
  <c r="C205" s="1"/>
  <c r="C233" s="1"/>
  <c r="C234" s="1"/>
  <c r="D100"/>
  <c r="D101" s="1"/>
  <c r="F100"/>
  <c r="F101" s="1"/>
  <c r="N100"/>
  <c r="N101" s="1"/>
  <c r="P100"/>
  <c r="P101" s="1"/>
  <c r="R100"/>
  <c r="R101" s="1"/>
  <c r="T100"/>
  <c r="T101" s="1"/>
  <c r="V100"/>
  <c r="V101" s="1"/>
  <c r="B457"/>
  <c r="C239"/>
  <c r="AD53" i="2"/>
  <c r="G132" i="7"/>
  <c r="G160" s="1"/>
  <c r="G161" s="1"/>
  <c r="G168" s="1"/>
  <c r="G169" s="1"/>
  <c r="G197" s="1"/>
  <c r="G198" s="1"/>
  <c r="G108" s="1"/>
  <c r="G606"/>
  <c r="G607" s="1"/>
  <c r="H610" s="1"/>
  <c r="G80"/>
  <c r="G81" s="1"/>
  <c r="G82" s="1"/>
  <c r="G87" s="1"/>
  <c r="AJ634"/>
  <c r="AJ637" s="1"/>
  <c r="AI730"/>
  <c r="AE168"/>
  <c r="AE169" s="1"/>
  <c r="AE197" s="1"/>
  <c r="AE198" s="1"/>
  <c r="AE108" s="1"/>
  <c r="AE107"/>
  <c r="AC168"/>
  <c r="AC169" s="1"/>
  <c r="AC197" s="1"/>
  <c r="AC198" s="1"/>
  <c r="AC108" s="1"/>
  <c r="AC107"/>
  <c r="AA168"/>
  <c r="AA169" s="1"/>
  <c r="AA197" s="1"/>
  <c r="AA198" s="1"/>
  <c r="AA108" s="1"/>
  <c r="AA107"/>
  <c r="Y168"/>
  <c r="Y169" s="1"/>
  <c r="Y197" s="1"/>
  <c r="Y198" s="1"/>
  <c r="Y108" s="1"/>
  <c r="Y107"/>
  <c r="W168"/>
  <c r="W169" s="1"/>
  <c r="W197" s="1"/>
  <c r="W198" s="1"/>
  <c r="W108" s="1"/>
  <c r="W107"/>
  <c r="E168"/>
  <c r="E169" s="1"/>
  <c r="E197" s="1"/>
  <c r="E198" s="1"/>
  <c r="E108" s="1"/>
  <c r="E107"/>
  <c r="C251"/>
  <c r="B244"/>
  <c r="AF168"/>
  <c r="AF169" s="1"/>
  <c r="AF197" s="1"/>
  <c r="AF198" s="1"/>
  <c r="AF108" s="1"/>
  <c r="AF107"/>
  <c r="AD168"/>
  <c r="AD169" s="1"/>
  <c r="AD197" s="1"/>
  <c r="AD198" s="1"/>
  <c r="AD108" s="1"/>
  <c r="AD107"/>
  <c r="AB168"/>
  <c r="AB169" s="1"/>
  <c r="AB197" s="1"/>
  <c r="AB198" s="1"/>
  <c r="AB108" s="1"/>
  <c r="AB107"/>
  <c r="Z168"/>
  <c r="Z169" s="1"/>
  <c r="Z197" s="1"/>
  <c r="Z198" s="1"/>
  <c r="Z108" s="1"/>
  <c r="Z107"/>
  <c r="X168"/>
  <c r="X169" s="1"/>
  <c r="X197" s="1"/>
  <c r="X198" s="1"/>
  <c r="X108" s="1"/>
  <c r="X107"/>
  <c r="F168"/>
  <c r="F169" s="1"/>
  <c r="F197" s="1"/>
  <c r="F198" s="1"/>
  <c r="F108" s="1"/>
  <c r="F107"/>
  <c r="D168"/>
  <c r="D169" s="1"/>
  <c r="D197" s="1"/>
  <c r="D198" s="1"/>
  <c r="D108" s="1"/>
  <c r="D107"/>
  <c r="C385"/>
  <c r="B378"/>
  <c r="AE15" i="2"/>
  <c r="AE50"/>
  <c r="AE228"/>
  <c r="AE265"/>
  <c r="AE17"/>
  <c r="AE52"/>
  <c r="AE230"/>
  <c r="AE267"/>
  <c r="AF71"/>
  <c r="AF325"/>
  <c r="AH394"/>
  <c r="AH529" s="1"/>
  <c r="AH392"/>
  <c r="AH527" s="1"/>
  <c r="AH390"/>
  <c r="AH525" s="1"/>
  <c r="AH388"/>
  <c r="AH523" s="1"/>
  <c r="AH386"/>
  <c r="AH521" s="1"/>
  <c r="AH385"/>
  <c r="AH520" s="1"/>
  <c r="AH393"/>
  <c r="AH528" s="1"/>
  <c r="AH391"/>
  <c r="AH526" s="1"/>
  <c r="AH389"/>
  <c r="AH524" s="1"/>
  <c r="AH387"/>
  <c r="AH522" s="1"/>
  <c r="AH359"/>
  <c r="AH494" s="1"/>
  <c r="AH360"/>
  <c r="AH495" s="1"/>
  <c r="AH361"/>
  <c r="AH496" s="1"/>
  <c r="AH362"/>
  <c r="AH497" s="1"/>
  <c r="AH363"/>
  <c r="AH498" s="1"/>
  <c r="AH364"/>
  <c r="AH499" s="1"/>
  <c r="AH365"/>
  <c r="AH500" s="1"/>
  <c r="AH366"/>
  <c r="AH501" s="1"/>
  <c r="AH367"/>
  <c r="AH502" s="1"/>
  <c r="AH368"/>
  <c r="AH503" s="1"/>
  <c r="AG319"/>
  <c r="AG757"/>
  <c r="AG742" s="1"/>
  <c r="AG69" s="1"/>
  <c r="AH5"/>
  <c r="AH787"/>
  <c r="AH785"/>
  <c r="AH783"/>
  <c r="AH781"/>
  <c r="AH779"/>
  <c r="AH755"/>
  <c r="AH788"/>
  <c r="AH786"/>
  <c r="AH784"/>
  <c r="AH782"/>
  <c r="AH780"/>
  <c r="AH756"/>
  <c r="AH754"/>
  <c r="AH753"/>
  <c r="AH751"/>
  <c r="AH749"/>
  <c r="AH747"/>
  <c r="AH723"/>
  <c r="AH721"/>
  <c r="AH719"/>
  <c r="AH717"/>
  <c r="AH715"/>
  <c r="AH791"/>
  <c r="AH794"/>
  <c r="AH795"/>
  <c r="AH797"/>
  <c r="AH799"/>
  <c r="AH750"/>
  <c r="AH722"/>
  <c r="AH718"/>
  <c r="AH752"/>
  <c r="AH748"/>
  <c r="AH724"/>
  <c r="AH720"/>
  <c r="AH716"/>
  <c r="AH796"/>
  <c r="AH800"/>
  <c r="AH798"/>
  <c r="AH760"/>
  <c r="AH764"/>
  <c r="AH766"/>
  <c r="AH768"/>
  <c r="AH759"/>
  <c r="AH763"/>
  <c r="AH765"/>
  <c r="AH767"/>
  <c r="AG789"/>
  <c r="AG774" s="1"/>
  <c r="AG70" s="1"/>
  <c r="AG61"/>
  <c r="AH727"/>
  <c r="AH33"/>
  <c r="AH35" s="1"/>
  <c r="AH37" s="1"/>
  <c r="AH39" s="1"/>
  <c r="AH617"/>
  <c r="AH618" s="1"/>
  <c r="AH623"/>
  <c r="AH624" s="1"/>
  <c r="AH697"/>
  <c r="AH671"/>
  <c r="AH675"/>
  <c r="AH670"/>
  <c r="AH699"/>
  <c r="AH684"/>
  <c r="AH55" s="1"/>
  <c r="AH674"/>
  <c r="AH685" s="1"/>
  <c r="AH689" s="1"/>
  <c r="AG673"/>
  <c r="AI11"/>
  <c r="AH312"/>
  <c r="AH319" s="1"/>
  <c r="AH314"/>
  <c r="AH321" s="1"/>
  <c r="AH316"/>
  <c r="AH323" s="1"/>
  <c r="AH445"/>
  <c r="AH446"/>
  <c r="AH447"/>
  <c r="AH448"/>
  <c r="AH449"/>
  <c r="AH450"/>
  <c r="AH690"/>
  <c r="AH313"/>
  <c r="AH320" s="1"/>
  <c r="AH311"/>
  <c r="AH315"/>
  <c r="AH322" s="1"/>
  <c r="AF117"/>
  <c r="AH19"/>
  <c r="AC47"/>
  <c r="AC238"/>
  <c r="AC202"/>
  <c r="AE116"/>
  <c r="V680"/>
  <c r="V80"/>
  <c r="V81" s="1"/>
  <c r="AH732"/>
  <c r="AH728"/>
  <c r="AH733"/>
  <c r="AH734"/>
  <c r="AH735"/>
  <c r="AH736"/>
  <c r="AE105"/>
  <c r="AE53"/>
  <c r="AG54"/>
  <c r="AG239"/>
  <c r="AG203"/>
  <c r="AG464"/>
  <c r="AH463"/>
  <c r="AH329"/>
  <c r="AH334"/>
  <c r="AH468" s="1"/>
  <c r="AH335"/>
  <c r="AH469" s="1"/>
  <c r="AH336"/>
  <c r="AH470" s="1"/>
  <c r="AH337"/>
  <c r="AH471" s="1"/>
  <c r="AH338"/>
  <c r="AH472" s="1"/>
  <c r="AH339"/>
  <c r="AH473" s="1"/>
  <c r="AH340"/>
  <c r="AH474" s="1"/>
  <c r="AH341"/>
  <c r="AH475" s="1"/>
  <c r="AH342"/>
  <c r="AH476" s="1"/>
  <c r="AH343"/>
  <c r="AH477" s="1"/>
  <c r="AG318"/>
  <c r="AG330"/>
  <c r="AG705"/>
  <c r="AH702" s="1"/>
  <c r="AG62"/>
  <c r="AH805"/>
  <c r="AH704"/>
  <c r="AG725"/>
  <c r="AG710" s="1"/>
  <c r="AG68" s="1"/>
  <c r="AE696"/>
  <c r="AF619"/>
  <c r="AF620" s="1"/>
  <c r="AF103" s="1"/>
  <c r="AF625"/>
  <c r="AF626" s="1"/>
  <c r="AF104" s="1"/>
  <c r="AH40"/>
  <c r="AH23"/>
  <c r="AH26"/>
  <c r="AH30"/>
  <c r="AG240"/>
  <c r="AG204"/>
  <c r="AE264"/>
  <c r="AE227"/>
  <c r="AD268"/>
  <c r="AD269" s="1"/>
  <c r="AE266"/>
  <c r="AE229"/>
  <c r="AD231"/>
  <c r="AD232" s="1"/>
  <c r="AE666"/>
  <c r="AF659"/>
  <c r="AF660" s="1"/>
  <c r="AF51" s="1"/>
  <c r="AF663"/>
  <c r="AF664" s="1"/>
  <c r="AF655"/>
  <c r="AF656" s="1"/>
  <c r="AF651"/>
  <c r="AF652" s="1"/>
  <c r="AH698"/>
  <c r="AH688"/>
  <c r="W683"/>
  <c r="AG10"/>
  <c r="AG12" s="1"/>
  <c r="AG27"/>
  <c r="AI2"/>
  <c r="AI205" s="1"/>
  <c r="AH25"/>
  <c r="AF29"/>
  <c r="AF31" s="1"/>
  <c r="AF41" s="1"/>
  <c r="Y142" i="10" l="1"/>
  <c r="Y154" s="1"/>
  <c r="Y80"/>
  <c r="Y81" s="1"/>
  <c r="Y95" s="1"/>
  <c r="X298"/>
  <c r="W101" i="8"/>
  <c r="Y280" i="10"/>
  <c r="Z74"/>
  <c r="Z76" s="1"/>
  <c r="Y216"/>
  <c r="Y244" s="1"/>
  <c r="AF49" i="2"/>
  <c r="AF14"/>
  <c r="Y123" i="10"/>
  <c r="X110"/>
  <c r="X123" s="1"/>
  <c r="AA50"/>
  <c r="AA275"/>
  <c r="AA293" s="1"/>
  <c r="AA109"/>
  <c r="X87" i="8"/>
  <c r="X88" s="1"/>
  <c r="X79"/>
  <c r="Y49"/>
  <c r="Y73" s="1"/>
  <c r="Y78" s="1"/>
  <c r="Z122" i="10"/>
  <c r="AC718"/>
  <c r="AC721" s="1"/>
  <c r="AB814"/>
  <c r="AC815" s="1"/>
  <c r="C122"/>
  <c r="AB49"/>
  <c r="X100" i="8"/>
  <c r="X101" s="1"/>
  <c r="Z770"/>
  <c r="AA771" s="1"/>
  <c r="AA674"/>
  <c r="AA677" s="1"/>
  <c r="Y98"/>
  <c r="Y240"/>
  <c r="Y241" s="1"/>
  <c r="Y269" s="1"/>
  <c r="Y270" s="1"/>
  <c r="Y99" s="1"/>
  <c r="Z238"/>
  <c r="Z48"/>
  <c r="Z203"/>
  <c r="Z205" s="1"/>
  <c r="Z233" s="1"/>
  <c r="Z234" s="1"/>
  <c r="G87"/>
  <c r="G79"/>
  <c r="C240"/>
  <c r="C241" s="1"/>
  <c r="C269" s="1"/>
  <c r="C270" s="1"/>
  <c r="C99" s="1"/>
  <c r="C98"/>
  <c r="G100"/>
  <c r="AE18" i="2"/>
  <c r="AE20" s="1"/>
  <c r="AE43" s="1"/>
  <c r="AE47" s="1"/>
  <c r="G107" i="7"/>
  <c r="D109"/>
  <c r="D110" s="1"/>
  <c r="F109"/>
  <c r="F110" s="1"/>
  <c r="X109"/>
  <c r="X110" s="1"/>
  <c r="Z109"/>
  <c r="Z110" s="1"/>
  <c r="AB109"/>
  <c r="AB110" s="1"/>
  <c r="AD109"/>
  <c r="AD110" s="1"/>
  <c r="AF109"/>
  <c r="AF110" s="1"/>
  <c r="E109"/>
  <c r="E110" s="1"/>
  <c r="W109"/>
  <c r="W110" s="1"/>
  <c r="Y109"/>
  <c r="Y110" s="1"/>
  <c r="AA109"/>
  <c r="AA110" s="1"/>
  <c r="AC109"/>
  <c r="AC110" s="1"/>
  <c r="AE109"/>
  <c r="AE110" s="1"/>
  <c r="G109"/>
  <c r="H604"/>
  <c r="G96"/>
  <c r="G88"/>
  <c r="B385"/>
  <c r="C167"/>
  <c r="B251"/>
  <c r="C131"/>
  <c r="C132" s="1"/>
  <c r="C160" s="1"/>
  <c r="C161" s="1"/>
  <c r="AK634"/>
  <c r="AK637" s="1"/>
  <c r="AJ730"/>
  <c r="AF15" i="2"/>
  <c r="AF50"/>
  <c r="AF228"/>
  <c r="AF265"/>
  <c r="AF17"/>
  <c r="AF52"/>
  <c r="AF230"/>
  <c r="AF267"/>
  <c r="AG325"/>
  <c r="AI393"/>
  <c r="AI528" s="1"/>
  <c r="AI392"/>
  <c r="AI527" s="1"/>
  <c r="AI391"/>
  <c r="AI526" s="1"/>
  <c r="AI389"/>
  <c r="AI524" s="1"/>
  <c r="AI387"/>
  <c r="AI522" s="1"/>
  <c r="AI394"/>
  <c r="AI529" s="1"/>
  <c r="AI390"/>
  <c r="AI525" s="1"/>
  <c r="AI388"/>
  <c r="AI523" s="1"/>
  <c r="AI386"/>
  <c r="AI521" s="1"/>
  <c r="AI385"/>
  <c r="AI520" s="1"/>
  <c r="AG71"/>
  <c r="AI359"/>
  <c r="AI494" s="1"/>
  <c r="AI360"/>
  <c r="AI495" s="1"/>
  <c r="AI361"/>
  <c r="AI496" s="1"/>
  <c r="AI362"/>
  <c r="AI497" s="1"/>
  <c r="AI363"/>
  <c r="AI498" s="1"/>
  <c r="AI364"/>
  <c r="AI499" s="1"/>
  <c r="AI365"/>
  <c r="AI500" s="1"/>
  <c r="AI366"/>
  <c r="AI501" s="1"/>
  <c r="AI367"/>
  <c r="AI502" s="1"/>
  <c r="AI368"/>
  <c r="AI503" s="1"/>
  <c r="AI5"/>
  <c r="AI788"/>
  <c r="AI786"/>
  <c r="AI784"/>
  <c r="AI782"/>
  <c r="AI780"/>
  <c r="AI756"/>
  <c r="AI754"/>
  <c r="AI787"/>
  <c r="AI785"/>
  <c r="AI783"/>
  <c r="AI781"/>
  <c r="AI779"/>
  <c r="AI755"/>
  <c r="AI752"/>
  <c r="AI750"/>
  <c r="AI748"/>
  <c r="AI724"/>
  <c r="AI722"/>
  <c r="AI720"/>
  <c r="AI718"/>
  <c r="AI716"/>
  <c r="AI796"/>
  <c r="AI798"/>
  <c r="AI751"/>
  <c r="AI747"/>
  <c r="AI723"/>
  <c r="AI719"/>
  <c r="AI753"/>
  <c r="AI749"/>
  <c r="AI721"/>
  <c r="AI717"/>
  <c r="AI794"/>
  <c r="AI797"/>
  <c r="AI715"/>
  <c r="AI791"/>
  <c r="AI799"/>
  <c r="AI759"/>
  <c r="AI763"/>
  <c r="AI765"/>
  <c r="AI767"/>
  <c r="AI795"/>
  <c r="AI800"/>
  <c r="AI760"/>
  <c r="AI764"/>
  <c r="AI766"/>
  <c r="AI768"/>
  <c r="AH757"/>
  <c r="AH742" s="1"/>
  <c r="AH69" s="1"/>
  <c r="AH789"/>
  <c r="AH774" s="1"/>
  <c r="AH70" s="1"/>
  <c r="AH61"/>
  <c r="AI727"/>
  <c r="AI33"/>
  <c r="AI35" s="1"/>
  <c r="AI37" s="1"/>
  <c r="AI39" s="1"/>
  <c r="AI617"/>
  <c r="AI618" s="1"/>
  <c r="AI623"/>
  <c r="AI624" s="1"/>
  <c r="AI699"/>
  <c r="AI684"/>
  <c r="AI55" s="1"/>
  <c r="AI674"/>
  <c r="AI685" s="1"/>
  <c r="AI689" s="1"/>
  <c r="AI697"/>
  <c r="AI671"/>
  <c r="AI675"/>
  <c r="AI670"/>
  <c r="AH673"/>
  <c r="AJ11"/>
  <c r="AI311"/>
  <c r="AI313"/>
  <c r="AI320" s="1"/>
  <c r="AI315"/>
  <c r="AI314"/>
  <c r="AI321" s="1"/>
  <c r="AI446"/>
  <c r="AI448"/>
  <c r="AI450"/>
  <c r="AI690"/>
  <c r="AI312"/>
  <c r="AI316"/>
  <c r="AI323" s="1"/>
  <c r="AI445"/>
  <c r="AI447"/>
  <c r="AI449"/>
  <c r="AI19"/>
  <c r="AG117"/>
  <c r="AD238"/>
  <c r="AD202"/>
  <c r="AF116"/>
  <c r="W680"/>
  <c r="W80"/>
  <c r="W81" s="1"/>
  <c r="AI728"/>
  <c r="AI730"/>
  <c r="AI733"/>
  <c r="AI734"/>
  <c r="AI735"/>
  <c r="AI736"/>
  <c r="AI732"/>
  <c r="AF105"/>
  <c r="AF53"/>
  <c r="AH54"/>
  <c r="AH239"/>
  <c r="AH203"/>
  <c r="AI463"/>
  <c r="AH464"/>
  <c r="AI329"/>
  <c r="AI334"/>
  <c r="AI468" s="1"/>
  <c r="AI335"/>
  <c r="AI469" s="1"/>
  <c r="AI336"/>
  <c r="AI470" s="1"/>
  <c r="AI337"/>
  <c r="AI471" s="1"/>
  <c r="AI338"/>
  <c r="AI472" s="1"/>
  <c r="AI339"/>
  <c r="AI473" s="1"/>
  <c r="AI340"/>
  <c r="AI474" s="1"/>
  <c r="AI341"/>
  <c r="AI475" s="1"/>
  <c r="AI342"/>
  <c r="AI476" s="1"/>
  <c r="AI343"/>
  <c r="AI477" s="1"/>
  <c r="AH318"/>
  <c r="AH325" s="1"/>
  <c r="AH330"/>
  <c r="AH705"/>
  <c r="AI702" s="1"/>
  <c r="AH62"/>
  <c r="AI805"/>
  <c r="AI704"/>
  <c r="AH725"/>
  <c r="AH710" s="1"/>
  <c r="AH68" s="1"/>
  <c r="AF696"/>
  <c r="AG619"/>
  <c r="AG620" s="1"/>
  <c r="AG103" s="1"/>
  <c r="AG625"/>
  <c r="AG626" s="1"/>
  <c r="AG104" s="1"/>
  <c r="AI322"/>
  <c r="AI23"/>
  <c r="AI26"/>
  <c r="AI30"/>
  <c r="AI40"/>
  <c r="AH240"/>
  <c r="AH204"/>
  <c r="AF264"/>
  <c r="AF227"/>
  <c r="AF266"/>
  <c r="AF229"/>
  <c r="AE268"/>
  <c r="AE269" s="1"/>
  <c r="AE231"/>
  <c r="AE232" s="1"/>
  <c r="AF666"/>
  <c r="AG663"/>
  <c r="AG664" s="1"/>
  <c r="AG655"/>
  <c r="AG656" s="1"/>
  <c r="AG651"/>
  <c r="AG652" s="1"/>
  <c r="AG659"/>
  <c r="AG660" s="1"/>
  <c r="AG51" s="1"/>
  <c r="AI688"/>
  <c r="AI698"/>
  <c r="AH27"/>
  <c r="X683"/>
  <c r="AG29"/>
  <c r="AG31" s="1"/>
  <c r="AG41" s="1"/>
  <c r="AJ2"/>
  <c r="AJ205" s="1"/>
  <c r="AI25"/>
  <c r="AH10"/>
  <c r="AH12" s="1"/>
  <c r="Z142" i="10" l="1"/>
  <c r="Z154" s="1"/>
  <c r="Z80"/>
  <c r="Z81" s="1"/>
  <c r="Z95" s="1"/>
  <c r="Y298"/>
  <c r="Z280"/>
  <c r="Z298" s="1"/>
  <c r="AA74"/>
  <c r="AA76" s="1"/>
  <c r="Z216"/>
  <c r="Z244" s="1"/>
  <c r="AG49" i="2"/>
  <c r="AG14"/>
  <c r="AA101" i="10"/>
  <c r="AA110"/>
  <c r="Z109"/>
  <c r="Z101"/>
  <c r="AB50"/>
  <c r="AB275"/>
  <c r="AB293" s="1"/>
  <c r="Y79" i="8"/>
  <c r="Y87"/>
  <c r="Y88" s="1"/>
  <c r="Z49"/>
  <c r="Z73" s="1"/>
  <c r="Z78" s="1"/>
  <c r="AA122" i="10"/>
  <c r="AC49"/>
  <c r="AA123"/>
  <c r="AD718"/>
  <c r="AD721" s="1"/>
  <c r="AC814"/>
  <c r="AD815" s="1"/>
  <c r="AA770" i="8"/>
  <c r="AB771" s="1"/>
  <c r="AB674"/>
  <c r="AB677" s="1"/>
  <c r="Z98"/>
  <c r="Z240"/>
  <c r="Z241" s="1"/>
  <c r="Z269" s="1"/>
  <c r="Z270" s="1"/>
  <c r="Z99" s="1"/>
  <c r="AA238"/>
  <c r="AA48"/>
  <c r="AA203"/>
  <c r="AA205" s="1"/>
  <c r="AA233" s="1"/>
  <c r="AA234" s="1"/>
  <c r="Y100"/>
  <c r="Y101" s="1"/>
  <c r="G88"/>
  <c r="G101" s="1"/>
  <c r="H205"/>
  <c r="H233" s="1"/>
  <c r="H234" s="1"/>
  <c r="C100"/>
  <c r="C101" s="1"/>
  <c r="AL634" i="7"/>
  <c r="AL637" s="1"/>
  <c r="AK730"/>
  <c r="G97"/>
  <c r="G110" s="1"/>
  <c r="C168"/>
  <c r="C169" s="1"/>
  <c r="C197" s="1"/>
  <c r="C198" s="1"/>
  <c r="C108" s="1"/>
  <c r="C107"/>
  <c r="H166"/>
  <c r="H130"/>
  <c r="H132" s="1"/>
  <c r="H160" s="1"/>
  <c r="H161" s="1"/>
  <c r="H55"/>
  <c r="H56" s="1"/>
  <c r="H609"/>
  <c r="AF18" i="2"/>
  <c r="AF20" s="1"/>
  <c r="AF43" s="1"/>
  <c r="AG17"/>
  <c r="AG52"/>
  <c r="AG230"/>
  <c r="AG267"/>
  <c r="AG15"/>
  <c r="AG50"/>
  <c r="AG53" s="1"/>
  <c r="AG228"/>
  <c r="AG265"/>
  <c r="AJ394"/>
  <c r="AJ529" s="1"/>
  <c r="AJ392"/>
  <c r="AJ527" s="1"/>
  <c r="AJ393"/>
  <c r="AJ528" s="1"/>
  <c r="AJ390"/>
  <c r="AJ525" s="1"/>
  <c r="AJ388"/>
  <c r="AJ523" s="1"/>
  <c r="AJ386"/>
  <c r="AJ521" s="1"/>
  <c r="AJ385"/>
  <c r="AJ520" s="1"/>
  <c r="AJ391"/>
  <c r="AJ526" s="1"/>
  <c r="AJ389"/>
  <c r="AJ524" s="1"/>
  <c r="AJ387"/>
  <c r="AJ522" s="1"/>
  <c r="AH71"/>
  <c r="AJ359"/>
  <c r="AJ494" s="1"/>
  <c r="AJ360"/>
  <c r="AJ495" s="1"/>
  <c r="AJ361"/>
  <c r="AJ496" s="1"/>
  <c r="AJ362"/>
  <c r="AJ497" s="1"/>
  <c r="AJ363"/>
  <c r="AJ498" s="1"/>
  <c r="AJ364"/>
  <c r="AJ499" s="1"/>
  <c r="AJ365"/>
  <c r="AJ500" s="1"/>
  <c r="AJ366"/>
  <c r="AJ501" s="1"/>
  <c r="AJ367"/>
  <c r="AJ502" s="1"/>
  <c r="AJ368"/>
  <c r="AJ503" s="1"/>
  <c r="AI319"/>
  <c r="AJ5"/>
  <c r="AJ787"/>
  <c r="AJ785"/>
  <c r="AJ783"/>
  <c r="AJ781"/>
  <c r="AJ779"/>
  <c r="AJ755"/>
  <c r="AJ788"/>
  <c r="AJ786"/>
  <c r="AJ784"/>
  <c r="AJ782"/>
  <c r="AJ780"/>
  <c r="AJ756"/>
  <c r="AJ754"/>
  <c r="AJ753"/>
  <c r="AJ751"/>
  <c r="AJ749"/>
  <c r="AJ747"/>
  <c r="AJ723"/>
  <c r="AJ721"/>
  <c r="AJ719"/>
  <c r="AJ717"/>
  <c r="AJ715"/>
  <c r="AJ791"/>
  <c r="AJ794"/>
  <c r="AJ795"/>
  <c r="AJ797"/>
  <c r="AJ799"/>
  <c r="AJ752"/>
  <c r="AJ748"/>
  <c r="AJ724"/>
  <c r="AJ720"/>
  <c r="AJ750"/>
  <c r="AJ722"/>
  <c r="AJ718"/>
  <c r="AJ798"/>
  <c r="AJ716"/>
  <c r="AJ800"/>
  <c r="AJ760"/>
  <c r="AJ764"/>
  <c r="AJ766"/>
  <c r="AJ796"/>
  <c r="AJ759"/>
  <c r="AJ763"/>
  <c r="AJ765"/>
  <c r="AJ767"/>
  <c r="AJ768"/>
  <c r="AI757"/>
  <c r="AI742" s="1"/>
  <c r="AI69" s="1"/>
  <c r="AI789"/>
  <c r="AI774" s="1"/>
  <c r="AI70" s="1"/>
  <c r="AI61"/>
  <c r="AJ727"/>
  <c r="AJ33"/>
  <c r="AJ35" s="1"/>
  <c r="AJ37" s="1"/>
  <c r="AJ39" s="1"/>
  <c r="AJ617"/>
  <c r="AJ618" s="1"/>
  <c r="AJ623"/>
  <c r="AJ624" s="1"/>
  <c r="AJ697"/>
  <c r="AJ671"/>
  <c r="AJ675"/>
  <c r="AJ670"/>
  <c r="AJ699"/>
  <c r="AJ684"/>
  <c r="AJ55" s="1"/>
  <c r="AJ674"/>
  <c r="AJ685" s="1"/>
  <c r="AJ689" s="1"/>
  <c r="AI673"/>
  <c r="AK11"/>
  <c r="AJ312"/>
  <c r="AJ314"/>
  <c r="AJ321" s="1"/>
  <c r="AJ316"/>
  <c r="AJ323" s="1"/>
  <c r="AJ445"/>
  <c r="AJ446"/>
  <c r="AJ447"/>
  <c r="AJ448"/>
  <c r="AJ449"/>
  <c r="AJ450"/>
  <c r="AJ690"/>
  <c r="AJ311"/>
  <c r="AJ315"/>
  <c r="AJ322" s="1"/>
  <c r="AJ313"/>
  <c r="AJ320" s="1"/>
  <c r="AH117"/>
  <c r="AJ19"/>
  <c r="AE202"/>
  <c r="AG116"/>
  <c r="AE238"/>
  <c r="X680"/>
  <c r="X80"/>
  <c r="X81" s="1"/>
  <c r="AJ732"/>
  <c r="AJ728"/>
  <c r="AJ730"/>
  <c r="AJ733"/>
  <c r="AJ734"/>
  <c r="AJ735"/>
  <c r="AJ736"/>
  <c r="AG105"/>
  <c r="AI54"/>
  <c r="AI239"/>
  <c r="AI203"/>
  <c r="AJ463"/>
  <c r="AI464"/>
  <c r="AJ329"/>
  <c r="AJ334"/>
  <c r="AJ468" s="1"/>
  <c r="AJ335"/>
  <c r="AJ469" s="1"/>
  <c r="AJ336"/>
  <c r="AJ470" s="1"/>
  <c r="AJ337"/>
  <c r="AJ471" s="1"/>
  <c r="AJ338"/>
  <c r="AJ472" s="1"/>
  <c r="AJ339"/>
  <c r="AJ473" s="1"/>
  <c r="AJ340"/>
  <c r="AJ474" s="1"/>
  <c r="AJ341"/>
  <c r="AJ475" s="1"/>
  <c r="AJ342"/>
  <c r="AJ476" s="1"/>
  <c r="AJ343"/>
  <c r="AJ477" s="1"/>
  <c r="AI318"/>
  <c r="AI330"/>
  <c r="AI705"/>
  <c r="AJ702" s="1"/>
  <c r="AI62"/>
  <c r="AJ805"/>
  <c r="AJ704"/>
  <c r="AI725"/>
  <c r="AI710" s="1"/>
  <c r="AI68" s="1"/>
  <c r="AG696"/>
  <c r="AH619"/>
  <c r="AH620" s="1"/>
  <c r="AH103" s="1"/>
  <c r="AH625"/>
  <c r="AH626" s="1"/>
  <c r="AH104" s="1"/>
  <c r="AJ40"/>
  <c r="AJ23"/>
  <c r="AJ26"/>
  <c r="AJ30"/>
  <c r="AI240"/>
  <c r="AI204"/>
  <c r="AG264"/>
  <c r="AG227"/>
  <c r="AF268"/>
  <c r="AF269" s="1"/>
  <c r="AG266"/>
  <c r="AG229"/>
  <c r="AF231"/>
  <c r="AF232" s="1"/>
  <c r="AG18"/>
  <c r="AG20" s="1"/>
  <c r="AG666"/>
  <c r="AH659"/>
  <c r="AH660" s="1"/>
  <c r="AH51" s="1"/>
  <c r="AH663"/>
  <c r="AH664" s="1"/>
  <c r="AH655"/>
  <c r="AH656" s="1"/>
  <c r="AH651"/>
  <c r="AH652" s="1"/>
  <c r="AJ698"/>
  <c r="AJ688"/>
  <c r="AI10"/>
  <c r="AI12" s="1"/>
  <c r="AI27"/>
  <c r="AK2"/>
  <c r="AK205" s="1"/>
  <c r="AJ25"/>
  <c r="AH29"/>
  <c r="AH31" s="1"/>
  <c r="AH41" s="1"/>
  <c r="AA142" i="10" l="1"/>
  <c r="AA154" s="1"/>
  <c r="AA80"/>
  <c r="AA81" s="1"/>
  <c r="AA95" s="1"/>
  <c r="AA280"/>
  <c r="AB74"/>
  <c r="AB76" s="1"/>
  <c r="AA216"/>
  <c r="AA244" s="1"/>
  <c r="AH49" i="2"/>
  <c r="AH14"/>
  <c r="Z110" i="10"/>
  <c r="Z123" s="1"/>
  <c r="AB101"/>
  <c r="AC50"/>
  <c r="AC74" s="1"/>
  <c r="AC76" s="1"/>
  <c r="AC80" s="1"/>
  <c r="AC81" s="1"/>
  <c r="AC95" s="1"/>
  <c r="AC275"/>
  <c r="AC293" s="1"/>
  <c r="Z87" i="8"/>
  <c r="Z88" s="1"/>
  <c r="Z79"/>
  <c r="AA49"/>
  <c r="AA73" s="1"/>
  <c r="AA78" s="1"/>
  <c r="AE718" i="10"/>
  <c r="AE721" s="1"/>
  <c r="AD814"/>
  <c r="AE815" s="1"/>
  <c r="AB122"/>
  <c r="AD49"/>
  <c r="AB770" i="8"/>
  <c r="AC771" s="1"/>
  <c r="AC674"/>
  <c r="AC677" s="1"/>
  <c r="AA98"/>
  <c r="AA240"/>
  <c r="AA241" s="1"/>
  <c r="AA269" s="1"/>
  <c r="AA270" s="1"/>
  <c r="AA99" s="1"/>
  <c r="AB203"/>
  <c r="AB205" s="1"/>
  <c r="AB233" s="1"/>
  <c r="AB234" s="1"/>
  <c r="AB238"/>
  <c r="AB48"/>
  <c r="Z100"/>
  <c r="Z101" s="1"/>
  <c r="H72"/>
  <c r="H240"/>
  <c r="H241" s="1"/>
  <c r="H269" s="1"/>
  <c r="H270" s="1"/>
  <c r="H99" s="1"/>
  <c r="H98"/>
  <c r="H73"/>
  <c r="H78" s="1"/>
  <c r="H606" i="7"/>
  <c r="H607" s="1"/>
  <c r="I610" s="1"/>
  <c r="H80"/>
  <c r="H81" s="1"/>
  <c r="H82" s="1"/>
  <c r="H87" s="1"/>
  <c r="AM634"/>
  <c r="AM637" s="1"/>
  <c r="AL730"/>
  <c r="H168"/>
  <c r="H169" s="1"/>
  <c r="H197" s="1"/>
  <c r="H198" s="1"/>
  <c r="H108" s="1"/>
  <c r="H107"/>
  <c r="C109"/>
  <c r="C110" s="1"/>
  <c r="AH17" i="2"/>
  <c r="AH52"/>
  <c r="AH230"/>
  <c r="AH267"/>
  <c r="AH15"/>
  <c r="AH18" s="1"/>
  <c r="AH20" s="1"/>
  <c r="AH50"/>
  <c r="AH228"/>
  <c r="AH265"/>
  <c r="AI71"/>
  <c r="AI325"/>
  <c r="AK393"/>
  <c r="AK528" s="1"/>
  <c r="AK394"/>
  <c r="AK529" s="1"/>
  <c r="AK391"/>
  <c r="AK526" s="1"/>
  <c r="AK389"/>
  <c r="AK524" s="1"/>
  <c r="AK387"/>
  <c r="AK522" s="1"/>
  <c r="AK392"/>
  <c r="AK527" s="1"/>
  <c r="AK390"/>
  <c r="AK525" s="1"/>
  <c r="AK388"/>
  <c r="AK523" s="1"/>
  <c r="AK386"/>
  <c r="AK521" s="1"/>
  <c r="AK385"/>
  <c r="AK520" s="1"/>
  <c r="AK359"/>
  <c r="AK494" s="1"/>
  <c r="AK360"/>
  <c r="AK495" s="1"/>
  <c r="AK361"/>
  <c r="AK496" s="1"/>
  <c r="AK362"/>
  <c r="AK497" s="1"/>
  <c r="AK363"/>
  <c r="AK498" s="1"/>
  <c r="AK364"/>
  <c r="AK499" s="1"/>
  <c r="AK365"/>
  <c r="AK500" s="1"/>
  <c r="AK366"/>
  <c r="AK501" s="1"/>
  <c r="AK367"/>
  <c r="AK502" s="1"/>
  <c r="AK368"/>
  <c r="AK503" s="1"/>
  <c r="AJ319"/>
  <c r="AK5"/>
  <c r="AK788"/>
  <c r="AK786"/>
  <c r="AK784"/>
  <c r="AK782"/>
  <c r="AK780"/>
  <c r="AK756"/>
  <c r="AK754"/>
  <c r="AK787"/>
  <c r="AK785"/>
  <c r="AK783"/>
  <c r="AK781"/>
  <c r="AK779"/>
  <c r="AK755"/>
  <c r="AK752"/>
  <c r="AK750"/>
  <c r="AK748"/>
  <c r="AK724"/>
  <c r="AK722"/>
  <c r="AK720"/>
  <c r="AK718"/>
  <c r="AK716"/>
  <c r="AK796"/>
  <c r="AK798"/>
  <c r="AK753"/>
  <c r="AK749"/>
  <c r="AK721"/>
  <c r="AK717"/>
  <c r="AK751"/>
  <c r="AK747"/>
  <c r="AK723"/>
  <c r="AK719"/>
  <c r="AK715"/>
  <c r="AK791"/>
  <c r="AK795"/>
  <c r="AK799"/>
  <c r="AK794"/>
  <c r="AK759"/>
  <c r="AK763"/>
  <c r="AK765"/>
  <c r="AK767"/>
  <c r="AK797"/>
  <c r="AK800"/>
  <c r="AK760"/>
  <c r="AK764"/>
  <c r="AK766"/>
  <c r="AK768"/>
  <c r="AJ757"/>
  <c r="AJ742" s="1"/>
  <c r="AJ69" s="1"/>
  <c r="AJ789"/>
  <c r="AJ774" s="1"/>
  <c r="AJ70" s="1"/>
  <c r="AJ61"/>
  <c r="AK727"/>
  <c r="AK33"/>
  <c r="AK35" s="1"/>
  <c r="AK37" s="1"/>
  <c r="AK39" s="1"/>
  <c r="AK617"/>
  <c r="AK618" s="1"/>
  <c r="AK623"/>
  <c r="AK624" s="1"/>
  <c r="AK699"/>
  <c r="AK684"/>
  <c r="AK55" s="1"/>
  <c r="AK674"/>
  <c r="AK685" s="1"/>
  <c r="AK689" s="1"/>
  <c r="AK697"/>
  <c r="AK671"/>
  <c r="AK675"/>
  <c r="AK670"/>
  <c r="AJ673"/>
  <c r="AL11"/>
  <c r="AK311"/>
  <c r="AK313"/>
  <c r="AK320" s="1"/>
  <c r="AK315"/>
  <c r="AK322" s="1"/>
  <c r="AK312"/>
  <c r="AK319" s="1"/>
  <c r="AK316"/>
  <c r="AK323" s="1"/>
  <c r="AK445"/>
  <c r="AK447"/>
  <c r="AK449"/>
  <c r="AK314"/>
  <c r="AK321" s="1"/>
  <c r="AK446"/>
  <c r="AK448"/>
  <c r="AK450"/>
  <c r="AK690"/>
  <c r="AK19"/>
  <c r="AI117"/>
  <c r="AF47"/>
  <c r="AF202"/>
  <c r="AF238"/>
  <c r="AH116"/>
  <c r="AG43"/>
  <c r="AK728"/>
  <c r="AK730"/>
  <c r="AK733"/>
  <c r="AK734"/>
  <c r="AK735"/>
  <c r="AK736"/>
  <c r="AK732"/>
  <c r="AH105"/>
  <c r="AJ54"/>
  <c r="AJ239"/>
  <c r="AJ203"/>
  <c r="AK463"/>
  <c r="AJ464"/>
  <c r="AK329"/>
  <c r="AK334"/>
  <c r="AK468" s="1"/>
  <c r="AK335"/>
  <c r="AK469" s="1"/>
  <c r="AK336"/>
  <c r="AK470" s="1"/>
  <c r="AK337"/>
  <c r="AK471" s="1"/>
  <c r="AK338"/>
  <c r="AK472" s="1"/>
  <c r="AK339"/>
  <c r="AK473" s="1"/>
  <c r="AK340"/>
  <c r="AK474" s="1"/>
  <c r="AK341"/>
  <c r="AK475" s="1"/>
  <c r="AK342"/>
  <c r="AK476" s="1"/>
  <c r="AK343"/>
  <c r="AK477" s="1"/>
  <c r="AJ318"/>
  <c r="AJ330"/>
  <c r="AJ705"/>
  <c r="AK702" s="1"/>
  <c r="AJ62"/>
  <c r="AK805"/>
  <c r="AK704"/>
  <c r="AJ725"/>
  <c r="AJ710" s="1"/>
  <c r="AJ68" s="1"/>
  <c r="AH696"/>
  <c r="AI619"/>
  <c r="AI620" s="1"/>
  <c r="AI103" s="1"/>
  <c r="AI625"/>
  <c r="AI626" s="1"/>
  <c r="AI104" s="1"/>
  <c r="AK23"/>
  <c r="AK26"/>
  <c r="AK30"/>
  <c r="AK40"/>
  <c r="AJ240"/>
  <c r="AJ204"/>
  <c r="AH264"/>
  <c r="AH227"/>
  <c r="AH266"/>
  <c r="AH229"/>
  <c r="AG268"/>
  <c r="AG269" s="1"/>
  <c r="AG231"/>
  <c r="AG232" s="1"/>
  <c r="AH666"/>
  <c r="AI663"/>
  <c r="AI664" s="1"/>
  <c r="AI655"/>
  <c r="AI656" s="1"/>
  <c r="AI651"/>
  <c r="AI652" s="1"/>
  <c r="AI659"/>
  <c r="AI660" s="1"/>
  <c r="AI51" s="1"/>
  <c r="AK688"/>
  <c r="AK698"/>
  <c r="Y683"/>
  <c r="AI29"/>
  <c r="AI31" s="1"/>
  <c r="AI41" s="1"/>
  <c r="AJ27"/>
  <c r="AL2"/>
  <c r="AL205" s="1"/>
  <c r="AK25"/>
  <c r="AJ10"/>
  <c r="AJ12" s="1"/>
  <c r="AB142" i="10" l="1"/>
  <c r="AB154" s="1"/>
  <c r="AB80"/>
  <c r="AB81" s="1"/>
  <c r="AB95" s="1"/>
  <c r="AH53" i="2"/>
  <c r="AA298" i="10"/>
  <c r="AB280"/>
  <c r="AB216"/>
  <c r="AB244" s="1"/>
  <c r="AI49" i="2"/>
  <c r="AI14"/>
  <c r="AC101" i="10"/>
  <c r="AC142"/>
  <c r="AC154" s="1"/>
  <c r="AB109"/>
  <c r="AB110" s="1"/>
  <c r="AB123" s="1"/>
  <c r="AC280"/>
  <c r="AC216"/>
  <c r="AC244" s="1"/>
  <c r="AD50"/>
  <c r="AD275"/>
  <c r="AD293" s="1"/>
  <c r="AD101"/>
  <c r="AA87" i="8"/>
  <c r="AA88" s="1"/>
  <c r="AA79"/>
  <c r="AC122" i="10"/>
  <c r="AE49"/>
  <c r="AB49" i="8"/>
  <c r="AB73" s="1"/>
  <c r="AB78" s="1"/>
  <c r="AD109" i="10"/>
  <c r="AF718"/>
  <c r="AF721" s="1"/>
  <c r="AE814"/>
  <c r="AF815" s="1"/>
  <c r="AC770" i="8"/>
  <c r="AD771" s="1"/>
  <c r="AD674"/>
  <c r="AD677" s="1"/>
  <c r="AB98"/>
  <c r="AB240"/>
  <c r="AB241" s="1"/>
  <c r="AB269" s="1"/>
  <c r="AB270" s="1"/>
  <c r="AB99" s="1"/>
  <c r="AC238"/>
  <c r="AC48"/>
  <c r="AC203"/>
  <c r="AC205" s="1"/>
  <c r="AC233" s="1"/>
  <c r="AC234" s="1"/>
  <c r="AA100"/>
  <c r="H87"/>
  <c r="H79"/>
  <c r="H100"/>
  <c r="H109" i="7"/>
  <c r="AN634"/>
  <c r="AN637" s="1"/>
  <c r="AM730"/>
  <c r="I604"/>
  <c r="H96"/>
  <c r="H88"/>
  <c r="AI15" i="2"/>
  <c r="AI50"/>
  <c r="AI228"/>
  <c r="AI265"/>
  <c r="AI17"/>
  <c r="AI52"/>
  <c r="AI230"/>
  <c r="AI267"/>
  <c r="AJ325"/>
  <c r="AJ71"/>
  <c r="AL394"/>
  <c r="AL529" s="1"/>
  <c r="AL392"/>
  <c r="AL527" s="1"/>
  <c r="AL390"/>
  <c r="AL525" s="1"/>
  <c r="AL388"/>
  <c r="AL523" s="1"/>
  <c r="AL386"/>
  <c r="AL521" s="1"/>
  <c r="AL385"/>
  <c r="AL520" s="1"/>
  <c r="AL393"/>
  <c r="AL528" s="1"/>
  <c r="AL391"/>
  <c r="AL526" s="1"/>
  <c r="AL389"/>
  <c r="AL524" s="1"/>
  <c r="AL387"/>
  <c r="AL522" s="1"/>
  <c r="AL359"/>
  <c r="AL494" s="1"/>
  <c r="AL360"/>
  <c r="AL495" s="1"/>
  <c r="AL361"/>
  <c r="AL496" s="1"/>
  <c r="AL362"/>
  <c r="AL497" s="1"/>
  <c r="AL363"/>
  <c r="AL498" s="1"/>
  <c r="AL364"/>
  <c r="AL499" s="1"/>
  <c r="AL365"/>
  <c r="AL500" s="1"/>
  <c r="AL366"/>
  <c r="AL501" s="1"/>
  <c r="AL367"/>
  <c r="AL502" s="1"/>
  <c r="AL368"/>
  <c r="AL503" s="1"/>
  <c r="AL5"/>
  <c r="AL787"/>
  <c r="AL785"/>
  <c r="AL783"/>
  <c r="AL781"/>
  <c r="AL779"/>
  <c r="AL755"/>
  <c r="AL788"/>
  <c r="AL786"/>
  <c r="AL784"/>
  <c r="AL782"/>
  <c r="AL780"/>
  <c r="AL756"/>
  <c r="AL754"/>
  <c r="AL753"/>
  <c r="AL751"/>
  <c r="AL749"/>
  <c r="AL747"/>
  <c r="AL723"/>
  <c r="AL721"/>
  <c r="AL719"/>
  <c r="AL717"/>
  <c r="AL715"/>
  <c r="AL791"/>
  <c r="AL794"/>
  <c r="AL795"/>
  <c r="AL797"/>
  <c r="AL799"/>
  <c r="AL750"/>
  <c r="AL722"/>
  <c r="AL718"/>
  <c r="AL752"/>
  <c r="AL748"/>
  <c r="AL724"/>
  <c r="AL720"/>
  <c r="AL716"/>
  <c r="AL796"/>
  <c r="AL800"/>
  <c r="AL760"/>
  <c r="AL764"/>
  <c r="AL766"/>
  <c r="AL798"/>
  <c r="AL759"/>
  <c r="AL763"/>
  <c r="AL765"/>
  <c r="AL767"/>
  <c r="AL768"/>
  <c r="AK757"/>
  <c r="AK742" s="1"/>
  <c r="AK69" s="1"/>
  <c r="AK789"/>
  <c r="AK774" s="1"/>
  <c r="AK70" s="1"/>
  <c r="AK61"/>
  <c r="AL727"/>
  <c r="AL33"/>
  <c r="AL35" s="1"/>
  <c r="AL37" s="1"/>
  <c r="AL39" s="1"/>
  <c r="AL617"/>
  <c r="AL618" s="1"/>
  <c r="AL623"/>
  <c r="AL624" s="1"/>
  <c r="AL697"/>
  <c r="AL671"/>
  <c r="AL675"/>
  <c r="AL670"/>
  <c r="AL699"/>
  <c r="AL684"/>
  <c r="AL55" s="1"/>
  <c r="AL674"/>
  <c r="AL685" s="1"/>
  <c r="AL689" s="1"/>
  <c r="AK673"/>
  <c r="AM11"/>
  <c r="AL312"/>
  <c r="AL314"/>
  <c r="AL321" s="1"/>
  <c r="AL316"/>
  <c r="AL323" s="1"/>
  <c r="AL445"/>
  <c r="AL446"/>
  <c r="AL447"/>
  <c r="AL448"/>
  <c r="AL449"/>
  <c r="AL450"/>
  <c r="AL690"/>
  <c r="AL313"/>
  <c r="AL320" s="1"/>
  <c r="AL311"/>
  <c r="AL315"/>
  <c r="AL322" s="1"/>
  <c r="AJ117"/>
  <c r="AL19"/>
  <c r="AG47"/>
  <c r="AG56" s="1"/>
  <c r="AG238"/>
  <c r="AG202"/>
  <c r="AG206" s="1"/>
  <c r="AG234" s="1"/>
  <c r="AG235" s="1"/>
  <c r="AG107" s="1"/>
  <c r="AI116"/>
  <c r="AH43"/>
  <c r="AH47" s="1"/>
  <c r="AH56" s="1"/>
  <c r="Y680"/>
  <c r="Y80"/>
  <c r="Y81" s="1"/>
  <c r="AL728"/>
  <c r="AL730"/>
  <c r="AL733"/>
  <c r="AL734"/>
  <c r="AL735"/>
  <c r="AL736"/>
  <c r="AI105"/>
  <c r="AI53"/>
  <c r="AK54"/>
  <c r="AK239"/>
  <c r="AK203"/>
  <c r="AL463"/>
  <c r="AK464"/>
  <c r="AL329"/>
  <c r="AL334"/>
  <c r="AL468" s="1"/>
  <c r="AL335"/>
  <c r="AL469" s="1"/>
  <c r="AL336"/>
  <c r="AL470" s="1"/>
  <c r="AL337"/>
  <c r="AL471" s="1"/>
  <c r="AL338"/>
  <c r="AL472" s="1"/>
  <c r="AL339"/>
  <c r="AL473" s="1"/>
  <c r="AL340"/>
  <c r="AL474" s="1"/>
  <c r="AL341"/>
  <c r="AL475" s="1"/>
  <c r="AL342"/>
  <c r="AL476" s="1"/>
  <c r="AL343"/>
  <c r="AL477" s="1"/>
  <c r="AK318"/>
  <c r="AK325" s="1"/>
  <c r="AK330"/>
  <c r="AK705"/>
  <c r="AL702" s="1"/>
  <c r="AK62"/>
  <c r="AL805"/>
  <c r="AL704"/>
  <c r="AK725"/>
  <c r="AK710" s="1"/>
  <c r="AK68" s="1"/>
  <c r="AI696"/>
  <c r="AJ619"/>
  <c r="AJ620" s="1"/>
  <c r="AJ103" s="1"/>
  <c r="AJ625"/>
  <c r="AJ626" s="1"/>
  <c r="AJ104" s="1"/>
  <c r="AL40"/>
  <c r="AL23"/>
  <c r="AL26"/>
  <c r="AL30"/>
  <c r="AK240"/>
  <c r="AK204"/>
  <c r="AI264"/>
  <c r="AI227"/>
  <c r="AH268"/>
  <c r="AH269" s="1"/>
  <c r="AI266"/>
  <c r="AI229"/>
  <c r="AH231"/>
  <c r="AH232" s="1"/>
  <c r="AI18"/>
  <c r="AI20" s="1"/>
  <c r="AI666"/>
  <c r="AJ659"/>
  <c r="AJ660" s="1"/>
  <c r="AJ51" s="1"/>
  <c r="AJ663"/>
  <c r="AJ664" s="1"/>
  <c r="AJ655"/>
  <c r="AJ656" s="1"/>
  <c r="AJ651"/>
  <c r="AJ652" s="1"/>
  <c r="AL698"/>
  <c r="AL688"/>
  <c r="AK27"/>
  <c r="AK10"/>
  <c r="AK12" s="1"/>
  <c r="AM2"/>
  <c r="AM205" s="1"/>
  <c r="AL25"/>
  <c r="AJ29"/>
  <c r="AJ31" s="1"/>
  <c r="AJ41" s="1"/>
  <c r="AB298" i="10" l="1"/>
  <c r="AD74"/>
  <c r="AD76" s="1"/>
  <c r="AK71" i="2"/>
  <c r="AJ49"/>
  <c r="AJ14"/>
  <c r="AA101" i="8"/>
  <c r="AC109" i="10"/>
  <c r="AC110" s="1"/>
  <c r="AC123" s="1"/>
  <c r="AC298"/>
  <c r="AD110"/>
  <c r="AE50"/>
  <c r="AE74" s="1"/>
  <c r="AE76" s="1"/>
  <c r="AE80" s="1"/>
  <c r="AE81" s="1"/>
  <c r="AE95" s="1"/>
  <c r="AE275"/>
  <c r="AE293" s="1"/>
  <c r="AB87" i="8"/>
  <c r="AB88" s="1"/>
  <c r="AB79"/>
  <c r="AF49" i="10"/>
  <c r="AC49" i="8"/>
  <c r="AC73" s="1"/>
  <c r="AC78" s="1"/>
  <c r="AG718" i="10"/>
  <c r="AG721" s="1"/>
  <c r="AF814"/>
  <c r="AD122"/>
  <c r="AD770" i="8"/>
  <c r="AE771" s="1"/>
  <c r="AE674"/>
  <c r="AE677" s="1"/>
  <c r="AC98"/>
  <c r="AC240"/>
  <c r="AC241" s="1"/>
  <c r="AC269" s="1"/>
  <c r="AC270" s="1"/>
  <c r="AC99" s="1"/>
  <c r="AD238"/>
  <c r="AD48"/>
  <c r="AD203"/>
  <c r="AD205" s="1"/>
  <c r="AD233" s="1"/>
  <c r="AD234" s="1"/>
  <c r="AB100"/>
  <c r="AB101" s="1"/>
  <c r="H88"/>
  <c r="H101" s="1"/>
  <c r="I205"/>
  <c r="I233" s="1"/>
  <c r="I234" s="1"/>
  <c r="I166" i="7"/>
  <c r="I130"/>
  <c r="I132" s="1"/>
  <c r="I160" s="1"/>
  <c r="I161" s="1"/>
  <c r="I55"/>
  <c r="I56" s="1"/>
  <c r="I609"/>
  <c r="H97"/>
  <c r="H110" s="1"/>
  <c r="AO634"/>
  <c r="AO637" s="1"/>
  <c r="AN730"/>
  <c r="AJ15" i="2"/>
  <c r="AJ50"/>
  <c r="AJ228"/>
  <c r="AJ265"/>
  <c r="AJ17"/>
  <c r="AJ52"/>
  <c r="AJ230"/>
  <c r="AJ267"/>
  <c r="AM393"/>
  <c r="AM528" s="1"/>
  <c r="AM392"/>
  <c r="AM527" s="1"/>
  <c r="AM391"/>
  <c r="AM526" s="1"/>
  <c r="AM389"/>
  <c r="AM524" s="1"/>
  <c r="AM387"/>
  <c r="AM522" s="1"/>
  <c r="AM394"/>
  <c r="AM529" s="1"/>
  <c r="AM390"/>
  <c r="AM525" s="1"/>
  <c r="AM388"/>
  <c r="AM523" s="1"/>
  <c r="AM386"/>
  <c r="AM521" s="1"/>
  <c r="AM385"/>
  <c r="AM520" s="1"/>
  <c r="AM359"/>
  <c r="AM494" s="1"/>
  <c r="AM360"/>
  <c r="AM495" s="1"/>
  <c r="AM361"/>
  <c r="AM496" s="1"/>
  <c r="AM362"/>
  <c r="AM497" s="1"/>
  <c r="AM363"/>
  <c r="AM498" s="1"/>
  <c r="AM364"/>
  <c r="AM499" s="1"/>
  <c r="AM365"/>
  <c r="AM500" s="1"/>
  <c r="AM366"/>
  <c r="AM501" s="1"/>
  <c r="AM367"/>
  <c r="AM502" s="1"/>
  <c r="AM368"/>
  <c r="AM503" s="1"/>
  <c r="AL319"/>
  <c r="AM5"/>
  <c r="AM788"/>
  <c r="AM786"/>
  <c r="AM784"/>
  <c r="AM782"/>
  <c r="AM780"/>
  <c r="AM756"/>
  <c r="AM754"/>
  <c r="AM787"/>
  <c r="AM785"/>
  <c r="AM783"/>
  <c r="AM781"/>
  <c r="AM779"/>
  <c r="AM755"/>
  <c r="AM752"/>
  <c r="AM750"/>
  <c r="AM748"/>
  <c r="AM724"/>
  <c r="AM722"/>
  <c r="AM720"/>
  <c r="AM718"/>
  <c r="AM716"/>
  <c r="AM796"/>
  <c r="AM798"/>
  <c r="AM751"/>
  <c r="AM747"/>
  <c r="AM723"/>
  <c r="AM719"/>
  <c r="AM753"/>
  <c r="AM749"/>
  <c r="AM721"/>
  <c r="AM717"/>
  <c r="AM794"/>
  <c r="AM797"/>
  <c r="AM795"/>
  <c r="AM759"/>
  <c r="AM763"/>
  <c r="AM765"/>
  <c r="AM767"/>
  <c r="AM715"/>
  <c r="AM791"/>
  <c r="AM799"/>
  <c r="AM800"/>
  <c r="AM760"/>
  <c r="AM764"/>
  <c r="AM766"/>
  <c r="AM768"/>
  <c r="AL757"/>
  <c r="AL742" s="1"/>
  <c r="AL69" s="1"/>
  <c r="AL789"/>
  <c r="AL774" s="1"/>
  <c r="AL70" s="1"/>
  <c r="AL61"/>
  <c r="AM727"/>
  <c r="AM33"/>
  <c r="AM35" s="1"/>
  <c r="AM37" s="1"/>
  <c r="AM39" s="1"/>
  <c r="AM617"/>
  <c r="AM618" s="1"/>
  <c r="AM623"/>
  <c r="AM699"/>
  <c r="AM684"/>
  <c r="AM55" s="1"/>
  <c r="AM674"/>
  <c r="AM685" s="1"/>
  <c r="AM689" s="1"/>
  <c r="AM697"/>
  <c r="AM671"/>
  <c r="AM675"/>
  <c r="AM670"/>
  <c r="AL673"/>
  <c r="AN11"/>
  <c r="AM311"/>
  <c r="AM313"/>
  <c r="AM320" s="1"/>
  <c r="AM315"/>
  <c r="AM322" s="1"/>
  <c r="AM314"/>
  <c r="AM321" s="1"/>
  <c r="AM446"/>
  <c r="AM448"/>
  <c r="AM450"/>
  <c r="AM690"/>
  <c r="AM312"/>
  <c r="AM316"/>
  <c r="AM323" s="1"/>
  <c r="AM445"/>
  <c r="AM447"/>
  <c r="AM449"/>
  <c r="AM19"/>
  <c r="AK117"/>
  <c r="AH238"/>
  <c r="AH202"/>
  <c r="AH206" s="1"/>
  <c r="AH234" s="1"/>
  <c r="AH235" s="1"/>
  <c r="AH107" s="1"/>
  <c r="AJ116"/>
  <c r="AI43"/>
  <c r="AI47" s="1"/>
  <c r="AI56" s="1"/>
  <c r="AM728"/>
  <c r="AM729"/>
  <c r="AM733"/>
  <c r="AM734"/>
  <c r="AM735"/>
  <c r="AM736"/>
  <c r="AJ105"/>
  <c r="AG242"/>
  <c r="AG243" s="1"/>
  <c r="AG271" s="1"/>
  <c r="AL54"/>
  <c r="AL239"/>
  <c r="AL203"/>
  <c r="AM463"/>
  <c r="AL464"/>
  <c r="AM329"/>
  <c r="AM334"/>
  <c r="AM468" s="1"/>
  <c r="AM335"/>
  <c r="AM469" s="1"/>
  <c r="AM336"/>
  <c r="AM470" s="1"/>
  <c r="AM337"/>
  <c r="AM471" s="1"/>
  <c r="AM338"/>
  <c r="AM472" s="1"/>
  <c r="AM339"/>
  <c r="AM473" s="1"/>
  <c r="AM340"/>
  <c r="AM474" s="1"/>
  <c r="AM341"/>
  <c r="AM475" s="1"/>
  <c r="AM342"/>
  <c r="AM476" s="1"/>
  <c r="AM343"/>
  <c r="AM477" s="1"/>
  <c r="AL318"/>
  <c r="AL330"/>
  <c r="AL705"/>
  <c r="AM702" s="1"/>
  <c r="AL62"/>
  <c r="AM805"/>
  <c r="AM704"/>
  <c r="AL725"/>
  <c r="AL710" s="1"/>
  <c r="AL68" s="1"/>
  <c r="AJ696"/>
  <c r="AM624"/>
  <c r="AK619"/>
  <c r="AK620" s="1"/>
  <c r="AK103" s="1"/>
  <c r="AK625"/>
  <c r="AK626" s="1"/>
  <c r="AK104" s="1"/>
  <c r="AM23"/>
  <c r="AM26"/>
  <c r="AM30"/>
  <c r="AM40"/>
  <c r="AL240"/>
  <c r="AL204"/>
  <c r="AI268"/>
  <c r="AI269" s="1"/>
  <c r="AJ264"/>
  <c r="AJ227"/>
  <c r="AJ266"/>
  <c r="AJ229"/>
  <c r="AI231"/>
  <c r="AI232" s="1"/>
  <c r="AJ666"/>
  <c r="AK663"/>
  <c r="AK664" s="1"/>
  <c r="AK655"/>
  <c r="AK656" s="1"/>
  <c r="AK651"/>
  <c r="AK652" s="1"/>
  <c r="AK659"/>
  <c r="AK660" s="1"/>
  <c r="AK51" s="1"/>
  <c r="AM688"/>
  <c r="AM698"/>
  <c r="AK29"/>
  <c r="AK31" s="1"/>
  <c r="AK41" s="1"/>
  <c r="Z683"/>
  <c r="AN2"/>
  <c r="AN205" s="1"/>
  <c r="AM25"/>
  <c r="AL27"/>
  <c r="AL10"/>
  <c r="AL12" s="1"/>
  <c r="AL325" l="1"/>
  <c r="AD142" i="10"/>
  <c r="AD154" s="1"/>
  <c r="AD80"/>
  <c r="AD81" s="1"/>
  <c r="AD95" s="1"/>
  <c r="AJ53" i="2"/>
  <c r="AD280" i="10"/>
  <c r="AD216"/>
  <c r="AD244" s="1"/>
  <c r="AK49" i="2"/>
  <c r="AK14"/>
  <c r="AE109" i="10"/>
  <c r="AE142"/>
  <c r="AE154" s="1"/>
  <c r="AD123"/>
  <c r="AE101"/>
  <c r="AE280"/>
  <c r="AE216"/>
  <c r="AE244" s="1"/>
  <c r="AF50"/>
  <c r="AF275"/>
  <c r="AF293" s="1"/>
  <c r="AJ18" i="2"/>
  <c r="AJ20" s="1"/>
  <c r="AJ43" s="1"/>
  <c r="AC79" i="8"/>
  <c r="AC87"/>
  <c r="AC88" s="1"/>
  <c r="AD49"/>
  <c r="AD73" s="1"/>
  <c r="AD78" s="1"/>
  <c r="AE122" i="10"/>
  <c r="AH718"/>
  <c r="AH721" s="1"/>
  <c r="AG814"/>
  <c r="AE770" i="8"/>
  <c r="AF771" s="1"/>
  <c r="AF674"/>
  <c r="AF677" s="1"/>
  <c r="AD98"/>
  <c r="AD240"/>
  <c r="AD241" s="1"/>
  <c r="AD269" s="1"/>
  <c r="AD270" s="1"/>
  <c r="AD99" s="1"/>
  <c r="AE238"/>
  <c r="AE48"/>
  <c r="AE203"/>
  <c r="AE205" s="1"/>
  <c r="AE233" s="1"/>
  <c r="AE234" s="1"/>
  <c r="AC100"/>
  <c r="I72"/>
  <c r="I73" s="1"/>
  <c r="I78" s="1"/>
  <c r="I240"/>
  <c r="I241" s="1"/>
  <c r="I269" s="1"/>
  <c r="I270" s="1"/>
  <c r="I99" s="1"/>
  <c r="I98"/>
  <c r="AP634" i="7"/>
  <c r="AP637" s="1"/>
  <c r="AP730" s="1"/>
  <c r="AO730"/>
  <c r="I606"/>
  <c r="I607" s="1"/>
  <c r="J610" s="1"/>
  <c r="I80"/>
  <c r="I81" s="1"/>
  <c r="I82" s="1"/>
  <c r="I87" s="1"/>
  <c r="I168"/>
  <c r="I169" s="1"/>
  <c r="I197" s="1"/>
  <c r="I198" s="1"/>
  <c r="I108" s="1"/>
  <c r="I107"/>
  <c r="AK15" i="2"/>
  <c r="AK50"/>
  <c r="AK228"/>
  <c r="AK265"/>
  <c r="AK17"/>
  <c r="AK52"/>
  <c r="AK230"/>
  <c r="AK267"/>
  <c r="AM61"/>
  <c r="AN394"/>
  <c r="AN529" s="1"/>
  <c r="AN392"/>
  <c r="AN527" s="1"/>
  <c r="AN393"/>
  <c r="AN528" s="1"/>
  <c r="AN390"/>
  <c r="AN525" s="1"/>
  <c r="AN388"/>
  <c r="AN523" s="1"/>
  <c r="AN386"/>
  <c r="AN521" s="1"/>
  <c r="AN385"/>
  <c r="AN520" s="1"/>
  <c r="AN391"/>
  <c r="AN526" s="1"/>
  <c r="AN389"/>
  <c r="AN524" s="1"/>
  <c r="AN387"/>
  <c r="AN522" s="1"/>
  <c r="AL71"/>
  <c r="AN359"/>
  <c r="AN494" s="1"/>
  <c r="AN360"/>
  <c r="AN495" s="1"/>
  <c r="AN361"/>
  <c r="AN496" s="1"/>
  <c r="AN362"/>
  <c r="AN497" s="1"/>
  <c r="AN363"/>
  <c r="AN498" s="1"/>
  <c r="AN364"/>
  <c r="AN499" s="1"/>
  <c r="AN365"/>
  <c r="AN500" s="1"/>
  <c r="AN366"/>
  <c r="AN501" s="1"/>
  <c r="AN367"/>
  <c r="AN502" s="1"/>
  <c r="AN368"/>
  <c r="AN503" s="1"/>
  <c r="AM319"/>
  <c r="AN5"/>
  <c r="AN787"/>
  <c r="AN785"/>
  <c r="AN783"/>
  <c r="AN781"/>
  <c r="AN779"/>
  <c r="AN755"/>
  <c r="AN788"/>
  <c r="AN786"/>
  <c r="AN784"/>
  <c r="AN782"/>
  <c r="AN780"/>
  <c r="AN756"/>
  <c r="AN754"/>
  <c r="AN753"/>
  <c r="AN751"/>
  <c r="AN749"/>
  <c r="AN747"/>
  <c r="AN723"/>
  <c r="AN721"/>
  <c r="AN719"/>
  <c r="AN717"/>
  <c r="AN715"/>
  <c r="AN791"/>
  <c r="AN794"/>
  <c r="AN795"/>
  <c r="AN797"/>
  <c r="AN799"/>
  <c r="AN752"/>
  <c r="AN748"/>
  <c r="AN724"/>
  <c r="AN720"/>
  <c r="AN750"/>
  <c r="AN722"/>
  <c r="AN718"/>
  <c r="AN798"/>
  <c r="AN796"/>
  <c r="AN800"/>
  <c r="AN760"/>
  <c r="AN764"/>
  <c r="AN766"/>
  <c r="AN768"/>
  <c r="AN716"/>
  <c r="AN759"/>
  <c r="AN763"/>
  <c r="AN765"/>
  <c r="AN767"/>
  <c r="AM757"/>
  <c r="AM742" s="1"/>
  <c r="AM69" s="1"/>
  <c r="AM789"/>
  <c r="AM774" s="1"/>
  <c r="AM70" s="1"/>
  <c r="AN727"/>
  <c r="AN33"/>
  <c r="AN35" s="1"/>
  <c r="AN37" s="1"/>
  <c r="AN39" s="1"/>
  <c r="AN617"/>
  <c r="AN618" s="1"/>
  <c r="AN623"/>
  <c r="AN624" s="1"/>
  <c r="AN697"/>
  <c r="AN671"/>
  <c r="AN675"/>
  <c r="AN670"/>
  <c r="AN699"/>
  <c r="AN684"/>
  <c r="AN55" s="1"/>
  <c r="AN674"/>
  <c r="AN685" s="1"/>
  <c r="AN689" s="1"/>
  <c r="AM673"/>
  <c r="AO11"/>
  <c r="AN312"/>
  <c r="AN314"/>
  <c r="AN321" s="1"/>
  <c r="AN316"/>
  <c r="AN323" s="1"/>
  <c r="AN445"/>
  <c r="AN446"/>
  <c r="AN447"/>
  <c r="AN448"/>
  <c r="AN449"/>
  <c r="AN450"/>
  <c r="AN690"/>
  <c r="AN311"/>
  <c r="AN315"/>
  <c r="AN322" s="1"/>
  <c r="AN313"/>
  <c r="AN320" s="1"/>
  <c r="AL117"/>
  <c r="AN19"/>
  <c r="AI202"/>
  <c r="AI206" s="1"/>
  <c r="AI234" s="1"/>
  <c r="AI235" s="1"/>
  <c r="AI107" s="1"/>
  <c r="AK116"/>
  <c r="AI238"/>
  <c r="Z680"/>
  <c r="Z80"/>
  <c r="Z81" s="1"/>
  <c r="AN728"/>
  <c r="AN729"/>
  <c r="AN733"/>
  <c r="AN734"/>
  <c r="AN735"/>
  <c r="AN736"/>
  <c r="AG272"/>
  <c r="AG108" s="1"/>
  <c r="AH242"/>
  <c r="AH243" s="1"/>
  <c r="AH271" s="1"/>
  <c r="AK105"/>
  <c r="AM54"/>
  <c r="AM239"/>
  <c r="AM203"/>
  <c r="AN463"/>
  <c r="AM464"/>
  <c r="AN329"/>
  <c r="AN334"/>
  <c r="AN468" s="1"/>
  <c r="AN335"/>
  <c r="AN469" s="1"/>
  <c r="AN336"/>
  <c r="AN470" s="1"/>
  <c r="AN337"/>
  <c r="AN471" s="1"/>
  <c r="AN338"/>
  <c r="AN472" s="1"/>
  <c r="AN339"/>
  <c r="AN473" s="1"/>
  <c r="AN340"/>
  <c r="AN474" s="1"/>
  <c r="AN341"/>
  <c r="AN475" s="1"/>
  <c r="AN342"/>
  <c r="AN476" s="1"/>
  <c r="AN343"/>
  <c r="AN477" s="1"/>
  <c r="AM318"/>
  <c r="AM330"/>
  <c r="AM705"/>
  <c r="AN702" s="1"/>
  <c r="AM62"/>
  <c r="AN805"/>
  <c r="AN704"/>
  <c r="AM725"/>
  <c r="AM710" s="1"/>
  <c r="AM68" s="1"/>
  <c r="AK696"/>
  <c r="AL619"/>
  <c r="AL620" s="1"/>
  <c r="AL103" s="1"/>
  <c r="AL625"/>
  <c r="AL626" s="1"/>
  <c r="AL104" s="1"/>
  <c r="AN40"/>
  <c r="AN23"/>
  <c r="AN26"/>
  <c r="AN30"/>
  <c r="AM240"/>
  <c r="AM204"/>
  <c r="AK266"/>
  <c r="AK229"/>
  <c r="AJ231"/>
  <c r="AJ232" s="1"/>
  <c r="AK264"/>
  <c r="AK227"/>
  <c r="AJ268"/>
  <c r="AJ269" s="1"/>
  <c r="AK666"/>
  <c r="AL659"/>
  <c r="AL660" s="1"/>
  <c r="AL51" s="1"/>
  <c r="AL663"/>
  <c r="AL664" s="1"/>
  <c r="AL655"/>
  <c r="AL656" s="1"/>
  <c r="AL651"/>
  <c r="AL652" s="1"/>
  <c r="AN698"/>
  <c r="AN688"/>
  <c r="AM10"/>
  <c r="AM12" s="1"/>
  <c r="AM27"/>
  <c r="AL29"/>
  <c r="AL31" s="1"/>
  <c r="AL41" s="1"/>
  <c r="AN25"/>
  <c r="AO2"/>
  <c r="AO205" s="1"/>
  <c r="AK18" l="1"/>
  <c r="AK20" s="1"/>
  <c r="AK43" s="1"/>
  <c r="AD298" i="10"/>
  <c r="AL49" i="2"/>
  <c r="AL14"/>
  <c r="AC101" i="8"/>
  <c r="AE298" i="10"/>
  <c r="AE110"/>
  <c r="AE123" s="1"/>
  <c r="AD87" i="8"/>
  <c r="AD88" s="1"/>
  <c r="AD79"/>
  <c r="AF122" i="10"/>
  <c r="AE49" i="8"/>
  <c r="AE73" s="1"/>
  <c r="AE78" s="1"/>
  <c r="AI718" i="10"/>
  <c r="AI721" s="1"/>
  <c r="AH814"/>
  <c r="AF770" i="8"/>
  <c r="AG674"/>
  <c r="AG677" s="1"/>
  <c r="AE98"/>
  <c r="AE240"/>
  <c r="AE241" s="1"/>
  <c r="AE269" s="1"/>
  <c r="AE270" s="1"/>
  <c r="AE99" s="1"/>
  <c r="AF238"/>
  <c r="AF48"/>
  <c r="AF203"/>
  <c r="AF205" s="1"/>
  <c r="AF233" s="1"/>
  <c r="AF234" s="1"/>
  <c r="AD100"/>
  <c r="I100"/>
  <c r="AK53" i="2"/>
  <c r="I87" i="8"/>
  <c r="I79"/>
  <c r="AM325" i="2"/>
  <c r="I96" i="7"/>
  <c r="I88"/>
  <c r="I109"/>
  <c r="J604"/>
  <c r="AL17" i="2"/>
  <c r="AL52"/>
  <c r="AL230"/>
  <c r="AL267"/>
  <c r="AL15"/>
  <c r="AL50"/>
  <c r="AL53" s="1"/>
  <c r="AL228"/>
  <c r="AL265"/>
  <c r="AM71"/>
  <c r="AO393"/>
  <c r="AO528" s="1"/>
  <c r="AO394"/>
  <c r="AO529" s="1"/>
  <c r="AO391"/>
  <c r="AO526" s="1"/>
  <c r="AO389"/>
  <c r="AO524" s="1"/>
  <c r="AO387"/>
  <c r="AO522" s="1"/>
  <c r="AO392"/>
  <c r="AO527" s="1"/>
  <c r="AO390"/>
  <c r="AO525" s="1"/>
  <c r="AO388"/>
  <c r="AO523" s="1"/>
  <c r="AO386"/>
  <c r="AO521" s="1"/>
  <c r="AO385"/>
  <c r="AO520" s="1"/>
  <c r="AO359"/>
  <c r="AO494" s="1"/>
  <c r="AO360"/>
  <c r="AO495" s="1"/>
  <c r="AO361"/>
  <c r="AO496" s="1"/>
  <c r="AO362"/>
  <c r="AO497" s="1"/>
  <c r="AO363"/>
  <c r="AO498" s="1"/>
  <c r="AO364"/>
  <c r="AO499" s="1"/>
  <c r="AO365"/>
  <c r="AO500" s="1"/>
  <c r="AO366"/>
  <c r="AO501" s="1"/>
  <c r="AO367"/>
  <c r="AO502" s="1"/>
  <c r="AO368"/>
  <c r="AO503" s="1"/>
  <c r="AN319"/>
  <c r="AO5"/>
  <c r="AO788"/>
  <c r="AO786"/>
  <c r="AO784"/>
  <c r="AO782"/>
  <c r="AO780"/>
  <c r="AO756"/>
  <c r="AO754"/>
  <c r="AO787"/>
  <c r="AO785"/>
  <c r="AO783"/>
  <c r="AO781"/>
  <c r="AO779"/>
  <c r="AO755"/>
  <c r="AO752"/>
  <c r="AO750"/>
  <c r="AO748"/>
  <c r="AO724"/>
  <c r="AO722"/>
  <c r="AO720"/>
  <c r="AO718"/>
  <c r="AO716"/>
  <c r="AO796"/>
  <c r="AO798"/>
  <c r="AO753"/>
  <c r="AO749"/>
  <c r="AO721"/>
  <c r="AO717"/>
  <c r="AO751"/>
  <c r="AO747"/>
  <c r="AO723"/>
  <c r="AO719"/>
  <c r="AO715"/>
  <c r="AO791"/>
  <c r="AO795"/>
  <c r="AO799"/>
  <c r="AO797"/>
  <c r="AO759"/>
  <c r="AO763"/>
  <c r="AO765"/>
  <c r="AO767"/>
  <c r="AO794"/>
  <c r="AO800"/>
  <c r="AO760"/>
  <c r="AO764"/>
  <c r="AO766"/>
  <c r="AO768"/>
  <c r="AN757"/>
  <c r="AN742" s="1"/>
  <c r="AN69" s="1"/>
  <c r="AN789"/>
  <c r="AN774" s="1"/>
  <c r="AN70" s="1"/>
  <c r="AN61"/>
  <c r="AO727"/>
  <c r="AO33"/>
  <c r="AO35" s="1"/>
  <c r="AO37" s="1"/>
  <c r="AO39" s="1"/>
  <c r="AO617"/>
  <c r="AO618" s="1"/>
  <c r="AO623"/>
  <c r="AO624" s="1"/>
  <c r="AO699"/>
  <c r="AO684"/>
  <c r="AO55" s="1"/>
  <c r="AO674"/>
  <c r="AO685" s="1"/>
  <c r="AO689" s="1"/>
  <c r="AO697"/>
  <c r="AO671"/>
  <c r="AO675"/>
  <c r="AO670"/>
  <c r="AN673"/>
  <c r="AP11"/>
  <c r="AO311"/>
  <c r="AO313"/>
  <c r="AO320" s="1"/>
  <c r="AO315"/>
  <c r="AO322" s="1"/>
  <c r="AO312"/>
  <c r="AO316"/>
  <c r="AO323" s="1"/>
  <c r="AO445"/>
  <c r="AO447"/>
  <c r="AO449"/>
  <c r="AO314"/>
  <c r="AO321" s="1"/>
  <c r="AO446"/>
  <c r="AO448"/>
  <c r="AO450"/>
  <c r="AO690"/>
  <c r="AO19"/>
  <c r="AM117"/>
  <c r="AK268"/>
  <c r="AK269" s="1"/>
  <c r="AJ47"/>
  <c r="AJ56" s="1"/>
  <c r="AJ202"/>
  <c r="AJ206" s="1"/>
  <c r="AJ234" s="1"/>
  <c r="AJ235" s="1"/>
  <c r="AJ107" s="1"/>
  <c r="AJ238"/>
  <c r="AL116"/>
  <c r="AG109"/>
  <c r="AO728"/>
  <c r="AO729"/>
  <c r="AO733"/>
  <c r="AO734"/>
  <c r="AO735"/>
  <c r="AO736"/>
  <c r="AH272"/>
  <c r="AH108" s="1"/>
  <c r="AK231"/>
  <c r="AK232" s="1"/>
  <c r="AL105"/>
  <c r="AI242"/>
  <c r="AI243" s="1"/>
  <c r="AI271" s="1"/>
  <c r="AN54"/>
  <c r="AN239"/>
  <c r="AN203"/>
  <c r="AO463"/>
  <c r="AN464"/>
  <c r="AO329"/>
  <c r="AO334"/>
  <c r="AO468" s="1"/>
  <c r="AO335"/>
  <c r="AO469" s="1"/>
  <c r="AO336"/>
  <c r="AO470" s="1"/>
  <c r="AO337"/>
  <c r="AO471" s="1"/>
  <c r="AO338"/>
  <c r="AO472" s="1"/>
  <c r="AO339"/>
  <c r="AO473" s="1"/>
  <c r="AO340"/>
  <c r="AO474" s="1"/>
  <c r="AO341"/>
  <c r="AO475" s="1"/>
  <c r="AO342"/>
  <c r="AO476" s="1"/>
  <c r="AO343"/>
  <c r="AO477" s="1"/>
  <c r="AN318"/>
  <c r="AN330"/>
  <c r="AN705"/>
  <c r="AO702" s="1"/>
  <c r="AN62"/>
  <c r="AO805"/>
  <c r="AO704"/>
  <c r="AN725"/>
  <c r="AN710" s="1"/>
  <c r="AN68" s="1"/>
  <c r="AL696"/>
  <c r="AM619"/>
  <c r="AM620" s="1"/>
  <c r="AM103" s="1"/>
  <c r="AM625"/>
  <c r="AM626" s="1"/>
  <c r="AM104" s="1"/>
  <c r="AO23"/>
  <c r="AO26"/>
  <c r="AO30"/>
  <c r="AO40"/>
  <c r="AN240"/>
  <c r="AN204"/>
  <c r="AL264"/>
  <c r="AL227"/>
  <c r="AL266"/>
  <c r="AL229"/>
  <c r="AL666"/>
  <c r="AM663"/>
  <c r="AM664" s="1"/>
  <c r="AM655"/>
  <c r="AM656" s="1"/>
  <c r="AM651"/>
  <c r="AM652" s="1"/>
  <c r="AM659"/>
  <c r="AM660" s="1"/>
  <c r="AM51" s="1"/>
  <c r="AO688"/>
  <c r="AO698"/>
  <c r="AA683"/>
  <c r="AM29"/>
  <c r="AM31" s="1"/>
  <c r="AM41" s="1"/>
  <c r="AN27"/>
  <c r="AP2"/>
  <c r="AP205" s="1"/>
  <c r="AO25"/>
  <c r="AN10"/>
  <c r="AN12" s="1"/>
  <c r="AL18" l="1"/>
  <c r="AL20" s="1"/>
  <c r="AL43" s="1"/>
  <c r="AM49"/>
  <c r="AM14"/>
  <c r="AD101" i="8"/>
  <c r="AE79"/>
  <c r="AE87"/>
  <c r="AE88" s="1"/>
  <c r="AF49"/>
  <c r="AF73" s="1"/>
  <c r="AF78" s="1"/>
  <c r="AJ718" i="10"/>
  <c r="AJ721" s="1"/>
  <c r="AI814"/>
  <c r="AG770" i="8"/>
  <c r="AH674"/>
  <c r="AH677" s="1"/>
  <c r="AF98"/>
  <c r="AF240"/>
  <c r="AF241" s="1"/>
  <c r="AF269" s="1"/>
  <c r="AF270" s="1"/>
  <c r="AF99" s="1"/>
  <c r="AE100"/>
  <c r="AE101" s="1"/>
  <c r="I88"/>
  <c r="I101" s="1"/>
  <c r="J205"/>
  <c r="J233" s="1"/>
  <c r="J234" s="1"/>
  <c r="J166" i="7"/>
  <c r="J130"/>
  <c r="J132" s="1"/>
  <c r="J160" s="1"/>
  <c r="J161" s="1"/>
  <c r="J55"/>
  <c r="J56" s="1"/>
  <c r="J609"/>
  <c r="I97"/>
  <c r="I110" s="1"/>
  <c r="AM17" i="2"/>
  <c r="AM52"/>
  <c r="AM230"/>
  <c r="AM267"/>
  <c r="AM15"/>
  <c r="AM50"/>
  <c r="AM228"/>
  <c r="AM265"/>
  <c r="AP394"/>
  <c r="AP529" s="1"/>
  <c r="AP392"/>
  <c r="AP527" s="1"/>
  <c r="AP390"/>
  <c r="AP525" s="1"/>
  <c r="AP388"/>
  <c r="AP523" s="1"/>
  <c r="AP386"/>
  <c r="AP521" s="1"/>
  <c r="AP385"/>
  <c r="AP520" s="1"/>
  <c r="AP393"/>
  <c r="AP528" s="1"/>
  <c r="AP391"/>
  <c r="AP526" s="1"/>
  <c r="AP389"/>
  <c r="AP524" s="1"/>
  <c r="AP387"/>
  <c r="AP522" s="1"/>
  <c r="AN71"/>
  <c r="AN325"/>
  <c r="AP359"/>
  <c r="AP494" s="1"/>
  <c r="AP360"/>
  <c r="AP495" s="1"/>
  <c r="AP361"/>
  <c r="AP496" s="1"/>
  <c r="AP362"/>
  <c r="AP497" s="1"/>
  <c r="AP363"/>
  <c r="AP498" s="1"/>
  <c r="AP364"/>
  <c r="AP499" s="1"/>
  <c r="AP365"/>
  <c r="AP500" s="1"/>
  <c r="AP366"/>
  <c r="AP501" s="1"/>
  <c r="AP367"/>
  <c r="AP502" s="1"/>
  <c r="AP368"/>
  <c r="AP503" s="1"/>
  <c r="AO319"/>
  <c r="AO789"/>
  <c r="AO774" s="1"/>
  <c r="AO70" s="1"/>
  <c r="AP5"/>
  <c r="AP787"/>
  <c r="B787" s="1"/>
  <c r="AP785"/>
  <c r="B785" s="1"/>
  <c r="AP783"/>
  <c r="B783" s="1"/>
  <c r="AP781"/>
  <c r="B781" s="1"/>
  <c r="AP779"/>
  <c r="AP755"/>
  <c r="B755" s="1"/>
  <c r="AP788"/>
  <c r="B788" s="1"/>
  <c r="AP786"/>
  <c r="B786" s="1"/>
  <c r="AP784"/>
  <c r="B784" s="1"/>
  <c r="AP782"/>
  <c r="B782" s="1"/>
  <c r="AP780"/>
  <c r="B780" s="1"/>
  <c r="AP756"/>
  <c r="B756" s="1"/>
  <c r="AP754"/>
  <c r="B754" s="1"/>
  <c r="AO513" s="1"/>
  <c r="AP753"/>
  <c r="B753" s="1"/>
  <c r="AP751"/>
  <c r="B751" s="1"/>
  <c r="AO510" s="1"/>
  <c r="AP749"/>
  <c r="B749" s="1"/>
  <c r="AP747"/>
  <c r="AP723"/>
  <c r="AP721"/>
  <c r="B721" s="1"/>
  <c r="AP719"/>
  <c r="B719" s="1"/>
  <c r="AP717"/>
  <c r="AP715"/>
  <c r="AP791"/>
  <c r="AP795"/>
  <c r="AP797"/>
  <c r="AP799"/>
  <c r="AP750"/>
  <c r="B750" s="1"/>
  <c r="AP722"/>
  <c r="AP718"/>
  <c r="B718" s="1"/>
  <c r="AP752"/>
  <c r="B752" s="1"/>
  <c r="AP748"/>
  <c r="B748" s="1"/>
  <c r="AP724"/>
  <c r="B724" s="1"/>
  <c r="AO489" s="1"/>
  <c r="AP720"/>
  <c r="B720" s="1"/>
  <c r="AP716"/>
  <c r="B716" s="1"/>
  <c r="AP796"/>
  <c r="AP798"/>
  <c r="AP800"/>
  <c r="AP760"/>
  <c r="AP764"/>
  <c r="B764" s="1"/>
  <c r="AP766"/>
  <c r="B766" s="1"/>
  <c r="AP759"/>
  <c r="AP761"/>
  <c r="AP763"/>
  <c r="B763" s="1"/>
  <c r="AP765"/>
  <c r="B765" s="1"/>
  <c r="AP767"/>
  <c r="B767" s="1"/>
  <c r="AP768"/>
  <c r="B768" s="1"/>
  <c r="AP762"/>
  <c r="AO757"/>
  <c r="AO742" s="1"/>
  <c r="AO69" s="1"/>
  <c r="AO61"/>
  <c r="AP727"/>
  <c r="AP33"/>
  <c r="AP35" s="1"/>
  <c r="AP37" s="1"/>
  <c r="AP39" s="1"/>
  <c r="AP617"/>
  <c r="AP618" s="1"/>
  <c r="AP623"/>
  <c r="AP624" s="1"/>
  <c r="AP697"/>
  <c r="AP671"/>
  <c r="AP675"/>
  <c r="B675" s="1"/>
  <c r="B679" s="1"/>
  <c r="AP670"/>
  <c r="AP699"/>
  <c r="AP684"/>
  <c r="AP55" s="1"/>
  <c r="AP674"/>
  <c r="AP685" s="1"/>
  <c r="B672"/>
  <c r="AO673"/>
  <c r="AP312"/>
  <c r="AP314"/>
  <c r="AP316"/>
  <c r="AP445"/>
  <c r="AP446"/>
  <c r="AP447"/>
  <c r="AP448"/>
  <c r="AP449"/>
  <c r="AP464" s="1"/>
  <c r="AP690"/>
  <c r="B692" s="1"/>
  <c r="AP313"/>
  <c r="AP311"/>
  <c r="AP315"/>
  <c r="AP450"/>
  <c r="AN117"/>
  <c r="AP19"/>
  <c r="AK47"/>
  <c r="AK56" s="1"/>
  <c r="AK238"/>
  <c r="AK202"/>
  <c r="AK206" s="1"/>
  <c r="AK234" s="1"/>
  <c r="AK235" s="1"/>
  <c r="AK107" s="1"/>
  <c r="AM116"/>
  <c r="AA680"/>
  <c r="AA80"/>
  <c r="AA81" s="1"/>
  <c r="AH109"/>
  <c r="AP728"/>
  <c r="AP729"/>
  <c r="AP733"/>
  <c r="B733" s="1"/>
  <c r="AP734"/>
  <c r="B734" s="1"/>
  <c r="AP735"/>
  <c r="B735" s="1"/>
  <c r="AP736"/>
  <c r="B736" s="1"/>
  <c r="AM105"/>
  <c r="AI272"/>
  <c r="AI108" s="1"/>
  <c r="AJ242"/>
  <c r="AJ243" s="1"/>
  <c r="AJ271" s="1"/>
  <c r="AM53"/>
  <c r="AO54"/>
  <c r="AO239"/>
  <c r="AO203"/>
  <c r="AO464"/>
  <c r="AP463"/>
  <c r="AP329"/>
  <c r="AP334"/>
  <c r="AP468" s="1"/>
  <c r="AP335"/>
  <c r="AP469" s="1"/>
  <c r="AP336"/>
  <c r="AP470" s="1"/>
  <c r="AP337"/>
  <c r="AP471" s="1"/>
  <c r="AP338"/>
  <c r="AP472" s="1"/>
  <c r="AP339"/>
  <c r="AP473" s="1"/>
  <c r="AP340"/>
  <c r="AP474" s="1"/>
  <c r="AP341"/>
  <c r="AP475" s="1"/>
  <c r="AP342"/>
  <c r="AP476" s="1"/>
  <c r="AP343"/>
  <c r="AP477" s="1"/>
  <c r="AO318"/>
  <c r="AO330"/>
  <c r="AO705"/>
  <c r="AP702" s="1"/>
  <c r="AO62"/>
  <c r="B717"/>
  <c r="AP805"/>
  <c r="B723"/>
  <c r="AO488" s="1"/>
  <c r="AP704"/>
  <c r="B722"/>
  <c r="AO725"/>
  <c r="AO710" s="1"/>
  <c r="AO68" s="1"/>
  <c r="AM696"/>
  <c r="AN619"/>
  <c r="AN620" s="1"/>
  <c r="AN103" s="1"/>
  <c r="AN625"/>
  <c r="AN626" s="1"/>
  <c r="AN104" s="1"/>
  <c r="AP40"/>
  <c r="AP23"/>
  <c r="AP26"/>
  <c r="AP30"/>
  <c r="AO240"/>
  <c r="AO204"/>
  <c r="AM18"/>
  <c r="AM20" s="1"/>
  <c r="AM264"/>
  <c r="AM227"/>
  <c r="AL268"/>
  <c r="AL269" s="1"/>
  <c r="AM266"/>
  <c r="AM229"/>
  <c r="AL231"/>
  <c r="AL232" s="1"/>
  <c r="AM666"/>
  <c r="AN659"/>
  <c r="AN660" s="1"/>
  <c r="AN51" s="1"/>
  <c r="AN663"/>
  <c r="AN664" s="1"/>
  <c r="AN655"/>
  <c r="AN656" s="1"/>
  <c r="AN651"/>
  <c r="AN652" s="1"/>
  <c r="AP698"/>
  <c r="AP688"/>
  <c r="B688" s="1"/>
  <c r="AO27"/>
  <c r="AO10"/>
  <c r="AO12" s="1"/>
  <c r="AP25"/>
  <c r="AN29"/>
  <c r="AN31" s="1"/>
  <c r="AN41" s="1"/>
  <c r="L794" l="1"/>
  <c r="M794"/>
  <c r="N794"/>
  <c r="X798"/>
  <c r="Y798"/>
  <c r="Z798"/>
  <c r="I793"/>
  <c r="J793"/>
  <c r="K793"/>
  <c r="U797"/>
  <c r="V797"/>
  <c r="W797"/>
  <c r="B798"/>
  <c r="AP792"/>
  <c r="F792"/>
  <c r="G792"/>
  <c r="H792"/>
  <c r="AO537"/>
  <c r="R796"/>
  <c r="S796"/>
  <c r="T796"/>
  <c r="AO541"/>
  <c r="AD800"/>
  <c r="AE800"/>
  <c r="AF800"/>
  <c r="O795"/>
  <c r="P795"/>
  <c r="Q795"/>
  <c r="AA799"/>
  <c r="AB799"/>
  <c r="AC799"/>
  <c r="B800"/>
  <c r="B796"/>
  <c r="B797"/>
  <c r="AN49"/>
  <c r="AN14"/>
  <c r="AF79" i="8"/>
  <c r="AF87"/>
  <c r="AF88" s="1"/>
  <c r="AK718" i="10"/>
  <c r="AK721" s="1"/>
  <c r="AJ814"/>
  <c r="AH770" i="8"/>
  <c r="AI674"/>
  <c r="AI677" s="1"/>
  <c r="AF100"/>
  <c r="J72"/>
  <c r="J73" s="1"/>
  <c r="J78" s="1"/>
  <c r="J240"/>
  <c r="J241" s="1"/>
  <c r="J269" s="1"/>
  <c r="J270" s="1"/>
  <c r="J99" s="1"/>
  <c r="J98"/>
  <c r="J606" i="7"/>
  <c r="J607" s="1"/>
  <c r="K610" s="1"/>
  <c r="J80"/>
  <c r="J81" s="1"/>
  <c r="J82" s="1"/>
  <c r="J87" s="1"/>
  <c r="J168"/>
  <c r="J169" s="1"/>
  <c r="J197" s="1"/>
  <c r="J198" s="1"/>
  <c r="J108" s="1"/>
  <c r="J107"/>
  <c r="AN15" i="2"/>
  <c r="AN50"/>
  <c r="AN228"/>
  <c r="AN265"/>
  <c r="AN17"/>
  <c r="AN52"/>
  <c r="AN230"/>
  <c r="AN267"/>
  <c r="AO325"/>
  <c r="AG792"/>
  <c r="AH792"/>
  <c r="AI792"/>
  <c r="AJ792"/>
  <c r="AK792"/>
  <c r="AL792"/>
  <c r="AM792"/>
  <c r="AN792"/>
  <c r="AO792"/>
  <c r="W760"/>
  <c r="X760"/>
  <c r="Y760"/>
  <c r="Z760"/>
  <c r="AA760"/>
  <c r="AB760"/>
  <c r="AC760"/>
  <c r="AD760"/>
  <c r="AE760"/>
  <c r="AF760"/>
  <c r="AG761"/>
  <c r="AH761"/>
  <c r="AI761"/>
  <c r="AJ761"/>
  <c r="AK761"/>
  <c r="AL761"/>
  <c r="AM761"/>
  <c r="AN761"/>
  <c r="AO761"/>
  <c r="D535"/>
  <c r="E535"/>
  <c r="G535"/>
  <c r="R535"/>
  <c r="S535"/>
  <c r="T535"/>
  <c r="V535"/>
  <c r="C535"/>
  <c r="F535"/>
  <c r="H535"/>
  <c r="I535"/>
  <c r="J535"/>
  <c r="K535"/>
  <c r="L535"/>
  <c r="M535"/>
  <c r="N535"/>
  <c r="O535"/>
  <c r="P535"/>
  <c r="Q535"/>
  <c r="U535"/>
  <c r="W535"/>
  <c r="X535"/>
  <c r="Y535"/>
  <c r="Z535"/>
  <c r="AA535"/>
  <c r="AB535"/>
  <c r="AC535"/>
  <c r="AD535"/>
  <c r="AE535"/>
  <c r="AF535"/>
  <c r="AG535"/>
  <c r="AH535"/>
  <c r="AI535"/>
  <c r="AJ535"/>
  <c r="AK535"/>
  <c r="AL535"/>
  <c r="AM535"/>
  <c r="AN535"/>
  <c r="U539"/>
  <c r="F539"/>
  <c r="H539"/>
  <c r="I539"/>
  <c r="J539"/>
  <c r="L539"/>
  <c r="N539"/>
  <c r="P539"/>
  <c r="S539"/>
  <c r="T539"/>
  <c r="C539"/>
  <c r="D539"/>
  <c r="E539"/>
  <c r="G539"/>
  <c r="K539"/>
  <c r="M539"/>
  <c r="O539"/>
  <c r="Q539"/>
  <c r="R539"/>
  <c r="V539"/>
  <c r="W539"/>
  <c r="X539"/>
  <c r="Y539"/>
  <c r="Z539"/>
  <c r="AA539"/>
  <c r="AB539"/>
  <c r="AC539"/>
  <c r="AD539"/>
  <c r="AE539"/>
  <c r="AF539"/>
  <c r="AG539"/>
  <c r="AH539"/>
  <c r="AI539"/>
  <c r="AJ539"/>
  <c r="AK539"/>
  <c r="AL539"/>
  <c r="AM539"/>
  <c r="AN539"/>
  <c r="C534"/>
  <c r="F534"/>
  <c r="H534"/>
  <c r="J534"/>
  <c r="K534"/>
  <c r="L534"/>
  <c r="M534"/>
  <c r="N534"/>
  <c r="O534"/>
  <c r="P534"/>
  <c r="Q534"/>
  <c r="V534"/>
  <c r="D534"/>
  <c r="E534"/>
  <c r="G534"/>
  <c r="I534"/>
  <c r="R534"/>
  <c r="S534"/>
  <c r="T534"/>
  <c r="U534"/>
  <c r="W534"/>
  <c r="X534"/>
  <c r="Y534"/>
  <c r="Z534"/>
  <c r="AA534"/>
  <c r="AB534"/>
  <c r="AC534"/>
  <c r="AD534"/>
  <c r="AE534"/>
  <c r="AF534"/>
  <c r="AG534"/>
  <c r="AH534"/>
  <c r="AI534"/>
  <c r="AJ534"/>
  <c r="AK534"/>
  <c r="AL534"/>
  <c r="AM534"/>
  <c r="AN534"/>
  <c r="U538"/>
  <c r="C538"/>
  <c r="D538"/>
  <c r="E538"/>
  <c r="G538"/>
  <c r="I538"/>
  <c r="K538"/>
  <c r="M538"/>
  <c r="O538"/>
  <c r="Q538"/>
  <c r="R538"/>
  <c r="F538"/>
  <c r="H538"/>
  <c r="J538"/>
  <c r="L538"/>
  <c r="N538"/>
  <c r="P538"/>
  <c r="S538"/>
  <c r="T538"/>
  <c r="V538"/>
  <c r="W538"/>
  <c r="X538"/>
  <c r="Y538"/>
  <c r="Z538"/>
  <c r="AA538"/>
  <c r="AB538"/>
  <c r="AC538"/>
  <c r="AD538"/>
  <c r="AE538"/>
  <c r="AF538"/>
  <c r="AG538"/>
  <c r="AH538"/>
  <c r="AI538"/>
  <c r="AJ538"/>
  <c r="AK538"/>
  <c r="AL538"/>
  <c r="AM538"/>
  <c r="AN538"/>
  <c r="AP536"/>
  <c r="AP540"/>
  <c r="AP533"/>
  <c r="AP537"/>
  <c r="AP541"/>
  <c r="AO538"/>
  <c r="AO539"/>
  <c r="AO398"/>
  <c r="C533"/>
  <c r="I533"/>
  <c r="R533"/>
  <c r="S533"/>
  <c r="T533"/>
  <c r="V533"/>
  <c r="U533"/>
  <c r="D533"/>
  <c r="E533"/>
  <c r="F533"/>
  <c r="G533"/>
  <c r="H533"/>
  <c r="J533"/>
  <c r="K533"/>
  <c r="L533"/>
  <c r="M533"/>
  <c r="N533"/>
  <c r="O533"/>
  <c r="P533"/>
  <c r="Q533"/>
  <c r="W533"/>
  <c r="X533"/>
  <c r="Y533"/>
  <c r="Z533"/>
  <c r="AA533"/>
  <c r="AB533"/>
  <c r="AC533"/>
  <c r="AD533"/>
  <c r="AE533"/>
  <c r="AF533"/>
  <c r="AG533"/>
  <c r="AH533"/>
  <c r="AI533"/>
  <c r="AJ533"/>
  <c r="AK533"/>
  <c r="AL533"/>
  <c r="AM533"/>
  <c r="AN533"/>
  <c r="U537"/>
  <c r="D537"/>
  <c r="R537"/>
  <c r="S537"/>
  <c r="T537"/>
  <c r="C537"/>
  <c r="E537"/>
  <c r="F537"/>
  <c r="G537"/>
  <c r="H537"/>
  <c r="I537"/>
  <c r="J537"/>
  <c r="K537"/>
  <c r="L537"/>
  <c r="M537"/>
  <c r="N537"/>
  <c r="O537"/>
  <c r="P537"/>
  <c r="Q537"/>
  <c r="V537"/>
  <c r="W537"/>
  <c r="X537"/>
  <c r="Y537"/>
  <c r="Z537"/>
  <c r="AA537"/>
  <c r="AB537"/>
  <c r="AC537"/>
  <c r="AD537"/>
  <c r="AE537"/>
  <c r="AF537"/>
  <c r="AG537"/>
  <c r="AH537"/>
  <c r="AI537"/>
  <c r="AJ537"/>
  <c r="AK537"/>
  <c r="AL537"/>
  <c r="AM537"/>
  <c r="AN537"/>
  <c r="D541"/>
  <c r="E541"/>
  <c r="F541"/>
  <c r="G541"/>
  <c r="H541"/>
  <c r="J541"/>
  <c r="K541"/>
  <c r="L541"/>
  <c r="M541"/>
  <c r="N541"/>
  <c r="O541"/>
  <c r="P541"/>
  <c r="Q541"/>
  <c r="V541"/>
  <c r="C541"/>
  <c r="I541"/>
  <c r="R541"/>
  <c r="S541"/>
  <c r="T541"/>
  <c r="U541"/>
  <c r="W541"/>
  <c r="X541"/>
  <c r="Y541"/>
  <c r="Z541"/>
  <c r="AA541"/>
  <c r="AB541"/>
  <c r="AC541"/>
  <c r="AD541"/>
  <c r="AE541"/>
  <c r="AF541"/>
  <c r="AG541"/>
  <c r="AH541"/>
  <c r="AI541"/>
  <c r="AJ541"/>
  <c r="AK541"/>
  <c r="AL541"/>
  <c r="AM541"/>
  <c r="AN541"/>
  <c r="AO401"/>
  <c r="C536"/>
  <c r="E536"/>
  <c r="F536"/>
  <c r="G536"/>
  <c r="H536"/>
  <c r="I536"/>
  <c r="J536"/>
  <c r="K536"/>
  <c r="L536"/>
  <c r="M536"/>
  <c r="N536"/>
  <c r="O536"/>
  <c r="P536"/>
  <c r="Q536"/>
  <c r="U536"/>
  <c r="D536"/>
  <c r="R536"/>
  <c r="S536"/>
  <c r="T536"/>
  <c r="V536"/>
  <c r="W536"/>
  <c r="X536"/>
  <c r="Y536"/>
  <c r="Z536"/>
  <c r="AA536"/>
  <c r="AB536"/>
  <c r="AC536"/>
  <c r="AD536"/>
  <c r="AE536"/>
  <c r="AF536"/>
  <c r="AG536"/>
  <c r="AH536"/>
  <c r="AI536"/>
  <c r="AJ536"/>
  <c r="AK536"/>
  <c r="AL536"/>
  <c r="AM536"/>
  <c r="AN536"/>
  <c r="AO405"/>
  <c r="U540"/>
  <c r="D540"/>
  <c r="E540"/>
  <c r="G540"/>
  <c r="K540"/>
  <c r="M540"/>
  <c r="O540"/>
  <c r="Q540"/>
  <c r="R540"/>
  <c r="T540"/>
  <c r="V540"/>
  <c r="C540"/>
  <c r="F540"/>
  <c r="H540"/>
  <c r="I540"/>
  <c r="J540"/>
  <c r="L540"/>
  <c r="N540"/>
  <c r="P540"/>
  <c r="S540"/>
  <c r="W540"/>
  <c r="X540"/>
  <c r="Y540"/>
  <c r="Z540"/>
  <c r="AA540"/>
  <c r="AB540"/>
  <c r="AC540"/>
  <c r="AD540"/>
  <c r="AE540"/>
  <c r="AF540"/>
  <c r="AG540"/>
  <c r="AH540"/>
  <c r="AI540"/>
  <c r="AJ540"/>
  <c r="AK540"/>
  <c r="AL540"/>
  <c r="AM540"/>
  <c r="AN540"/>
  <c r="AP534"/>
  <c r="AP538"/>
  <c r="AP535"/>
  <c r="AP539"/>
  <c r="AO540"/>
  <c r="AO534"/>
  <c r="AO533"/>
  <c r="AO536"/>
  <c r="AO535"/>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374"/>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D508"/>
  <c r="C508"/>
  <c r="E508"/>
  <c r="F508"/>
  <c r="H508"/>
  <c r="G508"/>
  <c r="I508"/>
  <c r="J508"/>
  <c r="K508"/>
  <c r="L508"/>
  <c r="M508"/>
  <c r="N508"/>
  <c r="O508"/>
  <c r="P508"/>
  <c r="Q508"/>
  <c r="R508"/>
  <c r="S508"/>
  <c r="T508"/>
  <c r="U508"/>
  <c r="V508"/>
  <c r="W508"/>
  <c r="X508"/>
  <c r="Y508"/>
  <c r="Z508"/>
  <c r="AA508"/>
  <c r="AB508"/>
  <c r="AC508"/>
  <c r="AD508"/>
  <c r="AE508"/>
  <c r="AF508"/>
  <c r="AG508"/>
  <c r="AH508"/>
  <c r="AI508"/>
  <c r="AJ508"/>
  <c r="AK508"/>
  <c r="AL508"/>
  <c r="AM508"/>
  <c r="AN508"/>
  <c r="C512"/>
  <c r="D512"/>
  <c r="E512"/>
  <c r="F512"/>
  <c r="G512"/>
  <c r="I512"/>
  <c r="H512"/>
  <c r="J512"/>
  <c r="K512"/>
  <c r="L512"/>
  <c r="M512"/>
  <c r="N512"/>
  <c r="O512"/>
  <c r="P512"/>
  <c r="Q512"/>
  <c r="R512"/>
  <c r="S512"/>
  <c r="T512"/>
  <c r="U512"/>
  <c r="V512"/>
  <c r="W512"/>
  <c r="X512"/>
  <c r="Y512"/>
  <c r="Z512"/>
  <c r="AA512"/>
  <c r="AB512"/>
  <c r="AC512"/>
  <c r="AD512"/>
  <c r="AE512"/>
  <c r="AF512"/>
  <c r="AG512"/>
  <c r="AH512"/>
  <c r="AI512"/>
  <c r="AJ512"/>
  <c r="AK512"/>
  <c r="AL512"/>
  <c r="AM512"/>
  <c r="AN512"/>
  <c r="C515"/>
  <c r="D515"/>
  <c r="F515"/>
  <c r="E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379"/>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P514"/>
  <c r="AP512"/>
  <c r="AP510"/>
  <c r="AP508"/>
  <c r="AO509"/>
  <c r="AO514"/>
  <c r="C511"/>
  <c r="D511"/>
  <c r="E511"/>
  <c r="F511"/>
  <c r="H511"/>
  <c r="G511"/>
  <c r="I511"/>
  <c r="J511"/>
  <c r="K511"/>
  <c r="L511"/>
  <c r="M511"/>
  <c r="N511"/>
  <c r="O511"/>
  <c r="P511"/>
  <c r="Q511"/>
  <c r="R511"/>
  <c r="S511"/>
  <c r="T511"/>
  <c r="U511"/>
  <c r="V511"/>
  <c r="W511"/>
  <c r="X511"/>
  <c r="Y511"/>
  <c r="Z511"/>
  <c r="AA511"/>
  <c r="AB511"/>
  <c r="AC511"/>
  <c r="AD511"/>
  <c r="AE511"/>
  <c r="AF511"/>
  <c r="AG511"/>
  <c r="AH511"/>
  <c r="AI511"/>
  <c r="AJ511"/>
  <c r="AK511"/>
  <c r="AL511"/>
  <c r="AM511"/>
  <c r="AN511"/>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C513"/>
  <c r="D513"/>
  <c r="E513"/>
  <c r="F513"/>
  <c r="G513"/>
  <c r="I513"/>
  <c r="H513"/>
  <c r="J513"/>
  <c r="K513"/>
  <c r="L513"/>
  <c r="M513"/>
  <c r="N513"/>
  <c r="O513"/>
  <c r="P513"/>
  <c r="Q513"/>
  <c r="R513"/>
  <c r="S513"/>
  <c r="T513"/>
  <c r="U513"/>
  <c r="V513"/>
  <c r="W513"/>
  <c r="X513"/>
  <c r="Y513"/>
  <c r="Z513"/>
  <c r="AA513"/>
  <c r="AB513"/>
  <c r="AC513"/>
  <c r="AD513"/>
  <c r="AE513"/>
  <c r="AF513"/>
  <c r="AG513"/>
  <c r="AH513"/>
  <c r="AI513"/>
  <c r="AJ513"/>
  <c r="AK513"/>
  <c r="AL513"/>
  <c r="AM513"/>
  <c r="AN513"/>
  <c r="AP515"/>
  <c r="AP513"/>
  <c r="AP511"/>
  <c r="AP509"/>
  <c r="AP507"/>
  <c r="AO507"/>
  <c r="AO511"/>
  <c r="AO515"/>
  <c r="AO508"/>
  <c r="AO512"/>
  <c r="AO71"/>
  <c r="AP794"/>
  <c r="B794" s="1"/>
  <c r="V400"/>
  <c r="H400"/>
  <c r="I400"/>
  <c r="K400"/>
  <c r="Q400"/>
  <c r="R400"/>
  <c r="S400"/>
  <c r="U400"/>
  <c r="C400"/>
  <c r="D400"/>
  <c r="E400"/>
  <c r="F400"/>
  <c r="G400"/>
  <c r="J400"/>
  <c r="L400"/>
  <c r="M400"/>
  <c r="N400"/>
  <c r="O400"/>
  <c r="P400"/>
  <c r="T400"/>
  <c r="W400"/>
  <c r="X400"/>
  <c r="Y400"/>
  <c r="Z400"/>
  <c r="AA400"/>
  <c r="AB400"/>
  <c r="AC400"/>
  <c r="AD400"/>
  <c r="AE400"/>
  <c r="AF400"/>
  <c r="AG400"/>
  <c r="AH400"/>
  <c r="AI400"/>
  <c r="AJ400"/>
  <c r="AK400"/>
  <c r="AL400"/>
  <c r="AM400"/>
  <c r="AN400"/>
  <c r="D404"/>
  <c r="F404"/>
  <c r="G404"/>
  <c r="H404"/>
  <c r="I404"/>
  <c r="K404"/>
  <c r="L404"/>
  <c r="N404"/>
  <c r="V404"/>
  <c r="C404"/>
  <c r="E404"/>
  <c r="J404"/>
  <c r="M404"/>
  <c r="O404"/>
  <c r="P404"/>
  <c r="Q404"/>
  <c r="R404"/>
  <c r="S404"/>
  <c r="T404"/>
  <c r="U404"/>
  <c r="W404"/>
  <c r="X404"/>
  <c r="Y404"/>
  <c r="Z404"/>
  <c r="AA404"/>
  <c r="AB404"/>
  <c r="AC404"/>
  <c r="AD404"/>
  <c r="AE404"/>
  <c r="AF404"/>
  <c r="AG404"/>
  <c r="AH404"/>
  <c r="AI404"/>
  <c r="AJ404"/>
  <c r="AK404"/>
  <c r="AL404"/>
  <c r="AM404"/>
  <c r="AN404"/>
  <c r="V399"/>
  <c r="C399"/>
  <c r="D399"/>
  <c r="E399"/>
  <c r="F399"/>
  <c r="G399"/>
  <c r="J399"/>
  <c r="K399"/>
  <c r="L399"/>
  <c r="M399"/>
  <c r="N399"/>
  <c r="P399"/>
  <c r="Q399"/>
  <c r="S399"/>
  <c r="T399"/>
  <c r="H399"/>
  <c r="I399"/>
  <c r="O399"/>
  <c r="R399"/>
  <c r="U399"/>
  <c r="W399"/>
  <c r="X399"/>
  <c r="Y399"/>
  <c r="Z399"/>
  <c r="AA399"/>
  <c r="AB399"/>
  <c r="AC399"/>
  <c r="AD399"/>
  <c r="AE399"/>
  <c r="AF399"/>
  <c r="AG399"/>
  <c r="AH399"/>
  <c r="AI399"/>
  <c r="AJ399"/>
  <c r="AK399"/>
  <c r="AL399"/>
  <c r="AM399"/>
  <c r="AN399"/>
  <c r="C403"/>
  <c r="E403"/>
  <c r="I403"/>
  <c r="J403"/>
  <c r="O403"/>
  <c r="R403"/>
  <c r="S403"/>
  <c r="T403"/>
  <c r="U403"/>
  <c r="V403"/>
  <c r="D403"/>
  <c r="F403"/>
  <c r="G403"/>
  <c r="H403"/>
  <c r="K403"/>
  <c r="L403"/>
  <c r="M403"/>
  <c r="N403"/>
  <c r="P403"/>
  <c r="Q403"/>
  <c r="W403"/>
  <c r="X403"/>
  <c r="Y403"/>
  <c r="Z403"/>
  <c r="AA403"/>
  <c r="AB403"/>
  <c r="AC403"/>
  <c r="AD403"/>
  <c r="AE403"/>
  <c r="AF403"/>
  <c r="AG403"/>
  <c r="AH403"/>
  <c r="AI403"/>
  <c r="AJ403"/>
  <c r="AK403"/>
  <c r="AL403"/>
  <c r="AM403"/>
  <c r="AN403"/>
  <c r="AO400"/>
  <c r="AP399"/>
  <c r="AP403"/>
  <c r="AP400"/>
  <c r="AP404"/>
  <c r="AO399"/>
  <c r="E398"/>
  <c r="L398"/>
  <c r="O398"/>
  <c r="P398"/>
  <c r="R398"/>
  <c r="T398"/>
  <c r="U398"/>
  <c r="V398"/>
  <c r="C398"/>
  <c r="D398"/>
  <c r="F398"/>
  <c r="G398"/>
  <c r="H398"/>
  <c r="I398"/>
  <c r="J398"/>
  <c r="K398"/>
  <c r="M398"/>
  <c r="N398"/>
  <c r="Q398"/>
  <c r="S398"/>
  <c r="W398"/>
  <c r="X398"/>
  <c r="Y398"/>
  <c r="Z398"/>
  <c r="AA398"/>
  <c r="AB398"/>
  <c r="AC398"/>
  <c r="AD398"/>
  <c r="AE398"/>
  <c r="AF398"/>
  <c r="AG398"/>
  <c r="AH398"/>
  <c r="AI398"/>
  <c r="AJ398"/>
  <c r="AK398"/>
  <c r="AL398"/>
  <c r="AM398"/>
  <c r="AN398"/>
  <c r="V402"/>
  <c r="D402"/>
  <c r="F402"/>
  <c r="H402"/>
  <c r="K402"/>
  <c r="L402"/>
  <c r="M402"/>
  <c r="N402"/>
  <c r="Q402"/>
  <c r="R402"/>
  <c r="C402"/>
  <c r="E402"/>
  <c r="G402"/>
  <c r="I402"/>
  <c r="J402"/>
  <c r="O402"/>
  <c r="P402"/>
  <c r="S402"/>
  <c r="T402"/>
  <c r="U402"/>
  <c r="W402"/>
  <c r="X402"/>
  <c r="Y402"/>
  <c r="Z402"/>
  <c r="AA402"/>
  <c r="AB402"/>
  <c r="AC402"/>
  <c r="AD402"/>
  <c r="AE402"/>
  <c r="AF402"/>
  <c r="AG402"/>
  <c r="AH402"/>
  <c r="AI402"/>
  <c r="AJ402"/>
  <c r="AK402"/>
  <c r="AL402"/>
  <c r="AM402"/>
  <c r="AN402"/>
  <c r="D406"/>
  <c r="F406"/>
  <c r="G406"/>
  <c r="H406"/>
  <c r="I406"/>
  <c r="J406"/>
  <c r="K406"/>
  <c r="M406"/>
  <c r="N406"/>
  <c r="S406"/>
  <c r="T406"/>
  <c r="V406"/>
  <c r="C406"/>
  <c r="E406"/>
  <c r="L406"/>
  <c r="O406"/>
  <c r="P406"/>
  <c r="Q406"/>
  <c r="R406"/>
  <c r="U406"/>
  <c r="W406"/>
  <c r="X406"/>
  <c r="Y406"/>
  <c r="Z406"/>
  <c r="AA406"/>
  <c r="AB406"/>
  <c r="AC406"/>
  <c r="AD406"/>
  <c r="AE406"/>
  <c r="AF406"/>
  <c r="AG406"/>
  <c r="AH406"/>
  <c r="AI406"/>
  <c r="AJ406"/>
  <c r="AK406"/>
  <c r="AL406"/>
  <c r="AM406"/>
  <c r="AN406"/>
  <c r="V401"/>
  <c r="C401"/>
  <c r="E401"/>
  <c r="G401"/>
  <c r="M401"/>
  <c r="O401"/>
  <c r="P401"/>
  <c r="S401"/>
  <c r="U401"/>
  <c r="D401"/>
  <c r="F401"/>
  <c r="H401"/>
  <c r="I401"/>
  <c r="J401"/>
  <c r="K401"/>
  <c r="L401"/>
  <c r="N401"/>
  <c r="Q401"/>
  <c r="R401"/>
  <c r="T401"/>
  <c r="W401"/>
  <c r="X401"/>
  <c r="Y401"/>
  <c r="Z401"/>
  <c r="AA401"/>
  <c r="AB401"/>
  <c r="AC401"/>
  <c r="AD401"/>
  <c r="AE401"/>
  <c r="AF401"/>
  <c r="AG401"/>
  <c r="AH401"/>
  <c r="AI401"/>
  <c r="AJ401"/>
  <c r="AK401"/>
  <c r="AL401"/>
  <c r="AM401"/>
  <c r="AN401"/>
  <c r="C405"/>
  <c r="D405"/>
  <c r="E405"/>
  <c r="F405"/>
  <c r="G405"/>
  <c r="J405"/>
  <c r="L405"/>
  <c r="M405"/>
  <c r="N405"/>
  <c r="O405"/>
  <c r="P405"/>
  <c r="Q405"/>
  <c r="R405"/>
  <c r="U405"/>
  <c r="V405"/>
  <c r="H405"/>
  <c r="I405"/>
  <c r="K405"/>
  <c r="S405"/>
  <c r="T405"/>
  <c r="W405"/>
  <c r="X405"/>
  <c r="Y405"/>
  <c r="Z405"/>
  <c r="AA405"/>
  <c r="AB405"/>
  <c r="AC405"/>
  <c r="AD405"/>
  <c r="AE405"/>
  <c r="AF405"/>
  <c r="AG405"/>
  <c r="AH405"/>
  <c r="AI405"/>
  <c r="AJ405"/>
  <c r="AK405"/>
  <c r="AL405"/>
  <c r="AM405"/>
  <c r="AN405"/>
  <c r="AO406"/>
  <c r="AO404"/>
  <c r="AP401"/>
  <c r="AP405"/>
  <c r="AP398"/>
  <c r="AP402"/>
  <c r="AP406"/>
  <c r="AO403"/>
  <c r="AO402"/>
  <c r="AP380"/>
  <c r="AP374"/>
  <c r="C376"/>
  <c r="D376"/>
  <c r="E376"/>
  <c r="F376"/>
  <c r="H376"/>
  <c r="G376"/>
  <c r="I376"/>
  <c r="J376"/>
  <c r="K376"/>
  <c r="L376"/>
  <c r="M376"/>
  <c r="N376"/>
  <c r="O376"/>
  <c r="P376"/>
  <c r="Q376"/>
  <c r="R376"/>
  <c r="S376"/>
  <c r="T376"/>
  <c r="U376"/>
  <c r="V376"/>
  <c r="W376"/>
  <c r="X376"/>
  <c r="Y376"/>
  <c r="Z376"/>
  <c r="AA376"/>
  <c r="AB376"/>
  <c r="AC376"/>
  <c r="AD376"/>
  <c r="AE376"/>
  <c r="AF376"/>
  <c r="AG376"/>
  <c r="AH376"/>
  <c r="AI376"/>
  <c r="AJ376"/>
  <c r="AK376"/>
  <c r="AL376"/>
  <c r="AM376"/>
  <c r="AN376"/>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C378"/>
  <c r="D378"/>
  <c r="E378"/>
  <c r="F378"/>
  <c r="G378"/>
  <c r="I378"/>
  <c r="H378"/>
  <c r="J378"/>
  <c r="K378"/>
  <c r="L378"/>
  <c r="M378"/>
  <c r="N378"/>
  <c r="O378"/>
  <c r="P378"/>
  <c r="Q378"/>
  <c r="R378"/>
  <c r="S378"/>
  <c r="T378"/>
  <c r="U378"/>
  <c r="V378"/>
  <c r="W378"/>
  <c r="X378"/>
  <c r="Y378"/>
  <c r="Z378"/>
  <c r="AA378"/>
  <c r="AB378"/>
  <c r="AC378"/>
  <c r="AD378"/>
  <c r="AE378"/>
  <c r="AF378"/>
  <c r="AG378"/>
  <c r="AH378"/>
  <c r="AI378"/>
  <c r="AJ378"/>
  <c r="AK378"/>
  <c r="AL378"/>
  <c r="AM378"/>
  <c r="AN378"/>
  <c r="AP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C374"/>
  <c r="E374"/>
  <c r="D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D373"/>
  <c r="C373"/>
  <c r="E373"/>
  <c r="F373"/>
  <c r="H373"/>
  <c r="G373"/>
  <c r="I373"/>
  <c r="J373"/>
  <c r="K373"/>
  <c r="L373"/>
  <c r="M373"/>
  <c r="N373"/>
  <c r="O373"/>
  <c r="P373"/>
  <c r="Q373"/>
  <c r="R373"/>
  <c r="S373"/>
  <c r="T373"/>
  <c r="U373"/>
  <c r="V373"/>
  <c r="W373"/>
  <c r="X373"/>
  <c r="Y373"/>
  <c r="Z373"/>
  <c r="AA373"/>
  <c r="AB373"/>
  <c r="AC373"/>
  <c r="AD373"/>
  <c r="AE373"/>
  <c r="AF373"/>
  <c r="AG373"/>
  <c r="AH373"/>
  <c r="AI373"/>
  <c r="AJ373"/>
  <c r="AK373"/>
  <c r="AL373"/>
  <c r="AM373"/>
  <c r="AN373"/>
  <c r="C377"/>
  <c r="D377"/>
  <c r="E377"/>
  <c r="F377"/>
  <c r="G377"/>
  <c r="I377"/>
  <c r="H377"/>
  <c r="J377"/>
  <c r="K377"/>
  <c r="L377"/>
  <c r="M377"/>
  <c r="N377"/>
  <c r="O377"/>
  <c r="P377"/>
  <c r="Q377"/>
  <c r="R377"/>
  <c r="S377"/>
  <c r="T377"/>
  <c r="U377"/>
  <c r="V377"/>
  <c r="W377"/>
  <c r="X377"/>
  <c r="Y377"/>
  <c r="Z377"/>
  <c r="AA377"/>
  <c r="AB377"/>
  <c r="AC377"/>
  <c r="AD377"/>
  <c r="AE377"/>
  <c r="AF377"/>
  <c r="AG377"/>
  <c r="AH377"/>
  <c r="AI377"/>
  <c r="AJ377"/>
  <c r="AK377"/>
  <c r="AL377"/>
  <c r="AM377"/>
  <c r="AN377"/>
  <c r="C380"/>
  <c r="D380"/>
  <c r="F380"/>
  <c r="E380"/>
  <c r="H380"/>
  <c r="G380"/>
  <c r="I380"/>
  <c r="J380"/>
  <c r="K380"/>
  <c r="L380"/>
  <c r="M380"/>
  <c r="N380"/>
  <c r="O380"/>
  <c r="P380"/>
  <c r="Q380"/>
  <c r="R380"/>
  <c r="S380"/>
  <c r="T380"/>
  <c r="U380"/>
  <c r="V380"/>
  <c r="W380"/>
  <c r="X380"/>
  <c r="Y380"/>
  <c r="Z380"/>
  <c r="AA380"/>
  <c r="AB380"/>
  <c r="AC380"/>
  <c r="AD380"/>
  <c r="AE380"/>
  <c r="AF380"/>
  <c r="AG380"/>
  <c r="AH380"/>
  <c r="AI380"/>
  <c r="AJ380"/>
  <c r="AK380"/>
  <c r="AL380"/>
  <c r="AM380"/>
  <c r="AN380"/>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P378"/>
  <c r="AP376"/>
  <c r="AO375"/>
  <c r="AO378"/>
  <c r="AP379"/>
  <c r="AP377"/>
  <c r="AP375"/>
  <c r="AP373"/>
  <c r="AO373"/>
  <c r="AO377"/>
  <c r="AO372"/>
  <c r="AO376"/>
  <c r="AO380"/>
  <c r="M760"/>
  <c r="N760"/>
  <c r="O760"/>
  <c r="P760"/>
  <c r="Q760"/>
  <c r="R760"/>
  <c r="R769" s="1"/>
  <c r="R741" s="1"/>
  <c r="R64" s="1"/>
  <c r="S760"/>
  <c r="S769" s="1"/>
  <c r="S741" s="1"/>
  <c r="S64" s="1"/>
  <c r="T760"/>
  <c r="T769" s="1"/>
  <c r="T741" s="1"/>
  <c r="T64" s="1"/>
  <c r="U760"/>
  <c r="U769" s="1"/>
  <c r="U741" s="1"/>
  <c r="U64" s="1"/>
  <c r="V760"/>
  <c r="V769" s="1"/>
  <c r="V741" s="1"/>
  <c r="V64" s="1"/>
  <c r="AG762"/>
  <c r="AG769" s="1"/>
  <c r="AG741" s="1"/>
  <c r="AG64" s="1"/>
  <c r="AH762"/>
  <c r="AH769" s="1"/>
  <c r="AH741" s="1"/>
  <c r="AH64" s="1"/>
  <c r="AI762"/>
  <c r="AI769" s="1"/>
  <c r="AI741" s="1"/>
  <c r="AI64" s="1"/>
  <c r="AJ762"/>
  <c r="AJ769" s="1"/>
  <c r="AJ741" s="1"/>
  <c r="AJ64" s="1"/>
  <c r="AK762"/>
  <c r="AK769" s="1"/>
  <c r="AK741" s="1"/>
  <c r="AK64" s="1"/>
  <c r="AL762"/>
  <c r="AL769" s="1"/>
  <c r="AL741" s="1"/>
  <c r="AL64" s="1"/>
  <c r="AM762"/>
  <c r="AM769" s="1"/>
  <c r="AM741" s="1"/>
  <c r="AM64" s="1"/>
  <c r="AN762"/>
  <c r="AN769" s="1"/>
  <c r="AN741" s="1"/>
  <c r="AN64" s="1"/>
  <c r="AO762"/>
  <c r="AO769" s="1"/>
  <c r="AO741" s="1"/>
  <c r="AO64" s="1"/>
  <c r="W761"/>
  <c r="W769" s="1"/>
  <c r="W741" s="1"/>
  <c r="W64" s="1"/>
  <c r="X761"/>
  <c r="X769" s="1"/>
  <c r="X741" s="1"/>
  <c r="X64" s="1"/>
  <c r="Y761"/>
  <c r="Y769" s="1"/>
  <c r="Y741" s="1"/>
  <c r="Y64" s="1"/>
  <c r="Z761"/>
  <c r="Z769" s="1"/>
  <c r="Z741" s="1"/>
  <c r="Z64" s="1"/>
  <c r="AA761"/>
  <c r="AA769" s="1"/>
  <c r="AA741" s="1"/>
  <c r="AA64" s="1"/>
  <c r="AB761"/>
  <c r="AB769" s="1"/>
  <c r="AB741" s="1"/>
  <c r="AB64" s="1"/>
  <c r="AC761"/>
  <c r="AC769" s="1"/>
  <c r="AC741" s="1"/>
  <c r="AC64" s="1"/>
  <c r="AD761"/>
  <c r="AD769" s="1"/>
  <c r="AD741" s="1"/>
  <c r="AD64" s="1"/>
  <c r="AE761"/>
  <c r="AE769" s="1"/>
  <c r="AE741" s="1"/>
  <c r="AE64" s="1"/>
  <c r="AF761"/>
  <c r="AF769" s="1"/>
  <c r="AF741" s="1"/>
  <c r="AF64" s="1"/>
  <c r="AP793"/>
  <c r="AG793"/>
  <c r="AG801" s="1"/>
  <c r="AG773" s="1"/>
  <c r="AG65" s="1"/>
  <c r="AH793"/>
  <c r="AH801" s="1"/>
  <c r="AH773" s="1"/>
  <c r="AH65" s="1"/>
  <c r="AI793"/>
  <c r="AI801" s="1"/>
  <c r="AI773" s="1"/>
  <c r="AI65" s="1"/>
  <c r="AJ793"/>
  <c r="AJ801" s="1"/>
  <c r="AJ773" s="1"/>
  <c r="AJ65" s="1"/>
  <c r="AK793"/>
  <c r="AK801" s="1"/>
  <c r="AK773" s="1"/>
  <c r="AK65" s="1"/>
  <c r="AL793"/>
  <c r="AL801" s="1"/>
  <c r="AL773" s="1"/>
  <c r="AL65" s="1"/>
  <c r="AM793"/>
  <c r="AM801" s="1"/>
  <c r="AM773" s="1"/>
  <c r="AM65" s="1"/>
  <c r="AN793"/>
  <c r="AN801" s="1"/>
  <c r="AN773" s="1"/>
  <c r="AN65" s="1"/>
  <c r="AO793"/>
  <c r="AO801" s="1"/>
  <c r="AO773" s="1"/>
  <c r="AO65" s="1"/>
  <c r="AP769"/>
  <c r="AP741" s="1"/>
  <c r="AP757"/>
  <c r="AP742" s="1"/>
  <c r="AP69" s="1"/>
  <c r="B747"/>
  <c r="R792"/>
  <c r="S792"/>
  <c r="T792"/>
  <c r="U792"/>
  <c r="V792"/>
  <c r="W792"/>
  <c r="W801" s="1"/>
  <c r="W773" s="1"/>
  <c r="W65" s="1"/>
  <c r="X792"/>
  <c r="X801" s="1"/>
  <c r="X773" s="1"/>
  <c r="X65" s="1"/>
  <c r="Y792"/>
  <c r="Y801" s="1"/>
  <c r="Y773" s="1"/>
  <c r="Y65" s="1"/>
  <c r="Z792"/>
  <c r="Z801" s="1"/>
  <c r="Z773" s="1"/>
  <c r="Z65" s="1"/>
  <c r="AA792"/>
  <c r="AA801" s="1"/>
  <c r="AA773" s="1"/>
  <c r="AA65" s="1"/>
  <c r="AB792"/>
  <c r="AB801" s="1"/>
  <c r="AB773" s="1"/>
  <c r="AB65" s="1"/>
  <c r="AC792"/>
  <c r="AC801" s="1"/>
  <c r="AC773" s="1"/>
  <c r="AC65" s="1"/>
  <c r="AD792"/>
  <c r="AD801" s="1"/>
  <c r="AD773" s="1"/>
  <c r="AD65" s="1"/>
  <c r="AE792"/>
  <c r="AE801" s="1"/>
  <c r="AE773" s="1"/>
  <c r="AE65" s="1"/>
  <c r="AF792"/>
  <c r="AF801" s="1"/>
  <c r="AF773" s="1"/>
  <c r="AF65" s="1"/>
  <c r="AP789"/>
  <c r="AP774" s="1"/>
  <c r="AP70" s="1"/>
  <c r="B779"/>
  <c r="AE730"/>
  <c r="AF730"/>
  <c r="AG730"/>
  <c r="AH730"/>
  <c r="AL731"/>
  <c r="AM731"/>
  <c r="AN731"/>
  <c r="AO731"/>
  <c r="X729"/>
  <c r="Y729"/>
  <c r="Z729"/>
  <c r="AP731"/>
  <c r="AP61"/>
  <c r="B681"/>
  <c r="C684" s="1"/>
  <c r="C131" i="1"/>
  <c r="AP673" i="2"/>
  <c r="B673" s="1"/>
  <c r="AO117"/>
  <c r="AL47"/>
  <c r="AL56" s="1"/>
  <c r="AL202"/>
  <c r="AL206" s="1"/>
  <c r="AL234" s="1"/>
  <c r="AL235" s="1"/>
  <c r="AL107" s="1"/>
  <c r="AL238"/>
  <c r="AN116"/>
  <c r="AM43"/>
  <c r="AM47" s="1"/>
  <c r="AM56" s="1"/>
  <c r="AK242"/>
  <c r="AK243" s="1"/>
  <c r="AK271" s="1"/>
  <c r="AK272" s="1"/>
  <c r="AK108" s="1"/>
  <c r="AI109"/>
  <c r="AN730"/>
  <c r="AP730"/>
  <c r="AM730"/>
  <c r="AO730"/>
  <c r="W728"/>
  <c r="Y728"/>
  <c r="R728"/>
  <c r="T728"/>
  <c r="V728"/>
  <c r="X728"/>
  <c r="Z728"/>
  <c r="Q728"/>
  <c r="S728"/>
  <c r="U728"/>
  <c r="AF729"/>
  <c r="AH729"/>
  <c r="AJ729"/>
  <c r="AL729"/>
  <c r="AB729"/>
  <c r="AD729"/>
  <c r="AE729"/>
  <c r="AG729"/>
  <c r="AI729"/>
  <c r="AK729"/>
  <c r="AA729"/>
  <c r="AC729"/>
  <c r="AL732"/>
  <c r="AN732"/>
  <c r="AP732"/>
  <c r="AM732"/>
  <c r="AO732"/>
  <c r="AF731"/>
  <c r="AH731"/>
  <c r="AJ731"/>
  <c r="AE731"/>
  <c r="AG731"/>
  <c r="AI731"/>
  <c r="AK731"/>
  <c r="AK737" s="1"/>
  <c r="AK709" s="1"/>
  <c r="AK63" s="1"/>
  <c r="Y730"/>
  <c r="AA730"/>
  <c r="AC730"/>
  <c r="X730"/>
  <c r="Z730"/>
  <c r="AB730"/>
  <c r="AD730"/>
  <c r="J728"/>
  <c r="L728"/>
  <c r="N728"/>
  <c r="P728"/>
  <c r="P737" s="1"/>
  <c r="P709" s="1"/>
  <c r="P63" s="1"/>
  <c r="K728"/>
  <c r="M728"/>
  <c r="O728"/>
  <c r="O737" s="1"/>
  <c r="O709" s="1"/>
  <c r="O63" s="1"/>
  <c r="V729"/>
  <c r="R729"/>
  <c r="T729"/>
  <c r="W729"/>
  <c r="Q729"/>
  <c r="S729"/>
  <c r="U729"/>
  <c r="AN53"/>
  <c r="AJ272"/>
  <c r="AJ108" s="1"/>
  <c r="AN105"/>
  <c r="AP54"/>
  <c r="AP239"/>
  <c r="AP203"/>
  <c r="AP330"/>
  <c r="AO352"/>
  <c r="T487"/>
  <c r="D487"/>
  <c r="F487"/>
  <c r="G487"/>
  <c r="H487"/>
  <c r="L487"/>
  <c r="M487"/>
  <c r="N487"/>
  <c r="S487"/>
  <c r="C487"/>
  <c r="E487"/>
  <c r="I487"/>
  <c r="J487"/>
  <c r="K487"/>
  <c r="O487"/>
  <c r="P487"/>
  <c r="Q487"/>
  <c r="R487"/>
  <c r="U487"/>
  <c r="V487"/>
  <c r="W487"/>
  <c r="X487"/>
  <c r="Y487"/>
  <c r="Z487"/>
  <c r="AA487"/>
  <c r="AB487"/>
  <c r="AC487"/>
  <c r="AD487"/>
  <c r="AE487"/>
  <c r="AF487"/>
  <c r="AG487"/>
  <c r="AH487"/>
  <c r="AI487"/>
  <c r="AJ487"/>
  <c r="AK487"/>
  <c r="AL487"/>
  <c r="AM487"/>
  <c r="AN487"/>
  <c r="AO348"/>
  <c r="U483"/>
  <c r="C483"/>
  <c r="D483"/>
  <c r="E483"/>
  <c r="F483"/>
  <c r="I483"/>
  <c r="K483"/>
  <c r="L483"/>
  <c r="Q483"/>
  <c r="R483"/>
  <c r="T483"/>
  <c r="G483"/>
  <c r="H483"/>
  <c r="J483"/>
  <c r="M483"/>
  <c r="N483"/>
  <c r="O483"/>
  <c r="P483"/>
  <c r="S483"/>
  <c r="V483"/>
  <c r="W483"/>
  <c r="X483"/>
  <c r="Y483"/>
  <c r="Z483"/>
  <c r="AA483"/>
  <c r="AB483"/>
  <c r="AC483"/>
  <c r="AD483"/>
  <c r="AE483"/>
  <c r="AF483"/>
  <c r="AG483"/>
  <c r="AH483"/>
  <c r="AI483"/>
  <c r="AJ483"/>
  <c r="AK483"/>
  <c r="AL483"/>
  <c r="AM483"/>
  <c r="AN483"/>
  <c r="T486"/>
  <c r="C486"/>
  <c r="H486"/>
  <c r="I486"/>
  <c r="M486"/>
  <c r="P486"/>
  <c r="R486"/>
  <c r="U486"/>
  <c r="D486"/>
  <c r="E486"/>
  <c r="F486"/>
  <c r="G486"/>
  <c r="J486"/>
  <c r="K486"/>
  <c r="L486"/>
  <c r="N486"/>
  <c r="O486"/>
  <c r="Q486"/>
  <c r="S486"/>
  <c r="V486"/>
  <c r="W486"/>
  <c r="X486"/>
  <c r="Y486"/>
  <c r="Z486"/>
  <c r="AA486"/>
  <c r="AB486"/>
  <c r="AC486"/>
  <c r="AD486"/>
  <c r="AE486"/>
  <c r="AG486"/>
  <c r="AF486"/>
  <c r="AH486"/>
  <c r="AI486"/>
  <c r="AJ486"/>
  <c r="AK486"/>
  <c r="AL486"/>
  <c r="AM486"/>
  <c r="AN486"/>
  <c r="E481"/>
  <c r="G481"/>
  <c r="L481"/>
  <c r="N481"/>
  <c r="P481"/>
  <c r="Q481"/>
  <c r="S481"/>
  <c r="U481"/>
  <c r="C481"/>
  <c r="D481"/>
  <c r="F481"/>
  <c r="H481"/>
  <c r="I481"/>
  <c r="J481"/>
  <c r="K481"/>
  <c r="M481"/>
  <c r="O481"/>
  <c r="R481"/>
  <c r="T481"/>
  <c r="V481"/>
  <c r="W481"/>
  <c r="X481"/>
  <c r="Y481"/>
  <c r="Z481"/>
  <c r="AA481"/>
  <c r="AB481"/>
  <c r="AC481"/>
  <c r="AD481"/>
  <c r="AE481"/>
  <c r="AG481"/>
  <c r="AF481"/>
  <c r="AH481"/>
  <c r="AI481"/>
  <c r="AJ481"/>
  <c r="AK481"/>
  <c r="AL481"/>
  <c r="AM481"/>
  <c r="AN481"/>
  <c r="D482"/>
  <c r="E482"/>
  <c r="F482"/>
  <c r="G482"/>
  <c r="H482"/>
  <c r="J482"/>
  <c r="K482"/>
  <c r="M482"/>
  <c r="N482"/>
  <c r="O482"/>
  <c r="T482"/>
  <c r="U482"/>
  <c r="C482"/>
  <c r="I482"/>
  <c r="L482"/>
  <c r="P482"/>
  <c r="Q482"/>
  <c r="R482"/>
  <c r="S482"/>
  <c r="V482"/>
  <c r="W482"/>
  <c r="X482"/>
  <c r="Y482"/>
  <c r="Z482"/>
  <c r="AA482"/>
  <c r="AB482"/>
  <c r="AC482"/>
  <c r="AD482"/>
  <c r="AE482"/>
  <c r="AF482"/>
  <c r="AG482"/>
  <c r="AH482"/>
  <c r="AI482"/>
  <c r="AJ482"/>
  <c r="AK482"/>
  <c r="AL482"/>
  <c r="AM482"/>
  <c r="AN482"/>
  <c r="AO481"/>
  <c r="AO482"/>
  <c r="AP486"/>
  <c r="AP481"/>
  <c r="AP487"/>
  <c r="AP483"/>
  <c r="AO487"/>
  <c r="C489"/>
  <c r="D489"/>
  <c r="G489"/>
  <c r="J489"/>
  <c r="I489"/>
  <c r="M489"/>
  <c r="Q489"/>
  <c r="P489"/>
  <c r="S489"/>
  <c r="U489"/>
  <c r="E489"/>
  <c r="F489"/>
  <c r="H489"/>
  <c r="K489"/>
  <c r="L489"/>
  <c r="N489"/>
  <c r="O489"/>
  <c r="R489"/>
  <c r="T489"/>
  <c r="V489"/>
  <c r="W489"/>
  <c r="X489"/>
  <c r="Z489"/>
  <c r="Y489"/>
  <c r="AA489"/>
  <c r="AB489"/>
  <c r="AC489"/>
  <c r="AD489"/>
  <c r="AE489"/>
  <c r="AG489"/>
  <c r="AF489"/>
  <c r="AH489"/>
  <c r="AI489"/>
  <c r="AJ489"/>
  <c r="AK489"/>
  <c r="AL489"/>
  <c r="AM489"/>
  <c r="AN489"/>
  <c r="T485"/>
  <c r="I485"/>
  <c r="Q485"/>
  <c r="R485"/>
  <c r="S485"/>
  <c r="U485"/>
  <c r="C485"/>
  <c r="D485"/>
  <c r="E485"/>
  <c r="G485"/>
  <c r="F485"/>
  <c r="H485"/>
  <c r="J485"/>
  <c r="K485"/>
  <c r="L485"/>
  <c r="M485"/>
  <c r="N485"/>
  <c r="O485"/>
  <c r="P485"/>
  <c r="V485"/>
  <c r="W485"/>
  <c r="X485"/>
  <c r="Y485"/>
  <c r="Z485"/>
  <c r="AA485"/>
  <c r="AB485"/>
  <c r="AC485"/>
  <c r="AD485"/>
  <c r="AE485"/>
  <c r="AF485"/>
  <c r="AG485"/>
  <c r="AH485"/>
  <c r="AI485"/>
  <c r="AJ485"/>
  <c r="AK485"/>
  <c r="AL485"/>
  <c r="AM485"/>
  <c r="AN485"/>
  <c r="D488"/>
  <c r="H488"/>
  <c r="I488"/>
  <c r="J488"/>
  <c r="K488"/>
  <c r="N488"/>
  <c r="O488"/>
  <c r="Q488"/>
  <c r="R488"/>
  <c r="S488"/>
  <c r="T488"/>
  <c r="C488"/>
  <c r="E488"/>
  <c r="F488"/>
  <c r="G488"/>
  <c r="L488"/>
  <c r="M488"/>
  <c r="P488"/>
  <c r="U488"/>
  <c r="V488"/>
  <c r="W488"/>
  <c r="X488"/>
  <c r="Y488"/>
  <c r="Z488"/>
  <c r="AA488"/>
  <c r="AB488"/>
  <c r="AC488"/>
  <c r="AD488"/>
  <c r="AE488"/>
  <c r="AF488"/>
  <c r="AG488"/>
  <c r="AH488"/>
  <c r="AI488"/>
  <c r="AJ488"/>
  <c r="AK488"/>
  <c r="AL488"/>
  <c r="AM488"/>
  <c r="AN488"/>
  <c r="T484"/>
  <c r="U484"/>
  <c r="C484"/>
  <c r="F484"/>
  <c r="G484"/>
  <c r="I484"/>
  <c r="J484"/>
  <c r="K484"/>
  <c r="L484"/>
  <c r="N484"/>
  <c r="O484"/>
  <c r="Q484"/>
  <c r="D484"/>
  <c r="E484"/>
  <c r="H484"/>
  <c r="M484"/>
  <c r="P484"/>
  <c r="S484"/>
  <c r="R484"/>
  <c r="V484"/>
  <c r="W484"/>
  <c r="X484"/>
  <c r="Y484"/>
  <c r="Z484"/>
  <c r="AA484"/>
  <c r="AB484"/>
  <c r="AC484"/>
  <c r="AD484"/>
  <c r="AE484"/>
  <c r="AG484"/>
  <c r="AF484"/>
  <c r="AH484"/>
  <c r="AI484"/>
  <c r="AJ484"/>
  <c r="AK484"/>
  <c r="AL484"/>
  <c r="AM484"/>
  <c r="AN484"/>
  <c r="AO486"/>
  <c r="AO485"/>
  <c r="AP488"/>
  <c r="AP484"/>
  <c r="AP489"/>
  <c r="AP485"/>
  <c r="AP482"/>
  <c r="AO484"/>
  <c r="AO483"/>
  <c r="U354"/>
  <c r="C354"/>
  <c r="J354"/>
  <c r="L354"/>
  <c r="N354"/>
  <c r="P354"/>
  <c r="R354"/>
  <c r="T354"/>
  <c r="D354"/>
  <c r="E354"/>
  <c r="F354"/>
  <c r="H354"/>
  <c r="G354"/>
  <c r="I354"/>
  <c r="K354"/>
  <c r="M354"/>
  <c r="O354"/>
  <c r="Q354"/>
  <c r="S354"/>
  <c r="V354"/>
  <c r="W354"/>
  <c r="X354"/>
  <c r="Y354"/>
  <c r="Z354"/>
  <c r="AA354"/>
  <c r="AB354"/>
  <c r="AC354"/>
  <c r="AD354"/>
  <c r="AE354"/>
  <c r="AF354"/>
  <c r="AG354"/>
  <c r="AH354"/>
  <c r="AI354"/>
  <c r="AJ354"/>
  <c r="AK354"/>
  <c r="AL354"/>
  <c r="AM354"/>
  <c r="AN354"/>
  <c r="U350"/>
  <c r="C350"/>
  <c r="E350"/>
  <c r="K350"/>
  <c r="M350"/>
  <c r="O350"/>
  <c r="Q350"/>
  <c r="V350"/>
  <c r="D350"/>
  <c r="F350"/>
  <c r="H350"/>
  <c r="G350"/>
  <c r="I350"/>
  <c r="J350"/>
  <c r="L350"/>
  <c r="N350"/>
  <c r="P350"/>
  <c r="R350"/>
  <c r="S350"/>
  <c r="T350"/>
  <c r="W350"/>
  <c r="X350"/>
  <c r="Y350"/>
  <c r="Z350"/>
  <c r="AA350"/>
  <c r="AB350"/>
  <c r="AC350"/>
  <c r="AD350"/>
  <c r="AE350"/>
  <c r="AF350"/>
  <c r="AG350"/>
  <c r="AH350"/>
  <c r="AI350"/>
  <c r="AJ350"/>
  <c r="AK350"/>
  <c r="AL350"/>
  <c r="AM350"/>
  <c r="AN350"/>
  <c r="U353"/>
  <c r="C353"/>
  <c r="D353"/>
  <c r="E353"/>
  <c r="F353"/>
  <c r="G353"/>
  <c r="I353"/>
  <c r="K353"/>
  <c r="M353"/>
  <c r="O353"/>
  <c r="Q353"/>
  <c r="H353"/>
  <c r="J353"/>
  <c r="L353"/>
  <c r="N353"/>
  <c r="P353"/>
  <c r="R353"/>
  <c r="S353"/>
  <c r="T353"/>
  <c r="V353"/>
  <c r="W353"/>
  <c r="X353"/>
  <c r="Y353"/>
  <c r="Z353"/>
  <c r="AA353"/>
  <c r="AB353"/>
  <c r="AC353"/>
  <c r="AD353"/>
  <c r="AE353"/>
  <c r="AF353"/>
  <c r="AG353"/>
  <c r="AH353"/>
  <c r="AI353"/>
  <c r="AJ353"/>
  <c r="AK353"/>
  <c r="AL353"/>
  <c r="AM353"/>
  <c r="AN353"/>
  <c r="U349"/>
  <c r="D349"/>
  <c r="E349"/>
  <c r="F349"/>
  <c r="I349"/>
  <c r="J349"/>
  <c r="L349"/>
  <c r="N349"/>
  <c r="P349"/>
  <c r="R349"/>
  <c r="T349"/>
  <c r="V349"/>
  <c r="C349"/>
  <c r="G349"/>
  <c r="H349"/>
  <c r="K349"/>
  <c r="M349"/>
  <c r="O349"/>
  <c r="Q349"/>
  <c r="S349"/>
  <c r="W349"/>
  <c r="X349"/>
  <c r="Y349"/>
  <c r="Z349"/>
  <c r="AA349"/>
  <c r="AB349"/>
  <c r="AC349"/>
  <c r="AD349"/>
  <c r="AE349"/>
  <c r="AF349"/>
  <c r="AG349"/>
  <c r="AH349"/>
  <c r="AI349"/>
  <c r="AJ349"/>
  <c r="AK349"/>
  <c r="AL349"/>
  <c r="AM349"/>
  <c r="AN349"/>
  <c r="AO349"/>
  <c r="AO353"/>
  <c r="AP354"/>
  <c r="AP352"/>
  <c r="AP350"/>
  <c r="AP348"/>
  <c r="AP346"/>
  <c r="U352"/>
  <c r="H352"/>
  <c r="I352"/>
  <c r="L352"/>
  <c r="M352"/>
  <c r="Q352"/>
  <c r="R352"/>
  <c r="S352"/>
  <c r="C352"/>
  <c r="D352"/>
  <c r="E352"/>
  <c r="F352"/>
  <c r="G352"/>
  <c r="J352"/>
  <c r="K352"/>
  <c r="N352"/>
  <c r="O352"/>
  <c r="P352"/>
  <c r="T352"/>
  <c r="V352"/>
  <c r="W352"/>
  <c r="X352"/>
  <c r="Y352"/>
  <c r="Z352"/>
  <c r="AA352"/>
  <c r="AB352"/>
  <c r="AC352"/>
  <c r="AD352"/>
  <c r="AE352"/>
  <c r="AF352"/>
  <c r="AG352"/>
  <c r="AH352"/>
  <c r="AI352"/>
  <c r="AJ352"/>
  <c r="AK352"/>
  <c r="AL352"/>
  <c r="AM352"/>
  <c r="AN352"/>
  <c r="U348"/>
  <c r="D348"/>
  <c r="G348"/>
  <c r="H348"/>
  <c r="J348"/>
  <c r="K348"/>
  <c r="N348"/>
  <c r="O348"/>
  <c r="P348"/>
  <c r="S348"/>
  <c r="T348"/>
  <c r="C348"/>
  <c r="F348"/>
  <c r="E348"/>
  <c r="I348"/>
  <c r="L348"/>
  <c r="M348"/>
  <c r="Q348"/>
  <c r="R348"/>
  <c r="V348"/>
  <c r="W348"/>
  <c r="X348"/>
  <c r="Y348"/>
  <c r="Z348"/>
  <c r="AA348"/>
  <c r="AB348"/>
  <c r="AC348"/>
  <c r="AD348"/>
  <c r="AE348"/>
  <c r="AF348"/>
  <c r="AG348"/>
  <c r="AH348"/>
  <c r="AI348"/>
  <c r="AJ348"/>
  <c r="AK348"/>
  <c r="AL348"/>
  <c r="AM348"/>
  <c r="AN348"/>
  <c r="U351"/>
  <c r="D351"/>
  <c r="E351"/>
  <c r="F351"/>
  <c r="H351"/>
  <c r="G351"/>
  <c r="K351"/>
  <c r="N351"/>
  <c r="P351"/>
  <c r="S351"/>
  <c r="T351"/>
  <c r="V351"/>
  <c r="C351"/>
  <c r="I351"/>
  <c r="J351"/>
  <c r="L351"/>
  <c r="M351"/>
  <c r="O351"/>
  <c r="Q351"/>
  <c r="R351"/>
  <c r="W351"/>
  <c r="X351"/>
  <c r="Y351"/>
  <c r="Z351"/>
  <c r="AA351"/>
  <c r="AB351"/>
  <c r="AC351"/>
  <c r="AD351"/>
  <c r="AE351"/>
  <c r="AF351"/>
  <c r="AG351"/>
  <c r="AH351"/>
  <c r="AI351"/>
  <c r="AJ351"/>
  <c r="AK351"/>
  <c r="AL351"/>
  <c r="AM351"/>
  <c r="AN351"/>
  <c r="U346"/>
  <c r="D346"/>
  <c r="F346"/>
  <c r="I346"/>
  <c r="J346"/>
  <c r="L346"/>
  <c r="N346"/>
  <c r="P346"/>
  <c r="R346"/>
  <c r="T346"/>
  <c r="C346"/>
  <c r="E346"/>
  <c r="G346"/>
  <c r="H346"/>
  <c r="K346"/>
  <c r="M346"/>
  <c r="O346"/>
  <c r="Q346"/>
  <c r="S346"/>
  <c r="V346"/>
  <c r="W346"/>
  <c r="X346"/>
  <c r="Y346"/>
  <c r="Z346"/>
  <c r="AA346"/>
  <c r="AB346"/>
  <c r="AC346"/>
  <c r="AD346"/>
  <c r="AE346"/>
  <c r="AF346"/>
  <c r="AG346"/>
  <c r="AH346"/>
  <c r="AI346"/>
  <c r="AJ346"/>
  <c r="AK346"/>
  <c r="AL346"/>
  <c r="AM346"/>
  <c r="AN346"/>
  <c r="U347"/>
  <c r="C347"/>
  <c r="H347"/>
  <c r="G347"/>
  <c r="I347"/>
  <c r="J347"/>
  <c r="L347"/>
  <c r="M347"/>
  <c r="O347"/>
  <c r="Q347"/>
  <c r="S347"/>
  <c r="V347"/>
  <c r="D347"/>
  <c r="E347"/>
  <c r="F347"/>
  <c r="K347"/>
  <c r="N347"/>
  <c r="P347"/>
  <c r="R347"/>
  <c r="T347"/>
  <c r="W347"/>
  <c r="X347"/>
  <c r="Y347"/>
  <c r="Z347"/>
  <c r="AA347"/>
  <c r="AB347"/>
  <c r="AC347"/>
  <c r="AD347"/>
  <c r="AE347"/>
  <c r="AF347"/>
  <c r="AG347"/>
  <c r="AH347"/>
  <c r="AI347"/>
  <c r="AJ347"/>
  <c r="AK347"/>
  <c r="AL347"/>
  <c r="AM347"/>
  <c r="AN347"/>
  <c r="AO346"/>
  <c r="AO350"/>
  <c r="AO354"/>
  <c r="AO347"/>
  <c r="AO351"/>
  <c r="AP353"/>
  <c r="AP351"/>
  <c r="AP349"/>
  <c r="AP347"/>
  <c r="AP705"/>
  <c r="AP62"/>
  <c r="AP725"/>
  <c r="AP710" s="1"/>
  <c r="AP68" s="1"/>
  <c r="B715"/>
  <c r="AN696"/>
  <c r="AO619"/>
  <c r="AO620" s="1"/>
  <c r="AO103" s="1"/>
  <c r="AO625"/>
  <c r="AO626" s="1"/>
  <c r="AO104" s="1"/>
  <c r="B312"/>
  <c r="AP319"/>
  <c r="B319" s="1"/>
  <c r="B316"/>
  <c r="AP323"/>
  <c r="B323" s="1"/>
  <c r="B446"/>
  <c r="B448"/>
  <c r="B450"/>
  <c r="B313"/>
  <c r="AP320"/>
  <c r="B320" s="1"/>
  <c r="AM268"/>
  <c r="AM269" s="1"/>
  <c r="B314"/>
  <c r="AP321"/>
  <c r="B321" s="1"/>
  <c r="B445"/>
  <c r="B447"/>
  <c r="B449"/>
  <c r="B311"/>
  <c r="AP318"/>
  <c r="B315"/>
  <c r="AP322"/>
  <c r="B322" s="1"/>
  <c r="AP240"/>
  <c r="AP204"/>
  <c r="AN266"/>
  <c r="AN229"/>
  <c r="AN18"/>
  <c r="AN20" s="1"/>
  <c r="AN264"/>
  <c r="AN227"/>
  <c r="AM231"/>
  <c r="AM232" s="1"/>
  <c r="AN666"/>
  <c r="AO663"/>
  <c r="AO664" s="1"/>
  <c r="AO655"/>
  <c r="AO656" s="1"/>
  <c r="AO651"/>
  <c r="AO652" s="1"/>
  <c r="AO659"/>
  <c r="AO660" s="1"/>
  <c r="AO51" s="1"/>
  <c r="AP689"/>
  <c r="B689" s="1"/>
  <c r="B685"/>
  <c r="AP27"/>
  <c r="AB683"/>
  <c r="AO29"/>
  <c r="AO31" s="1"/>
  <c r="AO41" s="1"/>
  <c r="C678" l="1"/>
  <c r="B799"/>
  <c r="B795"/>
  <c r="AO49"/>
  <c r="AO14"/>
  <c r="AF101" i="8"/>
  <c r="AL718" i="10"/>
  <c r="AL721" s="1"/>
  <c r="AK814"/>
  <c r="AI770" i="8"/>
  <c r="AJ674"/>
  <c r="AJ677" s="1"/>
  <c r="J87"/>
  <c r="J79"/>
  <c r="J100"/>
  <c r="J96" i="7"/>
  <c r="J88"/>
  <c r="K604"/>
  <c r="J109"/>
  <c r="AO17" i="2"/>
  <c r="AO52"/>
  <c r="AO230"/>
  <c r="AO267"/>
  <c r="AO15"/>
  <c r="AO50"/>
  <c r="AO228"/>
  <c r="AO265"/>
  <c r="R791"/>
  <c r="R801" s="1"/>
  <c r="R773" s="1"/>
  <c r="R65" s="1"/>
  <c r="S791"/>
  <c r="S801" s="1"/>
  <c r="S773" s="1"/>
  <c r="S65" s="1"/>
  <c r="T791"/>
  <c r="T801" s="1"/>
  <c r="T773" s="1"/>
  <c r="T65" s="1"/>
  <c r="U791"/>
  <c r="V791"/>
  <c r="V801" s="1"/>
  <c r="V773" s="1"/>
  <c r="V65" s="1"/>
  <c r="U801"/>
  <c r="U773" s="1"/>
  <c r="U65" s="1"/>
  <c r="AP506"/>
  <c r="M759"/>
  <c r="M769" s="1"/>
  <c r="M741" s="1"/>
  <c r="M64" s="1"/>
  <c r="N759"/>
  <c r="N769" s="1"/>
  <c r="N741" s="1"/>
  <c r="N64" s="1"/>
  <c r="O759"/>
  <c r="O769" s="1"/>
  <c r="O741" s="1"/>
  <c r="O64" s="1"/>
  <c r="P759"/>
  <c r="P769" s="1"/>
  <c r="P741" s="1"/>
  <c r="P64" s="1"/>
  <c r="Q759"/>
  <c r="Q769" s="1"/>
  <c r="Q741" s="1"/>
  <c r="Q64" s="1"/>
  <c r="AP516"/>
  <c r="AP397"/>
  <c r="AP407" s="1"/>
  <c r="U532"/>
  <c r="U542" s="1"/>
  <c r="C532"/>
  <c r="F532"/>
  <c r="F542" s="1"/>
  <c r="H532"/>
  <c r="H542" s="1"/>
  <c r="I532"/>
  <c r="I542" s="1"/>
  <c r="J532"/>
  <c r="J542" s="1"/>
  <c r="L532"/>
  <c r="L542" s="1"/>
  <c r="N532"/>
  <c r="N542" s="1"/>
  <c r="P532"/>
  <c r="P542" s="1"/>
  <c r="S532"/>
  <c r="S542" s="1"/>
  <c r="D532"/>
  <c r="D542" s="1"/>
  <c r="E532"/>
  <c r="E542" s="1"/>
  <c r="G532"/>
  <c r="G542" s="1"/>
  <c r="K532"/>
  <c r="K542" s="1"/>
  <c r="M532"/>
  <c r="M542" s="1"/>
  <c r="O532"/>
  <c r="O542" s="1"/>
  <c r="Q532"/>
  <c r="Q542" s="1"/>
  <c r="R532"/>
  <c r="R542" s="1"/>
  <c r="T532"/>
  <c r="T542" s="1"/>
  <c r="V532"/>
  <c r="V542" s="1"/>
  <c r="W532"/>
  <c r="W542" s="1"/>
  <c r="X532"/>
  <c r="X542" s="1"/>
  <c r="Y532"/>
  <c r="Y542" s="1"/>
  <c r="Z532"/>
  <c r="Z542" s="1"/>
  <c r="AA532"/>
  <c r="AA542" s="1"/>
  <c r="AB532"/>
  <c r="AB542" s="1"/>
  <c r="AC532"/>
  <c r="AC542" s="1"/>
  <c r="AD532"/>
  <c r="AD542" s="1"/>
  <c r="AE532"/>
  <c r="AE542" s="1"/>
  <c r="AF532"/>
  <c r="AF542" s="1"/>
  <c r="AG532"/>
  <c r="AG542" s="1"/>
  <c r="AH532"/>
  <c r="AH542" s="1"/>
  <c r="AI532"/>
  <c r="AI542" s="1"/>
  <c r="AJ532"/>
  <c r="AJ542" s="1"/>
  <c r="AK532"/>
  <c r="AK542" s="1"/>
  <c r="AL532"/>
  <c r="AL542" s="1"/>
  <c r="AM532"/>
  <c r="AM542" s="1"/>
  <c r="AN532"/>
  <c r="AN542" s="1"/>
  <c r="AO532"/>
  <c r="AO542" s="1"/>
  <c r="B541"/>
  <c r="B533"/>
  <c r="B534"/>
  <c r="B539"/>
  <c r="AP532"/>
  <c r="AP542" s="1"/>
  <c r="B540"/>
  <c r="B536"/>
  <c r="B537"/>
  <c r="B538"/>
  <c r="B535"/>
  <c r="B514"/>
  <c r="B508"/>
  <c r="B507"/>
  <c r="AP371"/>
  <c r="AP381" s="1"/>
  <c r="C506"/>
  <c r="E506"/>
  <c r="E516" s="1"/>
  <c r="D506"/>
  <c r="D516" s="1"/>
  <c r="F506"/>
  <c r="F516" s="1"/>
  <c r="G506"/>
  <c r="G516" s="1"/>
  <c r="H506"/>
  <c r="H516" s="1"/>
  <c r="I506"/>
  <c r="I516" s="1"/>
  <c r="J506"/>
  <c r="J516" s="1"/>
  <c r="K506"/>
  <c r="K516" s="1"/>
  <c r="L506"/>
  <c r="L516" s="1"/>
  <c r="M506"/>
  <c r="M516" s="1"/>
  <c r="N506"/>
  <c r="N516" s="1"/>
  <c r="O506"/>
  <c r="O516" s="1"/>
  <c r="P506"/>
  <c r="P516" s="1"/>
  <c r="Q506"/>
  <c r="Q516" s="1"/>
  <c r="R506"/>
  <c r="R516" s="1"/>
  <c r="S506"/>
  <c r="S516" s="1"/>
  <c r="T506"/>
  <c r="T516" s="1"/>
  <c r="U506"/>
  <c r="U516" s="1"/>
  <c r="V506"/>
  <c r="V516" s="1"/>
  <c r="W506"/>
  <c r="W516" s="1"/>
  <c r="X506"/>
  <c r="X516" s="1"/>
  <c r="Y506"/>
  <c r="Y516" s="1"/>
  <c r="Z506"/>
  <c r="Z516" s="1"/>
  <c r="AA506"/>
  <c r="AA516" s="1"/>
  <c r="AB506"/>
  <c r="AB516" s="1"/>
  <c r="AC506"/>
  <c r="AC516" s="1"/>
  <c r="AD506"/>
  <c r="AD516" s="1"/>
  <c r="AE506"/>
  <c r="AE516" s="1"/>
  <c r="AF506"/>
  <c r="AF516" s="1"/>
  <c r="AG506"/>
  <c r="AG516" s="1"/>
  <c r="AH506"/>
  <c r="AH516" s="1"/>
  <c r="AI506"/>
  <c r="AI516" s="1"/>
  <c r="AJ506"/>
  <c r="AJ516" s="1"/>
  <c r="AK506"/>
  <c r="AK516" s="1"/>
  <c r="AL506"/>
  <c r="AL516" s="1"/>
  <c r="AM506"/>
  <c r="AM516" s="1"/>
  <c r="AN506"/>
  <c r="AN516" s="1"/>
  <c r="AO506"/>
  <c r="AO516" s="1"/>
  <c r="B513"/>
  <c r="B510"/>
  <c r="B511"/>
  <c r="B515"/>
  <c r="B512"/>
  <c r="B509"/>
  <c r="AP801"/>
  <c r="AP773" s="1"/>
  <c r="AP65" s="1"/>
  <c r="B405"/>
  <c r="B406"/>
  <c r="B402"/>
  <c r="B398"/>
  <c r="B399"/>
  <c r="B404"/>
  <c r="V397"/>
  <c r="V407" s="1"/>
  <c r="C397"/>
  <c r="H397"/>
  <c r="H407" s="1"/>
  <c r="I397"/>
  <c r="I407" s="1"/>
  <c r="J397"/>
  <c r="J407" s="1"/>
  <c r="O397"/>
  <c r="O407" s="1"/>
  <c r="P397"/>
  <c r="P407" s="1"/>
  <c r="Q397"/>
  <c r="Q407" s="1"/>
  <c r="T397"/>
  <c r="T407" s="1"/>
  <c r="D397"/>
  <c r="D407" s="1"/>
  <c r="E397"/>
  <c r="E407" s="1"/>
  <c r="F397"/>
  <c r="F407" s="1"/>
  <c r="G397"/>
  <c r="G407" s="1"/>
  <c r="K397"/>
  <c r="K407" s="1"/>
  <c r="L397"/>
  <c r="L407" s="1"/>
  <c r="M397"/>
  <c r="M407" s="1"/>
  <c r="N397"/>
  <c r="N407" s="1"/>
  <c r="R397"/>
  <c r="R407" s="1"/>
  <c r="S397"/>
  <c r="S407" s="1"/>
  <c r="U397"/>
  <c r="U407" s="1"/>
  <c r="W397"/>
  <c r="W407" s="1"/>
  <c r="X397"/>
  <c r="X407" s="1"/>
  <c r="Y397"/>
  <c r="Y407" s="1"/>
  <c r="Z397"/>
  <c r="Z407" s="1"/>
  <c r="AA397"/>
  <c r="AA407" s="1"/>
  <c r="AB397"/>
  <c r="AB407" s="1"/>
  <c r="AC397"/>
  <c r="AC407" s="1"/>
  <c r="AD397"/>
  <c r="AD407" s="1"/>
  <c r="AE397"/>
  <c r="AE407" s="1"/>
  <c r="AF397"/>
  <c r="AF407" s="1"/>
  <c r="AG397"/>
  <c r="AG407" s="1"/>
  <c r="AH397"/>
  <c r="AH407" s="1"/>
  <c r="AI397"/>
  <c r="AI407" s="1"/>
  <c r="AJ397"/>
  <c r="AJ407" s="1"/>
  <c r="AK397"/>
  <c r="AK407" s="1"/>
  <c r="AL397"/>
  <c r="AL407" s="1"/>
  <c r="AM397"/>
  <c r="AM407" s="1"/>
  <c r="AN397"/>
  <c r="AN407" s="1"/>
  <c r="AO397"/>
  <c r="AO407" s="1"/>
  <c r="B401"/>
  <c r="B403"/>
  <c r="B400"/>
  <c r="B372"/>
  <c r="C371"/>
  <c r="C381" s="1"/>
  <c r="D371"/>
  <c r="D381" s="1"/>
  <c r="E371"/>
  <c r="E381" s="1"/>
  <c r="F371"/>
  <c r="F381" s="1"/>
  <c r="G371"/>
  <c r="G381" s="1"/>
  <c r="H371"/>
  <c r="H381" s="1"/>
  <c r="I371"/>
  <c r="I381" s="1"/>
  <c r="J371"/>
  <c r="J381" s="1"/>
  <c r="K371"/>
  <c r="K381" s="1"/>
  <c r="L371"/>
  <c r="L381" s="1"/>
  <c r="M371"/>
  <c r="M381" s="1"/>
  <c r="N371"/>
  <c r="N381" s="1"/>
  <c r="O371"/>
  <c r="O381" s="1"/>
  <c r="P371"/>
  <c r="P381" s="1"/>
  <c r="Q371"/>
  <c r="Q381" s="1"/>
  <c r="R371"/>
  <c r="R381" s="1"/>
  <c r="S371"/>
  <c r="S381" s="1"/>
  <c r="T371"/>
  <c r="T381" s="1"/>
  <c r="U371"/>
  <c r="U381" s="1"/>
  <c r="V371"/>
  <c r="V381" s="1"/>
  <c r="W371"/>
  <c r="W381" s="1"/>
  <c r="X371"/>
  <c r="X381" s="1"/>
  <c r="Y371"/>
  <c r="Y381" s="1"/>
  <c r="Z371"/>
  <c r="Z381" s="1"/>
  <c r="AA371"/>
  <c r="AA381" s="1"/>
  <c r="AB371"/>
  <c r="AB381" s="1"/>
  <c r="AC371"/>
  <c r="AC381" s="1"/>
  <c r="AD371"/>
  <c r="AD381" s="1"/>
  <c r="AE371"/>
  <c r="AE381" s="1"/>
  <c r="AF371"/>
  <c r="AF381" s="1"/>
  <c r="AG371"/>
  <c r="AG381" s="1"/>
  <c r="AH371"/>
  <c r="AH381" s="1"/>
  <c r="AI371"/>
  <c r="AI381" s="1"/>
  <c r="AJ371"/>
  <c r="AJ381" s="1"/>
  <c r="AK371"/>
  <c r="AK381" s="1"/>
  <c r="AL371"/>
  <c r="AL381" s="1"/>
  <c r="AM371"/>
  <c r="AM381" s="1"/>
  <c r="AN371"/>
  <c r="AN381" s="1"/>
  <c r="AO371"/>
  <c r="AO381" s="1"/>
  <c r="B760"/>
  <c r="AP71"/>
  <c r="B761"/>
  <c r="B375"/>
  <c r="B762"/>
  <c r="B379"/>
  <c r="B376"/>
  <c r="B374"/>
  <c r="B380"/>
  <c r="B377"/>
  <c r="B378"/>
  <c r="AP64"/>
  <c r="E791"/>
  <c r="E801" s="1"/>
  <c r="E773" s="1"/>
  <c r="E65" s="1"/>
  <c r="C791"/>
  <c r="D791"/>
  <c r="D801" s="1"/>
  <c r="D773" s="1"/>
  <c r="D65" s="1"/>
  <c r="F791"/>
  <c r="F801" s="1"/>
  <c r="F773" s="1"/>
  <c r="F65" s="1"/>
  <c r="G791"/>
  <c r="G801" s="1"/>
  <c r="G773" s="1"/>
  <c r="G65" s="1"/>
  <c r="H791"/>
  <c r="H801" s="1"/>
  <c r="H773" s="1"/>
  <c r="H65" s="1"/>
  <c r="I791"/>
  <c r="I801" s="1"/>
  <c r="I773" s="1"/>
  <c r="I65" s="1"/>
  <c r="J791"/>
  <c r="J801" s="1"/>
  <c r="J773" s="1"/>
  <c r="J65" s="1"/>
  <c r="K791"/>
  <c r="K801" s="1"/>
  <c r="K773" s="1"/>
  <c r="K65" s="1"/>
  <c r="L791"/>
  <c r="L801" s="1"/>
  <c r="L773" s="1"/>
  <c r="L65" s="1"/>
  <c r="M791"/>
  <c r="M801" s="1"/>
  <c r="M773" s="1"/>
  <c r="M65" s="1"/>
  <c r="N791"/>
  <c r="N801" s="1"/>
  <c r="N773" s="1"/>
  <c r="N65" s="1"/>
  <c r="O791"/>
  <c r="O801" s="1"/>
  <c r="O773" s="1"/>
  <c r="O65" s="1"/>
  <c r="P791"/>
  <c r="P801" s="1"/>
  <c r="P773" s="1"/>
  <c r="P65" s="1"/>
  <c r="Q791"/>
  <c r="Q801" s="1"/>
  <c r="Q773" s="1"/>
  <c r="Q65" s="1"/>
  <c r="C759"/>
  <c r="D759"/>
  <c r="D769" s="1"/>
  <c r="D741" s="1"/>
  <c r="D64" s="1"/>
  <c r="E759"/>
  <c r="E769" s="1"/>
  <c r="E741" s="1"/>
  <c r="E64" s="1"/>
  <c r="F759"/>
  <c r="F769" s="1"/>
  <c r="F741" s="1"/>
  <c r="F64" s="1"/>
  <c r="G759"/>
  <c r="G769" s="1"/>
  <c r="G741" s="1"/>
  <c r="G64" s="1"/>
  <c r="H759"/>
  <c r="H769" s="1"/>
  <c r="H741" s="1"/>
  <c r="H64" s="1"/>
  <c r="I759"/>
  <c r="J759"/>
  <c r="J769" s="1"/>
  <c r="J741" s="1"/>
  <c r="J64" s="1"/>
  <c r="K759"/>
  <c r="K769" s="1"/>
  <c r="K741" s="1"/>
  <c r="K64" s="1"/>
  <c r="L759"/>
  <c r="L769" s="1"/>
  <c r="L741" s="1"/>
  <c r="L64" s="1"/>
  <c r="B792"/>
  <c r="B793"/>
  <c r="Z737"/>
  <c r="Z709" s="1"/>
  <c r="Z63" s="1"/>
  <c r="X737"/>
  <c r="X709" s="1"/>
  <c r="X63" s="1"/>
  <c r="I769"/>
  <c r="I741" s="1"/>
  <c r="I64" s="1"/>
  <c r="AP325"/>
  <c r="B325" s="1"/>
  <c r="AN231"/>
  <c r="AN232" s="1"/>
  <c r="D727"/>
  <c r="E727"/>
  <c r="E737" s="1"/>
  <c r="E709" s="1"/>
  <c r="E63" s="1"/>
  <c r="F727"/>
  <c r="F737" s="1"/>
  <c r="F709" s="1"/>
  <c r="F63" s="1"/>
  <c r="G727"/>
  <c r="G737" s="1"/>
  <c r="G709" s="1"/>
  <c r="G63" s="1"/>
  <c r="H727"/>
  <c r="H737" s="1"/>
  <c r="H709" s="1"/>
  <c r="H63" s="1"/>
  <c r="I727"/>
  <c r="J727"/>
  <c r="K727"/>
  <c r="L727"/>
  <c r="M727"/>
  <c r="N727"/>
  <c r="N737" s="1"/>
  <c r="N709" s="1"/>
  <c r="N63" s="1"/>
  <c r="C160" i="1"/>
  <c r="C132"/>
  <c r="C55" i="2"/>
  <c r="C56" s="1"/>
  <c r="C240"/>
  <c r="C204"/>
  <c r="C683"/>
  <c r="B691"/>
  <c r="AP10"/>
  <c r="AP12" s="1"/>
  <c r="AM202"/>
  <c r="AM206" s="1"/>
  <c r="AM234" s="1"/>
  <c r="AM235" s="1"/>
  <c r="AM107" s="1"/>
  <c r="AN268"/>
  <c r="AN269" s="1"/>
  <c r="AM238"/>
  <c r="AO116"/>
  <c r="AN43"/>
  <c r="AN47" s="1"/>
  <c r="AN56" s="1"/>
  <c r="AG737"/>
  <c r="AG709" s="1"/>
  <c r="AG63" s="1"/>
  <c r="AB680"/>
  <c r="AB80"/>
  <c r="AB81" s="1"/>
  <c r="AP117"/>
  <c r="B120" s="1"/>
  <c r="U737"/>
  <c r="U709" s="1"/>
  <c r="U63" s="1"/>
  <c r="Q737"/>
  <c r="Q709" s="1"/>
  <c r="Q63" s="1"/>
  <c r="T737"/>
  <c r="T709" s="1"/>
  <c r="T63" s="1"/>
  <c r="AD737"/>
  <c r="AD709" s="1"/>
  <c r="AD63" s="1"/>
  <c r="Y737"/>
  <c r="Y709" s="1"/>
  <c r="Y63" s="1"/>
  <c r="AO737"/>
  <c r="AO709" s="1"/>
  <c r="AO63" s="1"/>
  <c r="AP737"/>
  <c r="AP709" s="1"/>
  <c r="AP63" s="1"/>
  <c r="AC737"/>
  <c r="AC709" s="1"/>
  <c r="AC63" s="1"/>
  <c r="AH737"/>
  <c r="AH709" s="1"/>
  <c r="AH63" s="1"/>
  <c r="AL737"/>
  <c r="AL709" s="1"/>
  <c r="AL63" s="1"/>
  <c r="AJ109"/>
  <c r="AK109"/>
  <c r="AN737"/>
  <c r="AN709" s="1"/>
  <c r="AN63" s="1"/>
  <c r="AA737"/>
  <c r="AA709" s="1"/>
  <c r="AA63" s="1"/>
  <c r="AI737"/>
  <c r="AI709" s="1"/>
  <c r="AI63" s="1"/>
  <c r="AE737"/>
  <c r="AE709" s="1"/>
  <c r="AE63" s="1"/>
  <c r="AB737"/>
  <c r="AB709" s="1"/>
  <c r="AB63" s="1"/>
  <c r="AJ737"/>
  <c r="AJ709" s="1"/>
  <c r="AJ63" s="1"/>
  <c r="AF737"/>
  <c r="AF709" s="1"/>
  <c r="AF63" s="1"/>
  <c r="S737"/>
  <c r="S709" s="1"/>
  <c r="S63" s="1"/>
  <c r="R737"/>
  <c r="R709" s="1"/>
  <c r="R63" s="1"/>
  <c r="AM737"/>
  <c r="AM709" s="1"/>
  <c r="AM63" s="1"/>
  <c r="V737"/>
  <c r="V709" s="1"/>
  <c r="V63" s="1"/>
  <c r="W737"/>
  <c r="W709" s="1"/>
  <c r="W63" s="1"/>
  <c r="J737"/>
  <c r="J709" s="1"/>
  <c r="J63" s="1"/>
  <c r="K737"/>
  <c r="K709" s="1"/>
  <c r="K63" s="1"/>
  <c r="L737"/>
  <c r="L709" s="1"/>
  <c r="L63" s="1"/>
  <c r="M737"/>
  <c r="M709" s="1"/>
  <c r="M63" s="1"/>
  <c r="AP480"/>
  <c r="AP490" s="1"/>
  <c r="I737"/>
  <c r="I709" s="1"/>
  <c r="I63" s="1"/>
  <c r="D737"/>
  <c r="D709" s="1"/>
  <c r="D63" s="1"/>
  <c r="C727"/>
  <c r="AL242"/>
  <c r="AL243" s="1"/>
  <c r="AL271" s="1"/>
  <c r="AO105"/>
  <c r="B729"/>
  <c r="B484"/>
  <c r="B485"/>
  <c r="B489"/>
  <c r="B482"/>
  <c r="B481"/>
  <c r="B487"/>
  <c r="C480"/>
  <c r="D480"/>
  <c r="D490" s="1"/>
  <c r="E480"/>
  <c r="E490" s="1"/>
  <c r="F480"/>
  <c r="F490" s="1"/>
  <c r="J480"/>
  <c r="J490" s="1"/>
  <c r="K480"/>
  <c r="K490" s="1"/>
  <c r="L480"/>
  <c r="L490" s="1"/>
  <c r="M480"/>
  <c r="M490" s="1"/>
  <c r="N480"/>
  <c r="N490" s="1"/>
  <c r="O480"/>
  <c r="O490" s="1"/>
  <c r="P480"/>
  <c r="P490" s="1"/>
  <c r="R480"/>
  <c r="R490" s="1"/>
  <c r="T480"/>
  <c r="T490" s="1"/>
  <c r="U480"/>
  <c r="U490" s="1"/>
  <c r="G480"/>
  <c r="G490" s="1"/>
  <c r="H480"/>
  <c r="H490" s="1"/>
  <c r="I480"/>
  <c r="I490" s="1"/>
  <c r="Q480"/>
  <c r="Q490" s="1"/>
  <c r="S480"/>
  <c r="S490" s="1"/>
  <c r="V480"/>
  <c r="V490" s="1"/>
  <c r="W480"/>
  <c r="W490" s="1"/>
  <c r="X480"/>
  <c r="X490" s="1"/>
  <c r="Y480"/>
  <c r="Y490" s="1"/>
  <c r="Z480"/>
  <c r="Z490" s="1"/>
  <c r="AA480"/>
  <c r="AA490" s="1"/>
  <c r="AB480"/>
  <c r="AB490" s="1"/>
  <c r="AE480"/>
  <c r="AE490" s="1"/>
  <c r="AC480"/>
  <c r="AC490" s="1"/>
  <c r="AD480"/>
  <c r="AD490" s="1"/>
  <c r="AF480"/>
  <c r="AF490" s="1"/>
  <c r="AG480"/>
  <c r="AG490" s="1"/>
  <c r="AH480"/>
  <c r="AH490" s="1"/>
  <c r="AI480"/>
  <c r="AI490" s="1"/>
  <c r="AJ480"/>
  <c r="AJ490" s="1"/>
  <c r="AK480"/>
  <c r="AK490" s="1"/>
  <c r="AL480"/>
  <c r="AL490" s="1"/>
  <c r="AM480"/>
  <c r="AM490" s="1"/>
  <c r="AN480"/>
  <c r="AN490" s="1"/>
  <c r="AO480"/>
  <c r="AO490" s="1"/>
  <c r="B730"/>
  <c r="B488"/>
  <c r="B486"/>
  <c r="B483"/>
  <c r="U345"/>
  <c r="U355" s="1"/>
  <c r="C345"/>
  <c r="C355" s="1"/>
  <c r="E345"/>
  <c r="E355" s="1"/>
  <c r="F345"/>
  <c r="F355" s="1"/>
  <c r="G345"/>
  <c r="G355" s="1"/>
  <c r="I345"/>
  <c r="I355" s="1"/>
  <c r="I205" s="1"/>
  <c r="K345"/>
  <c r="K355" s="1"/>
  <c r="M345"/>
  <c r="M355" s="1"/>
  <c r="M205" s="1"/>
  <c r="O345"/>
  <c r="O355" s="1"/>
  <c r="Q345"/>
  <c r="Q355" s="1"/>
  <c r="Q205" s="1"/>
  <c r="R345"/>
  <c r="R355" s="1"/>
  <c r="S345"/>
  <c r="S355" s="1"/>
  <c r="V345"/>
  <c r="V355" s="1"/>
  <c r="V205" s="1"/>
  <c r="D345"/>
  <c r="D355" s="1"/>
  <c r="H345"/>
  <c r="H355" s="1"/>
  <c r="H205" s="1"/>
  <c r="J345"/>
  <c r="J355" s="1"/>
  <c r="L345"/>
  <c r="L355" s="1"/>
  <c r="L205" s="1"/>
  <c r="N345"/>
  <c r="N355" s="1"/>
  <c r="P345"/>
  <c r="P355" s="1"/>
  <c r="P205" s="1"/>
  <c r="T345"/>
  <c r="T355" s="1"/>
  <c r="W345"/>
  <c r="W355" s="1"/>
  <c r="X345"/>
  <c r="X355" s="1"/>
  <c r="Y345"/>
  <c r="Y355" s="1"/>
  <c r="Z345"/>
  <c r="Z355" s="1"/>
  <c r="AA345"/>
  <c r="AA355" s="1"/>
  <c r="AB345"/>
  <c r="AB355" s="1"/>
  <c r="AD345"/>
  <c r="AD355" s="1"/>
  <c r="AE345"/>
  <c r="AE355" s="1"/>
  <c r="AC345"/>
  <c r="AC355" s="1"/>
  <c r="AF345"/>
  <c r="AF355" s="1"/>
  <c r="AG345"/>
  <c r="AG355" s="1"/>
  <c r="AH345"/>
  <c r="AH355" s="1"/>
  <c r="AI345"/>
  <c r="AI355" s="1"/>
  <c r="AJ345"/>
  <c r="AJ355" s="1"/>
  <c r="AK345"/>
  <c r="AK355" s="1"/>
  <c r="AL345"/>
  <c r="AL355" s="1"/>
  <c r="AM345"/>
  <c r="AM355" s="1"/>
  <c r="AN345"/>
  <c r="AN355" s="1"/>
  <c r="AO345"/>
  <c r="AO355" s="1"/>
  <c r="B346"/>
  <c r="B351"/>
  <c r="B348"/>
  <c r="B352"/>
  <c r="B353"/>
  <c r="B350"/>
  <c r="AP345"/>
  <c r="AP355" s="1"/>
  <c r="B347"/>
  <c r="B349"/>
  <c r="B354"/>
  <c r="B728"/>
  <c r="B731"/>
  <c r="B732"/>
  <c r="AO696"/>
  <c r="AP619"/>
  <c r="AP620" s="1"/>
  <c r="AP103" s="1"/>
  <c r="AP625"/>
  <c r="AP626" s="1"/>
  <c r="AP104" s="1"/>
  <c r="B318"/>
  <c r="AO266"/>
  <c r="AO229"/>
  <c r="AO264"/>
  <c r="AO227"/>
  <c r="AO666"/>
  <c r="AP659"/>
  <c r="AP660" s="1"/>
  <c r="AP51" s="1"/>
  <c r="AP663"/>
  <c r="AP664" s="1"/>
  <c r="AP655"/>
  <c r="AP656" s="1"/>
  <c r="AP651"/>
  <c r="AP652" s="1"/>
  <c r="AP29"/>
  <c r="AP31" s="1"/>
  <c r="AP41" s="1"/>
  <c r="AO53" l="1"/>
  <c r="AO18"/>
  <c r="AO20" s="1"/>
  <c r="AO43" s="1"/>
  <c r="AP49"/>
  <c r="AP14"/>
  <c r="AM718" i="10"/>
  <c r="AM721" s="1"/>
  <c r="AL814"/>
  <c r="AJ770" i="8"/>
  <c r="AK674"/>
  <c r="AK677" s="1"/>
  <c r="K205"/>
  <c r="K233" s="1"/>
  <c r="K234" s="1"/>
  <c r="J88"/>
  <c r="J101" s="1"/>
  <c r="AF205" i="2"/>
  <c r="AE205"/>
  <c r="AB205"/>
  <c r="Z205"/>
  <c r="X205"/>
  <c r="T205"/>
  <c r="N205"/>
  <c r="J205"/>
  <c r="D205"/>
  <c r="S205"/>
  <c r="F205"/>
  <c r="K166" i="7"/>
  <c r="K130"/>
  <c r="K132" s="1"/>
  <c r="K160" s="1"/>
  <c r="K161" s="1"/>
  <c r="K55"/>
  <c r="K56" s="1"/>
  <c r="K609"/>
  <c r="J97"/>
  <c r="J110" s="1"/>
  <c r="AP17" i="2"/>
  <c r="AP52"/>
  <c r="AP230"/>
  <c r="AP267"/>
  <c r="AP15"/>
  <c r="AP50"/>
  <c r="AP53" s="1"/>
  <c r="AP228"/>
  <c r="AP265"/>
  <c r="C542"/>
  <c r="B532"/>
  <c r="C516"/>
  <c r="B506"/>
  <c r="AC205"/>
  <c r="AD205"/>
  <c r="AA205"/>
  <c r="Y205"/>
  <c r="W205"/>
  <c r="R205"/>
  <c r="O205"/>
  <c r="K205"/>
  <c r="G205"/>
  <c r="U205"/>
  <c r="C407"/>
  <c r="C206" s="1"/>
  <c r="C234" s="1"/>
  <c r="C235" s="1"/>
  <c r="C242" s="1"/>
  <c r="B397"/>
  <c r="B371"/>
  <c r="B373"/>
  <c r="B791"/>
  <c r="C801"/>
  <c r="C773" s="1"/>
  <c r="B80"/>
  <c r="C159" i="1"/>
  <c r="B79" i="2" s="1"/>
  <c r="C80"/>
  <c r="C81" s="1"/>
  <c r="C680"/>
  <c r="C681" s="1"/>
  <c r="AN202"/>
  <c r="AN206" s="1"/>
  <c r="AN234" s="1"/>
  <c r="AN235" s="1"/>
  <c r="AN107" s="1"/>
  <c r="AP116"/>
  <c r="AN238"/>
  <c r="B117"/>
  <c r="AO231"/>
  <c r="AO232" s="1"/>
  <c r="AL272"/>
  <c r="AL108" s="1"/>
  <c r="AP105"/>
  <c r="AM242"/>
  <c r="AM243" s="1"/>
  <c r="AM271" s="1"/>
  <c r="AO268"/>
  <c r="AO269" s="1"/>
  <c r="C490"/>
  <c r="B480"/>
  <c r="B345"/>
  <c r="C737"/>
  <c r="C709" s="1"/>
  <c r="C63" s="1"/>
  <c r="B727"/>
  <c r="AP696"/>
  <c r="AP264"/>
  <c r="AP227"/>
  <c r="AP266"/>
  <c r="AP229"/>
  <c r="AP18"/>
  <c r="AP20" s="1"/>
  <c r="AP666"/>
  <c r="AC683"/>
  <c r="B119" l="1"/>
  <c r="B121" s="1"/>
  <c r="C81" i="1" s="1"/>
  <c r="AN718" i="10"/>
  <c r="AN721" s="1"/>
  <c r="AM814"/>
  <c r="AK770" i="8"/>
  <c r="AL674"/>
  <c r="AL677" s="1"/>
  <c r="B77"/>
  <c r="B72"/>
  <c r="B73" s="1"/>
  <c r="B78" s="1"/>
  <c r="K72"/>
  <c r="K73" s="1"/>
  <c r="K78" s="1"/>
  <c r="K240"/>
  <c r="K241" s="1"/>
  <c r="K269" s="1"/>
  <c r="K270" s="1"/>
  <c r="K99" s="1"/>
  <c r="K98"/>
  <c r="B86" i="7"/>
  <c r="B81"/>
  <c r="B82" s="1"/>
  <c r="B87" s="1"/>
  <c r="B96" s="1"/>
  <c r="K606"/>
  <c r="K607" s="1"/>
  <c r="L610" s="1"/>
  <c r="K80"/>
  <c r="K81" s="1"/>
  <c r="K82" s="1"/>
  <c r="K87" s="1"/>
  <c r="K168"/>
  <c r="K169" s="1"/>
  <c r="K197" s="1"/>
  <c r="K198" s="1"/>
  <c r="K108" s="1"/>
  <c r="K107"/>
  <c r="C775" i="2"/>
  <c r="D772" s="1"/>
  <c r="D775" s="1"/>
  <c r="E772" s="1"/>
  <c r="E775" s="1"/>
  <c r="F772" s="1"/>
  <c r="F775" s="1"/>
  <c r="G772" s="1"/>
  <c r="G775" s="1"/>
  <c r="H772" s="1"/>
  <c r="H775" s="1"/>
  <c r="I772" s="1"/>
  <c r="I775" s="1"/>
  <c r="J772" s="1"/>
  <c r="J775" s="1"/>
  <c r="K772" s="1"/>
  <c r="K775" s="1"/>
  <c r="L772" s="1"/>
  <c r="L775" s="1"/>
  <c r="M772" s="1"/>
  <c r="M775" s="1"/>
  <c r="N772" s="1"/>
  <c r="N775" s="1"/>
  <c r="O772" s="1"/>
  <c r="O775" s="1"/>
  <c r="P772" s="1"/>
  <c r="P775" s="1"/>
  <c r="Q772" s="1"/>
  <c r="Q775" s="1"/>
  <c r="R772" s="1"/>
  <c r="R775" s="1"/>
  <c r="S772" s="1"/>
  <c r="S775" s="1"/>
  <c r="T772" s="1"/>
  <c r="T775" s="1"/>
  <c r="U772" s="1"/>
  <c r="U775" s="1"/>
  <c r="V772" s="1"/>
  <c r="V775" s="1"/>
  <c r="W772" s="1"/>
  <c r="W775" s="1"/>
  <c r="X772" s="1"/>
  <c r="X775" s="1"/>
  <c r="Y772" s="1"/>
  <c r="Y775" s="1"/>
  <c r="Z772" s="1"/>
  <c r="Z775" s="1"/>
  <c r="AA772" s="1"/>
  <c r="AA775" s="1"/>
  <c r="AB772" s="1"/>
  <c r="AB775" s="1"/>
  <c r="AC772" s="1"/>
  <c r="AC775" s="1"/>
  <c r="AD772" s="1"/>
  <c r="AD775" s="1"/>
  <c r="AE772" s="1"/>
  <c r="AE775" s="1"/>
  <c r="AF772" s="1"/>
  <c r="AF775" s="1"/>
  <c r="AG772" s="1"/>
  <c r="AG775" s="1"/>
  <c r="AH772" s="1"/>
  <c r="AH775" s="1"/>
  <c r="AI772" s="1"/>
  <c r="AI775" s="1"/>
  <c r="AJ772" s="1"/>
  <c r="AJ775" s="1"/>
  <c r="AK772" s="1"/>
  <c r="AK775" s="1"/>
  <c r="AL772" s="1"/>
  <c r="AL775" s="1"/>
  <c r="AM772" s="1"/>
  <c r="AM775" s="1"/>
  <c r="AN772" s="1"/>
  <c r="AN775" s="1"/>
  <c r="AO772" s="1"/>
  <c r="AO775" s="1"/>
  <c r="AP772" s="1"/>
  <c r="AP775" s="1"/>
  <c r="C65"/>
  <c r="C107"/>
  <c r="C177" i="1"/>
  <c r="C164"/>
  <c r="C180"/>
  <c r="D684" i="2"/>
  <c r="D678"/>
  <c r="B116"/>
  <c r="AN242"/>
  <c r="AN243" s="1"/>
  <c r="AN271" s="1"/>
  <c r="AN272" s="1"/>
  <c r="AN108" s="1"/>
  <c r="AN109" s="1"/>
  <c r="AO47"/>
  <c r="AO56" s="1"/>
  <c r="AO202"/>
  <c r="AO206" s="1"/>
  <c r="AO234" s="1"/>
  <c r="AO235" s="1"/>
  <c r="AO107" s="1"/>
  <c r="AO238"/>
  <c r="AP43"/>
  <c r="AC680"/>
  <c r="AC80"/>
  <c r="AC81" s="1"/>
  <c r="AL109"/>
  <c r="AM272"/>
  <c r="AM108" s="1"/>
  <c r="AM109" s="1"/>
  <c r="C711"/>
  <c r="AP268"/>
  <c r="AP269" s="1"/>
  <c r="AP231"/>
  <c r="AP232" s="1"/>
  <c r="AO718" i="10" l="1"/>
  <c r="AO721" s="1"/>
  <c r="AN814"/>
  <c r="AL770" i="8"/>
  <c r="AM674"/>
  <c r="AM677" s="1"/>
  <c r="B87"/>
  <c r="B127"/>
  <c r="B140" s="1"/>
  <c r="B116"/>
  <c r="B118" s="1"/>
  <c r="K87"/>
  <c r="K79"/>
  <c r="K100"/>
  <c r="B86"/>
  <c r="B79"/>
  <c r="K96" i="7"/>
  <c r="K88"/>
  <c r="K109"/>
  <c r="B95"/>
  <c r="B88"/>
  <c r="B134" i="2"/>
  <c r="B125" s="1"/>
  <c r="B127" s="1"/>
  <c r="L604" i="7"/>
  <c r="D708" i="2"/>
  <c r="D711" s="1"/>
  <c r="E708" s="1"/>
  <c r="E711" s="1"/>
  <c r="B81"/>
  <c r="B82" s="1"/>
  <c r="B87" s="1"/>
  <c r="B86"/>
  <c r="C166" i="1"/>
  <c r="C168"/>
  <c r="C169"/>
  <c r="C170"/>
  <c r="C167"/>
  <c r="D55" i="2"/>
  <c r="D240"/>
  <c r="D204"/>
  <c r="D683"/>
  <c r="AP47"/>
  <c r="AP56" s="1"/>
  <c r="AP202"/>
  <c r="AP206" s="1"/>
  <c r="AP234" s="1"/>
  <c r="AP235" s="1"/>
  <c r="AP107" s="1"/>
  <c r="AP238"/>
  <c r="AO242"/>
  <c r="AO243" s="1"/>
  <c r="AO271" s="1"/>
  <c r="AO272" s="1"/>
  <c r="AO108" s="1"/>
  <c r="AD683"/>
  <c r="K82" i="8" l="1"/>
  <c r="I82"/>
  <c r="G82"/>
  <c r="E82"/>
  <c r="C82"/>
  <c r="J82"/>
  <c r="H82"/>
  <c r="F82"/>
  <c r="D82"/>
  <c r="J91" i="7"/>
  <c r="H91"/>
  <c r="F91"/>
  <c r="D91"/>
  <c r="K91"/>
  <c r="I91"/>
  <c r="G91"/>
  <c r="E91"/>
  <c r="C91"/>
  <c r="B129" i="2"/>
  <c r="AP718" i="10"/>
  <c r="AP721" s="1"/>
  <c r="AP814" s="1"/>
  <c r="AO814"/>
  <c r="AM770" i="8"/>
  <c r="AN674"/>
  <c r="AN677" s="1"/>
  <c r="J81"/>
  <c r="H81"/>
  <c r="F81"/>
  <c r="D81"/>
  <c r="B81"/>
  <c r="B82"/>
  <c r="K81"/>
  <c r="I81"/>
  <c r="G81"/>
  <c r="E81"/>
  <c r="C81"/>
  <c r="L205"/>
  <c r="L233" s="1"/>
  <c r="L234" s="1"/>
  <c r="B121"/>
  <c r="B120"/>
  <c r="B88"/>
  <c r="B101" s="1"/>
  <c r="B171"/>
  <c r="B175" s="1"/>
  <c r="B192" s="1"/>
  <c r="B156"/>
  <c r="K88"/>
  <c r="K101" s="1"/>
  <c r="B144"/>
  <c r="B142"/>
  <c r="B130" i="2"/>
  <c r="L166" i="7"/>
  <c r="L130"/>
  <c r="L132" s="1"/>
  <c r="L160" s="1"/>
  <c r="L161" s="1"/>
  <c r="L55"/>
  <c r="L56" s="1"/>
  <c r="L609"/>
  <c r="J90"/>
  <c r="H90"/>
  <c r="F90"/>
  <c r="D90"/>
  <c r="B90"/>
  <c r="B91"/>
  <c r="K90"/>
  <c r="E84" i="1" s="1"/>
  <c r="I90" i="7"/>
  <c r="G90"/>
  <c r="E90"/>
  <c r="C90"/>
  <c r="B97"/>
  <c r="B110" s="1"/>
  <c r="K97"/>
  <c r="K110" s="1"/>
  <c r="E66" i="2"/>
  <c r="E72" s="1"/>
  <c r="D66"/>
  <c r="D72" s="1"/>
  <c r="B96"/>
  <c r="B160" s="1"/>
  <c r="C171" i="1"/>
  <c r="B95" i="2"/>
  <c r="B88"/>
  <c r="D680"/>
  <c r="D681" s="1"/>
  <c r="D80"/>
  <c r="D81" s="1"/>
  <c r="AD680"/>
  <c r="AD80"/>
  <c r="AD81" s="1"/>
  <c r="AO109"/>
  <c r="AP242"/>
  <c r="AP243" s="1"/>
  <c r="AP271" s="1"/>
  <c r="F708"/>
  <c r="F711" s="1"/>
  <c r="B97" l="1"/>
  <c r="K104" i="8"/>
  <c r="I104"/>
  <c r="G104"/>
  <c r="E104"/>
  <c r="C104"/>
  <c r="J104"/>
  <c r="H104"/>
  <c r="F104"/>
  <c r="D104"/>
  <c r="J114" i="7"/>
  <c r="H114"/>
  <c r="F114"/>
  <c r="D114"/>
  <c r="K114"/>
  <c r="I114"/>
  <c r="G114"/>
  <c r="E114"/>
  <c r="C114"/>
  <c r="B91" i="2"/>
  <c r="AN770" i="8"/>
  <c r="AO674"/>
  <c r="AO677" s="1"/>
  <c r="B160"/>
  <c r="B163" s="1"/>
  <c r="B150"/>
  <c r="B151" s="1"/>
  <c r="B104"/>
  <c r="K103"/>
  <c r="I103"/>
  <c r="G103"/>
  <c r="E103"/>
  <c r="C103"/>
  <c r="J103"/>
  <c r="H103"/>
  <c r="F103"/>
  <c r="D103"/>
  <c r="B103"/>
  <c r="L72"/>
  <c r="L73" s="1"/>
  <c r="L78" s="1"/>
  <c r="L240"/>
  <c r="L241" s="1"/>
  <c r="L269" s="1"/>
  <c r="L270" s="1"/>
  <c r="L99" s="1"/>
  <c r="L98"/>
  <c r="B143"/>
  <c r="B194"/>
  <c r="B195"/>
  <c r="B114" i="7"/>
  <c r="K112"/>
  <c r="I112"/>
  <c r="G112"/>
  <c r="E112"/>
  <c r="C112"/>
  <c r="J112"/>
  <c r="H112"/>
  <c r="F112"/>
  <c r="D112"/>
  <c r="B112"/>
  <c r="L606"/>
  <c r="L607" s="1"/>
  <c r="L80"/>
  <c r="L81" s="1"/>
  <c r="L82" s="1"/>
  <c r="L87" s="1"/>
  <c r="L168"/>
  <c r="L169" s="1"/>
  <c r="L197" s="1"/>
  <c r="L198" s="1"/>
  <c r="L108" s="1"/>
  <c r="L107"/>
  <c r="F66" i="2"/>
  <c r="F72" s="1"/>
  <c r="B174"/>
  <c r="B90"/>
  <c r="B172"/>
  <c r="B158"/>
  <c r="B161" s="1"/>
  <c r="E678"/>
  <c r="E684"/>
  <c r="AP272"/>
  <c r="AP108" s="1"/>
  <c r="G708"/>
  <c r="G711" s="1"/>
  <c r="AE683"/>
  <c r="B162" i="8" l="1"/>
  <c r="AO770"/>
  <c r="AP674"/>
  <c r="AP677" s="1"/>
  <c r="AP770" s="1"/>
  <c r="C138"/>
  <c r="C190" s="1"/>
  <c r="C134"/>
  <c r="C182" s="1"/>
  <c r="C130"/>
  <c r="C178" s="1"/>
  <c r="C137"/>
  <c r="C133"/>
  <c r="C129"/>
  <c r="B153"/>
  <c r="C149" s="1"/>
  <c r="C151" s="1"/>
  <c r="C158" s="1"/>
  <c r="C173" s="1"/>
  <c r="L87"/>
  <c r="L79"/>
  <c r="L100"/>
  <c r="J113" i="7"/>
  <c r="H113"/>
  <c r="F113"/>
  <c r="D113"/>
  <c r="B113"/>
  <c r="K113"/>
  <c r="I113"/>
  <c r="G113"/>
  <c r="E113"/>
  <c r="C113"/>
  <c r="D116" s="1"/>
  <c r="M604"/>
  <c r="M610"/>
  <c r="L96"/>
  <c r="L88"/>
  <c r="L109"/>
  <c r="B163" i="2"/>
  <c r="B164"/>
  <c r="B175"/>
  <c r="B192" s="1"/>
  <c r="E240"/>
  <c r="E683"/>
  <c r="E55"/>
  <c r="E204"/>
  <c r="AE680"/>
  <c r="AE80"/>
  <c r="AE81" s="1"/>
  <c r="AP109"/>
  <c r="H708"/>
  <c r="H711" s="1"/>
  <c r="F116" i="7" l="1"/>
  <c r="AM82" i="8"/>
  <c r="AI82"/>
  <c r="AE82"/>
  <c r="AA82"/>
  <c r="W82"/>
  <c r="S82"/>
  <c r="O82"/>
  <c r="AN82"/>
  <c r="AJ82"/>
  <c r="AF82"/>
  <c r="B93" i="1" s="1"/>
  <c r="AB82" i="8"/>
  <c r="X82"/>
  <c r="T82"/>
  <c r="P82"/>
  <c r="L82"/>
  <c r="B90" i="1" s="1"/>
  <c r="AO82" i="8"/>
  <c r="AK82"/>
  <c r="AG82"/>
  <c r="AC82"/>
  <c r="Y82"/>
  <c r="U82"/>
  <c r="Q82"/>
  <c r="M82"/>
  <c r="AP82"/>
  <c r="AL82"/>
  <c r="AH82"/>
  <c r="AD82"/>
  <c r="Z82"/>
  <c r="V82"/>
  <c r="R82"/>
  <c r="N82"/>
  <c r="L91" i="7"/>
  <c r="E90" i="1" s="1"/>
  <c r="C126" i="8"/>
  <c r="C127" s="1"/>
  <c r="C139"/>
  <c r="C189"/>
  <c r="C191" s="1"/>
  <c r="L88"/>
  <c r="L101" s="1"/>
  <c r="C131"/>
  <c r="C177"/>
  <c r="C179" s="1"/>
  <c r="C135"/>
  <c r="C181"/>
  <c r="C183" s="1"/>
  <c r="AP81"/>
  <c r="AL81"/>
  <c r="AH81"/>
  <c r="AD81"/>
  <c r="Z81"/>
  <c r="V81"/>
  <c r="R81"/>
  <c r="N81"/>
  <c r="AO81"/>
  <c r="AK81"/>
  <c r="AG81"/>
  <c r="AC81"/>
  <c r="Y81"/>
  <c r="U81"/>
  <c r="Q81"/>
  <c r="M81"/>
  <c r="AN81"/>
  <c r="AJ81"/>
  <c r="AF81"/>
  <c r="B87" i="1" s="1"/>
  <c r="AB81" i="8"/>
  <c r="X81"/>
  <c r="T81"/>
  <c r="P81"/>
  <c r="L81"/>
  <c r="B84" i="1" s="1"/>
  <c r="AM81" i="8"/>
  <c r="AI81"/>
  <c r="AE81"/>
  <c r="AA81"/>
  <c r="W81"/>
  <c r="S81"/>
  <c r="O81"/>
  <c r="H116" i="7"/>
  <c r="J116"/>
  <c r="C116"/>
  <c r="G116"/>
  <c r="K116"/>
  <c r="E116"/>
  <c r="I116"/>
  <c r="M166"/>
  <c r="M55"/>
  <c r="M56" s="1"/>
  <c r="M609"/>
  <c r="M130"/>
  <c r="M132" s="1"/>
  <c r="M160" s="1"/>
  <c r="M161" s="1"/>
  <c r="L97"/>
  <c r="L110" s="1"/>
  <c r="L90"/>
  <c r="B194" i="2"/>
  <c r="G66"/>
  <c r="G72" s="1"/>
  <c r="B195"/>
  <c r="E80"/>
  <c r="E81" s="1"/>
  <c r="E680"/>
  <c r="E681" s="1"/>
  <c r="I708"/>
  <c r="I711" s="1"/>
  <c r="AF683"/>
  <c r="C117" i="8" l="1"/>
  <c r="C159" s="1"/>
  <c r="C174" s="1"/>
  <c r="C175" s="1"/>
  <c r="C192" s="1"/>
  <c r="C194" s="1"/>
  <c r="AM104"/>
  <c r="AI104"/>
  <c r="AE104"/>
  <c r="AA104"/>
  <c r="W104"/>
  <c r="S104"/>
  <c r="O104"/>
  <c r="AN104"/>
  <c r="AJ104"/>
  <c r="AF104"/>
  <c r="B94" i="1" s="1"/>
  <c r="AB104" i="8"/>
  <c r="X104"/>
  <c r="T104"/>
  <c r="P104"/>
  <c r="L104"/>
  <c r="B91" i="1" s="1"/>
  <c r="AO104" i="8"/>
  <c r="AK104"/>
  <c r="AG104"/>
  <c r="AC104"/>
  <c r="Y104"/>
  <c r="U104"/>
  <c r="Q104"/>
  <c r="M104"/>
  <c r="AP104"/>
  <c r="AL104"/>
  <c r="AH104"/>
  <c r="AD104"/>
  <c r="Z104"/>
  <c r="V104"/>
  <c r="R104"/>
  <c r="N104"/>
  <c r="L114" i="7"/>
  <c r="E91" i="1" s="1"/>
  <c r="C140" i="8"/>
  <c r="C142" s="1"/>
  <c r="C153"/>
  <c r="D149" s="1"/>
  <c r="D151" s="1"/>
  <c r="D158" s="1"/>
  <c r="D173" s="1"/>
  <c r="AM103"/>
  <c r="AI103"/>
  <c r="AE103"/>
  <c r="AA103"/>
  <c r="W103"/>
  <c r="S103"/>
  <c r="O103"/>
  <c r="AN103"/>
  <c r="AJ103"/>
  <c r="AF103"/>
  <c r="B88" i="1" s="1"/>
  <c r="AB103" i="8"/>
  <c r="X103"/>
  <c r="T103"/>
  <c r="P103"/>
  <c r="L103"/>
  <c r="B85" i="1" s="1"/>
  <c r="AO103" i="8"/>
  <c r="AK103"/>
  <c r="AG103"/>
  <c r="AC103"/>
  <c r="Y103"/>
  <c r="U103"/>
  <c r="Q103"/>
  <c r="M103"/>
  <c r="AP103"/>
  <c r="AL103"/>
  <c r="AH103"/>
  <c r="AD103"/>
  <c r="Z103"/>
  <c r="V103"/>
  <c r="R103"/>
  <c r="N103"/>
  <c r="M107" i="7"/>
  <c r="M168"/>
  <c r="M169" s="1"/>
  <c r="M197" s="1"/>
  <c r="M198" s="1"/>
  <c r="M108" s="1"/>
  <c r="M606"/>
  <c r="M607" s="1"/>
  <c r="M80"/>
  <c r="M81" s="1"/>
  <c r="M82" s="1"/>
  <c r="M87" s="1"/>
  <c r="L112"/>
  <c r="E85" i="1" s="1"/>
  <c r="I66" i="2"/>
  <c r="I72" s="1"/>
  <c r="H66"/>
  <c r="H72" s="1"/>
  <c r="F678"/>
  <c r="F684"/>
  <c r="AF680"/>
  <c r="AF80"/>
  <c r="AF81" s="1"/>
  <c r="J708"/>
  <c r="J711" s="1"/>
  <c r="C160" i="8" l="1"/>
  <c r="C163" s="1"/>
  <c r="C118"/>
  <c r="C121" s="1"/>
  <c r="C195"/>
  <c r="C144"/>
  <c r="D153"/>
  <c r="E149" s="1"/>
  <c r="E151" s="1"/>
  <c r="E158" s="1"/>
  <c r="E173" s="1"/>
  <c r="C143"/>
  <c r="L113" i="7"/>
  <c r="M96"/>
  <c r="M97" s="1"/>
  <c r="M88"/>
  <c r="M109"/>
  <c r="N604"/>
  <c r="N610"/>
  <c r="J66" i="2"/>
  <c r="J72" s="1"/>
  <c r="F204"/>
  <c r="F683"/>
  <c r="F240"/>
  <c r="F55"/>
  <c r="K708"/>
  <c r="K711" s="1"/>
  <c r="C162" i="8" l="1"/>
  <c r="C120"/>
  <c r="M91" i="7"/>
  <c r="C146" i="8"/>
  <c r="D138"/>
  <c r="D137"/>
  <c r="D134"/>
  <c r="D182" s="1"/>
  <c r="D133"/>
  <c r="D130"/>
  <c r="D178" s="1"/>
  <c r="D129"/>
  <c r="D126"/>
  <c r="E153"/>
  <c r="F149" s="1"/>
  <c r="F151" s="1"/>
  <c r="F158" s="1"/>
  <c r="F173" s="1"/>
  <c r="D190"/>
  <c r="M110" i="7"/>
  <c r="L116"/>
  <c r="N130"/>
  <c r="N132" s="1"/>
  <c r="N160" s="1"/>
  <c r="N161" s="1"/>
  <c r="N609"/>
  <c r="N166"/>
  <c r="N55"/>
  <c r="N56" s="1"/>
  <c r="M90"/>
  <c r="K66" i="2"/>
  <c r="K72" s="1"/>
  <c r="F680"/>
  <c r="F681" s="1"/>
  <c r="F80"/>
  <c r="F81" s="1"/>
  <c r="L708"/>
  <c r="L711" s="1"/>
  <c r="AH683"/>
  <c r="M112" i="7" l="1"/>
  <c r="M113" s="1"/>
  <c r="M114"/>
  <c r="F153" i="8"/>
  <c r="G149" s="1"/>
  <c r="G151" s="1"/>
  <c r="G158" s="1"/>
  <c r="G173" s="1"/>
  <c r="D139"/>
  <c r="D189"/>
  <c r="D191" s="1"/>
  <c r="D127"/>
  <c r="D117"/>
  <c r="D159" s="1"/>
  <c r="D174" s="1"/>
  <c r="D175" s="1"/>
  <c r="D177"/>
  <c r="D179" s="1"/>
  <c r="D131"/>
  <c r="D135"/>
  <c r="D181"/>
  <c r="D183" s="1"/>
  <c r="N107" i="7"/>
  <c r="N168"/>
  <c r="N169" s="1"/>
  <c r="N197" s="1"/>
  <c r="N198" s="1"/>
  <c r="N108" s="1"/>
  <c r="N80"/>
  <c r="N81" s="1"/>
  <c r="N82" s="1"/>
  <c r="N87" s="1"/>
  <c r="N606"/>
  <c r="N607" s="1"/>
  <c r="G678" i="2"/>
  <c r="G684"/>
  <c r="AH680"/>
  <c r="AH80"/>
  <c r="AH81" s="1"/>
  <c r="M708"/>
  <c r="M711" s="1"/>
  <c r="G153" i="8" l="1"/>
  <c r="H149" s="1"/>
  <c r="H151" s="1"/>
  <c r="H158" s="1"/>
  <c r="H173" s="1"/>
  <c r="D118"/>
  <c r="D160"/>
  <c r="D192"/>
  <c r="D140"/>
  <c r="O604" i="7"/>
  <c r="O610"/>
  <c r="M116"/>
  <c r="N88"/>
  <c r="N96"/>
  <c r="N97" s="1"/>
  <c r="N109"/>
  <c r="M66" i="2"/>
  <c r="M72" s="1"/>
  <c r="L66"/>
  <c r="L72" s="1"/>
  <c r="G204"/>
  <c r="G683"/>
  <c r="G240"/>
  <c r="G55"/>
  <c r="N708"/>
  <c r="N711" s="1"/>
  <c r="AI683"/>
  <c r="D144" i="8" l="1"/>
  <c r="D163"/>
  <c r="D195"/>
  <c r="D121"/>
  <c r="N91" i="7"/>
  <c r="H153" i="8"/>
  <c r="I149" s="1"/>
  <c r="I151" s="1"/>
  <c r="I158" s="1"/>
  <c r="I173" s="1"/>
  <c r="D194"/>
  <c r="D120"/>
  <c r="D142"/>
  <c r="D162"/>
  <c r="O609" i="7"/>
  <c r="O130"/>
  <c r="O132" s="1"/>
  <c r="O160" s="1"/>
  <c r="O161" s="1"/>
  <c r="O166"/>
  <c r="O55"/>
  <c r="O56" s="1"/>
  <c r="N90"/>
  <c r="N110"/>
  <c r="N66" i="2"/>
  <c r="N72" s="1"/>
  <c r="G680"/>
  <c r="G681" s="1"/>
  <c r="G80"/>
  <c r="G81" s="1"/>
  <c r="AI680"/>
  <c r="AI80"/>
  <c r="AI81" s="1"/>
  <c r="O708"/>
  <c r="O711" s="1"/>
  <c r="N114" i="7" l="1"/>
  <c r="I153" i="8"/>
  <c r="J149" s="1"/>
  <c r="J151" s="1"/>
  <c r="J158" s="1"/>
  <c r="J173" s="1"/>
  <c r="D143"/>
  <c r="O168" i="7"/>
  <c r="O169" s="1"/>
  <c r="O197" s="1"/>
  <c r="O198" s="1"/>
  <c r="O108" s="1"/>
  <c r="O107"/>
  <c r="O80"/>
  <c r="O81" s="1"/>
  <c r="O82" s="1"/>
  <c r="O87" s="1"/>
  <c r="O606"/>
  <c r="O607" s="1"/>
  <c r="N112"/>
  <c r="O66" i="2"/>
  <c r="O72" s="1"/>
  <c r="H684"/>
  <c r="H678"/>
  <c r="P708"/>
  <c r="P711" s="1"/>
  <c r="AJ683"/>
  <c r="D146" i="8" l="1"/>
  <c r="E138"/>
  <c r="E190" s="1"/>
  <c r="E137"/>
  <c r="E134"/>
  <c r="E182" s="1"/>
  <c r="E133"/>
  <c r="E126"/>
  <c r="E130"/>
  <c r="E178" s="1"/>
  <c r="E129"/>
  <c r="J153"/>
  <c r="K149" s="1"/>
  <c r="K151" s="1"/>
  <c r="K158" s="1"/>
  <c r="K173" s="1"/>
  <c r="P604" i="7"/>
  <c r="P610"/>
  <c r="O96"/>
  <c r="O97" s="1"/>
  <c r="O88"/>
  <c r="O109"/>
  <c r="O110" s="1"/>
  <c r="N113"/>
  <c r="P66" i="2"/>
  <c r="P72" s="1"/>
  <c r="H55"/>
  <c r="H204"/>
  <c r="H240"/>
  <c r="H683"/>
  <c r="AJ680"/>
  <c r="AJ80"/>
  <c r="AJ81" s="1"/>
  <c r="Q708"/>
  <c r="Q711" s="1"/>
  <c r="O91" i="7" l="1"/>
  <c r="O114"/>
  <c r="K153" i="8"/>
  <c r="L149" s="1"/>
  <c r="L151" s="1"/>
  <c r="L158" s="1"/>
  <c r="L173" s="1"/>
  <c r="E139"/>
  <c r="E189"/>
  <c r="E191" s="1"/>
  <c r="E177"/>
  <c r="E179" s="1"/>
  <c r="E131"/>
  <c r="E135"/>
  <c r="E181"/>
  <c r="E183" s="1"/>
  <c r="E117"/>
  <c r="E159" s="1"/>
  <c r="E174" s="1"/>
  <c r="E175" s="1"/>
  <c r="E127"/>
  <c r="O112" i="7"/>
  <c r="O90"/>
  <c r="P130"/>
  <c r="P132" s="1"/>
  <c r="P160" s="1"/>
  <c r="P161" s="1"/>
  <c r="P609"/>
  <c r="P166"/>
  <c r="P55"/>
  <c r="P56" s="1"/>
  <c r="N116"/>
  <c r="Q66" i="2"/>
  <c r="Q72" s="1"/>
  <c r="H680"/>
  <c r="H681" s="1"/>
  <c r="H80"/>
  <c r="H81" s="1"/>
  <c r="R708"/>
  <c r="R711" s="1"/>
  <c r="AK683"/>
  <c r="L153" i="8" l="1"/>
  <c r="M149" s="1"/>
  <c r="M151" s="1"/>
  <c r="M158" s="1"/>
  <c r="M173" s="1"/>
  <c r="E192"/>
  <c r="E118"/>
  <c r="E160"/>
  <c r="E140"/>
  <c r="P606" i="7"/>
  <c r="P607" s="1"/>
  <c r="P80"/>
  <c r="P81" s="1"/>
  <c r="P82" s="1"/>
  <c r="P87" s="1"/>
  <c r="P168"/>
  <c r="P169" s="1"/>
  <c r="P197" s="1"/>
  <c r="P198" s="1"/>
  <c r="P108" s="1"/>
  <c r="P107"/>
  <c r="O113"/>
  <c r="R66" i="2"/>
  <c r="R72" s="1"/>
  <c r="I678"/>
  <c r="I684"/>
  <c r="AK680"/>
  <c r="AK80"/>
  <c r="AK81" s="1"/>
  <c r="S708"/>
  <c r="S711" s="1"/>
  <c r="E144" i="8" l="1"/>
  <c r="E121"/>
  <c r="E163"/>
  <c r="E194"/>
  <c r="E195"/>
  <c r="M153"/>
  <c r="N149" s="1"/>
  <c r="N151" s="1"/>
  <c r="N158" s="1"/>
  <c r="N173" s="1"/>
  <c r="E142"/>
  <c r="E120"/>
  <c r="E162"/>
  <c r="Q604" i="7"/>
  <c r="Q610"/>
  <c r="O116"/>
  <c r="P88"/>
  <c r="P91" s="1"/>
  <c r="P96"/>
  <c r="P97" s="1"/>
  <c r="P109"/>
  <c r="S66" i="2"/>
  <c r="S72" s="1"/>
  <c r="I204"/>
  <c r="I683"/>
  <c r="I55"/>
  <c r="I240"/>
  <c r="T708"/>
  <c r="T711" s="1"/>
  <c r="AL683"/>
  <c r="N153" i="8" l="1"/>
  <c r="O149" s="1"/>
  <c r="O151" s="1"/>
  <c r="O158" s="1"/>
  <c r="O173" s="1"/>
  <c r="E143"/>
  <c r="P90" i="7"/>
  <c r="P110"/>
  <c r="P114" s="1"/>
  <c r="Q609"/>
  <c r="Q166"/>
  <c r="Q55"/>
  <c r="Q56" s="1"/>
  <c r="Q130"/>
  <c r="Q132" s="1"/>
  <c r="Q160" s="1"/>
  <c r="Q161" s="1"/>
  <c r="T66" i="2"/>
  <c r="T72" s="1"/>
  <c r="I80"/>
  <c r="I81" s="1"/>
  <c r="I680"/>
  <c r="I681" s="1"/>
  <c r="AL680"/>
  <c r="AL80"/>
  <c r="AL81" s="1"/>
  <c r="U708"/>
  <c r="U711" s="1"/>
  <c r="AM683"/>
  <c r="E146" i="8" l="1"/>
  <c r="F138"/>
  <c r="F190" s="1"/>
  <c r="F137"/>
  <c r="F134"/>
  <c r="F182" s="1"/>
  <c r="F133"/>
  <c r="F126"/>
  <c r="F130"/>
  <c r="F178" s="1"/>
  <c r="F129"/>
  <c r="O153"/>
  <c r="P149" s="1"/>
  <c r="P151" s="1"/>
  <c r="P158" s="1"/>
  <c r="P173" s="1"/>
  <c r="Q606" i="7"/>
  <c r="Q607" s="1"/>
  <c r="Q80"/>
  <c r="Q81" s="1"/>
  <c r="Q82" s="1"/>
  <c r="Q87" s="1"/>
  <c r="P112"/>
  <c r="Q168"/>
  <c r="Q169" s="1"/>
  <c r="Q197" s="1"/>
  <c r="Q198" s="1"/>
  <c r="Q108" s="1"/>
  <c r="Q107"/>
  <c r="U66" i="2"/>
  <c r="U72" s="1"/>
  <c r="J684"/>
  <c r="J678"/>
  <c r="AM680"/>
  <c r="AM80"/>
  <c r="AM81" s="1"/>
  <c r="V708"/>
  <c r="V711" s="1"/>
  <c r="P153" i="8" l="1"/>
  <c r="Q149" s="1"/>
  <c r="Q151" s="1"/>
  <c r="Q158" s="1"/>
  <c r="Q173" s="1"/>
  <c r="F139"/>
  <c r="F189"/>
  <c r="F191" s="1"/>
  <c r="F127"/>
  <c r="F117"/>
  <c r="F159" s="1"/>
  <c r="F174" s="1"/>
  <c r="F175" s="1"/>
  <c r="F177"/>
  <c r="F179" s="1"/>
  <c r="F131"/>
  <c r="F135"/>
  <c r="F181"/>
  <c r="F183" s="1"/>
  <c r="Q109" i="7"/>
  <c r="R604"/>
  <c r="R610"/>
  <c r="P113"/>
  <c r="Q96"/>
  <c r="Q97" s="1"/>
  <c r="Q88"/>
  <c r="Q91" s="1"/>
  <c r="V66" i="2"/>
  <c r="V72" s="1"/>
  <c r="J240"/>
  <c r="J55"/>
  <c r="J683"/>
  <c r="J204"/>
  <c r="W708"/>
  <c r="W711" s="1"/>
  <c r="AN683"/>
  <c r="Q110" i="7" l="1"/>
  <c r="Q114" s="1"/>
  <c r="Q153" i="8"/>
  <c r="R149" s="1"/>
  <c r="R151" s="1"/>
  <c r="R158" s="1"/>
  <c r="R173" s="1"/>
  <c r="F118"/>
  <c r="F160"/>
  <c r="F192"/>
  <c r="F140"/>
  <c r="Q90" i="7"/>
  <c r="P116"/>
  <c r="R609"/>
  <c r="R166"/>
  <c r="R55"/>
  <c r="R56" s="1"/>
  <c r="R130"/>
  <c r="R132" s="1"/>
  <c r="R160" s="1"/>
  <c r="R161" s="1"/>
  <c r="W66" i="2"/>
  <c r="W72" s="1"/>
  <c r="J80"/>
  <c r="J81" s="1"/>
  <c r="J680"/>
  <c r="J681" s="1"/>
  <c r="AN680"/>
  <c r="AN80"/>
  <c r="AN81" s="1"/>
  <c r="X708"/>
  <c r="X711" s="1"/>
  <c r="Q112" i="7" l="1"/>
  <c r="Q113" s="1"/>
  <c r="F144" i="8"/>
  <c r="F163"/>
  <c r="F195"/>
  <c r="F121"/>
  <c r="R153"/>
  <c r="S149" s="1"/>
  <c r="S151" s="1"/>
  <c r="S158" s="1"/>
  <c r="S173" s="1"/>
  <c r="F194"/>
  <c r="F120"/>
  <c r="F142"/>
  <c r="F162"/>
  <c r="R168" i="7"/>
  <c r="R169" s="1"/>
  <c r="R197" s="1"/>
  <c r="R198" s="1"/>
  <c r="R108" s="1"/>
  <c r="R107"/>
  <c r="R80"/>
  <c r="R81" s="1"/>
  <c r="R82" s="1"/>
  <c r="R87" s="1"/>
  <c r="R606"/>
  <c r="R607" s="1"/>
  <c r="X66" i="2"/>
  <c r="X72" s="1"/>
  <c r="K684"/>
  <c r="K678"/>
  <c r="AG683"/>
  <c r="Y708"/>
  <c r="Y711" s="1"/>
  <c r="AO683"/>
  <c r="S153" i="8" l="1"/>
  <c r="T149" s="1"/>
  <c r="T151" s="1"/>
  <c r="T158" s="1"/>
  <c r="T173" s="1"/>
  <c r="F143"/>
  <c r="R88" i="7"/>
  <c r="R91" s="1"/>
  <c r="R96"/>
  <c r="R97" s="1"/>
  <c r="S604"/>
  <c r="S610"/>
  <c r="Q116"/>
  <c r="R109"/>
  <c r="R110" s="1"/>
  <c r="R114" s="1"/>
  <c r="Y66" i="2"/>
  <c r="Y72" s="1"/>
  <c r="K683"/>
  <c r="K204"/>
  <c r="K240"/>
  <c r="K55"/>
  <c r="AG80"/>
  <c r="AG81" s="1"/>
  <c r="AG680"/>
  <c r="AO680"/>
  <c r="AO80"/>
  <c r="AO81" s="1"/>
  <c r="Z708"/>
  <c r="Z711" s="1"/>
  <c r="AP683"/>
  <c r="AP80" s="1"/>
  <c r="AP81" s="1"/>
  <c r="F146" i="8" l="1"/>
  <c r="G138"/>
  <c r="G190" s="1"/>
  <c r="G137"/>
  <c r="G134"/>
  <c r="G182" s="1"/>
  <c r="G133"/>
  <c r="G126"/>
  <c r="G130"/>
  <c r="G178" s="1"/>
  <c r="G129"/>
  <c r="T153"/>
  <c r="U149" s="1"/>
  <c r="U151" s="1"/>
  <c r="U158" s="1"/>
  <c r="U173" s="1"/>
  <c r="R112" i="7"/>
  <c r="R90"/>
  <c r="S166"/>
  <c r="S55"/>
  <c r="S56" s="1"/>
  <c r="S609"/>
  <c r="S130"/>
  <c r="S132" s="1"/>
  <c r="S160" s="1"/>
  <c r="S161" s="1"/>
  <c r="Z66" i="2"/>
  <c r="Z72" s="1"/>
  <c r="K80"/>
  <c r="K81" s="1"/>
  <c r="K680"/>
  <c r="K681" s="1"/>
  <c r="AA708"/>
  <c r="AA711" s="1"/>
  <c r="AP680"/>
  <c r="U153" i="8" l="1"/>
  <c r="V149" s="1"/>
  <c r="V151" s="1"/>
  <c r="V158" s="1"/>
  <c r="V173" s="1"/>
  <c r="G139"/>
  <c r="G189"/>
  <c r="G191" s="1"/>
  <c r="G177"/>
  <c r="G179" s="1"/>
  <c r="G131"/>
  <c r="G135"/>
  <c r="G181"/>
  <c r="G183" s="1"/>
  <c r="G117"/>
  <c r="G159" s="1"/>
  <c r="G174" s="1"/>
  <c r="G175" s="1"/>
  <c r="G127"/>
  <c r="S80" i="7"/>
  <c r="S81" s="1"/>
  <c r="S82" s="1"/>
  <c r="S87" s="1"/>
  <c r="S606"/>
  <c r="S607" s="1"/>
  <c r="S168"/>
  <c r="S169" s="1"/>
  <c r="S197" s="1"/>
  <c r="S198" s="1"/>
  <c r="S108" s="1"/>
  <c r="S107"/>
  <c r="R113"/>
  <c r="AA66" i="2"/>
  <c r="AA72" s="1"/>
  <c r="L684"/>
  <c r="L678"/>
  <c r="AB708"/>
  <c r="AB711" s="1"/>
  <c r="V153" i="8" l="1"/>
  <c r="W149" s="1"/>
  <c r="W151" s="1"/>
  <c r="W158" s="1"/>
  <c r="W173" s="1"/>
  <c r="G192"/>
  <c r="G195" s="1"/>
  <c r="G118"/>
  <c r="G121" s="1"/>
  <c r="G160"/>
  <c r="G163" s="1"/>
  <c r="G140"/>
  <c r="G144" s="1"/>
  <c r="S88" i="7"/>
  <c r="S91" s="1"/>
  <c r="S96"/>
  <c r="S97" s="1"/>
  <c r="R116"/>
  <c r="S109"/>
  <c r="T604"/>
  <c r="T610"/>
  <c r="AB66" i="2"/>
  <c r="AB72" s="1"/>
  <c r="L55"/>
  <c r="L240"/>
  <c r="L204"/>
  <c r="L683"/>
  <c r="AC708"/>
  <c r="AC711" s="1"/>
  <c r="S110" i="7" l="1"/>
  <c r="S114" s="1"/>
  <c r="G194" i="8"/>
  <c r="W153"/>
  <c r="X149" s="1"/>
  <c r="X151" s="1"/>
  <c r="X158" s="1"/>
  <c r="X173" s="1"/>
  <c r="G142"/>
  <c r="G143" s="1"/>
  <c r="G120"/>
  <c r="G162"/>
  <c r="T609" i="7"/>
  <c r="T166"/>
  <c r="T55"/>
  <c r="T56" s="1"/>
  <c r="T130"/>
  <c r="T132" s="1"/>
  <c r="T160" s="1"/>
  <c r="T161" s="1"/>
  <c r="S90"/>
  <c r="AC66" i="2"/>
  <c r="AC72" s="1"/>
  <c r="L680"/>
  <c r="L681" s="1"/>
  <c r="L80"/>
  <c r="L81" s="1"/>
  <c r="AD708"/>
  <c r="AD711" s="1"/>
  <c r="S112" i="7" l="1"/>
  <c r="S113" s="1"/>
  <c r="G146" i="8"/>
  <c r="H138"/>
  <c r="H190" s="1"/>
  <c r="H137"/>
  <c r="H134"/>
  <c r="H182" s="1"/>
  <c r="H133"/>
  <c r="H126"/>
  <c r="H130"/>
  <c r="H178" s="1"/>
  <c r="H129"/>
  <c r="X153"/>
  <c r="Y149" s="1"/>
  <c r="Y151" s="1"/>
  <c r="Y158" s="1"/>
  <c r="Y173" s="1"/>
  <c r="T606" i="7"/>
  <c r="T607" s="1"/>
  <c r="T80"/>
  <c r="T81" s="1"/>
  <c r="T82" s="1"/>
  <c r="T87" s="1"/>
  <c r="T168"/>
  <c r="T169" s="1"/>
  <c r="T197" s="1"/>
  <c r="T198" s="1"/>
  <c r="T108" s="1"/>
  <c r="T107"/>
  <c r="AD66" i="2"/>
  <c r="AD72" s="1"/>
  <c r="M678"/>
  <c r="M684"/>
  <c r="AE708"/>
  <c r="AE711" s="1"/>
  <c r="Y153" i="8" l="1"/>
  <c r="Z149" s="1"/>
  <c r="Z151" s="1"/>
  <c r="Z158" s="1"/>
  <c r="Z173" s="1"/>
  <c r="H139"/>
  <c r="H189"/>
  <c r="H191" s="1"/>
  <c r="H127"/>
  <c r="H117"/>
  <c r="H159" s="1"/>
  <c r="H174" s="1"/>
  <c r="H175" s="1"/>
  <c r="H177"/>
  <c r="H179" s="1"/>
  <c r="H131"/>
  <c r="H135"/>
  <c r="H181"/>
  <c r="H183" s="1"/>
  <c r="T96" i="7"/>
  <c r="T97" s="1"/>
  <c r="T88"/>
  <c r="T91" s="1"/>
  <c r="U604"/>
  <c r="U610"/>
  <c r="T109"/>
  <c r="T110" s="1"/>
  <c r="T114" s="1"/>
  <c r="S116"/>
  <c r="AE66" i="2"/>
  <c r="AE72" s="1"/>
  <c r="M55"/>
  <c r="M204"/>
  <c r="M240"/>
  <c r="M683"/>
  <c r="AF708"/>
  <c r="AF711" s="1"/>
  <c r="Z153" i="8" l="1"/>
  <c r="AA149" s="1"/>
  <c r="AA151" s="1"/>
  <c r="AA158" s="1"/>
  <c r="AA173" s="1"/>
  <c r="H192"/>
  <c r="H195" s="1"/>
  <c r="H140"/>
  <c r="H144" s="1"/>
  <c r="H118"/>
  <c r="H121" s="1"/>
  <c r="H160"/>
  <c r="H163" s="1"/>
  <c r="T112" i="7"/>
  <c r="T113" s="1"/>
  <c r="U130"/>
  <c r="U132" s="1"/>
  <c r="U160" s="1"/>
  <c r="U161" s="1"/>
  <c r="U166"/>
  <c r="U55"/>
  <c r="U56" s="1"/>
  <c r="U609"/>
  <c r="T90"/>
  <c r="AF66" i="2"/>
  <c r="AF72" s="1"/>
  <c r="M680"/>
  <c r="M681" s="1"/>
  <c r="M80"/>
  <c r="M81" s="1"/>
  <c r="AG708"/>
  <c r="AG711" s="1"/>
  <c r="AA153" i="8" l="1"/>
  <c r="AB149" s="1"/>
  <c r="AB151" s="1"/>
  <c r="AB158" s="1"/>
  <c r="AB173" s="1"/>
  <c r="H120"/>
  <c r="H194"/>
  <c r="H162"/>
  <c r="H142"/>
  <c r="H143" s="1"/>
  <c r="U80" i="7"/>
  <c r="U81" s="1"/>
  <c r="U82" s="1"/>
  <c r="U87" s="1"/>
  <c r="U606"/>
  <c r="U607" s="1"/>
  <c r="T116"/>
  <c r="U168"/>
  <c r="U169" s="1"/>
  <c r="U197" s="1"/>
  <c r="U198" s="1"/>
  <c r="U108" s="1"/>
  <c r="U107"/>
  <c r="AG66" i="2"/>
  <c r="N678"/>
  <c r="N684"/>
  <c r="AH708"/>
  <c r="AH711" s="1"/>
  <c r="H146" i="8" l="1"/>
  <c r="I138"/>
  <c r="I190" s="1"/>
  <c r="I137"/>
  <c r="I134"/>
  <c r="I182" s="1"/>
  <c r="I133"/>
  <c r="I126"/>
  <c r="I130"/>
  <c r="I178" s="1"/>
  <c r="I129"/>
  <c r="AB153"/>
  <c r="AC149" s="1"/>
  <c r="AC151" s="1"/>
  <c r="AC158" s="1"/>
  <c r="AC173" s="1"/>
  <c r="U88" i="7"/>
  <c r="U91" s="1"/>
  <c r="U96"/>
  <c r="U97" s="1"/>
  <c r="V604"/>
  <c r="V610"/>
  <c r="U109"/>
  <c r="AG72" i="2"/>
  <c r="AG82" s="1"/>
  <c r="AG87" s="1"/>
  <c r="AH66"/>
  <c r="N55"/>
  <c r="N204"/>
  <c r="N240"/>
  <c r="N683"/>
  <c r="AI708"/>
  <c r="AI711" s="1"/>
  <c r="AC153" i="8" l="1"/>
  <c r="AD149" s="1"/>
  <c r="AD151" s="1"/>
  <c r="AD158" s="1"/>
  <c r="AD173" s="1"/>
  <c r="I139"/>
  <c r="I189"/>
  <c r="I191" s="1"/>
  <c r="I177"/>
  <c r="I179" s="1"/>
  <c r="I131"/>
  <c r="I135"/>
  <c r="I181"/>
  <c r="I183" s="1"/>
  <c r="I117"/>
  <c r="I159" s="1"/>
  <c r="I174" s="1"/>
  <c r="I175" s="1"/>
  <c r="I127"/>
  <c r="U110" i="7"/>
  <c r="U114" s="1"/>
  <c r="U90"/>
  <c r="V609"/>
  <c r="V166"/>
  <c r="V55"/>
  <c r="V56" s="1"/>
  <c r="V130"/>
  <c r="V132" s="1"/>
  <c r="V160" s="1"/>
  <c r="V161" s="1"/>
  <c r="B610"/>
  <c r="AG96" i="2"/>
  <c r="AG97" s="1"/>
  <c r="AG110" s="1"/>
  <c r="AG88"/>
  <c r="AH72"/>
  <c r="AH82" s="1"/>
  <c r="AH87" s="1"/>
  <c r="AI66"/>
  <c r="N80"/>
  <c r="N81" s="1"/>
  <c r="N680"/>
  <c r="N681" s="1"/>
  <c r="AJ708"/>
  <c r="AJ711" s="1"/>
  <c r="AD153" i="8" l="1"/>
  <c r="AE149" s="1"/>
  <c r="AE151" s="1"/>
  <c r="AE158" s="1"/>
  <c r="AE173" s="1"/>
  <c r="I140"/>
  <c r="I144" s="1"/>
  <c r="I118"/>
  <c r="I121" s="1"/>
  <c r="I160"/>
  <c r="I163" s="1"/>
  <c r="I192"/>
  <c r="I195" s="1"/>
  <c r="I142"/>
  <c r="I143" s="1"/>
  <c r="U112" i="7"/>
  <c r="U113" s="1"/>
  <c r="U116" s="1"/>
  <c r="V168"/>
  <c r="V169" s="1"/>
  <c r="V197" s="1"/>
  <c r="V198" s="1"/>
  <c r="V108" s="1"/>
  <c r="V107"/>
  <c r="V606"/>
  <c r="V607" s="1"/>
  <c r="W604" s="1"/>
  <c r="W607" s="1"/>
  <c r="X604" s="1"/>
  <c r="X607" s="1"/>
  <c r="Y604" s="1"/>
  <c r="Y607" s="1"/>
  <c r="Z604" s="1"/>
  <c r="Z607" s="1"/>
  <c r="AA604" s="1"/>
  <c r="AA607" s="1"/>
  <c r="AB604" s="1"/>
  <c r="AB607" s="1"/>
  <c r="AC604" s="1"/>
  <c r="AC607" s="1"/>
  <c r="AD604" s="1"/>
  <c r="AD607" s="1"/>
  <c r="AE604" s="1"/>
  <c r="AE607" s="1"/>
  <c r="AF604" s="1"/>
  <c r="AF607" s="1"/>
  <c r="AG604" s="1"/>
  <c r="AG607" s="1"/>
  <c r="AH604" s="1"/>
  <c r="AH607" s="1"/>
  <c r="AI604" s="1"/>
  <c r="AI607" s="1"/>
  <c r="AJ604" s="1"/>
  <c r="AJ607" s="1"/>
  <c r="AK604" s="1"/>
  <c r="AK607" s="1"/>
  <c r="AL604" s="1"/>
  <c r="AL607" s="1"/>
  <c r="AM604" s="1"/>
  <c r="AM607" s="1"/>
  <c r="AN604" s="1"/>
  <c r="AN607" s="1"/>
  <c r="AO604" s="1"/>
  <c r="AO607" s="1"/>
  <c r="AP604" s="1"/>
  <c r="AP607" s="1"/>
  <c r="V80"/>
  <c r="V81" s="1"/>
  <c r="V82" s="1"/>
  <c r="V87" s="1"/>
  <c r="B609"/>
  <c r="AH88" i="2"/>
  <c r="AH96"/>
  <c r="AH97" s="1"/>
  <c r="AH110" s="1"/>
  <c r="AI72"/>
  <c r="AI82" s="1"/>
  <c r="AI87" s="1"/>
  <c r="AJ66"/>
  <c r="O678"/>
  <c r="O684"/>
  <c r="B110"/>
  <c r="AK708"/>
  <c r="AK711" s="1"/>
  <c r="I146" i="8" l="1"/>
  <c r="J138"/>
  <c r="J190" s="1"/>
  <c r="J137"/>
  <c r="J134"/>
  <c r="J182" s="1"/>
  <c r="J133"/>
  <c r="J126"/>
  <c r="J130"/>
  <c r="J178" s="1"/>
  <c r="J129"/>
  <c r="AE153"/>
  <c r="AF149" s="1"/>
  <c r="AF151" s="1"/>
  <c r="AF158" s="1"/>
  <c r="AF173" s="1"/>
  <c r="I162"/>
  <c r="I194"/>
  <c r="I120"/>
  <c r="V96" i="7"/>
  <c r="V97" s="1"/>
  <c r="V88"/>
  <c r="V109"/>
  <c r="AI96" i="2"/>
  <c r="AI97" s="1"/>
  <c r="AI110" s="1"/>
  <c r="AI88"/>
  <c r="AJ72"/>
  <c r="AJ82" s="1"/>
  <c r="AJ87" s="1"/>
  <c r="AK66"/>
  <c r="B112"/>
  <c r="B113"/>
  <c r="O55"/>
  <c r="O240"/>
  <c r="O204"/>
  <c r="O683"/>
  <c r="B684"/>
  <c r="B136"/>
  <c r="B149" s="1"/>
  <c r="C3" i="11" s="1"/>
  <c r="AL708" i="2"/>
  <c r="AL711" s="1"/>
  <c r="V110" i="7" l="1"/>
  <c r="AN114" s="1"/>
  <c r="AH91"/>
  <c r="AF91"/>
  <c r="E93" i="1" s="1"/>
  <c r="AD91" i="7"/>
  <c r="AO91"/>
  <c r="AM91"/>
  <c r="AK91"/>
  <c r="AA91"/>
  <c r="Y91"/>
  <c r="W91"/>
  <c r="AI91"/>
  <c r="AG91"/>
  <c r="AE91"/>
  <c r="AC91"/>
  <c r="AP91"/>
  <c r="AN91"/>
  <c r="AL91"/>
  <c r="AB91"/>
  <c r="AJ91"/>
  <c r="Z91"/>
  <c r="X91"/>
  <c r="V91"/>
  <c r="AP114"/>
  <c r="AL114"/>
  <c r="AJ114"/>
  <c r="AF114"/>
  <c r="E94" i="1" s="1"/>
  <c r="AG114" i="7"/>
  <c r="AO114"/>
  <c r="AK114"/>
  <c r="AH114"/>
  <c r="AA114"/>
  <c r="AD114"/>
  <c r="AF153" i="8"/>
  <c r="AG149" s="1"/>
  <c r="AG151" s="1"/>
  <c r="AG158" s="1"/>
  <c r="AG173" s="1"/>
  <c r="J127"/>
  <c r="J117"/>
  <c r="J159" s="1"/>
  <c r="J174" s="1"/>
  <c r="J175" s="1"/>
  <c r="J177"/>
  <c r="J179" s="1"/>
  <c r="J131"/>
  <c r="J135"/>
  <c r="J181"/>
  <c r="J183" s="1"/>
  <c r="J139"/>
  <c r="J189"/>
  <c r="J191" s="1"/>
  <c r="AH112" i="7"/>
  <c r="AP112"/>
  <c r="V112"/>
  <c r="V113" s="1"/>
  <c r="AO112"/>
  <c r="AG112"/>
  <c r="AF112"/>
  <c r="AI112"/>
  <c r="AJ112"/>
  <c r="W112"/>
  <c r="AE112"/>
  <c r="Z112"/>
  <c r="AL112"/>
  <c r="Z90"/>
  <c r="AB90"/>
  <c r="AG90"/>
  <c r="AF90"/>
  <c r="Y90"/>
  <c r="X90"/>
  <c r="AE90"/>
  <c r="E87" i="1" s="1"/>
  <c r="AH90" i="7"/>
  <c r="AJ90"/>
  <c r="AN90"/>
  <c r="AD90"/>
  <c r="AI90"/>
  <c r="AP90"/>
  <c r="AO90"/>
  <c r="AC90"/>
  <c r="AA90"/>
  <c r="V90"/>
  <c r="AL90"/>
  <c r="AK90"/>
  <c r="AM90"/>
  <c r="W90"/>
  <c r="AJ96" i="2"/>
  <c r="AJ97" s="1"/>
  <c r="AJ110" s="1"/>
  <c r="AJ88"/>
  <c r="AK72"/>
  <c r="AK82" s="1"/>
  <c r="AK87" s="1"/>
  <c r="AL66"/>
  <c r="B151"/>
  <c r="B152" s="1"/>
  <c r="B153"/>
  <c r="O680"/>
  <c r="O681" s="1"/>
  <c r="P678" s="1"/>
  <c r="P681" s="1"/>
  <c r="Q678" s="1"/>
  <c r="Q681" s="1"/>
  <c r="R678" s="1"/>
  <c r="R681" s="1"/>
  <c r="S678" s="1"/>
  <c r="S681" s="1"/>
  <c r="T678" s="1"/>
  <c r="T681" s="1"/>
  <c r="U678" s="1"/>
  <c r="U681" s="1"/>
  <c r="V678" s="1"/>
  <c r="V681" s="1"/>
  <c r="W678" s="1"/>
  <c r="W681" s="1"/>
  <c r="X678" s="1"/>
  <c r="X681" s="1"/>
  <c r="Y678" s="1"/>
  <c r="Y681" s="1"/>
  <c r="Z678" s="1"/>
  <c r="Z681" s="1"/>
  <c r="AA678" s="1"/>
  <c r="AA681" s="1"/>
  <c r="AB678" s="1"/>
  <c r="AB681" s="1"/>
  <c r="AC678" s="1"/>
  <c r="AC681" s="1"/>
  <c r="AD678" s="1"/>
  <c r="AD681" s="1"/>
  <c r="AE678" s="1"/>
  <c r="AE681" s="1"/>
  <c r="AF678" s="1"/>
  <c r="AF681" s="1"/>
  <c r="AG678" s="1"/>
  <c r="AG681" s="1"/>
  <c r="AH678" s="1"/>
  <c r="AH681" s="1"/>
  <c r="AI678" s="1"/>
  <c r="AI681" s="1"/>
  <c r="AJ678" s="1"/>
  <c r="AJ681" s="1"/>
  <c r="AK678" s="1"/>
  <c r="AK681" s="1"/>
  <c r="AL678" s="1"/>
  <c r="AL681" s="1"/>
  <c r="AM678" s="1"/>
  <c r="AM681" s="1"/>
  <c r="AN678" s="1"/>
  <c r="AN681" s="1"/>
  <c r="AO678" s="1"/>
  <c r="AO681" s="1"/>
  <c r="AP678" s="1"/>
  <c r="AP681" s="1"/>
  <c r="O80"/>
  <c r="O81" s="1"/>
  <c r="B683"/>
  <c r="AM708"/>
  <c r="AM711" s="1"/>
  <c r="AC112" i="7" l="1"/>
  <c r="Y112"/>
  <c r="X112"/>
  <c r="Y114"/>
  <c r="AM114"/>
  <c r="X114"/>
  <c r="AN112"/>
  <c r="AD112"/>
  <c r="AK112"/>
  <c r="AB112"/>
  <c r="AA112"/>
  <c r="AM112"/>
  <c r="W114"/>
  <c r="AE114"/>
  <c r="AC114"/>
  <c r="V114"/>
  <c r="AI114"/>
  <c r="AB114"/>
  <c r="Z114"/>
  <c r="C146" i="2"/>
  <c r="C189" s="1"/>
  <c r="AG153" i="8"/>
  <c r="AH149" s="1"/>
  <c r="AH151" s="1"/>
  <c r="AH158" s="1"/>
  <c r="AH173" s="1"/>
  <c r="J118"/>
  <c r="J121" s="1"/>
  <c r="J160"/>
  <c r="J163" s="1"/>
  <c r="J192"/>
  <c r="J195" s="1"/>
  <c r="J140"/>
  <c r="J144" s="1"/>
  <c r="W113" i="7"/>
  <c r="W116" s="1"/>
  <c r="E88" i="1"/>
  <c r="E80"/>
  <c r="V116" i="7"/>
  <c r="Z113"/>
  <c r="Y113"/>
  <c r="X113"/>
  <c r="AK88" i="2"/>
  <c r="AK96"/>
  <c r="AK97" s="1"/>
  <c r="AK110" s="1"/>
  <c r="AL72"/>
  <c r="AL82" s="1"/>
  <c r="AL87" s="1"/>
  <c r="AM66"/>
  <c r="C142"/>
  <c r="C181" s="1"/>
  <c r="C143"/>
  <c r="C182" s="1"/>
  <c r="C138"/>
  <c r="C177" s="1"/>
  <c r="AN708"/>
  <c r="AN711" s="1"/>
  <c r="AF113" i="7" l="1"/>
  <c r="AL113"/>
  <c r="AM116" s="1"/>
  <c r="AB113"/>
  <c r="AG113"/>
  <c r="AI113"/>
  <c r="AH113"/>
  <c r="AH116" s="1"/>
  <c r="AD113"/>
  <c r="AE116" s="1"/>
  <c r="AO113"/>
  <c r="AK113"/>
  <c r="AA113"/>
  <c r="AA116" s="1"/>
  <c r="AE113"/>
  <c r="AF116" s="1"/>
  <c r="AP113"/>
  <c r="AC113"/>
  <c r="AJ113"/>
  <c r="AN113"/>
  <c r="AM113"/>
  <c r="Y116"/>
  <c r="AH153" i="8"/>
  <c r="AI149" s="1"/>
  <c r="AI151" s="1"/>
  <c r="AI158" s="1"/>
  <c r="AI173" s="1"/>
  <c r="J194"/>
  <c r="J120"/>
  <c r="J142"/>
  <c r="J162"/>
  <c r="Z116" i="7"/>
  <c r="X116"/>
  <c r="AL88" i="2"/>
  <c r="AL96"/>
  <c r="AL97" s="1"/>
  <c r="AL110" s="1"/>
  <c r="AM72"/>
  <c r="AM82" s="1"/>
  <c r="AM87" s="1"/>
  <c r="C144"/>
  <c r="C183"/>
  <c r="AO708"/>
  <c r="AO711" s="1"/>
  <c r="AJ116" i="7" l="1"/>
  <c r="AG116"/>
  <c r="AK116"/>
  <c r="AC116"/>
  <c r="AL116"/>
  <c r="AI116"/>
  <c r="AB116"/>
  <c r="AP116"/>
  <c r="AD116"/>
  <c r="AN116"/>
  <c r="AO116"/>
  <c r="J143" i="8"/>
  <c r="K138" s="1"/>
  <c r="K190" s="1"/>
  <c r="B80" i="1"/>
  <c r="AI153" i="8"/>
  <c r="AJ149" s="1"/>
  <c r="AJ151" s="1"/>
  <c r="AJ158" s="1"/>
  <c r="AJ173" s="1"/>
  <c r="AM88" i="2"/>
  <c r="AM96"/>
  <c r="AM97" s="1"/>
  <c r="AM110" s="1"/>
  <c r="AO66"/>
  <c r="AN66"/>
  <c r="AP708"/>
  <c r="AP711" s="1"/>
  <c r="B116" i="7" l="1"/>
  <c r="E79" i="1" s="1"/>
  <c r="K133" i="8"/>
  <c r="K181" s="1"/>
  <c r="J146"/>
  <c r="K130"/>
  <c r="K178" s="1"/>
  <c r="K137"/>
  <c r="K139" s="1"/>
  <c r="K129"/>
  <c r="K126"/>
  <c r="K127" s="1"/>
  <c r="K134"/>
  <c r="K182" s="1"/>
  <c r="AJ153"/>
  <c r="AK149" s="1"/>
  <c r="AK151" s="1"/>
  <c r="AK158" s="1"/>
  <c r="AK173" s="1"/>
  <c r="AO72" i="2"/>
  <c r="AO82" s="1"/>
  <c r="AO87" s="1"/>
  <c r="AN72"/>
  <c r="AN82" s="1"/>
  <c r="AN87" s="1"/>
  <c r="AN96" s="1"/>
  <c r="AN97" s="1"/>
  <c r="AN110" s="1"/>
  <c r="AP66"/>
  <c r="K135" i="8" l="1"/>
  <c r="K117"/>
  <c r="K159" s="1"/>
  <c r="K174" s="1"/>
  <c r="K175" s="1"/>
  <c r="K189"/>
  <c r="K191" s="1"/>
  <c r="K131"/>
  <c r="K177"/>
  <c r="K179" s="1"/>
  <c r="K183"/>
  <c r="AK153"/>
  <c r="AL149" s="1"/>
  <c r="AL151" s="1"/>
  <c r="AL158" s="1"/>
  <c r="AL173" s="1"/>
  <c r="AO96" i="2"/>
  <c r="AO97" s="1"/>
  <c r="AO110" s="1"/>
  <c r="AO88"/>
  <c r="AN88"/>
  <c r="AP72"/>
  <c r="AP82" s="1"/>
  <c r="AP87" s="1"/>
  <c r="K118" i="8" l="1"/>
  <c r="K121" s="1"/>
  <c r="K140"/>
  <c r="K144" s="1"/>
  <c r="K160"/>
  <c r="K163" s="1"/>
  <c r="K192"/>
  <c r="AL153"/>
  <c r="AM149" s="1"/>
  <c r="AM151" s="1"/>
  <c r="AM158" s="1"/>
  <c r="AM173" s="1"/>
  <c r="K142"/>
  <c r="K143" s="1"/>
  <c r="AP88" i="2"/>
  <c r="AP96"/>
  <c r="AP97" s="1"/>
  <c r="AP110" s="1"/>
  <c r="K120" i="8" l="1"/>
  <c r="K162"/>
  <c r="K194"/>
  <c r="K195"/>
  <c r="K146"/>
  <c r="L138"/>
  <c r="L190" s="1"/>
  <c r="L137"/>
  <c r="L134"/>
  <c r="L182" s="1"/>
  <c r="L133"/>
  <c r="L126"/>
  <c r="L130"/>
  <c r="L178" s="1"/>
  <c r="L129"/>
  <c r="AM153"/>
  <c r="AN149" s="1"/>
  <c r="AN151" s="1"/>
  <c r="AN158" s="1"/>
  <c r="AN173" s="1"/>
  <c r="C769" i="2"/>
  <c r="C741" s="1"/>
  <c r="B759"/>
  <c r="AN153" i="8" l="1"/>
  <c r="AO149" s="1"/>
  <c r="AO151" s="1"/>
  <c r="AO158" s="1"/>
  <c r="AO173" s="1"/>
  <c r="L139"/>
  <c r="L189"/>
  <c r="L191" s="1"/>
  <c r="L127"/>
  <c r="L117"/>
  <c r="L159" s="1"/>
  <c r="L174" s="1"/>
  <c r="L175" s="1"/>
  <c r="L177"/>
  <c r="L179" s="1"/>
  <c r="L131"/>
  <c r="L135"/>
  <c r="L181"/>
  <c r="L183" s="1"/>
  <c r="C743" i="2"/>
  <c r="C804" s="1"/>
  <c r="D805" s="1"/>
  <c r="C64"/>
  <c r="C66" s="1"/>
  <c r="C72" s="1"/>
  <c r="C82" s="1"/>
  <c r="C87" s="1"/>
  <c r="AO153" i="8" l="1"/>
  <c r="AP149" s="1"/>
  <c r="AP151" s="1"/>
  <c r="AP158" s="1"/>
  <c r="AP173" s="1"/>
  <c r="L118"/>
  <c r="L121" s="1"/>
  <c r="L160"/>
  <c r="L163" s="1"/>
  <c r="L192"/>
  <c r="L195" s="1"/>
  <c r="L140"/>
  <c r="L144" s="1"/>
  <c r="D740" i="2"/>
  <c r="D743" s="1"/>
  <c r="E740" s="1"/>
  <c r="E743" s="1"/>
  <c r="C88"/>
  <c r="C96"/>
  <c r="C135" s="1"/>
  <c r="D239"/>
  <c r="D54"/>
  <c r="D56" s="1"/>
  <c r="D82" s="1"/>
  <c r="D87" s="1"/>
  <c r="D203"/>
  <c r="D206" s="1"/>
  <c r="D234" s="1"/>
  <c r="D235" s="1"/>
  <c r="C90" l="1"/>
  <c r="C91"/>
  <c r="AP153" i="8"/>
  <c r="L194"/>
  <c r="B111" i="1" s="1"/>
  <c r="B117"/>
  <c r="L120" i="8"/>
  <c r="B97" i="1" s="1"/>
  <c r="B103"/>
  <c r="L142" i="8"/>
  <c r="B104" i="1"/>
  <c r="L162" i="8"/>
  <c r="B110" i="1" s="1"/>
  <c r="B116"/>
  <c r="D804" i="2"/>
  <c r="E805" s="1"/>
  <c r="E54" s="1"/>
  <c r="E56" s="1"/>
  <c r="E82" s="1"/>
  <c r="E87" s="1"/>
  <c r="C97"/>
  <c r="D107"/>
  <c r="D242"/>
  <c r="F740"/>
  <c r="F743" s="1"/>
  <c r="E804"/>
  <c r="F805" s="1"/>
  <c r="D96"/>
  <c r="D88"/>
  <c r="D91" l="1"/>
  <c r="L143" i="8"/>
  <c r="M138" s="1"/>
  <c r="M190" s="1"/>
  <c r="B98" i="1"/>
  <c r="E203" i="2"/>
  <c r="E206" s="1"/>
  <c r="E234" s="1"/>
  <c r="E235" s="1"/>
  <c r="E107" s="1"/>
  <c r="E239"/>
  <c r="C174"/>
  <c r="C175" s="1"/>
  <c r="C126"/>
  <c r="C136"/>
  <c r="F54"/>
  <c r="F56" s="1"/>
  <c r="F82" s="1"/>
  <c r="F87" s="1"/>
  <c r="F203"/>
  <c r="F206" s="1"/>
  <c r="F234" s="1"/>
  <c r="F235" s="1"/>
  <c r="F239"/>
  <c r="E88"/>
  <c r="E90" s="1"/>
  <c r="E96"/>
  <c r="D97"/>
  <c r="G740"/>
  <c r="G743" s="1"/>
  <c r="F804"/>
  <c r="G805" s="1"/>
  <c r="D90"/>
  <c r="E242" l="1"/>
  <c r="E91"/>
  <c r="L146" i="8"/>
  <c r="M133"/>
  <c r="M181" s="1"/>
  <c r="M130"/>
  <c r="M178" s="1"/>
  <c r="M137"/>
  <c r="M189" s="1"/>
  <c r="M191" s="1"/>
  <c r="M129"/>
  <c r="M177" s="1"/>
  <c r="M126"/>
  <c r="M127" s="1"/>
  <c r="M134"/>
  <c r="M182" s="1"/>
  <c r="C160" i="2"/>
  <c r="C161" s="1"/>
  <c r="C127"/>
  <c r="G54"/>
  <c r="G56" s="1"/>
  <c r="G82" s="1"/>
  <c r="G87" s="1"/>
  <c r="G203"/>
  <c r="G206" s="1"/>
  <c r="G234" s="1"/>
  <c r="G235" s="1"/>
  <c r="G239"/>
  <c r="E97"/>
  <c r="F96"/>
  <c r="F97" s="1"/>
  <c r="F88"/>
  <c r="H740"/>
  <c r="H743" s="1"/>
  <c r="G804"/>
  <c r="H805" s="1"/>
  <c r="F107"/>
  <c r="F242"/>
  <c r="M139" i="8" l="1"/>
  <c r="M131"/>
  <c r="C164" i="2"/>
  <c r="F91"/>
  <c r="C130"/>
  <c r="M179" i="8"/>
  <c r="M183"/>
  <c r="M135"/>
  <c r="M117"/>
  <c r="M159" s="1"/>
  <c r="M174" s="1"/>
  <c r="M175" s="1"/>
  <c r="C163" i="2"/>
  <c r="C129"/>
  <c r="H203"/>
  <c r="H206" s="1"/>
  <c r="H234" s="1"/>
  <c r="H235" s="1"/>
  <c r="H239"/>
  <c r="H54"/>
  <c r="H56" s="1"/>
  <c r="H82" s="1"/>
  <c r="H87" s="1"/>
  <c r="F90"/>
  <c r="G96"/>
  <c r="G97" s="1"/>
  <c r="G88"/>
  <c r="G91" s="1"/>
  <c r="I740"/>
  <c r="I743" s="1"/>
  <c r="H804"/>
  <c r="I805" s="1"/>
  <c r="G107"/>
  <c r="G242"/>
  <c r="M140" i="8" l="1"/>
  <c r="M144" s="1"/>
  <c r="M192"/>
  <c r="M160"/>
  <c r="M163" s="1"/>
  <c r="M118"/>
  <c r="M121" s="1"/>
  <c r="M142"/>
  <c r="M143" s="1"/>
  <c r="I239" i="2"/>
  <c r="I54"/>
  <c r="I56" s="1"/>
  <c r="I82" s="1"/>
  <c r="I87" s="1"/>
  <c r="I203"/>
  <c r="I206" s="1"/>
  <c r="I234" s="1"/>
  <c r="I235" s="1"/>
  <c r="H96"/>
  <c r="H88"/>
  <c r="H107"/>
  <c r="H242"/>
  <c r="J740"/>
  <c r="J743" s="1"/>
  <c r="I804"/>
  <c r="J805" s="1"/>
  <c r="G90"/>
  <c r="M194" i="8" l="1"/>
  <c r="M195"/>
  <c r="M162"/>
  <c r="H90" i="2"/>
  <c r="H91"/>
  <c r="M120" i="8"/>
  <c r="M146"/>
  <c r="N138"/>
  <c r="N190" s="1"/>
  <c r="N137"/>
  <c r="N134"/>
  <c r="N182" s="1"/>
  <c r="N133"/>
  <c r="N126"/>
  <c r="N130"/>
  <c r="N178" s="1"/>
  <c r="N129"/>
  <c r="K740" i="2"/>
  <c r="K743" s="1"/>
  <c r="J804"/>
  <c r="K805" s="1"/>
  <c r="I107"/>
  <c r="I242"/>
  <c r="J54"/>
  <c r="J56" s="1"/>
  <c r="J82" s="1"/>
  <c r="J87" s="1"/>
  <c r="J239"/>
  <c r="J203"/>
  <c r="J206" s="1"/>
  <c r="J234" s="1"/>
  <c r="J235" s="1"/>
  <c r="H97"/>
  <c r="I96"/>
  <c r="I88"/>
  <c r="I91" l="1"/>
  <c r="I90"/>
  <c r="N139" i="8"/>
  <c r="N189"/>
  <c r="N191" s="1"/>
  <c r="N127"/>
  <c r="N117"/>
  <c r="N159" s="1"/>
  <c r="N174" s="1"/>
  <c r="N175" s="1"/>
  <c r="N177"/>
  <c r="N179" s="1"/>
  <c r="N131"/>
  <c r="N135"/>
  <c r="N181"/>
  <c r="N183" s="1"/>
  <c r="I97" i="2"/>
  <c r="L740"/>
  <c r="L743" s="1"/>
  <c r="K804"/>
  <c r="L805" s="1"/>
  <c r="J107"/>
  <c r="J242"/>
  <c r="J88"/>
  <c r="J96"/>
  <c r="K54"/>
  <c r="K56" s="1"/>
  <c r="K82" s="1"/>
  <c r="K87" s="1"/>
  <c r="K203"/>
  <c r="K206" s="1"/>
  <c r="K234" s="1"/>
  <c r="K235" s="1"/>
  <c r="K239"/>
  <c r="J90" l="1"/>
  <c r="J91"/>
  <c r="N118" i="8"/>
  <c r="N121" s="1"/>
  <c r="N160"/>
  <c r="N163" s="1"/>
  <c r="N192"/>
  <c r="N195" s="1"/>
  <c r="N140"/>
  <c r="N144" s="1"/>
  <c r="K242" i="2"/>
  <c r="K107"/>
  <c r="J97"/>
  <c r="K96"/>
  <c r="K88"/>
  <c r="K91" s="1"/>
  <c r="L54"/>
  <c r="L56" s="1"/>
  <c r="L82" s="1"/>
  <c r="L87" s="1"/>
  <c r="L203"/>
  <c r="L206" s="1"/>
  <c r="L234" s="1"/>
  <c r="L235" s="1"/>
  <c r="L239"/>
  <c r="M740"/>
  <c r="M743" s="1"/>
  <c r="L804"/>
  <c r="M805" s="1"/>
  <c r="N194" i="8" l="1"/>
  <c r="N120"/>
  <c r="N142"/>
  <c r="N143" s="1"/>
  <c r="N162"/>
  <c r="K90" i="2"/>
  <c r="L107"/>
  <c r="L242"/>
  <c r="N740"/>
  <c r="N743" s="1"/>
  <c r="M804"/>
  <c r="N805" s="1"/>
  <c r="M239"/>
  <c r="M54"/>
  <c r="M56" s="1"/>
  <c r="M82" s="1"/>
  <c r="M87" s="1"/>
  <c r="M203"/>
  <c r="M206" s="1"/>
  <c r="M234" s="1"/>
  <c r="M235" s="1"/>
  <c r="L88"/>
  <c r="L96"/>
  <c r="K97"/>
  <c r="L91" l="1"/>
  <c r="C90" i="1" s="1"/>
  <c r="N146" i="8"/>
  <c r="O138"/>
  <c r="O190" s="1"/>
  <c r="O137"/>
  <c r="O134"/>
  <c r="O182" s="1"/>
  <c r="O133"/>
  <c r="O126"/>
  <c r="O130"/>
  <c r="O178" s="1"/>
  <c r="O129"/>
  <c r="L97" i="2"/>
  <c r="M96"/>
  <c r="M88"/>
  <c r="M91" s="1"/>
  <c r="O740"/>
  <c r="O743" s="1"/>
  <c r="N804"/>
  <c r="O805" s="1"/>
  <c r="L90"/>
  <c r="C84" i="1" s="1"/>
  <c r="M107" i="2"/>
  <c r="M242"/>
  <c r="N54"/>
  <c r="N56" s="1"/>
  <c r="N82" s="1"/>
  <c r="N87" s="1"/>
  <c r="N203"/>
  <c r="N206" s="1"/>
  <c r="N234" s="1"/>
  <c r="N235" s="1"/>
  <c r="N239"/>
  <c r="O139" i="8" l="1"/>
  <c r="O189"/>
  <c r="O191" s="1"/>
  <c r="O177"/>
  <c r="O179" s="1"/>
  <c r="O131"/>
  <c r="O135"/>
  <c r="O181"/>
  <c r="O183" s="1"/>
  <c r="O117"/>
  <c r="O159" s="1"/>
  <c r="O174" s="1"/>
  <c r="O175" s="1"/>
  <c r="O127"/>
  <c r="P740" i="2"/>
  <c r="P743" s="1"/>
  <c r="O804"/>
  <c r="P805" s="1"/>
  <c r="M97"/>
  <c r="N96"/>
  <c r="N88"/>
  <c r="N91" s="1"/>
  <c r="N107"/>
  <c r="N242"/>
  <c r="O54"/>
  <c r="O56" s="1"/>
  <c r="O82" s="1"/>
  <c r="O87" s="1"/>
  <c r="O203"/>
  <c r="O206" s="1"/>
  <c r="O234" s="1"/>
  <c r="O235" s="1"/>
  <c r="O239"/>
  <c r="M90"/>
  <c r="O192" i="8" l="1"/>
  <c r="O118"/>
  <c r="O121" s="1"/>
  <c r="O160"/>
  <c r="O163" s="1"/>
  <c r="O140"/>
  <c r="O144" s="1"/>
  <c r="O88" i="2"/>
  <c r="O91" s="1"/>
  <c r="O96"/>
  <c r="N97"/>
  <c r="Q740"/>
  <c r="Q743" s="1"/>
  <c r="P804"/>
  <c r="Q805" s="1"/>
  <c r="O107"/>
  <c r="O242"/>
  <c r="N90"/>
  <c r="P239"/>
  <c r="P54"/>
  <c r="P56" s="1"/>
  <c r="P82" s="1"/>
  <c r="P87" s="1"/>
  <c r="P203"/>
  <c r="P206" s="1"/>
  <c r="P234" s="1"/>
  <c r="P235" s="1"/>
  <c r="O194" i="8" l="1"/>
  <c r="O195"/>
  <c r="O142"/>
  <c r="O143" s="1"/>
  <c r="O120"/>
  <c r="O162"/>
  <c r="Q239" i="2"/>
  <c r="Q54"/>
  <c r="Q56" s="1"/>
  <c r="Q82" s="1"/>
  <c r="Q87" s="1"/>
  <c r="Q203"/>
  <c r="Q206" s="1"/>
  <c r="Q234" s="1"/>
  <c r="Q235" s="1"/>
  <c r="O90"/>
  <c r="P107"/>
  <c r="P242"/>
  <c r="P88"/>
  <c r="P91" s="1"/>
  <c r="P96"/>
  <c r="R740"/>
  <c r="R743" s="1"/>
  <c r="Q804"/>
  <c r="R805" s="1"/>
  <c r="O97"/>
  <c r="O146" i="8" l="1"/>
  <c r="P138"/>
  <c r="P190" s="1"/>
  <c r="P137"/>
  <c r="P134"/>
  <c r="P182" s="1"/>
  <c r="P133"/>
  <c r="P126"/>
  <c r="P130"/>
  <c r="P178" s="1"/>
  <c r="P129"/>
  <c r="Q107" i="2"/>
  <c r="Q242"/>
  <c r="S740"/>
  <c r="S743" s="1"/>
  <c r="R804"/>
  <c r="S805" s="1"/>
  <c r="P97"/>
  <c r="R239"/>
  <c r="R54"/>
  <c r="R56" s="1"/>
  <c r="R82" s="1"/>
  <c r="R87" s="1"/>
  <c r="R203"/>
  <c r="R206" s="1"/>
  <c r="R234" s="1"/>
  <c r="R235" s="1"/>
  <c r="P90"/>
  <c r="Q96"/>
  <c r="Q88"/>
  <c r="Q91" s="1"/>
  <c r="P139" i="8" l="1"/>
  <c r="P189"/>
  <c r="P191" s="1"/>
  <c r="P127"/>
  <c r="P117"/>
  <c r="P159" s="1"/>
  <c r="P174" s="1"/>
  <c r="P175" s="1"/>
  <c r="P177"/>
  <c r="P179" s="1"/>
  <c r="P131"/>
  <c r="P135"/>
  <c r="P181"/>
  <c r="P183" s="1"/>
  <c r="Q90" i="2"/>
  <c r="Q97"/>
  <c r="R107"/>
  <c r="R242"/>
  <c r="T740"/>
  <c r="T743" s="1"/>
  <c r="S804"/>
  <c r="T805" s="1"/>
  <c r="R96"/>
  <c r="R88"/>
  <c r="R91" s="1"/>
  <c r="S54"/>
  <c r="S56" s="1"/>
  <c r="S82" s="1"/>
  <c r="S87" s="1"/>
  <c r="S203"/>
  <c r="S206" s="1"/>
  <c r="S234" s="1"/>
  <c r="S235" s="1"/>
  <c r="S239"/>
  <c r="P118" i="8" l="1"/>
  <c r="P121" s="1"/>
  <c r="P160"/>
  <c r="P163" s="1"/>
  <c r="P192"/>
  <c r="P195" s="1"/>
  <c r="P140"/>
  <c r="P144" s="1"/>
  <c r="S107" i="2"/>
  <c r="S242"/>
  <c r="R90"/>
  <c r="T54"/>
  <c r="T56" s="1"/>
  <c r="T82" s="1"/>
  <c r="T87" s="1"/>
  <c r="T203"/>
  <c r="T206" s="1"/>
  <c r="T234" s="1"/>
  <c r="T235" s="1"/>
  <c r="T239"/>
  <c r="S96"/>
  <c r="S88"/>
  <c r="S91" s="1"/>
  <c r="R97"/>
  <c r="U740"/>
  <c r="U743" s="1"/>
  <c r="T804"/>
  <c r="U805" s="1"/>
  <c r="P194" i="8" l="1"/>
  <c r="P120"/>
  <c r="P142"/>
  <c r="P143" s="1"/>
  <c r="P162"/>
  <c r="V740" i="2"/>
  <c r="V743" s="1"/>
  <c r="U804"/>
  <c r="V805" s="1"/>
  <c r="S90"/>
  <c r="T88"/>
  <c r="T91" s="1"/>
  <c r="T96"/>
  <c r="U54"/>
  <c r="U56" s="1"/>
  <c r="U82" s="1"/>
  <c r="U87" s="1"/>
  <c r="U203"/>
  <c r="U206" s="1"/>
  <c r="U234" s="1"/>
  <c r="U235" s="1"/>
  <c r="U239"/>
  <c r="S97"/>
  <c r="T107"/>
  <c r="T242"/>
  <c r="P146" i="8" l="1"/>
  <c r="Q138"/>
  <c r="Q190" s="1"/>
  <c r="Q137"/>
  <c r="Q134"/>
  <c r="Q182" s="1"/>
  <c r="Q133"/>
  <c r="Q126"/>
  <c r="Q130"/>
  <c r="Q178" s="1"/>
  <c r="Q129"/>
  <c r="U96" i="2"/>
  <c r="U88"/>
  <c r="U91" s="1"/>
  <c r="T97"/>
  <c r="U107"/>
  <c r="U242"/>
  <c r="T90"/>
  <c r="W740"/>
  <c r="W743" s="1"/>
  <c r="V804"/>
  <c r="W805" s="1"/>
  <c r="V239"/>
  <c r="V54"/>
  <c r="V56" s="1"/>
  <c r="V82" s="1"/>
  <c r="V87" s="1"/>
  <c r="V203"/>
  <c r="V206" s="1"/>
  <c r="V234" s="1"/>
  <c r="V235" s="1"/>
  <c r="Q139" i="8" l="1"/>
  <c r="Q189"/>
  <c r="Q191" s="1"/>
  <c r="Q177"/>
  <c r="Q179" s="1"/>
  <c r="Q131"/>
  <c r="Q135"/>
  <c r="Q181"/>
  <c r="Q183" s="1"/>
  <c r="Q117"/>
  <c r="Q159" s="1"/>
  <c r="Q174" s="1"/>
  <c r="Q175" s="1"/>
  <c r="Q127"/>
  <c r="V107" i="2"/>
  <c r="V242"/>
  <c r="W239"/>
  <c r="W54"/>
  <c r="W56" s="1"/>
  <c r="W82" s="1"/>
  <c r="W87" s="1"/>
  <c r="W203"/>
  <c r="W206" s="1"/>
  <c r="W234" s="1"/>
  <c r="W235" s="1"/>
  <c r="U97"/>
  <c r="V96"/>
  <c r="V88"/>
  <c r="V91" s="1"/>
  <c r="X740"/>
  <c r="X743" s="1"/>
  <c r="W804"/>
  <c r="X805" s="1"/>
  <c r="U90"/>
  <c r="Q192" i="8" l="1"/>
  <c r="Q118"/>
  <c r="Q121" s="1"/>
  <c r="Q160"/>
  <c r="Q163" s="1"/>
  <c r="Q140"/>
  <c r="Q144" s="1"/>
  <c r="Y740" i="2"/>
  <c r="Y743" s="1"/>
  <c r="X804"/>
  <c r="Y805" s="1"/>
  <c r="V90"/>
  <c r="W107"/>
  <c r="W242"/>
  <c r="X239"/>
  <c r="X54"/>
  <c r="X56" s="1"/>
  <c r="X82" s="1"/>
  <c r="X87" s="1"/>
  <c r="X203"/>
  <c r="X206" s="1"/>
  <c r="X234" s="1"/>
  <c r="X235" s="1"/>
  <c r="V97"/>
  <c r="W88"/>
  <c r="W91" s="1"/>
  <c r="W96"/>
  <c r="Q194" i="8" l="1"/>
  <c r="Q195"/>
  <c r="Q142"/>
  <c r="Q143" s="1"/>
  <c r="Q120"/>
  <c r="Q162"/>
  <c r="W90" i="2"/>
  <c r="X107"/>
  <c r="X242"/>
  <c r="Y54"/>
  <c r="Y56" s="1"/>
  <c r="Y82" s="1"/>
  <c r="Y87" s="1"/>
  <c r="Y203"/>
  <c r="Y206" s="1"/>
  <c r="Y234" s="1"/>
  <c r="Y235" s="1"/>
  <c r="Y239"/>
  <c r="W97"/>
  <c r="X96"/>
  <c r="X88"/>
  <c r="X91" s="1"/>
  <c r="Z740"/>
  <c r="Z743" s="1"/>
  <c r="Y804"/>
  <c r="Z805" s="1"/>
  <c r="Q146" i="8" l="1"/>
  <c r="R138"/>
  <c r="R190" s="1"/>
  <c r="R137"/>
  <c r="R134"/>
  <c r="R182" s="1"/>
  <c r="R133"/>
  <c r="R126"/>
  <c r="R130"/>
  <c r="R178" s="1"/>
  <c r="R129"/>
  <c r="AA740" i="2"/>
  <c r="AA743" s="1"/>
  <c r="Z804"/>
  <c r="AA805" s="1"/>
  <c r="X97"/>
  <c r="Y88"/>
  <c r="Y91" s="1"/>
  <c r="Y96"/>
  <c r="Z54"/>
  <c r="Z56" s="1"/>
  <c r="Z82" s="1"/>
  <c r="Z87" s="1"/>
  <c r="Z203"/>
  <c r="Z206" s="1"/>
  <c r="Z234" s="1"/>
  <c r="Z235" s="1"/>
  <c r="Z239"/>
  <c r="X90"/>
  <c r="Y107"/>
  <c r="Y242"/>
  <c r="R139" i="8" l="1"/>
  <c r="R189"/>
  <c r="R191" s="1"/>
  <c r="R127"/>
  <c r="R117"/>
  <c r="R159" s="1"/>
  <c r="R174" s="1"/>
  <c r="R175" s="1"/>
  <c r="R177"/>
  <c r="R179" s="1"/>
  <c r="R131"/>
  <c r="R135"/>
  <c r="R181"/>
  <c r="R183" s="1"/>
  <c r="Z88" i="2"/>
  <c r="Z91" s="1"/>
  <c r="Z96"/>
  <c r="Y90"/>
  <c r="AA239"/>
  <c r="AA203"/>
  <c r="AA206" s="1"/>
  <c r="AA234" s="1"/>
  <c r="AA235" s="1"/>
  <c r="AA54"/>
  <c r="AA56" s="1"/>
  <c r="AA82" s="1"/>
  <c r="AA87" s="1"/>
  <c r="Z107"/>
  <c r="Z242"/>
  <c r="Y97"/>
  <c r="AB740"/>
  <c r="AB743" s="1"/>
  <c r="AA804"/>
  <c r="AB805" s="1"/>
  <c r="R118" i="8" l="1"/>
  <c r="R121" s="1"/>
  <c r="R160"/>
  <c r="R163" s="1"/>
  <c r="R192"/>
  <c r="R195" s="1"/>
  <c r="R140"/>
  <c r="R144" s="1"/>
  <c r="AC740" i="2"/>
  <c r="AC743" s="1"/>
  <c r="AB804"/>
  <c r="AC805" s="1"/>
  <c r="AA107"/>
  <c r="AA242"/>
  <c r="Z97"/>
  <c r="AB239"/>
  <c r="AB54"/>
  <c r="AB56" s="1"/>
  <c r="AB82" s="1"/>
  <c r="AB87" s="1"/>
  <c r="AB203"/>
  <c r="AB206" s="1"/>
  <c r="AB234" s="1"/>
  <c r="AB235" s="1"/>
  <c r="AA96"/>
  <c r="AA88"/>
  <c r="AA91" s="1"/>
  <c r="Z90"/>
  <c r="R194" i="8" l="1"/>
  <c r="R120"/>
  <c r="R142"/>
  <c r="R143" s="1"/>
  <c r="R162"/>
  <c r="AA90" i="2"/>
  <c r="AB107"/>
  <c r="AB242"/>
  <c r="AC54"/>
  <c r="AC56" s="1"/>
  <c r="AC82" s="1"/>
  <c r="AC87" s="1"/>
  <c r="AC203"/>
  <c r="AC206" s="1"/>
  <c r="AC234" s="1"/>
  <c r="AC235" s="1"/>
  <c r="AC239"/>
  <c r="AA97"/>
  <c r="AB96"/>
  <c r="AB88"/>
  <c r="AB91" s="1"/>
  <c r="AD740"/>
  <c r="AD743" s="1"/>
  <c r="AC804"/>
  <c r="AD805" s="1"/>
  <c r="R146" i="8" l="1"/>
  <c r="S138"/>
  <c r="S190" s="1"/>
  <c r="S137"/>
  <c r="S134"/>
  <c r="S182" s="1"/>
  <c r="S133"/>
  <c r="S126"/>
  <c r="S130"/>
  <c r="S178" s="1"/>
  <c r="S129"/>
  <c r="AE740" i="2"/>
  <c r="AE743" s="1"/>
  <c r="AD804"/>
  <c r="AE805" s="1"/>
  <c r="AB90"/>
  <c r="AC107"/>
  <c r="AC242"/>
  <c r="AD54"/>
  <c r="AD56" s="1"/>
  <c r="AD82" s="1"/>
  <c r="AD87" s="1"/>
  <c r="AD203"/>
  <c r="AD206" s="1"/>
  <c r="AD234" s="1"/>
  <c r="AD235" s="1"/>
  <c r="AD239"/>
  <c r="AB97"/>
  <c r="AC88"/>
  <c r="AC91" s="1"/>
  <c r="AC96"/>
  <c r="S139" i="8" l="1"/>
  <c r="S189"/>
  <c r="S191" s="1"/>
  <c r="S177"/>
  <c r="S179" s="1"/>
  <c r="S131"/>
  <c r="S135"/>
  <c r="S181"/>
  <c r="S183" s="1"/>
  <c r="S117"/>
  <c r="S159" s="1"/>
  <c r="S174" s="1"/>
  <c r="S175" s="1"/>
  <c r="S127"/>
  <c r="AC90" i="2"/>
  <c r="AD107"/>
  <c r="AD242"/>
  <c r="AE239"/>
  <c r="AE54"/>
  <c r="AE56" s="1"/>
  <c r="AE82" s="1"/>
  <c r="AE87" s="1"/>
  <c r="AE203"/>
  <c r="AE206" s="1"/>
  <c r="AE234" s="1"/>
  <c r="AE235" s="1"/>
  <c r="AC97"/>
  <c r="AD88"/>
  <c r="AD91" s="1"/>
  <c r="AD96"/>
  <c r="AF740"/>
  <c r="AF743" s="1"/>
  <c r="AE804"/>
  <c r="AF805" s="1"/>
  <c r="S192" i="8" l="1"/>
  <c r="S118"/>
  <c r="S121" s="1"/>
  <c r="S160"/>
  <c r="S163" s="1"/>
  <c r="S140"/>
  <c r="S144" s="1"/>
  <c r="AF54" i="2"/>
  <c r="AF56" s="1"/>
  <c r="AF82" s="1"/>
  <c r="AF87" s="1"/>
  <c r="AF203"/>
  <c r="AF206" s="1"/>
  <c r="AF234" s="1"/>
  <c r="AF235" s="1"/>
  <c r="AF239"/>
  <c r="AD97"/>
  <c r="AE96"/>
  <c r="AE88"/>
  <c r="AE91" s="1"/>
  <c r="AG740"/>
  <c r="AG743" s="1"/>
  <c r="AF804"/>
  <c r="AD90"/>
  <c r="AE107"/>
  <c r="AE242"/>
  <c r="S194" i="8" l="1"/>
  <c r="S195"/>
  <c r="S142"/>
  <c r="S143" s="1"/>
  <c r="S120"/>
  <c r="S162"/>
  <c r="AE90" i="2"/>
  <c r="AF107"/>
  <c r="AF242"/>
  <c r="AH740"/>
  <c r="AH743" s="1"/>
  <c r="AG804"/>
  <c r="AE97"/>
  <c r="AF88"/>
  <c r="AF96"/>
  <c r="AL91" l="1"/>
  <c r="AF91"/>
  <c r="C93" i="1" s="1"/>
  <c r="AI91" i="2"/>
  <c r="AH91"/>
  <c r="AJ91"/>
  <c r="AG91"/>
  <c r="AK91"/>
  <c r="AM91"/>
  <c r="AP91"/>
  <c r="AO91"/>
  <c r="AN91"/>
  <c r="S146" i="8"/>
  <c r="T138"/>
  <c r="T190" s="1"/>
  <c r="T137"/>
  <c r="T134"/>
  <c r="T182" s="1"/>
  <c r="T133"/>
  <c r="T126"/>
  <c r="T130"/>
  <c r="T178" s="1"/>
  <c r="T129"/>
  <c r="AF97" i="2"/>
  <c r="AI90"/>
  <c r="AM90"/>
  <c r="AN90"/>
  <c r="AH90"/>
  <c r="AL90"/>
  <c r="AG90"/>
  <c r="AJ90"/>
  <c r="AO90"/>
  <c r="AF90"/>
  <c r="C87" i="1" s="1"/>
  <c r="AK90" i="2"/>
  <c r="AP90"/>
  <c r="AI740"/>
  <c r="AI743" s="1"/>
  <c r="AH804"/>
  <c r="T139" i="8" l="1"/>
  <c r="T189"/>
  <c r="T191" s="1"/>
  <c r="T127"/>
  <c r="T117"/>
  <c r="T159" s="1"/>
  <c r="T174" s="1"/>
  <c r="T175" s="1"/>
  <c r="T177"/>
  <c r="T179" s="1"/>
  <c r="T131"/>
  <c r="T135"/>
  <c r="T181"/>
  <c r="T183" s="1"/>
  <c r="AJ740" i="2"/>
  <c r="AJ743" s="1"/>
  <c r="AI804"/>
  <c r="T118" i="8" l="1"/>
  <c r="T121" s="1"/>
  <c r="T160"/>
  <c r="T163" s="1"/>
  <c r="T192"/>
  <c r="T195" s="1"/>
  <c r="T140"/>
  <c r="T144" s="1"/>
  <c r="AK740" i="2"/>
  <c r="AK743" s="1"/>
  <c r="AJ804"/>
  <c r="T194" i="8" l="1"/>
  <c r="T120"/>
  <c r="T142"/>
  <c r="T143" s="1"/>
  <c r="T162"/>
  <c r="AL740" i="2"/>
  <c r="AL743" s="1"/>
  <c r="AK804"/>
  <c r="T146" i="8" l="1"/>
  <c r="U138"/>
  <c r="U190" s="1"/>
  <c r="U137"/>
  <c r="U134"/>
  <c r="U182" s="1"/>
  <c r="U133"/>
  <c r="U126"/>
  <c r="U130"/>
  <c r="U178" s="1"/>
  <c r="U129"/>
  <c r="AM740" i="2"/>
  <c r="AM743" s="1"/>
  <c r="AL804"/>
  <c r="U139" i="8" l="1"/>
  <c r="U189"/>
  <c r="U191" s="1"/>
  <c r="U177"/>
  <c r="U179" s="1"/>
  <c r="U131"/>
  <c r="U135"/>
  <c r="U181"/>
  <c r="U183" s="1"/>
  <c r="U117"/>
  <c r="U159" s="1"/>
  <c r="U174" s="1"/>
  <c r="U175" s="1"/>
  <c r="U127"/>
  <c r="AN740" i="2"/>
  <c r="AN743" s="1"/>
  <c r="AM804"/>
  <c r="U140" i="8" l="1"/>
  <c r="U144" s="1"/>
  <c r="U118"/>
  <c r="U121" s="1"/>
  <c r="U160"/>
  <c r="U163" s="1"/>
  <c r="U192"/>
  <c r="U195" s="1"/>
  <c r="U142"/>
  <c r="U143" s="1"/>
  <c r="AO740" i="2"/>
  <c r="AO743" s="1"/>
  <c r="AN804"/>
  <c r="U146" i="8" l="1"/>
  <c r="V138"/>
  <c r="V190" s="1"/>
  <c r="V137"/>
  <c r="V134"/>
  <c r="V182" s="1"/>
  <c r="V133"/>
  <c r="V126"/>
  <c r="V130"/>
  <c r="V178" s="1"/>
  <c r="V129"/>
  <c r="U194"/>
  <c r="U120"/>
  <c r="U162"/>
  <c r="AP740" i="2"/>
  <c r="AP743" s="1"/>
  <c r="AP804" s="1"/>
  <c r="AO804"/>
  <c r="V139" i="8" l="1"/>
  <c r="V189"/>
  <c r="V191" s="1"/>
  <c r="V127"/>
  <c r="V117"/>
  <c r="V159" s="1"/>
  <c r="V174" s="1"/>
  <c r="V175" s="1"/>
  <c r="V177"/>
  <c r="V179" s="1"/>
  <c r="V131"/>
  <c r="V135"/>
  <c r="V181"/>
  <c r="V183" s="1"/>
  <c r="V192" l="1"/>
  <c r="V195" s="1"/>
  <c r="V140"/>
  <c r="V144" s="1"/>
  <c r="V118"/>
  <c r="V121" s="1"/>
  <c r="V160"/>
  <c r="V163" s="1"/>
  <c r="V120" l="1"/>
  <c r="V194"/>
  <c r="V162"/>
  <c r="V142"/>
  <c r="V143" s="1"/>
  <c r="V146" l="1"/>
  <c r="W138"/>
  <c r="W190" s="1"/>
  <c r="W137"/>
  <c r="W134"/>
  <c r="W182" s="1"/>
  <c r="W133"/>
  <c r="W126"/>
  <c r="W130"/>
  <c r="W178" s="1"/>
  <c r="W129"/>
  <c r="W139" l="1"/>
  <c r="W189"/>
  <c r="W191" s="1"/>
  <c r="W177"/>
  <c r="W179" s="1"/>
  <c r="W131"/>
  <c r="W135"/>
  <c r="W181"/>
  <c r="W183" s="1"/>
  <c r="W117"/>
  <c r="W159" s="1"/>
  <c r="W174" s="1"/>
  <c r="W175" s="1"/>
  <c r="W127"/>
  <c r="W140" l="1"/>
  <c r="W144" s="1"/>
  <c r="W118"/>
  <c r="W121" s="1"/>
  <c r="W160"/>
  <c r="W163" s="1"/>
  <c r="W192"/>
  <c r="W195" s="1"/>
  <c r="W142"/>
  <c r="W143" s="1"/>
  <c r="W146" l="1"/>
  <c r="X138"/>
  <c r="X190" s="1"/>
  <c r="X137"/>
  <c r="X134"/>
  <c r="X182" s="1"/>
  <c r="X133"/>
  <c r="X126"/>
  <c r="X130"/>
  <c r="X178" s="1"/>
  <c r="X129"/>
  <c r="W194"/>
  <c r="W120"/>
  <c r="W162"/>
  <c r="X139" l="1"/>
  <c r="X189"/>
  <c r="X191" s="1"/>
  <c r="X127"/>
  <c r="X117"/>
  <c r="X159" s="1"/>
  <c r="X174" s="1"/>
  <c r="X175" s="1"/>
  <c r="X177"/>
  <c r="X179" s="1"/>
  <c r="X131"/>
  <c r="X135"/>
  <c r="X181"/>
  <c r="X183" s="1"/>
  <c r="X192" l="1"/>
  <c r="X195" s="1"/>
  <c r="X140"/>
  <c r="X144" s="1"/>
  <c r="X118"/>
  <c r="X121" s="1"/>
  <c r="X160"/>
  <c r="X163" s="1"/>
  <c r="X162" l="1"/>
  <c r="X142"/>
  <c r="X143" s="1"/>
  <c r="X120"/>
  <c r="X194"/>
  <c r="X146" l="1"/>
  <c r="Y138"/>
  <c r="Y190" s="1"/>
  <c r="Y137"/>
  <c r="Y134"/>
  <c r="Y182" s="1"/>
  <c r="Y133"/>
  <c r="Y126"/>
  <c r="Y130"/>
  <c r="Y178" s="1"/>
  <c r="Y129"/>
  <c r="Y177" l="1"/>
  <c r="Y179" s="1"/>
  <c r="Y131"/>
  <c r="Y135"/>
  <c r="Y181"/>
  <c r="Y183" s="1"/>
  <c r="Y117"/>
  <c r="Y159" s="1"/>
  <c r="Y174" s="1"/>
  <c r="Y175" s="1"/>
  <c r="Y127"/>
  <c r="Y139"/>
  <c r="Y189"/>
  <c r="Y191" s="1"/>
  <c r="Y118" l="1"/>
  <c r="Y121" s="1"/>
  <c r="Y160"/>
  <c r="Y163" s="1"/>
  <c r="Y140"/>
  <c r="Y144" s="1"/>
  <c r="Y192"/>
  <c r="Y195" s="1"/>
  <c r="Y142" l="1"/>
  <c r="Y143" s="1"/>
  <c r="Y120"/>
  <c r="Y194"/>
  <c r="Y162"/>
  <c r="Y146" l="1"/>
  <c r="Z138"/>
  <c r="Z190" s="1"/>
  <c r="Z137"/>
  <c r="Z134"/>
  <c r="Z182" s="1"/>
  <c r="Z133"/>
  <c r="Z126"/>
  <c r="Z130"/>
  <c r="Z178" s="1"/>
  <c r="Z129"/>
  <c r="Z139" l="1"/>
  <c r="Z189"/>
  <c r="Z191" s="1"/>
  <c r="Z127"/>
  <c r="Z117"/>
  <c r="Z159" s="1"/>
  <c r="Z174" s="1"/>
  <c r="Z175" s="1"/>
  <c r="Z177"/>
  <c r="Z179" s="1"/>
  <c r="Z131"/>
  <c r="Z135"/>
  <c r="Z181"/>
  <c r="Z183" s="1"/>
  <c r="Z192" l="1"/>
  <c r="Z195" s="1"/>
  <c r="Z140"/>
  <c r="Z144" s="1"/>
  <c r="Z118"/>
  <c r="Z121" s="1"/>
  <c r="Z160"/>
  <c r="Z163" s="1"/>
  <c r="Z120" l="1"/>
  <c r="Z194"/>
  <c r="Z162"/>
  <c r="Z142"/>
  <c r="Z143" s="1"/>
  <c r="Z146" l="1"/>
  <c r="AA138"/>
  <c r="AA190" s="1"/>
  <c r="AA137"/>
  <c r="AA134"/>
  <c r="AA182" s="1"/>
  <c r="AA133"/>
  <c r="AA126"/>
  <c r="AA130"/>
  <c r="AA178" s="1"/>
  <c r="AA129"/>
  <c r="AA139" l="1"/>
  <c r="AA189"/>
  <c r="AA191" s="1"/>
  <c r="AA177"/>
  <c r="AA179" s="1"/>
  <c r="AA131"/>
  <c r="AA135"/>
  <c r="AA181"/>
  <c r="AA183" s="1"/>
  <c r="AA117"/>
  <c r="AA159" s="1"/>
  <c r="AA174" s="1"/>
  <c r="AA175" s="1"/>
  <c r="AA127"/>
  <c r="AA140" l="1"/>
  <c r="AA144" s="1"/>
  <c r="AA118"/>
  <c r="AA121" s="1"/>
  <c r="AA160"/>
  <c r="AA163" s="1"/>
  <c r="AA192"/>
  <c r="AA195" s="1"/>
  <c r="AA142"/>
  <c r="AA143" s="1"/>
  <c r="AA146" l="1"/>
  <c r="AB138"/>
  <c r="AB190" s="1"/>
  <c r="AB137"/>
  <c r="AB134"/>
  <c r="AB182" s="1"/>
  <c r="AB133"/>
  <c r="AB126"/>
  <c r="AB130"/>
  <c r="AB178" s="1"/>
  <c r="AB129"/>
  <c r="AA194"/>
  <c r="AA120"/>
  <c r="AA162"/>
  <c r="AB139" l="1"/>
  <c r="AB189"/>
  <c r="AB191" s="1"/>
  <c r="AB127"/>
  <c r="AB117"/>
  <c r="AB159" s="1"/>
  <c r="AB174" s="1"/>
  <c r="AB175" s="1"/>
  <c r="AB177"/>
  <c r="AB179" s="1"/>
  <c r="AB131"/>
  <c r="AB135"/>
  <c r="AB181"/>
  <c r="AB183" s="1"/>
  <c r="AB192" l="1"/>
  <c r="AB195" s="1"/>
  <c r="AB140"/>
  <c r="AB144" s="1"/>
  <c r="AB118"/>
  <c r="AB121" s="1"/>
  <c r="AB160"/>
  <c r="AB163" s="1"/>
  <c r="AB120" l="1"/>
  <c r="AB194"/>
  <c r="AB162"/>
  <c r="AB142"/>
  <c r="AB143" s="1"/>
  <c r="AB146" l="1"/>
  <c r="AC138"/>
  <c r="AC190" s="1"/>
  <c r="AC137"/>
  <c r="AC134"/>
  <c r="AC182" s="1"/>
  <c r="AC133"/>
  <c r="AC126"/>
  <c r="AC130"/>
  <c r="AC178" s="1"/>
  <c r="AC129"/>
  <c r="AC139" l="1"/>
  <c r="AC189"/>
  <c r="AC191" s="1"/>
  <c r="AC177"/>
  <c r="AC179" s="1"/>
  <c r="AC131"/>
  <c r="AC135"/>
  <c r="AC181"/>
  <c r="AC183" s="1"/>
  <c r="AC117"/>
  <c r="AC159" s="1"/>
  <c r="AC174" s="1"/>
  <c r="AC175" s="1"/>
  <c r="AC127"/>
  <c r="AC192" l="1"/>
  <c r="AC195" s="1"/>
  <c r="AC140"/>
  <c r="AC118"/>
  <c r="AC121" s="1"/>
  <c r="AC160"/>
  <c r="AC163" s="1"/>
  <c r="AC194" l="1"/>
  <c r="AC142"/>
  <c r="AC143" s="1"/>
  <c r="AD138" s="1"/>
  <c r="AD190" s="1"/>
  <c r="AC144"/>
  <c r="AC120"/>
  <c r="AC162"/>
  <c r="AC146" l="1"/>
  <c r="AD133"/>
  <c r="AD181" s="1"/>
  <c r="AD130"/>
  <c r="AD178" s="1"/>
  <c r="AD137"/>
  <c r="AD189" s="1"/>
  <c r="AD191" s="1"/>
  <c r="AD129"/>
  <c r="AD126"/>
  <c r="AD117" s="1"/>
  <c r="AD159" s="1"/>
  <c r="AD174" s="1"/>
  <c r="AD175" s="1"/>
  <c r="AD134"/>
  <c r="AD182" s="1"/>
  <c r="AD139" l="1"/>
  <c r="AD131"/>
  <c r="AD177"/>
  <c r="AD179" s="1"/>
  <c r="AD135"/>
  <c r="AD183"/>
  <c r="AD127"/>
  <c r="AD118"/>
  <c r="AD121" s="1"/>
  <c r="AD160"/>
  <c r="AD163" s="1"/>
  <c r="AD192" l="1"/>
  <c r="AD195" s="1"/>
  <c r="AD140"/>
  <c r="AD144" s="1"/>
  <c r="AD120"/>
  <c r="AD162"/>
  <c r="AD142" l="1"/>
  <c r="AD143" s="1"/>
  <c r="AE138" s="1"/>
  <c r="AE190" s="1"/>
  <c r="AD194"/>
  <c r="AE134" l="1"/>
  <c r="AE182" s="1"/>
  <c r="AE130"/>
  <c r="AE178" s="1"/>
  <c r="AD146"/>
  <c r="AE129"/>
  <c r="AE137"/>
  <c r="AE139" s="1"/>
  <c r="AE133"/>
  <c r="AE181" s="1"/>
  <c r="AE183" s="1"/>
  <c r="AE126"/>
  <c r="AE117" s="1"/>
  <c r="AE159" s="1"/>
  <c r="AE174" s="1"/>
  <c r="AE175" s="1"/>
  <c r="AE177"/>
  <c r="AE179" l="1"/>
  <c r="AE189"/>
  <c r="AE191" s="1"/>
  <c r="AE192" s="1"/>
  <c r="AE127"/>
  <c r="AE131"/>
  <c r="AE135"/>
  <c r="AE118"/>
  <c r="AE121" s="1"/>
  <c r="AE160"/>
  <c r="AE163" s="1"/>
  <c r="AE140" l="1"/>
  <c r="AE144"/>
  <c r="AE142"/>
  <c r="AE143" s="1"/>
  <c r="AF134" s="1"/>
  <c r="AF182" s="1"/>
  <c r="AE194"/>
  <c r="AE195"/>
  <c r="AE120"/>
  <c r="AE162"/>
  <c r="AF133" l="1"/>
  <c r="AF181" s="1"/>
  <c r="AF183" s="1"/>
  <c r="AE146"/>
  <c r="AF126"/>
  <c r="AF117" s="1"/>
  <c r="AF159" s="1"/>
  <c r="AF174" s="1"/>
  <c r="AF175" s="1"/>
  <c r="AF138"/>
  <c r="AF190" s="1"/>
  <c r="AF130"/>
  <c r="AF178" s="1"/>
  <c r="AF137"/>
  <c r="AF189" s="1"/>
  <c r="AF129"/>
  <c r="AF131" s="1"/>
  <c r="AF135"/>
  <c r="AF191" l="1"/>
  <c r="AF127"/>
  <c r="AF177"/>
  <c r="AF179" s="1"/>
  <c r="AF192" s="1"/>
  <c r="AF195" s="1"/>
  <c r="AF139"/>
  <c r="AF118"/>
  <c r="AF121" s="1"/>
  <c r="AF160"/>
  <c r="AF163" s="1"/>
  <c r="AF140" l="1"/>
  <c r="AF144" s="1"/>
  <c r="AF120"/>
  <c r="B100" i="1" s="1"/>
  <c r="B106"/>
  <c r="AF194" i="8"/>
  <c r="B114" i="1" s="1"/>
  <c r="B120"/>
  <c r="AF162" i="8"/>
  <c r="B113" i="1" s="1"/>
  <c r="B119"/>
  <c r="AF142" i="8"/>
  <c r="B107" i="1"/>
  <c r="AF143" i="8" l="1"/>
  <c r="AG138" s="1"/>
  <c r="AG190" s="1"/>
  <c r="B101" i="1"/>
  <c r="AF146" i="8" l="1"/>
  <c r="AG133"/>
  <c r="AG181" s="1"/>
  <c r="AG130"/>
  <c r="AG178" s="1"/>
  <c r="AG137"/>
  <c r="AG189" s="1"/>
  <c r="AG191" s="1"/>
  <c r="AG129"/>
  <c r="AG177" s="1"/>
  <c r="AG126"/>
  <c r="AG117" s="1"/>
  <c r="AG159" s="1"/>
  <c r="AG174" s="1"/>
  <c r="AG175" s="1"/>
  <c r="AG134"/>
  <c r="AG182" s="1"/>
  <c r="AG179" l="1"/>
  <c r="AG139"/>
  <c r="AG127"/>
  <c r="AG183"/>
  <c r="AG131"/>
  <c r="AG135"/>
  <c r="AG118"/>
  <c r="AG121" s="1"/>
  <c r="AG160"/>
  <c r="AG163" s="1"/>
  <c r="AG192" l="1"/>
  <c r="AG195" s="1"/>
  <c r="AG140"/>
  <c r="AG144" s="1"/>
  <c r="AG194"/>
  <c r="AG120"/>
  <c r="AG162"/>
  <c r="AG142" l="1"/>
  <c r="AG143" s="1"/>
  <c r="AG146" s="1"/>
  <c r="AH133" l="1"/>
  <c r="AH138"/>
  <c r="AH190" s="1"/>
  <c r="AH134"/>
  <c r="AH182" s="1"/>
  <c r="AH137"/>
  <c r="AH189" s="1"/>
  <c r="AH130"/>
  <c r="AH178" s="1"/>
  <c r="AH126"/>
  <c r="AH127" s="1"/>
  <c r="AH129"/>
  <c r="AH177" s="1"/>
  <c r="AH179" l="1"/>
  <c r="AH117"/>
  <c r="AH159" s="1"/>
  <c r="AH174" s="1"/>
  <c r="AH175" s="1"/>
  <c r="AH139"/>
  <c r="AH191"/>
  <c r="AH131"/>
  <c r="AH181"/>
  <c r="AH183" s="1"/>
  <c r="AH135"/>
  <c r="AH140" l="1"/>
  <c r="AH144" s="1"/>
  <c r="AH192"/>
  <c r="AH195" s="1"/>
  <c r="AH160"/>
  <c r="AH163" s="1"/>
  <c r="AH118"/>
  <c r="AH121" s="1"/>
  <c r="AH142"/>
  <c r="AH143" s="1"/>
  <c r="AI138" s="1"/>
  <c r="AI190" s="1"/>
  <c r="AH120" l="1"/>
  <c r="AH194"/>
  <c r="AH162"/>
  <c r="AI130"/>
  <c r="AI178" s="1"/>
  <c r="AI133"/>
  <c r="AI181" s="1"/>
  <c r="AI137"/>
  <c r="AI139" s="1"/>
  <c r="AH146"/>
  <c r="AI129"/>
  <c r="AI177" s="1"/>
  <c r="AI179" s="1"/>
  <c r="AI126"/>
  <c r="AI117" s="1"/>
  <c r="AI159" s="1"/>
  <c r="AI174" s="1"/>
  <c r="AI175" s="1"/>
  <c r="AI134"/>
  <c r="AI182" s="1"/>
  <c r="AI131" l="1"/>
  <c r="AI189"/>
  <c r="AI191" s="1"/>
  <c r="AI127"/>
  <c r="AI183"/>
  <c r="AI135"/>
  <c r="AI118"/>
  <c r="AI121" s="1"/>
  <c r="AI160"/>
  <c r="AI163" s="1"/>
  <c r="AI140" l="1"/>
  <c r="AI144" s="1"/>
  <c r="AI192"/>
  <c r="AI195" s="1"/>
  <c r="AI120"/>
  <c r="AI162"/>
  <c r="AI142" l="1"/>
  <c r="AI143" s="1"/>
  <c r="AI146" s="1"/>
  <c r="AI194"/>
  <c r="AJ134" l="1"/>
  <c r="AJ182" s="1"/>
  <c r="AJ138"/>
  <c r="AJ190" s="1"/>
  <c r="AJ191" s="1"/>
  <c r="AJ130"/>
  <c r="AJ178" s="1"/>
  <c r="AJ129"/>
  <c r="AJ177" s="1"/>
  <c r="AJ137"/>
  <c r="AJ189" s="1"/>
  <c r="AJ133"/>
  <c r="AJ181" s="1"/>
  <c r="AJ183" s="1"/>
  <c r="AJ126"/>
  <c r="AJ117" s="1"/>
  <c r="AJ159" s="1"/>
  <c r="AJ174" s="1"/>
  <c r="AJ175" s="1"/>
  <c r="AJ179" l="1"/>
  <c r="AJ118"/>
  <c r="AJ121" s="1"/>
  <c r="AJ139"/>
  <c r="AJ131"/>
  <c r="AJ160"/>
  <c r="AJ163" s="1"/>
  <c r="AJ135"/>
  <c r="AJ127"/>
  <c r="AJ192"/>
  <c r="AJ120" l="1"/>
  <c r="AJ162"/>
  <c r="AJ140"/>
  <c r="AJ142"/>
  <c r="AJ143" s="1"/>
  <c r="AK138" s="1"/>
  <c r="AK190" s="1"/>
  <c r="AJ144"/>
  <c r="AJ194"/>
  <c r="AJ195"/>
  <c r="AJ146" l="1"/>
  <c r="AK133"/>
  <c r="AK181" s="1"/>
  <c r="AK130"/>
  <c r="AK178" s="1"/>
  <c r="AK137"/>
  <c r="AK189" s="1"/>
  <c r="AK191" s="1"/>
  <c r="AK129"/>
  <c r="AK177" s="1"/>
  <c r="AK126"/>
  <c r="AK117" s="1"/>
  <c r="AK159" s="1"/>
  <c r="AK174" s="1"/>
  <c r="AK175" s="1"/>
  <c r="AK134"/>
  <c r="AK182" s="1"/>
  <c r="AK139" l="1"/>
  <c r="AK179"/>
  <c r="AK127"/>
  <c r="AK131"/>
  <c r="AK183"/>
  <c r="AK135"/>
  <c r="AK118"/>
  <c r="AK121" s="1"/>
  <c r="AK160"/>
  <c r="AK163" s="1"/>
  <c r="AK192" l="1"/>
  <c r="AK195" s="1"/>
  <c r="AK140"/>
  <c r="AK144" s="1"/>
  <c r="AK120"/>
  <c r="AK162"/>
  <c r="AK194" l="1"/>
  <c r="AK142"/>
  <c r="AK143" s="1"/>
  <c r="AK146" s="1"/>
  <c r="AL133" l="1"/>
  <c r="AL181" s="1"/>
  <c r="AL138"/>
  <c r="AL190" s="1"/>
  <c r="AL126"/>
  <c r="AL117" s="1"/>
  <c r="AL159" s="1"/>
  <c r="AL174" s="1"/>
  <c r="AL175" s="1"/>
  <c r="AL137"/>
  <c r="AL189" s="1"/>
  <c r="AL130"/>
  <c r="AL178" s="1"/>
  <c r="AL134"/>
  <c r="AL182" s="1"/>
  <c r="AL129"/>
  <c r="AL177" s="1"/>
  <c r="AL179" l="1"/>
  <c r="AL183"/>
  <c r="AL118"/>
  <c r="AL121" s="1"/>
  <c r="AL135"/>
  <c r="AL160"/>
  <c r="AL163" s="1"/>
  <c r="AL127"/>
  <c r="AL191"/>
  <c r="AL139"/>
  <c r="AL131"/>
  <c r="AL192" l="1"/>
  <c r="AL195" s="1"/>
  <c r="AL120"/>
  <c r="AL162"/>
  <c r="AL140"/>
  <c r="AL144" s="1"/>
  <c r="AL194"/>
  <c r="AL142" l="1"/>
  <c r="AL143" s="1"/>
  <c r="AM138" s="1"/>
  <c r="AM190" s="1"/>
  <c r="AM130" l="1"/>
  <c r="AM178" s="1"/>
  <c r="AM126"/>
  <c r="AM117" s="1"/>
  <c r="AM159" s="1"/>
  <c r="AM174" s="1"/>
  <c r="AM175" s="1"/>
  <c r="AM133"/>
  <c r="AM181" s="1"/>
  <c r="AL146"/>
  <c r="AM129"/>
  <c r="AM177" s="1"/>
  <c r="AM179" s="1"/>
  <c r="AM134"/>
  <c r="AM182" s="1"/>
  <c r="AM137"/>
  <c r="AM139" s="1"/>
  <c r="AM131" l="1"/>
  <c r="AM189"/>
  <c r="AM191" s="1"/>
  <c r="AM183"/>
  <c r="AM118"/>
  <c r="AM121" s="1"/>
  <c r="AM160"/>
  <c r="AM163" s="1"/>
  <c r="AM135"/>
  <c r="AM127"/>
  <c r="AM162"/>
  <c r="AM192" l="1"/>
  <c r="AM194" s="1"/>
  <c r="AM120"/>
  <c r="AM140"/>
  <c r="AM144" s="1"/>
  <c r="AM195" l="1"/>
  <c r="AM142"/>
  <c r="AM143" s="1"/>
  <c r="AM146" s="1"/>
  <c r="AN130" l="1"/>
  <c r="AN178" s="1"/>
  <c r="AN133"/>
  <c r="AN181" s="1"/>
  <c r="AN126"/>
  <c r="AN117" s="1"/>
  <c r="AN129"/>
  <c r="AN177" s="1"/>
  <c r="AN138"/>
  <c r="AN190" s="1"/>
  <c r="AN134"/>
  <c r="AN182" s="1"/>
  <c r="AN127"/>
  <c r="AN137"/>
  <c r="AN189" s="1"/>
  <c r="AN191" l="1"/>
  <c r="AN179"/>
  <c r="AN183"/>
  <c r="AN135"/>
  <c r="AN131"/>
  <c r="AN159"/>
  <c r="AN118"/>
  <c r="AN139"/>
  <c r="AN140" l="1"/>
  <c r="AN142" s="1"/>
  <c r="AN143" s="1"/>
  <c r="AO137" s="1"/>
  <c r="AO189" s="1"/>
  <c r="AN174"/>
  <c r="AN175" s="1"/>
  <c r="AN192" s="1"/>
  <c r="AN195" s="1"/>
  <c r="AN160"/>
  <c r="AN121"/>
  <c r="AN120"/>
  <c r="AN194"/>
  <c r="AN144" l="1"/>
  <c r="AO133"/>
  <c r="AO181" s="1"/>
  <c r="AN146"/>
  <c r="AO138"/>
  <c r="AO190" s="1"/>
  <c r="AO191" s="1"/>
  <c r="AO130"/>
  <c r="AO178" s="1"/>
  <c r="AO134"/>
  <c r="AO182" s="1"/>
  <c r="AO183" s="1"/>
  <c r="AN163"/>
  <c r="AN162"/>
  <c r="AO126"/>
  <c r="AO129"/>
  <c r="AO177" s="1"/>
  <c r="AO131" l="1"/>
  <c r="AO135"/>
  <c r="AO179"/>
  <c r="AO139"/>
  <c r="AO127"/>
  <c r="AO117"/>
  <c r="AO140" l="1"/>
  <c r="AO144" s="1"/>
  <c r="AO159"/>
  <c r="AO118"/>
  <c r="AO142" l="1"/>
  <c r="AO143" s="1"/>
  <c r="AP138" s="1"/>
  <c r="AP190" s="1"/>
  <c r="AO121"/>
  <c r="AO120"/>
  <c r="AO174"/>
  <c r="AO175" s="1"/>
  <c r="AO192" s="1"/>
  <c r="AO160"/>
  <c r="AP134" l="1"/>
  <c r="AP182" s="1"/>
  <c r="AP129"/>
  <c r="AP177" s="1"/>
  <c r="AP126"/>
  <c r="AP117" s="1"/>
  <c r="AP130"/>
  <c r="AP178" s="1"/>
  <c r="AP133"/>
  <c r="AP181" s="1"/>
  <c r="AP183" s="1"/>
  <c r="AP137"/>
  <c r="AP189" s="1"/>
  <c r="AP191" s="1"/>
  <c r="AO146"/>
  <c r="AP135"/>
  <c r="AO194"/>
  <c r="AO195"/>
  <c r="AO163"/>
  <c r="AO162"/>
  <c r="AP139" l="1"/>
  <c r="AP127"/>
  <c r="AP159"/>
  <c r="AP118"/>
  <c r="AP131"/>
  <c r="AP179"/>
  <c r="AP140" l="1"/>
  <c r="AP144" s="1"/>
  <c r="AP174"/>
  <c r="AP175" s="1"/>
  <c r="AP192" s="1"/>
  <c r="AP160"/>
  <c r="AP121"/>
  <c r="AP120"/>
  <c r="C63" i="10"/>
  <c r="C69" s="1"/>
  <c r="AP142" i="8" l="1"/>
  <c r="AP143" s="1"/>
  <c r="AP146" s="1"/>
  <c r="B146" s="1"/>
  <c r="B79" i="1" s="1"/>
  <c r="AP194" i="8"/>
  <c r="AP195"/>
  <c r="B197"/>
  <c r="B198"/>
  <c r="B167"/>
  <c r="AP162"/>
  <c r="AP163"/>
  <c r="B166"/>
  <c r="C101" i="10"/>
  <c r="C109"/>
  <c r="C110" l="1"/>
  <c r="C123" s="1"/>
  <c r="AF101" l="1"/>
  <c r="AF109" l="1"/>
  <c r="AF110" s="1"/>
  <c r="AF123" s="1"/>
  <c r="B108"/>
  <c r="B109" l="1"/>
  <c r="B110" s="1"/>
  <c r="B123" s="1"/>
  <c r="AN126" s="1"/>
  <c r="AG126" l="1"/>
  <c r="AO126"/>
  <c r="AL126"/>
  <c r="AI126"/>
  <c r="AF126"/>
  <c r="AB126"/>
  <c r="X126"/>
  <c r="T126"/>
  <c r="P126"/>
  <c r="L126"/>
  <c r="H126"/>
  <c r="D126"/>
  <c r="AE126"/>
  <c r="AA126"/>
  <c r="W126"/>
  <c r="S126"/>
  <c r="O126"/>
  <c r="K126"/>
  <c r="G126"/>
  <c r="C126"/>
  <c r="AD126"/>
  <c r="Z126"/>
  <c r="V126"/>
  <c r="R126"/>
  <c r="N126"/>
  <c r="J126"/>
  <c r="F126"/>
  <c r="AC126"/>
  <c r="Y126"/>
  <c r="U126"/>
  <c r="Q126"/>
  <c r="M126"/>
  <c r="I126"/>
  <c r="E126"/>
  <c r="AK126"/>
  <c r="AH126"/>
  <c r="AP126"/>
  <c r="AM126"/>
  <c r="AJ126"/>
  <c r="B101"/>
  <c r="AP103" s="1"/>
  <c r="E125"/>
  <c r="M125"/>
  <c r="AB125"/>
  <c r="AJ125"/>
  <c r="AO125"/>
  <c r="R125"/>
  <c r="Z125"/>
  <c r="Y125"/>
  <c r="AA125"/>
  <c r="N125"/>
  <c r="AL125"/>
  <c r="AH125"/>
  <c r="AN125"/>
  <c r="J125"/>
  <c r="W125"/>
  <c r="V125"/>
  <c r="U125"/>
  <c r="F125"/>
  <c r="AG125"/>
  <c r="AP125"/>
  <c r="AF125"/>
  <c r="G125"/>
  <c r="O125"/>
  <c r="S125"/>
  <c r="C125"/>
  <c r="AD125"/>
  <c r="B126"/>
  <c r="B125"/>
  <c r="K125"/>
  <c r="I125"/>
  <c r="AM125"/>
  <c r="AE125"/>
  <c r="AI125"/>
  <c r="Q125"/>
  <c r="T125"/>
  <c r="H125"/>
  <c r="D125"/>
  <c r="AK125"/>
  <c r="P125"/>
  <c r="AC125"/>
  <c r="X125"/>
  <c r="L125"/>
  <c r="B184"/>
  <c r="AN103" l="1"/>
  <c r="AG103"/>
  <c r="AB104"/>
  <c r="X104"/>
  <c r="T104"/>
  <c r="P104"/>
  <c r="L104"/>
  <c r="H104"/>
  <c r="D104"/>
  <c r="AE104"/>
  <c r="AA104"/>
  <c r="W104"/>
  <c r="S104"/>
  <c r="O104"/>
  <c r="K104"/>
  <c r="G104"/>
  <c r="C104"/>
  <c r="AD104"/>
  <c r="Z104"/>
  <c r="V104"/>
  <c r="R104"/>
  <c r="N104"/>
  <c r="J104"/>
  <c r="F104"/>
  <c r="AC104"/>
  <c r="Y104"/>
  <c r="U104"/>
  <c r="Q104"/>
  <c r="M104"/>
  <c r="I104"/>
  <c r="E104"/>
  <c r="AJ104"/>
  <c r="AM104"/>
  <c r="AP104"/>
  <c r="AH104"/>
  <c r="AK104"/>
  <c r="AN104"/>
  <c r="AF104"/>
  <c r="AI104"/>
  <c r="AL104"/>
  <c r="AO104"/>
  <c r="AG104"/>
  <c r="D103"/>
  <c r="AE103"/>
  <c r="Z103"/>
  <c r="Y103"/>
  <c r="K103"/>
  <c r="AD103"/>
  <c r="AL103"/>
  <c r="AC103"/>
  <c r="J103"/>
  <c r="AH103"/>
  <c r="N103"/>
  <c r="AM103"/>
  <c r="U103"/>
  <c r="S103"/>
  <c r="B103"/>
  <c r="AJ103"/>
  <c r="AB103"/>
  <c r="B104"/>
  <c r="P103"/>
  <c r="F103"/>
  <c r="AA103"/>
  <c r="AF103"/>
  <c r="E103"/>
  <c r="X103"/>
  <c r="V103"/>
  <c r="AK103"/>
  <c r="H103"/>
  <c r="AI103"/>
  <c r="L103"/>
  <c r="AO103"/>
  <c r="O103"/>
  <c r="W103"/>
  <c r="R103"/>
  <c r="Q103"/>
  <c r="T103"/>
  <c r="M103"/>
  <c r="I103"/>
  <c r="C103"/>
  <c r="G103"/>
  <c r="B187"/>
  <c r="B186"/>
  <c r="D163" l="1"/>
  <c r="D155"/>
  <c r="D159"/>
  <c r="D143" l="1"/>
  <c r="E159" l="1"/>
  <c r="E155"/>
  <c r="E163"/>
  <c r="E143" l="1"/>
  <c r="F159" l="1"/>
  <c r="F155"/>
  <c r="F163"/>
  <c r="F143" l="1"/>
  <c r="G163" l="1"/>
  <c r="G155"/>
  <c r="G159"/>
  <c r="G143" l="1"/>
  <c r="H155" l="1"/>
  <c r="H163"/>
  <c r="H159"/>
  <c r="H143" l="1"/>
  <c r="I159" l="1"/>
  <c r="I155"/>
  <c r="I163"/>
  <c r="I143" l="1"/>
  <c r="J163" l="1"/>
  <c r="J159"/>
  <c r="J155"/>
  <c r="J143" l="1"/>
  <c r="K155" l="1"/>
  <c r="K163"/>
  <c r="K159"/>
  <c r="K143" l="1"/>
  <c r="L155" l="1"/>
  <c r="L159"/>
  <c r="L163"/>
  <c r="L143" l="1"/>
  <c r="M155" l="1"/>
  <c r="M159"/>
  <c r="M163"/>
  <c r="M143" l="1"/>
  <c r="N163" l="1"/>
  <c r="N159"/>
  <c r="N155"/>
  <c r="N143" l="1"/>
  <c r="O163" l="1"/>
  <c r="O159"/>
  <c r="O155"/>
  <c r="O143" l="1"/>
  <c r="P155" l="1"/>
  <c r="P159" l="1"/>
  <c r="P163"/>
  <c r="P143"/>
  <c r="Q155" l="1"/>
  <c r="Q163" l="1"/>
  <c r="Q159"/>
  <c r="Q143"/>
  <c r="R163" l="1"/>
  <c r="R155"/>
  <c r="R159"/>
  <c r="R143" l="1"/>
  <c r="S163" l="1"/>
  <c r="S155"/>
  <c r="S159"/>
  <c r="S143" l="1"/>
  <c r="T155" l="1"/>
  <c r="T159"/>
  <c r="T163"/>
  <c r="T143" l="1"/>
  <c r="U163" l="1"/>
  <c r="U159"/>
  <c r="U155"/>
  <c r="U143" l="1"/>
  <c r="V155" l="1"/>
  <c r="V159"/>
  <c r="V163"/>
  <c r="V143" l="1"/>
  <c r="W159" l="1"/>
  <c r="W163"/>
  <c r="W155"/>
  <c r="W143" l="1"/>
  <c r="X159" l="1"/>
  <c r="X163"/>
  <c r="X155"/>
  <c r="X143" l="1"/>
  <c r="Y159" l="1"/>
  <c r="Y155"/>
  <c r="Y163" l="1"/>
  <c r="Y143"/>
  <c r="Z155" l="1"/>
  <c r="Z159"/>
  <c r="Z163"/>
  <c r="Z143" l="1"/>
  <c r="AA163" l="1"/>
  <c r="AA155"/>
  <c r="AA159"/>
  <c r="AA143" l="1"/>
  <c r="AB163" l="1"/>
  <c r="AB155"/>
  <c r="AB159"/>
  <c r="AB143" l="1"/>
  <c r="AC155" l="1"/>
  <c r="AC163"/>
  <c r="AC159"/>
  <c r="AC143" l="1"/>
  <c r="AD163" l="1"/>
  <c r="AD159"/>
  <c r="AD155"/>
  <c r="AD143" l="1"/>
  <c r="AE155" l="1"/>
  <c r="AE163" l="1"/>
  <c r="AE159"/>
  <c r="AE143"/>
  <c r="AF159" l="1"/>
  <c r="AF163"/>
  <c r="AG167" l="1"/>
  <c r="AG205"/>
  <c r="AG163"/>
  <c r="AG155"/>
  <c r="AG159"/>
  <c r="AG168" l="1"/>
  <c r="AG143"/>
  <c r="AG201" l="1"/>
  <c r="AG206" s="1"/>
  <c r="AG184"/>
  <c r="AH205" l="1"/>
  <c r="AH167"/>
  <c r="AH155"/>
  <c r="AH159"/>
  <c r="AH163"/>
  <c r="AH143" l="1"/>
  <c r="AH168"/>
  <c r="AH201" l="1"/>
  <c r="AH206" s="1"/>
  <c r="AH184"/>
  <c r="AI155" l="1"/>
  <c r="AI159"/>
  <c r="AI167"/>
  <c r="AI205"/>
  <c r="AI163"/>
  <c r="AI168" l="1"/>
  <c r="AI143"/>
  <c r="AI201" l="1"/>
  <c r="AI206" s="1"/>
  <c r="AI184"/>
  <c r="AJ159" l="1"/>
  <c r="AJ155"/>
  <c r="AJ163"/>
  <c r="AJ167"/>
  <c r="AJ205"/>
  <c r="AJ143" l="1"/>
  <c r="AJ168"/>
  <c r="AJ201" l="1"/>
  <c r="AJ206" s="1"/>
  <c r="AJ184"/>
  <c r="AK155" l="1"/>
  <c r="AK167"/>
  <c r="AK205"/>
  <c r="AK163"/>
  <c r="AK159"/>
  <c r="AK143" l="1"/>
  <c r="AK168"/>
  <c r="AK201" l="1"/>
  <c r="AK206" s="1"/>
  <c r="AK184"/>
  <c r="AL163" l="1"/>
  <c r="AL159"/>
  <c r="AL205"/>
  <c r="AL167"/>
  <c r="AL155"/>
  <c r="AL143" l="1"/>
  <c r="AL168"/>
  <c r="AL201" l="1"/>
  <c r="AL206" s="1"/>
  <c r="AL184"/>
  <c r="AM155" l="1"/>
  <c r="AM159"/>
  <c r="AM167"/>
  <c r="AM205"/>
  <c r="AM163"/>
  <c r="AM168" l="1"/>
  <c r="AM143"/>
  <c r="AM201" l="1"/>
  <c r="AM206" s="1"/>
  <c r="AM184"/>
  <c r="AN163" l="1"/>
  <c r="AN159" l="1"/>
  <c r="AN155"/>
  <c r="AN205"/>
  <c r="AN167"/>
  <c r="AN143"/>
  <c r="AN168" l="1"/>
  <c r="AN201"/>
  <c r="AN206" s="1"/>
  <c r="AN184"/>
  <c r="AO159" l="1"/>
  <c r="AO163"/>
  <c r="AO155"/>
  <c r="AO205" l="1"/>
  <c r="AO167"/>
  <c r="AO168" s="1"/>
  <c r="AO143"/>
  <c r="AO201" l="1"/>
  <c r="AO206" s="1"/>
  <c r="AO184"/>
  <c r="AP159" l="1"/>
  <c r="AP163"/>
  <c r="AP167"/>
  <c r="AP205"/>
  <c r="AP155"/>
  <c r="AP168" l="1"/>
  <c r="AP143"/>
  <c r="AP201" l="1"/>
  <c r="AP206" s="1"/>
  <c r="AP184"/>
  <c r="C815" l="1"/>
  <c r="C49" s="1"/>
  <c r="C275" l="1"/>
  <c r="C50"/>
  <c r="C74" s="1"/>
  <c r="C76" s="1"/>
  <c r="C80" s="1"/>
  <c r="C81" s="1"/>
  <c r="C95" s="1"/>
  <c r="C280" l="1"/>
  <c r="C298" s="1"/>
  <c r="C142"/>
  <c r="B713"/>
  <c r="C216"/>
  <c r="C293"/>
  <c r="B59" l="1"/>
  <c r="B63" s="1"/>
  <c r="B715"/>
  <c r="D145" i="1"/>
  <c r="C244" i="10"/>
  <c r="C143"/>
  <c r="C154"/>
  <c r="C155" s="1"/>
  <c r="C712" l="1"/>
  <c r="C715" s="1"/>
  <c r="B818"/>
  <c r="C819" s="1"/>
  <c r="D149" i="1"/>
  <c r="D154" s="1"/>
  <c r="D155" s="1"/>
  <c r="B89" i="10" s="1"/>
  <c r="B94" s="1"/>
  <c r="C278"/>
  <c r="D159" i="1" l="1"/>
  <c r="D177" s="1"/>
  <c r="D156"/>
  <c r="D225"/>
  <c r="B588" i="10" s="1"/>
  <c r="D227" i="1"/>
  <c r="B625" i="10" s="1"/>
  <c r="B138"/>
  <c r="B53"/>
  <c r="B69" s="1"/>
  <c r="D226" i="1"/>
  <c r="C453" i="10" s="1"/>
  <c r="D221" i="1"/>
  <c r="C448" i="10" s="1"/>
  <c r="D222" i="1"/>
  <c r="C449" i="10" s="1"/>
  <c r="D224" i="1"/>
  <c r="C317" i="10" s="1"/>
  <c r="D223" i="1"/>
  <c r="B586" i="10" s="1"/>
  <c r="B84"/>
  <c r="B86" s="1"/>
  <c r="C182"/>
  <c r="C199" s="1"/>
  <c r="C201" s="1"/>
  <c r="C276"/>
  <c r="C294" s="1"/>
  <c r="C184"/>
  <c r="C187" s="1"/>
  <c r="D712"/>
  <c r="D715" s="1"/>
  <c r="C818"/>
  <c r="D819" s="1"/>
  <c r="C296"/>
  <c r="C319"/>
  <c r="B619"/>
  <c r="B622"/>
  <c r="B73"/>
  <c r="B74" s="1"/>
  <c r="B76" s="1"/>
  <c r="C450" l="1"/>
  <c r="C451"/>
  <c r="D164" i="1"/>
  <c r="D168" s="1"/>
  <c r="B623" i="10"/>
  <c r="C315"/>
  <c r="B589"/>
  <c r="B621"/>
  <c r="B585"/>
  <c r="C186"/>
  <c r="B590"/>
  <c r="B587"/>
  <c r="C314"/>
  <c r="C452"/>
  <c r="C455" s="1"/>
  <c r="B452" s="1"/>
  <c r="B584"/>
  <c r="D228" i="1"/>
  <c r="C318" i="10"/>
  <c r="C316"/>
  <c r="B620"/>
  <c r="B624"/>
  <c r="C281"/>
  <c r="C288" s="1"/>
  <c r="C289" s="1"/>
  <c r="C299" s="1"/>
  <c r="C300" s="1"/>
  <c r="C307" s="1"/>
  <c r="C308" s="1"/>
  <c r="C204" s="1"/>
  <c r="D182"/>
  <c r="D199" s="1"/>
  <c r="D201" s="1"/>
  <c r="D276"/>
  <c r="D184"/>
  <c r="D187" s="1"/>
  <c r="C203"/>
  <c r="E712"/>
  <c r="E715" s="1"/>
  <c r="D818"/>
  <c r="E819" s="1"/>
  <c r="B142"/>
  <c r="B154" s="1"/>
  <c r="B80"/>
  <c r="B81" s="1"/>
  <c r="B95" s="1"/>
  <c r="C619"/>
  <c r="C584"/>
  <c r="B150"/>
  <c r="D169" i="1" l="1"/>
  <c r="D166"/>
  <c r="D170"/>
  <c r="B626" i="10"/>
  <c r="C321"/>
  <c r="B319" s="1"/>
  <c r="D319" s="1"/>
  <c r="B591"/>
  <c r="D186"/>
  <c r="C205"/>
  <c r="C206" s="1"/>
  <c r="D281"/>
  <c r="D288" s="1"/>
  <c r="D289" s="1"/>
  <c r="D299" s="1"/>
  <c r="D294"/>
  <c r="E182"/>
  <c r="E199" s="1"/>
  <c r="E201" s="1"/>
  <c r="E276"/>
  <c r="F712"/>
  <c r="F715" s="1"/>
  <c r="E818"/>
  <c r="F819" s="1"/>
  <c r="B143"/>
  <c r="C145" s="1"/>
  <c r="B448"/>
  <c r="E448" s="1"/>
  <c r="E452"/>
  <c r="D452"/>
  <c r="C626"/>
  <c r="E319"/>
  <c r="B450"/>
  <c r="B449"/>
  <c r="B451"/>
  <c r="B318"/>
  <c r="C591"/>
  <c r="B453"/>
  <c r="B201"/>
  <c r="B206" s="1"/>
  <c r="B155"/>
  <c r="B168" s="1"/>
  <c r="B315" l="1"/>
  <c r="D315" s="1"/>
  <c r="O145"/>
  <c r="D171" i="1"/>
  <c r="D203" i="10"/>
  <c r="B314"/>
  <c r="D314" s="1"/>
  <c r="B316"/>
  <c r="B317"/>
  <c r="D317" s="1"/>
  <c r="H146"/>
  <c r="T146"/>
  <c r="F145"/>
  <c r="AD146"/>
  <c r="F146"/>
  <c r="B145"/>
  <c r="P145"/>
  <c r="R146"/>
  <c r="S146"/>
  <c r="J146"/>
  <c r="G146"/>
  <c r="E145"/>
  <c r="B146"/>
  <c r="AE145"/>
  <c r="D300"/>
  <c r="D307" s="1"/>
  <c r="D308" s="1"/>
  <c r="D204" s="1"/>
  <c r="D205" s="1"/>
  <c r="D206" s="1"/>
  <c r="E184"/>
  <c r="E315"/>
  <c r="E281"/>
  <c r="E288" s="1"/>
  <c r="E289" s="1"/>
  <c r="E299" s="1"/>
  <c r="E294"/>
  <c r="U146"/>
  <c r="I146"/>
  <c r="D146"/>
  <c r="C146"/>
  <c r="M146"/>
  <c r="X146"/>
  <c r="W146"/>
  <c r="R145"/>
  <c r="U145"/>
  <c r="V145"/>
  <c r="Q145"/>
  <c r="X145"/>
  <c r="H145"/>
  <c r="W145"/>
  <c r="G145"/>
  <c r="F182"/>
  <c r="F199" s="1"/>
  <c r="F201" s="1"/>
  <c r="F276"/>
  <c r="G712"/>
  <c r="G715" s="1"/>
  <c r="F818"/>
  <c r="G819" s="1"/>
  <c r="D448"/>
  <c r="F448" s="1"/>
  <c r="N146"/>
  <c r="E146"/>
  <c r="Y146"/>
  <c r="AB146"/>
  <c r="L146"/>
  <c r="D103" i="1" s="1"/>
  <c r="AA146" i="10"/>
  <c r="K146"/>
  <c r="V146"/>
  <c r="AC146"/>
  <c r="Z146"/>
  <c r="Q146"/>
  <c r="P146"/>
  <c r="AE146"/>
  <c r="O146"/>
  <c r="Z145"/>
  <c r="J145"/>
  <c r="AC145"/>
  <c r="M145"/>
  <c r="AD145"/>
  <c r="N145"/>
  <c r="Y145"/>
  <c r="I145"/>
  <c r="AB145"/>
  <c r="T145"/>
  <c r="L145"/>
  <c r="D97" i="1" s="1"/>
  <c r="D145" i="10"/>
  <c r="AA145"/>
  <c r="S145"/>
  <c r="K145"/>
  <c r="B455"/>
  <c r="F452"/>
  <c r="F319"/>
  <c r="E453"/>
  <c r="D453"/>
  <c r="D584"/>
  <c r="D588"/>
  <c r="D585"/>
  <c r="D587"/>
  <c r="D586"/>
  <c r="D589"/>
  <c r="E318"/>
  <c r="D318"/>
  <c r="E451"/>
  <c r="D451"/>
  <c r="E450"/>
  <c r="D450"/>
  <c r="D619"/>
  <c r="D623"/>
  <c r="D622"/>
  <c r="D624"/>
  <c r="D621"/>
  <c r="D620"/>
  <c r="F315"/>
  <c r="E314"/>
  <c r="D316"/>
  <c r="D449"/>
  <c r="E449"/>
  <c r="B209"/>
  <c r="C208"/>
  <c r="B208"/>
  <c r="C209"/>
  <c r="B172"/>
  <c r="B170"/>
  <c r="E203" l="1"/>
  <c r="E317"/>
  <c r="F317" s="1"/>
  <c r="B321"/>
  <c r="E316"/>
  <c r="F184"/>
  <c r="F186" s="1"/>
  <c r="D209"/>
  <c r="D208"/>
  <c r="E186"/>
  <c r="E187"/>
  <c r="F281"/>
  <c r="F288" s="1"/>
  <c r="F289" s="1"/>
  <c r="F203" s="1"/>
  <c r="F294"/>
  <c r="E300"/>
  <c r="E307" s="1"/>
  <c r="E308" s="1"/>
  <c r="E204" s="1"/>
  <c r="G182"/>
  <c r="G199" s="1"/>
  <c r="G201" s="1"/>
  <c r="G276"/>
  <c r="G184"/>
  <c r="H712"/>
  <c r="H715" s="1"/>
  <c r="G818"/>
  <c r="H819" s="1"/>
  <c r="F316"/>
  <c r="F314"/>
  <c r="F450"/>
  <c r="F451"/>
  <c r="F318"/>
  <c r="F453"/>
  <c r="J621"/>
  <c r="K621" s="1"/>
  <c r="E621"/>
  <c r="F621"/>
  <c r="F622"/>
  <c r="J622"/>
  <c r="K622" s="1"/>
  <c r="E622"/>
  <c r="F619"/>
  <c r="J619"/>
  <c r="K619" s="1"/>
  <c r="E619"/>
  <c r="D626"/>
  <c r="J586"/>
  <c r="K586" s="1"/>
  <c r="E586"/>
  <c r="F586"/>
  <c r="F585"/>
  <c r="J585"/>
  <c r="K585" s="1"/>
  <c r="E585"/>
  <c r="F584"/>
  <c r="J584"/>
  <c r="K584" s="1"/>
  <c r="E584"/>
  <c r="G584" s="1"/>
  <c r="D591"/>
  <c r="F449"/>
  <c r="F620"/>
  <c r="J620"/>
  <c r="K620" s="1"/>
  <c r="E620"/>
  <c r="J624"/>
  <c r="K624" s="1"/>
  <c r="E624"/>
  <c r="F624"/>
  <c r="J623"/>
  <c r="K623" s="1"/>
  <c r="E623"/>
  <c r="F623"/>
  <c r="F589"/>
  <c r="J589"/>
  <c r="K589" s="1"/>
  <c r="E589"/>
  <c r="J587"/>
  <c r="K587" s="1"/>
  <c r="E587"/>
  <c r="F587"/>
  <c r="J588"/>
  <c r="K588" s="1"/>
  <c r="E588"/>
  <c r="F588"/>
  <c r="B171"/>
  <c r="G619" l="1"/>
  <c r="G585"/>
  <c r="E205"/>
  <c r="E206" s="1"/>
  <c r="E209" s="1"/>
  <c r="G186"/>
  <c r="F187"/>
  <c r="G589"/>
  <c r="G622"/>
  <c r="G620"/>
  <c r="G187"/>
  <c r="F299"/>
  <c r="F300" s="1"/>
  <c r="F307" s="1"/>
  <c r="F308" s="1"/>
  <c r="F204" s="1"/>
  <c r="F205" s="1"/>
  <c r="F206" s="1"/>
  <c r="E208"/>
  <c r="G281"/>
  <c r="G288" s="1"/>
  <c r="G289" s="1"/>
  <c r="G299" s="1"/>
  <c r="G294"/>
  <c r="H182"/>
  <c r="H184" s="1"/>
  <c r="H276"/>
  <c r="I712"/>
  <c r="I715" s="1"/>
  <c r="H818"/>
  <c r="I819" s="1"/>
  <c r="F321"/>
  <c r="F455"/>
  <c r="G588"/>
  <c r="G624"/>
  <c r="G587"/>
  <c r="G623"/>
  <c r="K591"/>
  <c r="G586"/>
  <c r="K626"/>
  <c r="G621"/>
  <c r="G300" l="1"/>
  <c r="G307" s="1"/>
  <c r="G308" s="1"/>
  <c r="G204" s="1"/>
  <c r="G626"/>
  <c r="H626" s="1"/>
  <c r="C158" s="1"/>
  <c r="H199"/>
  <c r="H201" s="1"/>
  <c r="G203"/>
  <c r="H187"/>
  <c r="H186"/>
  <c r="H281"/>
  <c r="H288" s="1"/>
  <c r="H289" s="1"/>
  <c r="H299" s="1"/>
  <c r="H294"/>
  <c r="I182"/>
  <c r="I184" s="1"/>
  <c r="I276"/>
  <c r="H203"/>
  <c r="F208"/>
  <c r="F209"/>
  <c r="J712"/>
  <c r="J715" s="1"/>
  <c r="I818"/>
  <c r="J819" s="1"/>
  <c r="G591"/>
  <c r="H591" s="1"/>
  <c r="C157" s="1"/>
  <c r="H623" l="1"/>
  <c r="I623" s="1"/>
  <c r="H452" s="1"/>
  <c r="I452" s="1"/>
  <c r="K452" s="1"/>
  <c r="H621"/>
  <c r="I621" s="1"/>
  <c r="H450" s="1"/>
  <c r="I450" s="1"/>
  <c r="K450" s="1"/>
  <c r="D490" s="1"/>
  <c r="H620"/>
  <c r="I620" s="1"/>
  <c r="H449" s="1"/>
  <c r="I449" s="1"/>
  <c r="K449" s="1"/>
  <c r="AA489" s="1"/>
  <c r="I199"/>
  <c r="I201" s="1"/>
  <c r="G205"/>
  <c r="G206" s="1"/>
  <c r="G208" s="1"/>
  <c r="H619"/>
  <c r="I619" s="1"/>
  <c r="H448" s="1"/>
  <c r="H624"/>
  <c r="I624" s="1"/>
  <c r="H453" s="1"/>
  <c r="I453" s="1"/>
  <c r="K453" s="1"/>
  <c r="M493" s="1"/>
  <c r="H622"/>
  <c r="I622" s="1"/>
  <c r="H451" s="1"/>
  <c r="I451" s="1"/>
  <c r="K451" s="1"/>
  <c r="F491" s="1"/>
  <c r="H300"/>
  <c r="H307" s="1"/>
  <c r="H308" s="1"/>
  <c r="H204" s="1"/>
  <c r="H205" s="1"/>
  <c r="H206" s="1"/>
  <c r="I186"/>
  <c r="I187"/>
  <c r="I281"/>
  <c r="I288" s="1"/>
  <c r="I289" s="1"/>
  <c r="I299" s="1"/>
  <c r="I294"/>
  <c r="J182"/>
  <c r="J199" s="1"/>
  <c r="J201" s="1"/>
  <c r="J276"/>
  <c r="G209"/>
  <c r="K712"/>
  <c r="K715" s="1"/>
  <c r="J818"/>
  <c r="K819" s="1"/>
  <c r="H587"/>
  <c r="I587" s="1"/>
  <c r="G317" s="1"/>
  <c r="I317" s="1"/>
  <c r="K317" s="1"/>
  <c r="Q357" s="1"/>
  <c r="H586"/>
  <c r="I586" s="1"/>
  <c r="G316" s="1"/>
  <c r="I316" s="1"/>
  <c r="K316" s="1"/>
  <c r="C356" s="1"/>
  <c r="H589"/>
  <c r="I589" s="1"/>
  <c r="G319" s="1"/>
  <c r="I319" s="1"/>
  <c r="K319" s="1"/>
  <c r="I359" s="1"/>
  <c r="H584"/>
  <c r="I584" s="1"/>
  <c r="G314" s="1"/>
  <c r="H588"/>
  <c r="I588" s="1"/>
  <c r="G318" s="1"/>
  <c r="I318" s="1"/>
  <c r="K318" s="1"/>
  <c r="C358" s="1"/>
  <c r="H585"/>
  <c r="I585" s="1"/>
  <c r="G315" s="1"/>
  <c r="I315" s="1"/>
  <c r="K315" s="1"/>
  <c r="D355" s="1"/>
  <c r="C492"/>
  <c r="AL492"/>
  <c r="F492"/>
  <c r="AP492"/>
  <c r="Z492"/>
  <c r="J492"/>
  <c r="AJ492"/>
  <c r="AB492"/>
  <c r="T492"/>
  <c r="L492"/>
  <c r="D492"/>
  <c r="AM492"/>
  <c r="AI492"/>
  <c r="AE492"/>
  <c r="AA492"/>
  <c r="W492"/>
  <c r="S492"/>
  <c r="O492"/>
  <c r="K492"/>
  <c r="G492"/>
  <c r="N492"/>
  <c r="AD492"/>
  <c r="V492"/>
  <c r="AH492"/>
  <c r="R492"/>
  <c r="AN492"/>
  <c r="AF492"/>
  <c r="X492"/>
  <c r="P492"/>
  <c r="H492"/>
  <c r="AO492"/>
  <c r="AK492"/>
  <c r="AG492"/>
  <c r="AC492"/>
  <c r="Y492"/>
  <c r="U492"/>
  <c r="Q492"/>
  <c r="M492"/>
  <c r="I492"/>
  <c r="E492"/>
  <c r="C159"/>
  <c r="R489" l="1"/>
  <c r="AF489"/>
  <c r="M489"/>
  <c r="AG493"/>
  <c r="C489"/>
  <c r="AD489"/>
  <c r="AF490"/>
  <c r="AI489"/>
  <c r="AA490"/>
  <c r="AO489"/>
  <c r="X489"/>
  <c r="O489"/>
  <c r="AD493"/>
  <c r="AP489"/>
  <c r="L489"/>
  <c r="K489"/>
  <c r="R490"/>
  <c r="J489"/>
  <c r="I489"/>
  <c r="H489"/>
  <c r="E489"/>
  <c r="W489"/>
  <c r="AH490"/>
  <c r="AJ493"/>
  <c r="X490"/>
  <c r="U490"/>
  <c r="N356"/>
  <c r="Z489"/>
  <c r="Q489"/>
  <c r="AM489"/>
  <c r="AB489"/>
  <c r="AC489"/>
  <c r="P490"/>
  <c r="I490"/>
  <c r="O490"/>
  <c r="AO491"/>
  <c r="D493"/>
  <c r="N489"/>
  <c r="AH489"/>
  <c r="AG489"/>
  <c r="AE489"/>
  <c r="P489"/>
  <c r="AN489"/>
  <c r="AK489"/>
  <c r="D489"/>
  <c r="K490"/>
  <c r="E490"/>
  <c r="AE490"/>
  <c r="AE491"/>
  <c r="AM493"/>
  <c r="F489"/>
  <c r="V489"/>
  <c r="AL489"/>
  <c r="Y489"/>
  <c r="S489"/>
  <c r="G489"/>
  <c r="T489"/>
  <c r="AJ489"/>
  <c r="U489"/>
  <c r="H490"/>
  <c r="AN490"/>
  <c r="AO490"/>
  <c r="Z490"/>
  <c r="Q490"/>
  <c r="J490"/>
  <c r="AP490"/>
  <c r="AC490"/>
  <c r="Z357"/>
  <c r="T493"/>
  <c r="S493"/>
  <c r="N493"/>
  <c r="G493"/>
  <c r="E493"/>
  <c r="AA359"/>
  <c r="H357"/>
  <c r="L493"/>
  <c r="AB493"/>
  <c r="C493"/>
  <c r="AI493"/>
  <c r="F493"/>
  <c r="V493"/>
  <c r="AL493"/>
  <c r="W493"/>
  <c r="Y493"/>
  <c r="AC493"/>
  <c r="O359"/>
  <c r="AA357"/>
  <c r="Y357"/>
  <c r="H493"/>
  <c r="P493"/>
  <c r="X493"/>
  <c r="AF493"/>
  <c r="AN493"/>
  <c r="K493"/>
  <c r="AA493"/>
  <c r="Q493"/>
  <c r="U493"/>
  <c r="J493"/>
  <c r="R493"/>
  <c r="Z493"/>
  <c r="AH493"/>
  <c r="AP493"/>
  <c r="O493"/>
  <c r="AE493"/>
  <c r="I493"/>
  <c r="AO493"/>
  <c r="AK493"/>
  <c r="I491"/>
  <c r="AD491"/>
  <c r="J491"/>
  <c r="L490"/>
  <c r="T490"/>
  <c r="AB490"/>
  <c r="AJ490"/>
  <c r="C490"/>
  <c r="S490"/>
  <c r="AI490"/>
  <c r="Y490"/>
  <c r="M490"/>
  <c r="AK490"/>
  <c r="F490"/>
  <c r="N490"/>
  <c r="V490"/>
  <c r="AD490"/>
  <c r="AL490"/>
  <c r="G490"/>
  <c r="W490"/>
  <c r="AM490"/>
  <c r="AG490"/>
  <c r="I203"/>
  <c r="Z359"/>
  <c r="P359"/>
  <c r="AO359"/>
  <c r="AN357"/>
  <c r="AB356"/>
  <c r="K356"/>
  <c r="Y491"/>
  <c r="AF491"/>
  <c r="O491"/>
  <c r="L491"/>
  <c r="AL491"/>
  <c r="M355"/>
  <c r="AH355"/>
  <c r="J184"/>
  <c r="H209"/>
  <c r="H208"/>
  <c r="AO356"/>
  <c r="E356"/>
  <c r="P355"/>
  <c r="W355"/>
  <c r="C355"/>
  <c r="I300"/>
  <c r="I307" s="1"/>
  <c r="I308" s="1"/>
  <c r="I204" s="1"/>
  <c r="I205" s="1"/>
  <c r="I206" s="1"/>
  <c r="J359"/>
  <c r="AP359"/>
  <c r="AK359"/>
  <c r="AF359"/>
  <c r="M359"/>
  <c r="J357"/>
  <c r="AP357"/>
  <c r="AK357"/>
  <c r="X357"/>
  <c r="AE357"/>
  <c r="Q491"/>
  <c r="AG491"/>
  <c r="P491"/>
  <c r="R491"/>
  <c r="G491"/>
  <c r="W491"/>
  <c r="AM491"/>
  <c r="AB491"/>
  <c r="AP491"/>
  <c r="C491"/>
  <c r="I626"/>
  <c r="R359"/>
  <c r="AH359"/>
  <c r="K359"/>
  <c r="E359"/>
  <c r="H359"/>
  <c r="X359"/>
  <c r="AN359"/>
  <c r="AE359"/>
  <c r="Q359"/>
  <c r="D359"/>
  <c r="R357"/>
  <c r="AH357"/>
  <c r="K357"/>
  <c r="E357"/>
  <c r="AO357"/>
  <c r="P357"/>
  <c r="AF357"/>
  <c r="O357"/>
  <c r="M357"/>
  <c r="D357"/>
  <c r="E491"/>
  <c r="M491"/>
  <c r="U491"/>
  <c r="AC491"/>
  <c r="AK491"/>
  <c r="H491"/>
  <c r="X491"/>
  <c r="AN491"/>
  <c r="AH491"/>
  <c r="V491"/>
  <c r="K491"/>
  <c r="S491"/>
  <c r="AA491"/>
  <c r="AI491"/>
  <c r="D491"/>
  <c r="T491"/>
  <c r="AJ491"/>
  <c r="Z491"/>
  <c r="N491"/>
  <c r="J281"/>
  <c r="J288" s="1"/>
  <c r="J289" s="1"/>
  <c r="J299" s="1"/>
  <c r="J294"/>
  <c r="L356"/>
  <c r="I356"/>
  <c r="S356"/>
  <c r="AD356"/>
  <c r="AK356"/>
  <c r="AF355"/>
  <c r="K355"/>
  <c r="R355"/>
  <c r="Q355"/>
  <c r="G355"/>
  <c r="K182"/>
  <c r="K199" s="1"/>
  <c r="K201" s="1"/>
  <c r="K276"/>
  <c r="K184"/>
  <c r="L712"/>
  <c r="L715" s="1"/>
  <c r="K818"/>
  <c r="L819" s="1"/>
  <c r="AE358"/>
  <c r="F358"/>
  <c r="Q358"/>
  <c r="L358"/>
  <c r="AH358"/>
  <c r="O358"/>
  <c r="P358"/>
  <c r="AP358"/>
  <c r="AG358"/>
  <c r="N358"/>
  <c r="G358"/>
  <c r="W358"/>
  <c r="AM358"/>
  <c r="AF358"/>
  <c r="AL358"/>
  <c r="I358"/>
  <c r="Y358"/>
  <c r="AO358"/>
  <c r="AB358"/>
  <c r="Z358"/>
  <c r="T356"/>
  <c r="AJ356"/>
  <c r="Y356"/>
  <c r="AE356"/>
  <c r="F356"/>
  <c r="V356"/>
  <c r="AL356"/>
  <c r="U356"/>
  <c r="W356"/>
  <c r="D356"/>
  <c r="H355"/>
  <c r="X355"/>
  <c r="AN355"/>
  <c r="AC355"/>
  <c r="O355"/>
  <c r="J355"/>
  <c r="Z355"/>
  <c r="AP355"/>
  <c r="AG355"/>
  <c r="AI355"/>
  <c r="I591"/>
  <c r="F359"/>
  <c r="N359"/>
  <c r="V359"/>
  <c r="AD359"/>
  <c r="AL359"/>
  <c r="C359"/>
  <c r="S359"/>
  <c r="AI359"/>
  <c r="U359"/>
  <c r="AG359"/>
  <c r="L359"/>
  <c r="T359"/>
  <c r="AB359"/>
  <c r="AJ359"/>
  <c r="G359"/>
  <c r="W359"/>
  <c r="AM359"/>
  <c r="AC359"/>
  <c r="Y359"/>
  <c r="F357"/>
  <c r="N357"/>
  <c r="V357"/>
  <c r="AD357"/>
  <c r="AL357"/>
  <c r="C357"/>
  <c r="S357"/>
  <c r="AI357"/>
  <c r="U357"/>
  <c r="I357"/>
  <c r="AG357"/>
  <c r="L357"/>
  <c r="T357"/>
  <c r="AB357"/>
  <c r="AJ357"/>
  <c r="G357"/>
  <c r="W357"/>
  <c r="AM357"/>
  <c r="AC357"/>
  <c r="K358"/>
  <c r="S358"/>
  <c r="AA358"/>
  <c r="AI358"/>
  <c r="H358"/>
  <c r="X358"/>
  <c r="AN358"/>
  <c r="V358"/>
  <c r="J358"/>
  <c r="E358"/>
  <c r="M358"/>
  <c r="U358"/>
  <c r="AC358"/>
  <c r="AK358"/>
  <c r="D358"/>
  <c r="T358"/>
  <c r="AJ358"/>
  <c r="AD358"/>
  <c r="R358"/>
  <c r="H356"/>
  <c r="P356"/>
  <c r="X356"/>
  <c r="AF356"/>
  <c r="AN356"/>
  <c r="Q356"/>
  <c r="AG356"/>
  <c r="O356"/>
  <c r="AA356"/>
  <c r="AI356"/>
  <c r="J356"/>
  <c r="R356"/>
  <c r="Z356"/>
  <c r="AH356"/>
  <c r="AP356"/>
  <c r="M356"/>
  <c r="AC356"/>
  <c r="G356"/>
  <c r="AM356"/>
  <c r="L355"/>
  <c r="T355"/>
  <c r="AB355"/>
  <c r="AJ355"/>
  <c r="E355"/>
  <c r="U355"/>
  <c r="AK355"/>
  <c r="AA355"/>
  <c r="AM355"/>
  <c r="F355"/>
  <c r="N355"/>
  <c r="V355"/>
  <c r="AD355"/>
  <c r="AL355"/>
  <c r="I355"/>
  <c r="Y355"/>
  <c r="AO355"/>
  <c r="S355"/>
  <c r="AE355"/>
  <c r="G321"/>
  <c r="I314"/>
  <c r="B492"/>
  <c r="H455"/>
  <c r="I448"/>
  <c r="B490" l="1"/>
  <c r="B489"/>
  <c r="B493"/>
  <c r="K186"/>
  <c r="J186"/>
  <c r="J187"/>
  <c r="J300"/>
  <c r="J307" s="1"/>
  <c r="J308" s="1"/>
  <c r="J204" s="1"/>
  <c r="B491"/>
  <c r="J203"/>
  <c r="J205" s="1"/>
  <c r="J206" s="1"/>
  <c r="K187"/>
  <c r="K281"/>
  <c r="K288" s="1"/>
  <c r="K289" s="1"/>
  <c r="K299" s="1"/>
  <c r="K294"/>
  <c r="I208"/>
  <c r="I209"/>
  <c r="K203"/>
  <c r="L182"/>
  <c r="L184" s="1"/>
  <c r="L276"/>
  <c r="M712"/>
  <c r="M715" s="1"/>
  <c r="L818"/>
  <c r="M819" s="1"/>
  <c r="B356"/>
  <c r="B359"/>
  <c r="B355"/>
  <c r="B358"/>
  <c r="B357"/>
  <c r="I455"/>
  <c r="J448"/>
  <c r="J455" s="1"/>
  <c r="C494" s="1"/>
  <c r="B494" s="1"/>
  <c r="I321"/>
  <c r="J314"/>
  <c r="J321" s="1"/>
  <c r="C360" s="1"/>
  <c r="B360" s="1"/>
  <c r="L199" l="1"/>
  <c r="L201" s="1"/>
  <c r="K300"/>
  <c r="K307" s="1"/>
  <c r="K308" s="1"/>
  <c r="K204" s="1"/>
  <c r="L187"/>
  <c r="D116" i="1" s="1"/>
  <c r="L186" i="10"/>
  <c r="D110" i="1" s="1"/>
  <c r="L281" i="10"/>
  <c r="L288" s="1"/>
  <c r="L289" s="1"/>
  <c r="L299" s="1"/>
  <c r="L294"/>
  <c r="M182"/>
  <c r="M199" s="1"/>
  <c r="M201" s="1"/>
  <c r="M276"/>
  <c r="L203"/>
  <c r="K205"/>
  <c r="K206" s="1"/>
  <c r="K208" s="1"/>
  <c r="J208"/>
  <c r="K209"/>
  <c r="J209"/>
  <c r="N712"/>
  <c r="N715" s="1"/>
  <c r="M818"/>
  <c r="N819" s="1"/>
  <c r="K314"/>
  <c r="C354" s="1"/>
  <c r="K448"/>
  <c r="M184" l="1"/>
  <c r="M186" s="1"/>
  <c r="L300"/>
  <c r="L307" s="1"/>
  <c r="L308" s="1"/>
  <c r="L204" s="1"/>
  <c r="M281"/>
  <c r="M288" s="1"/>
  <c r="M289" s="1"/>
  <c r="M299" s="1"/>
  <c r="M300" s="1"/>
  <c r="M307" s="1"/>
  <c r="M308" s="1"/>
  <c r="M204" s="1"/>
  <c r="M294"/>
  <c r="N182"/>
  <c r="N184" s="1"/>
  <c r="N276"/>
  <c r="AJ354"/>
  <c r="AJ361" s="1"/>
  <c r="L205"/>
  <c r="L206" s="1"/>
  <c r="AN354"/>
  <c r="AN361" s="1"/>
  <c r="AF354"/>
  <c r="AF361" s="1"/>
  <c r="AF218" s="1"/>
  <c r="O712"/>
  <c r="O715" s="1"/>
  <c r="N818"/>
  <c r="O819" s="1"/>
  <c r="AB354"/>
  <c r="AB361" s="1"/>
  <c r="AB218" s="1"/>
  <c r="AB219" s="1"/>
  <c r="AB240" s="1"/>
  <c r="AB241" s="1"/>
  <c r="AB165" s="1"/>
  <c r="X354"/>
  <c r="X361" s="1"/>
  <c r="X218" s="1"/>
  <c r="X219" s="1"/>
  <c r="X240" s="1"/>
  <c r="X241" s="1"/>
  <c r="X165" s="1"/>
  <c r="T354"/>
  <c r="T361" s="1"/>
  <c r="T218" s="1"/>
  <c r="T219" s="1"/>
  <c r="T240" s="1"/>
  <c r="T241" s="1"/>
  <c r="T247" s="1"/>
  <c r="P354"/>
  <c r="P361" s="1"/>
  <c r="P218" s="1"/>
  <c r="P219" s="1"/>
  <c r="P240" s="1"/>
  <c r="P241" s="1"/>
  <c r="P165" s="1"/>
  <c r="L354"/>
  <c r="L361" s="1"/>
  <c r="L218" s="1"/>
  <c r="L219" s="1"/>
  <c r="L240" s="1"/>
  <c r="L241" s="1"/>
  <c r="L165" s="1"/>
  <c r="H354"/>
  <c r="H361" s="1"/>
  <c r="H218" s="1"/>
  <c r="H219" s="1"/>
  <c r="H240" s="1"/>
  <c r="H241" s="1"/>
  <c r="H165" s="1"/>
  <c r="D354"/>
  <c r="D361" s="1"/>
  <c r="D218" s="1"/>
  <c r="D219" s="1"/>
  <c r="D240" s="1"/>
  <c r="D241" s="1"/>
  <c r="D247" s="1"/>
  <c r="AO354"/>
  <c r="AO361" s="1"/>
  <c r="AP354"/>
  <c r="AP361" s="1"/>
  <c r="AL354"/>
  <c r="AL361" s="1"/>
  <c r="AH354"/>
  <c r="AH361" s="1"/>
  <c r="AD354"/>
  <c r="AD361" s="1"/>
  <c r="AD218" s="1"/>
  <c r="AD219" s="1"/>
  <c r="AD240" s="1"/>
  <c r="AD241" s="1"/>
  <c r="AD165" s="1"/>
  <c r="Z354"/>
  <c r="Z361" s="1"/>
  <c r="Z218" s="1"/>
  <c r="Z219" s="1"/>
  <c r="Z240" s="1"/>
  <c r="Z241" s="1"/>
  <c r="Z165" s="1"/>
  <c r="V354"/>
  <c r="V361" s="1"/>
  <c r="V218" s="1"/>
  <c r="V219" s="1"/>
  <c r="V240" s="1"/>
  <c r="V241" s="1"/>
  <c r="V165" s="1"/>
  <c r="R354"/>
  <c r="R361" s="1"/>
  <c r="R218" s="1"/>
  <c r="R219" s="1"/>
  <c r="R240" s="1"/>
  <c r="R241" s="1"/>
  <c r="R165" s="1"/>
  <c r="N354"/>
  <c r="N361" s="1"/>
  <c r="N218" s="1"/>
  <c r="N219" s="1"/>
  <c r="N240" s="1"/>
  <c r="N241" s="1"/>
  <c r="N165" s="1"/>
  <c r="J354"/>
  <c r="J361" s="1"/>
  <c r="J218" s="1"/>
  <c r="J219" s="1"/>
  <c r="J240" s="1"/>
  <c r="J241" s="1"/>
  <c r="J247" s="1"/>
  <c r="F354"/>
  <c r="F361" s="1"/>
  <c r="F218" s="1"/>
  <c r="F219" s="1"/>
  <c r="F240" s="1"/>
  <c r="F241" s="1"/>
  <c r="F165" s="1"/>
  <c r="K321"/>
  <c r="AK354"/>
  <c r="AK361" s="1"/>
  <c r="AM354"/>
  <c r="AM361" s="1"/>
  <c r="AI354"/>
  <c r="AI361" s="1"/>
  <c r="AG354"/>
  <c r="AG361" s="1"/>
  <c r="AE354"/>
  <c r="AE361" s="1"/>
  <c r="AE218" s="1"/>
  <c r="AE219" s="1"/>
  <c r="AE240" s="1"/>
  <c r="AE241" s="1"/>
  <c r="AE247" s="1"/>
  <c r="AC354"/>
  <c r="AC361" s="1"/>
  <c r="AC218" s="1"/>
  <c r="AC219" s="1"/>
  <c r="AC240" s="1"/>
  <c r="AC241" s="1"/>
  <c r="AC165" s="1"/>
  <c r="AA354"/>
  <c r="AA361" s="1"/>
  <c r="AA218" s="1"/>
  <c r="AA219" s="1"/>
  <c r="AA240" s="1"/>
  <c r="AA241" s="1"/>
  <c r="AA165" s="1"/>
  <c r="Y354"/>
  <c r="Y361" s="1"/>
  <c r="Y218" s="1"/>
  <c r="Y219" s="1"/>
  <c r="Y240" s="1"/>
  <c r="Y241" s="1"/>
  <c r="Y247" s="1"/>
  <c r="W354"/>
  <c r="W361" s="1"/>
  <c r="W218" s="1"/>
  <c r="W219" s="1"/>
  <c r="W240" s="1"/>
  <c r="W241" s="1"/>
  <c r="W165" s="1"/>
  <c r="U354"/>
  <c r="U361" s="1"/>
  <c r="U218" s="1"/>
  <c r="U219" s="1"/>
  <c r="U240" s="1"/>
  <c r="U241" s="1"/>
  <c r="U247" s="1"/>
  <c r="S354"/>
  <c r="S361" s="1"/>
  <c r="S218" s="1"/>
  <c r="S219" s="1"/>
  <c r="S240" s="1"/>
  <c r="S241" s="1"/>
  <c r="S165" s="1"/>
  <c r="Q354"/>
  <c r="Q361" s="1"/>
  <c r="Q218" s="1"/>
  <c r="Q219" s="1"/>
  <c r="Q240" s="1"/>
  <c r="Q241" s="1"/>
  <c r="Q247" s="1"/>
  <c r="O354"/>
  <c r="O361" s="1"/>
  <c r="O218" s="1"/>
  <c r="O219" s="1"/>
  <c r="O240" s="1"/>
  <c r="O241" s="1"/>
  <c r="O165" s="1"/>
  <c r="M354"/>
  <c r="M361" s="1"/>
  <c r="M218" s="1"/>
  <c r="M219" s="1"/>
  <c r="M240" s="1"/>
  <c r="M241" s="1"/>
  <c r="M247" s="1"/>
  <c r="K354"/>
  <c r="K361" s="1"/>
  <c r="K218" s="1"/>
  <c r="K219" s="1"/>
  <c r="K240" s="1"/>
  <c r="K241" s="1"/>
  <c r="K165" s="1"/>
  <c r="I354"/>
  <c r="I361" s="1"/>
  <c r="I218" s="1"/>
  <c r="I219" s="1"/>
  <c r="I240" s="1"/>
  <c r="I241" s="1"/>
  <c r="I247" s="1"/>
  <c r="G354"/>
  <c r="G361" s="1"/>
  <c r="G218" s="1"/>
  <c r="G219" s="1"/>
  <c r="G240" s="1"/>
  <c r="G241" s="1"/>
  <c r="G165" s="1"/>
  <c r="E354"/>
  <c r="E361" s="1"/>
  <c r="E218" s="1"/>
  <c r="E219" s="1"/>
  <c r="E240" s="1"/>
  <c r="E241" s="1"/>
  <c r="E247" s="1"/>
  <c r="Z247"/>
  <c r="J165"/>
  <c r="C361"/>
  <c r="K455"/>
  <c r="D488"/>
  <c r="D495" s="1"/>
  <c r="D246" s="1"/>
  <c r="F488"/>
  <c r="F495" s="1"/>
  <c r="F246" s="1"/>
  <c r="H488"/>
  <c r="H495" s="1"/>
  <c r="H246" s="1"/>
  <c r="J488"/>
  <c r="J495" s="1"/>
  <c r="J246" s="1"/>
  <c r="L488"/>
  <c r="L495" s="1"/>
  <c r="L246" s="1"/>
  <c r="N488"/>
  <c r="N495" s="1"/>
  <c r="N246" s="1"/>
  <c r="P488"/>
  <c r="P495" s="1"/>
  <c r="P246" s="1"/>
  <c r="R488"/>
  <c r="R495" s="1"/>
  <c r="R246" s="1"/>
  <c r="T488"/>
  <c r="T495" s="1"/>
  <c r="T246" s="1"/>
  <c r="V488"/>
  <c r="V495" s="1"/>
  <c r="V246" s="1"/>
  <c r="X488"/>
  <c r="X495" s="1"/>
  <c r="X246" s="1"/>
  <c r="Z488"/>
  <c r="Z495" s="1"/>
  <c r="Z246" s="1"/>
  <c r="AB488"/>
  <c r="AB495" s="1"/>
  <c r="AB246" s="1"/>
  <c r="AD488"/>
  <c r="AD495" s="1"/>
  <c r="AD246" s="1"/>
  <c r="AF488"/>
  <c r="AF495" s="1"/>
  <c r="AF246" s="1"/>
  <c r="AH488"/>
  <c r="AH495" s="1"/>
  <c r="AJ488"/>
  <c r="AJ495" s="1"/>
  <c r="AL488"/>
  <c r="AL495" s="1"/>
  <c r="AN488"/>
  <c r="AN495" s="1"/>
  <c r="AP488"/>
  <c r="AP495" s="1"/>
  <c r="C488"/>
  <c r="E488"/>
  <c r="E495" s="1"/>
  <c r="E246" s="1"/>
  <c r="G488"/>
  <c r="G495" s="1"/>
  <c r="G246" s="1"/>
  <c r="I488"/>
  <c r="I495" s="1"/>
  <c r="I246" s="1"/>
  <c r="K488"/>
  <c r="K495" s="1"/>
  <c r="K246" s="1"/>
  <c r="M488"/>
  <c r="M495" s="1"/>
  <c r="M246" s="1"/>
  <c r="O488"/>
  <c r="O495" s="1"/>
  <c r="O246" s="1"/>
  <c r="Q488"/>
  <c r="Q495" s="1"/>
  <c r="Q246" s="1"/>
  <c r="S488"/>
  <c r="S495" s="1"/>
  <c r="S246" s="1"/>
  <c r="U488"/>
  <c r="U495" s="1"/>
  <c r="U246" s="1"/>
  <c r="W488"/>
  <c r="W495" s="1"/>
  <c r="W246" s="1"/>
  <c r="Y488"/>
  <c r="Y495" s="1"/>
  <c r="Y246" s="1"/>
  <c r="AA488"/>
  <c r="AA495" s="1"/>
  <c r="AA246" s="1"/>
  <c r="AC488"/>
  <c r="AC495" s="1"/>
  <c r="AC246" s="1"/>
  <c r="AE488"/>
  <c r="AE495" s="1"/>
  <c r="AE246" s="1"/>
  <c r="AG488"/>
  <c r="AG495" s="1"/>
  <c r="AI488"/>
  <c r="AI495" s="1"/>
  <c r="AK488"/>
  <c r="AK495" s="1"/>
  <c r="AM488"/>
  <c r="AM495" s="1"/>
  <c r="AO488"/>
  <c r="AO495" s="1"/>
  <c r="T165"/>
  <c r="D165"/>
  <c r="AD247" l="1"/>
  <c r="Y165"/>
  <c r="I165"/>
  <c r="Q165"/>
  <c r="AC247"/>
  <c r="AC248" s="1"/>
  <c r="AC269" s="1"/>
  <c r="AC270" s="1"/>
  <c r="AC166" s="1"/>
  <c r="AC167" s="1"/>
  <c r="AC168" s="1"/>
  <c r="L247"/>
  <c r="L248" s="1"/>
  <c r="L269" s="1"/>
  <c r="L270" s="1"/>
  <c r="L166" s="1"/>
  <c r="L167" s="1"/>
  <c r="L168" s="1"/>
  <c r="AB247"/>
  <c r="AB248" s="1"/>
  <c r="AB269" s="1"/>
  <c r="AB270" s="1"/>
  <c r="AB166" s="1"/>
  <c r="AB167" s="1"/>
  <c r="AB168" s="1"/>
  <c r="R247"/>
  <c r="R248" s="1"/>
  <c r="R269" s="1"/>
  <c r="R270" s="1"/>
  <c r="R166" s="1"/>
  <c r="R167" s="1"/>
  <c r="R168" s="1"/>
  <c r="E165"/>
  <c r="M165"/>
  <c r="U165"/>
  <c r="H247"/>
  <c r="H248" s="1"/>
  <c r="H269" s="1"/>
  <c r="H270" s="1"/>
  <c r="H166" s="1"/>
  <c r="H167" s="1"/>
  <c r="H168" s="1"/>
  <c r="P247"/>
  <c r="P248" s="1"/>
  <c r="P269" s="1"/>
  <c r="P270" s="1"/>
  <c r="P166" s="1"/>
  <c r="P167" s="1"/>
  <c r="P168" s="1"/>
  <c r="X247"/>
  <c r="X248" s="1"/>
  <c r="X269" s="1"/>
  <c r="X270" s="1"/>
  <c r="X166" s="1"/>
  <c r="X167" s="1"/>
  <c r="X168" s="1"/>
  <c r="AE165"/>
  <c r="N247"/>
  <c r="N248" s="1"/>
  <c r="N269" s="1"/>
  <c r="N270" s="1"/>
  <c r="N166" s="1"/>
  <c r="N167" s="1"/>
  <c r="N168" s="1"/>
  <c r="M187"/>
  <c r="N199"/>
  <c r="N201" s="1"/>
  <c r="N187"/>
  <c r="N186"/>
  <c r="M203"/>
  <c r="D248"/>
  <c r="D269" s="1"/>
  <c r="D270" s="1"/>
  <c r="D166" s="1"/>
  <c r="D167" s="1"/>
  <c r="D168" s="1"/>
  <c r="T248"/>
  <c r="T269" s="1"/>
  <c r="T270" s="1"/>
  <c r="T166" s="1"/>
  <c r="T167" s="1"/>
  <c r="T168" s="1"/>
  <c r="N281"/>
  <c r="N288" s="1"/>
  <c r="N289" s="1"/>
  <c r="N299" s="1"/>
  <c r="N294"/>
  <c r="G247"/>
  <c r="G248" s="1"/>
  <c r="G269" s="1"/>
  <c r="G270" s="1"/>
  <c r="G166" s="1"/>
  <c r="G167" s="1"/>
  <c r="G168" s="1"/>
  <c r="O182"/>
  <c r="O199" s="1"/>
  <c r="O201" s="1"/>
  <c r="O276"/>
  <c r="L208"/>
  <c r="D111" i="1" s="1"/>
  <c r="L209" i="10"/>
  <c r="D117" i="1" s="1"/>
  <c r="M205" i="10"/>
  <c r="M206" s="1"/>
  <c r="M209" s="1"/>
  <c r="W247"/>
  <c r="W248" s="1"/>
  <c r="W269" s="1"/>
  <c r="W270" s="1"/>
  <c r="W166" s="1"/>
  <c r="W167" s="1"/>
  <c r="W168" s="1"/>
  <c r="F247"/>
  <c r="F248" s="1"/>
  <c r="F269" s="1"/>
  <c r="F270" s="1"/>
  <c r="F166" s="1"/>
  <c r="F167" s="1"/>
  <c r="F168" s="1"/>
  <c r="V247"/>
  <c r="V248" s="1"/>
  <c r="V269" s="1"/>
  <c r="V270" s="1"/>
  <c r="V166" s="1"/>
  <c r="V167" s="1"/>
  <c r="V168" s="1"/>
  <c r="O247"/>
  <c r="O248" s="1"/>
  <c r="O269" s="1"/>
  <c r="O270" s="1"/>
  <c r="O166" s="1"/>
  <c r="O167" s="1"/>
  <c r="O168" s="1"/>
  <c r="AA247"/>
  <c r="AA248" s="1"/>
  <c r="AA269" s="1"/>
  <c r="AA270" s="1"/>
  <c r="AA166" s="1"/>
  <c r="AA167" s="1"/>
  <c r="AA168" s="1"/>
  <c r="P712"/>
  <c r="P715" s="1"/>
  <c r="O818"/>
  <c r="P819" s="1"/>
  <c r="B354"/>
  <c r="K247"/>
  <c r="K248" s="1"/>
  <c r="K269" s="1"/>
  <c r="K270" s="1"/>
  <c r="K166" s="1"/>
  <c r="K167" s="1"/>
  <c r="K168" s="1"/>
  <c r="S247"/>
  <c r="S248" s="1"/>
  <c r="S269" s="1"/>
  <c r="S270" s="1"/>
  <c r="S166" s="1"/>
  <c r="S167" s="1"/>
  <c r="S168" s="1"/>
  <c r="E248"/>
  <c r="E269" s="1"/>
  <c r="E270" s="1"/>
  <c r="E166" s="1"/>
  <c r="I248"/>
  <c r="I269" s="1"/>
  <c r="I270" s="1"/>
  <c r="I166" s="1"/>
  <c r="I167" s="1"/>
  <c r="I168" s="1"/>
  <c r="M248"/>
  <c r="M269" s="1"/>
  <c r="M270" s="1"/>
  <c r="M166" s="1"/>
  <c r="M167" s="1"/>
  <c r="M168" s="1"/>
  <c r="Q248"/>
  <c r="Q269" s="1"/>
  <c r="Q270" s="1"/>
  <c r="Q166" s="1"/>
  <c r="U248"/>
  <c r="U269" s="1"/>
  <c r="U270" s="1"/>
  <c r="U166" s="1"/>
  <c r="Y248"/>
  <c r="Y269" s="1"/>
  <c r="Y270" s="1"/>
  <c r="Y166" s="1"/>
  <c r="Y167" s="1"/>
  <c r="Y168" s="1"/>
  <c r="J248"/>
  <c r="J269" s="1"/>
  <c r="J270" s="1"/>
  <c r="J166" s="1"/>
  <c r="J167" s="1"/>
  <c r="J168" s="1"/>
  <c r="Z248"/>
  <c r="Z269" s="1"/>
  <c r="Z270" s="1"/>
  <c r="Z166" s="1"/>
  <c r="Z167" s="1"/>
  <c r="Z168" s="1"/>
  <c r="AD248"/>
  <c r="AD269" s="1"/>
  <c r="AD270" s="1"/>
  <c r="AD166" s="1"/>
  <c r="AD167" s="1"/>
  <c r="AD168" s="1"/>
  <c r="B488"/>
  <c r="C495"/>
  <c r="B361"/>
  <c r="C218"/>
  <c r="C219" s="1"/>
  <c r="C240" s="1"/>
  <c r="C241" s="1"/>
  <c r="AE248"/>
  <c r="AE269" s="1"/>
  <c r="AE270" s="1"/>
  <c r="AE166" s="1"/>
  <c r="AE167" l="1"/>
  <c r="AE168" s="1"/>
  <c r="E167"/>
  <c r="E168" s="1"/>
  <c r="U167"/>
  <c r="U168" s="1"/>
  <c r="Q167"/>
  <c r="Q168" s="1"/>
  <c r="O184"/>
  <c r="O186" s="1"/>
  <c r="N203"/>
  <c r="O187"/>
  <c r="N300"/>
  <c r="N307" s="1"/>
  <c r="N308" s="1"/>
  <c r="N204" s="1"/>
  <c r="N205" s="1"/>
  <c r="N206" s="1"/>
  <c r="O281"/>
  <c r="O288" s="1"/>
  <c r="O289" s="1"/>
  <c r="O203" s="1"/>
  <c r="O294"/>
  <c r="P182"/>
  <c r="P199" s="1"/>
  <c r="P201" s="1"/>
  <c r="P276"/>
  <c r="M208"/>
  <c r="Q712"/>
  <c r="Q715" s="1"/>
  <c r="P818"/>
  <c r="Q819" s="1"/>
  <c r="C247"/>
  <c r="C165"/>
  <c r="B495"/>
  <c r="C246"/>
  <c r="P184" l="1"/>
  <c r="P186" s="1"/>
  <c r="N208"/>
  <c r="N209"/>
  <c r="O299"/>
  <c r="O300" s="1"/>
  <c r="O307" s="1"/>
  <c r="O308" s="1"/>
  <c r="O204" s="1"/>
  <c r="O205" s="1"/>
  <c r="O206" s="1"/>
  <c r="P281"/>
  <c r="P288" s="1"/>
  <c r="P289" s="1"/>
  <c r="P203" s="1"/>
  <c r="P294"/>
  <c r="Q182"/>
  <c r="Q199" s="1"/>
  <c r="Q201" s="1"/>
  <c r="Q276"/>
  <c r="Q184"/>
  <c r="R712"/>
  <c r="R715" s="1"/>
  <c r="Q818"/>
  <c r="R819" s="1"/>
  <c r="C248"/>
  <c r="C269" s="1"/>
  <c r="C270" s="1"/>
  <c r="C166" s="1"/>
  <c r="C167" s="1"/>
  <c r="C168" s="1"/>
  <c r="Q186" l="1"/>
  <c r="P187"/>
  <c r="Q187"/>
  <c r="P299"/>
  <c r="P300" s="1"/>
  <c r="P307" s="1"/>
  <c r="P308" s="1"/>
  <c r="P204" s="1"/>
  <c r="Q281"/>
  <c r="Q288" s="1"/>
  <c r="Q289" s="1"/>
  <c r="Q203" s="1"/>
  <c r="Q294"/>
  <c r="R182"/>
  <c r="R199" s="1"/>
  <c r="R201" s="1"/>
  <c r="R276"/>
  <c r="Q299"/>
  <c r="O208"/>
  <c r="O209"/>
  <c r="P205"/>
  <c r="P206" s="1"/>
  <c r="R184"/>
  <c r="R186" s="1"/>
  <c r="S712"/>
  <c r="S715" s="1"/>
  <c r="R818"/>
  <c r="S819" s="1"/>
  <c r="C170"/>
  <c r="K170"/>
  <c r="S170"/>
  <c r="AA170"/>
  <c r="J170"/>
  <c r="R170"/>
  <c r="Z170"/>
  <c r="M170"/>
  <c r="AC170"/>
  <c r="L170"/>
  <c r="D98" i="1" s="1"/>
  <c r="AB170" i="10"/>
  <c r="Q170"/>
  <c r="H170"/>
  <c r="X170"/>
  <c r="O172"/>
  <c r="AE172"/>
  <c r="P172"/>
  <c r="Q172"/>
  <c r="Z172"/>
  <c r="C172"/>
  <c r="S172"/>
  <c r="D172"/>
  <c r="T172"/>
  <c r="I172"/>
  <c r="R172"/>
  <c r="U172"/>
  <c r="AD172"/>
  <c r="F172"/>
  <c r="G170"/>
  <c r="O170"/>
  <c r="W170"/>
  <c r="AE170"/>
  <c r="F170"/>
  <c r="N170"/>
  <c r="V170"/>
  <c r="D80" i="1" s="1"/>
  <c r="AD170" i="10"/>
  <c r="E170"/>
  <c r="U170"/>
  <c r="D170"/>
  <c r="T170"/>
  <c r="I170"/>
  <c r="Y170"/>
  <c r="P170"/>
  <c r="G172"/>
  <c r="W172"/>
  <c r="H172"/>
  <c r="X172"/>
  <c r="J172"/>
  <c r="AC172"/>
  <c r="K172"/>
  <c r="AA172"/>
  <c r="L172"/>
  <c r="D104" i="1" s="1"/>
  <c r="AB172" i="10"/>
  <c r="Y172"/>
  <c r="E172"/>
  <c r="N172"/>
  <c r="M172"/>
  <c r="V172"/>
  <c r="R187" l="1"/>
  <c r="Q300"/>
  <c r="Q307" s="1"/>
  <c r="Q308" s="1"/>
  <c r="Q204" s="1"/>
  <c r="Q205" s="1"/>
  <c r="Q206" s="1"/>
  <c r="R281"/>
  <c r="R288" s="1"/>
  <c r="R289" s="1"/>
  <c r="R203" s="1"/>
  <c r="R294"/>
  <c r="S182"/>
  <c r="S276"/>
  <c r="P209"/>
  <c r="P208"/>
  <c r="S184"/>
  <c r="S186" s="1"/>
  <c r="S199"/>
  <c r="S201" s="1"/>
  <c r="S187"/>
  <c r="T712"/>
  <c r="T715" s="1"/>
  <c r="S818"/>
  <c r="T819" s="1"/>
  <c r="U171"/>
  <c r="N171"/>
  <c r="AD171"/>
  <c r="H171"/>
  <c r="AE171"/>
  <c r="F171"/>
  <c r="K171"/>
  <c r="O171"/>
  <c r="S171"/>
  <c r="W171"/>
  <c r="AA171"/>
  <c r="C171"/>
  <c r="G171"/>
  <c r="L171"/>
  <c r="P171"/>
  <c r="T171"/>
  <c r="X171"/>
  <c r="AB171"/>
  <c r="D171"/>
  <c r="I171"/>
  <c r="M171"/>
  <c r="Q171"/>
  <c r="Y171"/>
  <c r="AC171"/>
  <c r="E171"/>
  <c r="J171"/>
  <c r="R171"/>
  <c r="V171"/>
  <c r="Z171"/>
  <c r="AA174" l="1"/>
  <c r="S174"/>
  <c r="W174"/>
  <c r="R299"/>
  <c r="R300" s="1"/>
  <c r="R307" s="1"/>
  <c r="R308" s="1"/>
  <c r="R204" s="1"/>
  <c r="R205" s="1"/>
  <c r="R206" s="1"/>
  <c r="S281"/>
  <c r="S288" s="1"/>
  <c r="S289" s="1"/>
  <c r="S294"/>
  <c r="Q209"/>
  <c r="Q208"/>
  <c r="T182"/>
  <c r="T199" s="1"/>
  <c r="T201" s="1"/>
  <c r="T276"/>
  <c r="S299"/>
  <c r="S300" s="1"/>
  <c r="S307" s="1"/>
  <c r="S308" s="1"/>
  <c r="S204" s="1"/>
  <c r="S203"/>
  <c r="T184"/>
  <c r="T186" s="1"/>
  <c r="U712"/>
  <c r="U715" s="1"/>
  <c r="T818"/>
  <c r="U819" s="1"/>
  <c r="F174"/>
  <c r="N174"/>
  <c r="H174"/>
  <c r="K174"/>
  <c r="AD174"/>
  <c r="U174"/>
  <c r="Z174"/>
  <c r="E174"/>
  <c r="Y174"/>
  <c r="Q174"/>
  <c r="AB174"/>
  <c r="T174"/>
  <c r="L174"/>
  <c r="AE174"/>
  <c r="V174"/>
  <c r="D174"/>
  <c r="C174"/>
  <c r="R174"/>
  <c r="J174"/>
  <c r="AC174"/>
  <c r="M174"/>
  <c r="X174"/>
  <c r="P174"/>
  <c r="G174"/>
  <c r="I174"/>
  <c r="O174"/>
  <c r="T187" l="1"/>
  <c r="T281"/>
  <c r="T288" s="1"/>
  <c r="T289" s="1"/>
  <c r="T294"/>
  <c r="R209"/>
  <c r="R208"/>
  <c r="U182"/>
  <c r="U276"/>
  <c r="T203"/>
  <c r="T299"/>
  <c r="T300" s="1"/>
  <c r="T307" s="1"/>
  <c r="T308" s="1"/>
  <c r="T204" s="1"/>
  <c r="S205"/>
  <c r="S206" s="1"/>
  <c r="U184"/>
  <c r="U186" s="1"/>
  <c r="U199"/>
  <c r="U201" s="1"/>
  <c r="U187"/>
  <c r="V712"/>
  <c r="V715" s="1"/>
  <c r="U818"/>
  <c r="V819" s="1"/>
  <c r="U281" l="1"/>
  <c r="U288" s="1"/>
  <c r="U289" s="1"/>
  <c r="U203" s="1"/>
  <c r="U294"/>
  <c r="V182"/>
  <c r="V276"/>
  <c r="U299"/>
  <c r="S208"/>
  <c r="S209"/>
  <c r="T205"/>
  <c r="T206" s="1"/>
  <c r="V184"/>
  <c r="V186" s="1"/>
  <c r="V199"/>
  <c r="V201" s="1"/>
  <c r="V187"/>
  <c r="W712"/>
  <c r="W715" s="1"/>
  <c r="V818"/>
  <c r="W819" s="1"/>
  <c r="U300" l="1"/>
  <c r="U307" s="1"/>
  <c r="U308" s="1"/>
  <c r="U204" s="1"/>
  <c r="U205" s="1"/>
  <c r="U206" s="1"/>
  <c r="V281"/>
  <c r="V288" s="1"/>
  <c r="V289" s="1"/>
  <c r="V203" s="1"/>
  <c r="V294"/>
  <c r="W182"/>
  <c r="W199" s="1"/>
  <c r="W201" s="1"/>
  <c r="W276"/>
  <c r="T209"/>
  <c r="T208"/>
  <c r="W184"/>
  <c r="W186" s="1"/>
  <c r="W187"/>
  <c r="X712"/>
  <c r="X715" s="1"/>
  <c r="W818"/>
  <c r="X819" s="1"/>
  <c r="V299" l="1"/>
  <c r="V300" s="1"/>
  <c r="V307" s="1"/>
  <c r="V308" s="1"/>
  <c r="V204" s="1"/>
  <c r="V205" s="1"/>
  <c r="V206" s="1"/>
  <c r="W281"/>
  <c r="W288" s="1"/>
  <c r="W289" s="1"/>
  <c r="W203" s="1"/>
  <c r="W294"/>
  <c r="U208"/>
  <c r="U209"/>
  <c r="X182"/>
  <c r="X184" s="1"/>
  <c r="X276"/>
  <c r="W299"/>
  <c r="W300" s="1"/>
  <c r="W307" s="1"/>
  <c r="W308" s="1"/>
  <c r="W204" s="1"/>
  <c r="Y712"/>
  <c r="Y715" s="1"/>
  <c r="X818"/>
  <c r="Y819" s="1"/>
  <c r="X199" l="1"/>
  <c r="X201" s="1"/>
  <c r="X187"/>
  <c r="X186"/>
  <c r="X281"/>
  <c r="X288" s="1"/>
  <c r="X289" s="1"/>
  <c r="X299" s="1"/>
  <c r="X294"/>
  <c r="W205"/>
  <c r="W206" s="1"/>
  <c r="Y182"/>
  <c r="Y199" s="1"/>
  <c r="Y201" s="1"/>
  <c r="Y276"/>
  <c r="V208"/>
  <c r="V209"/>
  <c r="Z712"/>
  <c r="Z715" s="1"/>
  <c r="Y818"/>
  <c r="Z819" s="1"/>
  <c r="X203" l="1"/>
  <c r="Y184"/>
  <c r="Y186" s="1"/>
  <c r="X300"/>
  <c r="X307" s="1"/>
  <c r="X308" s="1"/>
  <c r="X204" s="1"/>
  <c r="Y187"/>
  <c r="Y281"/>
  <c r="Y288" s="1"/>
  <c r="Y289" s="1"/>
  <c r="Y203" s="1"/>
  <c r="Y294"/>
  <c r="Y299"/>
  <c r="W208"/>
  <c r="W209"/>
  <c r="X205"/>
  <c r="X206" s="1"/>
  <c r="Z182"/>
  <c r="Z199" s="1"/>
  <c r="Z201" s="1"/>
  <c r="Z276"/>
  <c r="Z184"/>
  <c r="AA712"/>
  <c r="AA715" s="1"/>
  <c r="Z818"/>
  <c r="AA819" s="1"/>
  <c r="Z186" l="1"/>
  <c r="Y300"/>
  <c r="Y307" s="1"/>
  <c r="Y308" s="1"/>
  <c r="Y204" s="1"/>
  <c r="Y205" s="1"/>
  <c r="Y206" s="1"/>
  <c r="Z187"/>
  <c r="Z281"/>
  <c r="Z288" s="1"/>
  <c r="Z289" s="1"/>
  <c r="Z203" s="1"/>
  <c r="Z294"/>
  <c r="AA182"/>
  <c r="AA199" s="1"/>
  <c r="AA201" s="1"/>
  <c r="AA276"/>
  <c r="Z299"/>
  <c r="X208"/>
  <c r="X209"/>
  <c r="AA184"/>
  <c r="AA186" s="1"/>
  <c r="AB712"/>
  <c r="AB715" s="1"/>
  <c r="AA818"/>
  <c r="AB819" s="1"/>
  <c r="Z300" l="1"/>
  <c r="Z307" s="1"/>
  <c r="Z308" s="1"/>
  <c r="Z204" s="1"/>
  <c r="AA187"/>
  <c r="AA281"/>
  <c r="AA288" s="1"/>
  <c r="AA289" s="1"/>
  <c r="AA203" s="1"/>
  <c r="AA294"/>
  <c r="Y209"/>
  <c r="Y208"/>
  <c r="Z205"/>
  <c r="Z206" s="1"/>
  <c r="Z208" s="1"/>
  <c r="AB182"/>
  <c r="AB199" s="1"/>
  <c r="AB201" s="1"/>
  <c r="AB276"/>
  <c r="AB184"/>
  <c r="AB186" s="1"/>
  <c r="AC712"/>
  <c r="AC715" s="1"/>
  <c r="AB818"/>
  <c r="AC819" s="1"/>
  <c r="AB187" l="1"/>
  <c r="AA299"/>
  <c r="AA300" s="1"/>
  <c r="AA307" s="1"/>
  <c r="AA308" s="1"/>
  <c r="AA204" s="1"/>
  <c r="AA205" s="1"/>
  <c r="AA206" s="1"/>
  <c r="AB281"/>
  <c r="AB288" s="1"/>
  <c r="AB289" s="1"/>
  <c r="AB203" s="1"/>
  <c r="AB294"/>
  <c r="Z209"/>
  <c r="AC182"/>
  <c r="AC199" s="1"/>
  <c r="AC201" s="1"/>
  <c r="AC276"/>
  <c r="AC184"/>
  <c r="AC186" s="1"/>
  <c r="AD712"/>
  <c r="AD715" s="1"/>
  <c r="AC818"/>
  <c r="AD819" s="1"/>
  <c r="AB299" l="1"/>
  <c r="AB300" s="1"/>
  <c r="AB307" s="1"/>
  <c r="AB308" s="1"/>
  <c r="AB204" s="1"/>
  <c r="AC187"/>
  <c r="AB205"/>
  <c r="AB206" s="1"/>
  <c r="AB209" s="1"/>
  <c r="AA208"/>
  <c r="AA209"/>
  <c r="AC281"/>
  <c r="AC288" s="1"/>
  <c r="AC289" s="1"/>
  <c r="AC299" s="1"/>
  <c r="AC294"/>
  <c r="AB208"/>
  <c r="AD182"/>
  <c r="AD199" s="1"/>
  <c r="AD201" s="1"/>
  <c r="AD276"/>
  <c r="AD184"/>
  <c r="AD186" s="1"/>
  <c r="AE712"/>
  <c r="AE715" s="1"/>
  <c r="AD818"/>
  <c r="AE819" s="1"/>
  <c r="AD187" l="1"/>
  <c r="AC300"/>
  <c r="AC307" s="1"/>
  <c r="AC308" s="1"/>
  <c r="AC204" s="1"/>
  <c r="AC203"/>
  <c r="AD281"/>
  <c r="AD288" s="1"/>
  <c r="AD289" s="1"/>
  <c r="AD299" s="1"/>
  <c r="AD294"/>
  <c r="AE182"/>
  <c r="AE199" s="1"/>
  <c r="AE201" s="1"/>
  <c r="AE276"/>
  <c r="AE184"/>
  <c r="AE186" s="1"/>
  <c r="AF712"/>
  <c r="AE818"/>
  <c r="AF819" s="1"/>
  <c r="AC205" l="1"/>
  <c r="AC206" s="1"/>
  <c r="AC208" s="1"/>
  <c r="AD300"/>
  <c r="AD307" s="1"/>
  <c r="AD308" s="1"/>
  <c r="AD204" s="1"/>
  <c r="AD203"/>
  <c r="AD205" s="1"/>
  <c r="AD206" s="1"/>
  <c r="AE187"/>
  <c r="AC209"/>
  <c r="AE281"/>
  <c r="AE288" s="1"/>
  <c r="AE289" s="1"/>
  <c r="AE203" s="1"/>
  <c r="AE294"/>
  <c r="AF182"/>
  <c r="AF199" s="1"/>
  <c r="AF276"/>
  <c r="AF294" s="1"/>
  <c r="AF714"/>
  <c r="AE299" l="1"/>
  <c r="AE300" s="1"/>
  <c r="AE307" s="1"/>
  <c r="AE308" s="1"/>
  <c r="AE204" s="1"/>
  <c r="AD208"/>
  <c r="AD209"/>
  <c r="AE205"/>
  <c r="AE206" s="1"/>
  <c r="AF181"/>
  <c r="AF75"/>
  <c r="AF59"/>
  <c r="AF63" s="1"/>
  <c r="AF69" s="1"/>
  <c r="AF74" s="1"/>
  <c r="AF715"/>
  <c r="AE209" l="1"/>
  <c r="AE208"/>
  <c r="AF76"/>
  <c r="AF80"/>
  <c r="AF81" s="1"/>
  <c r="AF95" s="1"/>
  <c r="AF280"/>
  <c r="AF142"/>
  <c r="AF216"/>
  <c r="AF184"/>
  <c r="AF198"/>
  <c r="AF201" s="1"/>
  <c r="AG712"/>
  <c r="AG715" s="1"/>
  <c r="AF818"/>
  <c r="AH712" l="1"/>
  <c r="AH715" s="1"/>
  <c r="AG818"/>
  <c r="AF187"/>
  <c r="D119" i="1" s="1"/>
  <c r="AP186" i="10"/>
  <c r="B189"/>
  <c r="AP187"/>
  <c r="AN186"/>
  <c r="AL186"/>
  <c r="AK186"/>
  <c r="AH186"/>
  <c r="AM187"/>
  <c r="AK187"/>
  <c r="AI187"/>
  <c r="AI186"/>
  <c r="AG187"/>
  <c r="B190"/>
  <c r="AO187"/>
  <c r="AO186"/>
  <c r="AM186"/>
  <c r="AJ186"/>
  <c r="AN187"/>
  <c r="AL187"/>
  <c r="AJ187"/>
  <c r="AG186"/>
  <c r="AH187"/>
  <c r="AF186"/>
  <c r="D113" i="1" s="1"/>
  <c r="AF154" i="10"/>
  <c r="AF155" s="1"/>
  <c r="AF143"/>
  <c r="AF244"/>
  <c r="AF219"/>
  <c r="AF240" s="1"/>
  <c r="AF241" s="1"/>
  <c r="AF298"/>
  <c r="AF281"/>
  <c r="AF288" s="1"/>
  <c r="AF289" s="1"/>
  <c r="AI712" l="1"/>
  <c r="AI715" s="1"/>
  <c r="AH818"/>
  <c r="AF299"/>
  <c r="AF300" s="1"/>
  <c r="AF307" s="1"/>
  <c r="AF308" s="1"/>
  <c r="AF204" s="1"/>
  <c r="AF203"/>
  <c r="AF165"/>
  <c r="AF247"/>
  <c r="AF248" s="1"/>
  <c r="AF269" s="1"/>
  <c r="AF270" s="1"/>
  <c r="AF166" s="1"/>
  <c r="AH145"/>
  <c r="AH146"/>
  <c r="AI146"/>
  <c r="AN145"/>
  <c r="AJ145"/>
  <c r="AN146"/>
  <c r="AO146"/>
  <c r="AF146"/>
  <c r="D106" i="1" s="1"/>
  <c r="AJ146" i="10"/>
  <c r="AP146"/>
  <c r="AL146"/>
  <c r="AO145"/>
  <c r="AF145"/>
  <c r="D100" i="1" s="1"/>
  <c r="AI145" i="10"/>
  <c r="AG145"/>
  <c r="AM145"/>
  <c r="AG146"/>
  <c r="AM146"/>
  <c r="AK146"/>
  <c r="AK145"/>
  <c r="AP145"/>
  <c r="AL145"/>
  <c r="AF167" l="1"/>
  <c r="AF168" s="1"/>
  <c r="AP172" s="1"/>
  <c r="AJ712"/>
  <c r="AJ715" s="1"/>
  <c r="AI818"/>
  <c r="AF205"/>
  <c r="AF206" s="1"/>
  <c r="AJ170" l="1"/>
  <c r="AH170"/>
  <c r="AL170"/>
  <c r="AJ172"/>
  <c r="AH172"/>
  <c r="AP170"/>
  <c r="AF172"/>
  <c r="D107" i="1" s="1"/>
  <c r="AM170" i="10"/>
  <c r="AG170"/>
  <c r="AO170"/>
  <c r="AM172"/>
  <c r="AK170"/>
  <c r="AN172"/>
  <c r="AN170"/>
  <c r="AK172"/>
  <c r="AI170"/>
  <c r="AL172"/>
  <c r="AO172"/>
  <c r="AF170"/>
  <c r="AI172"/>
  <c r="AG172"/>
  <c r="AK209"/>
  <c r="AG208"/>
  <c r="AK208"/>
  <c r="AG209"/>
  <c r="AF208"/>
  <c r="D114" i="1" s="1"/>
  <c r="AN209" i="10"/>
  <c r="AJ208"/>
  <c r="AO208"/>
  <c r="AI208"/>
  <c r="AP209"/>
  <c r="AL209"/>
  <c r="AF209"/>
  <c r="D120" i="1" s="1"/>
  <c r="AN208" i="10"/>
  <c r="AO209"/>
  <c r="AJ209"/>
  <c r="AH208"/>
  <c r="AH209"/>
  <c r="AM208"/>
  <c r="AP208"/>
  <c r="B211"/>
  <c r="B212"/>
  <c r="AL208"/>
  <c r="AM209"/>
  <c r="AI209"/>
  <c r="AK712"/>
  <c r="AK715" s="1"/>
  <c r="AJ818"/>
  <c r="AH171" l="1"/>
  <c r="D101" i="1"/>
  <c r="AM171" i="10"/>
  <c r="AG171"/>
  <c r="AF171"/>
  <c r="AO171"/>
  <c r="AP171"/>
  <c r="AI171"/>
  <c r="AK171"/>
  <c r="AN171"/>
  <c r="AO174" s="1"/>
  <c r="AJ171"/>
  <c r="AL171"/>
  <c r="AL712"/>
  <c r="AL715" s="1"/>
  <c r="AK818"/>
  <c r="AI174" l="1"/>
  <c r="AH174"/>
  <c r="AM174"/>
  <c r="AG174"/>
  <c r="AF174"/>
  <c r="AP174"/>
  <c r="AJ174"/>
  <c r="AK174"/>
  <c r="AN174"/>
  <c r="AL174"/>
  <c r="AM712"/>
  <c r="AM715" s="1"/>
  <c r="AL818"/>
  <c r="B174" l="1"/>
  <c r="D79" i="1" s="1"/>
  <c r="AN712" i="10"/>
  <c r="AN715" s="1"/>
  <c r="AM818"/>
  <c r="AO712" l="1"/>
  <c r="AO715" s="1"/>
  <c r="AN818"/>
  <c r="AP712" l="1"/>
  <c r="AP715" s="1"/>
  <c r="AP818" s="1"/>
  <c r="AO818"/>
  <c r="G590" i="2"/>
  <c r="H590" s="1"/>
  <c r="H584" l="1"/>
  <c r="I584" s="1"/>
  <c r="H413" s="1"/>
  <c r="I413" s="1"/>
  <c r="K413" s="1"/>
  <c r="H586"/>
  <c r="I586" s="1"/>
  <c r="H415" s="1"/>
  <c r="I415" s="1"/>
  <c r="K415" s="1"/>
  <c r="H587"/>
  <c r="I587" s="1"/>
  <c r="H416" s="1"/>
  <c r="I416" s="1"/>
  <c r="K416" s="1"/>
  <c r="H588"/>
  <c r="I588" s="1"/>
  <c r="H417" s="1"/>
  <c r="I417" s="1"/>
  <c r="K417" s="1"/>
  <c r="H585"/>
  <c r="I585" s="1"/>
  <c r="H414" s="1"/>
  <c r="I414" s="1"/>
  <c r="K414" s="1"/>
  <c r="C100"/>
  <c r="H583"/>
  <c r="I583" s="1"/>
  <c r="R455" l="1"/>
  <c r="Q455"/>
  <c r="AL455"/>
  <c r="P455"/>
  <c r="E455"/>
  <c r="I455"/>
  <c r="Y455"/>
  <c r="AG455"/>
  <c r="F455"/>
  <c r="T455"/>
  <c r="AD455"/>
  <c r="AA455"/>
  <c r="AH455"/>
  <c r="AE455"/>
  <c r="Z455"/>
  <c r="X455"/>
  <c r="N455"/>
  <c r="V455"/>
  <c r="W455"/>
  <c r="AF455"/>
  <c r="AK455"/>
  <c r="D455"/>
  <c r="AO455"/>
  <c r="AB455"/>
  <c r="AI455"/>
  <c r="L455"/>
  <c r="AC455"/>
  <c r="K455"/>
  <c r="AJ455"/>
  <c r="M455"/>
  <c r="H455"/>
  <c r="O455"/>
  <c r="S455"/>
  <c r="AN455"/>
  <c r="AP455"/>
  <c r="G455"/>
  <c r="AM455"/>
  <c r="U455"/>
  <c r="J455"/>
  <c r="C455"/>
  <c r="AF456"/>
  <c r="AK456"/>
  <c r="AG456"/>
  <c r="AL456"/>
  <c r="S456"/>
  <c r="AM456"/>
  <c r="R456"/>
  <c r="W456"/>
  <c r="AA456"/>
  <c r="Q456"/>
  <c r="C456"/>
  <c r="AO456"/>
  <c r="E456"/>
  <c r="Z456"/>
  <c r="K456"/>
  <c r="L456"/>
  <c r="P456"/>
  <c r="T456"/>
  <c r="AE456"/>
  <c r="U456"/>
  <c r="AI456"/>
  <c r="X456"/>
  <c r="H456"/>
  <c r="O456"/>
  <c r="G456"/>
  <c r="D456"/>
  <c r="AC456"/>
  <c r="M456"/>
  <c r="AH456"/>
  <c r="AD456"/>
  <c r="AJ456"/>
  <c r="N456"/>
  <c r="J456"/>
  <c r="I456"/>
  <c r="V456"/>
  <c r="F456"/>
  <c r="AB456"/>
  <c r="AP456"/>
  <c r="AN456"/>
  <c r="Y456"/>
  <c r="G457"/>
  <c r="AO457"/>
  <c r="T457"/>
  <c r="AI457"/>
  <c r="I457"/>
  <c r="AP457"/>
  <c r="S457"/>
  <c r="R457"/>
  <c r="AD457"/>
  <c r="AG457"/>
  <c r="P457"/>
  <c r="X457"/>
  <c r="U457"/>
  <c r="W457"/>
  <c r="D457"/>
  <c r="K457"/>
  <c r="M457"/>
  <c r="AN457"/>
  <c r="H457"/>
  <c r="F457"/>
  <c r="E457"/>
  <c r="AB457"/>
  <c r="AH457"/>
  <c r="AJ457"/>
  <c r="L457"/>
  <c r="J457"/>
  <c r="AF457"/>
  <c r="AC457"/>
  <c r="AE457"/>
  <c r="C457"/>
  <c r="V457"/>
  <c r="N457"/>
  <c r="Y457"/>
  <c r="AA457"/>
  <c r="O457"/>
  <c r="AL457"/>
  <c r="Q457"/>
  <c r="AK457"/>
  <c r="AM457"/>
  <c r="Z457"/>
  <c r="AM454"/>
  <c r="AA454"/>
  <c r="AO454"/>
  <c r="Q454"/>
  <c r="M454"/>
  <c r="AH454"/>
  <c r="Y454"/>
  <c r="V454"/>
  <c r="P454"/>
  <c r="O454"/>
  <c r="AB454"/>
  <c r="AD454"/>
  <c r="H454"/>
  <c r="S454"/>
  <c r="AC454"/>
  <c r="D454"/>
  <c r="AG454"/>
  <c r="G454"/>
  <c r="AK454"/>
  <c r="L454"/>
  <c r="AN454"/>
  <c r="AP454"/>
  <c r="U454"/>
  <c r="AE454"/>
  <c r="N454"/>
  <c r="AI454"/>
  <c r="AF454"/>
  <c r="T454"/>
  <c r="AJ454"/>
  <c r="C454"/>
  <c r="F454"/>
  <c r="E454"/>
  <c r="I454"/>
  <c r="Z454"/>
  <c r="AL454"/>
  <c r="J454"/>
  <c r="W454"/>
  <c r="K454"/>
  <c r="X454"/>
  <c r="R454"/>
  <c r="AN453"/>
  <c r="W453"/>
  <c r="AI453"/>
  <c r="U453"/>
  <c r="AK453"/>
  <c r="AC453"/>
  <c r="AM453"/>
  <c r="AG453"/>
  <c r="P453"/>
  <c r="Q453"/>
  <c r="AA453"/>
  <c r="H453"/>
  <c r="L453"/>
  <c r="F453"/>
  <c r="D453"/>
  <c r="AE453"/>
  <c r="I453"/>
  <c r="AD453"/>
  <c r="AJ453"/>
  <c r="O453"/>
  <c r="Y453"/>
  <c r="AH453"/>
  <c r="T453"/>
  <c r="AF453"/>
  <c r="AB453"/>
  <c r="AL453"/>
  <c r="AP453"/>
  <c r="R453"/>
  <c r="X453"/>
  <c r="C453"/>
  <c r="S453"/>
  <c r="G453"/>
  <c r="K453"/>
  <c r="J453"/>
  <c r="N453"/>
  <c r="Z453"/>
  <c r="M453"/>
  <c r="E453"/>
  <c r="AO453"/>
  <c r="V453"/>
  <c r="C101"/>
  <c r="C139"/>
  <c r="C140" s="1"/>
  <c r="I590"/>
  <c r="H412"/>
  <c r="C178" l="1"/>
  <c r="C179" s="1"/>
  <c r="H419"/>
  <c r="I412"/>
  <c r="B453"/>
  <c r="B454"/>
  <c r="B457"/>
  <c r="B456"/>
  <c r="B455"/>
  <c r="I419" l="1"/>
  <c r="J412"/>
  <c r="J419" s="1"/>
  <c r="C458" s="1"/>
  <c r="B458" s="1"/>
  <c r="K412" l="1"/>
  <c r="AG452" l="1"/>
  <c r="AG459" s="1"/>
  <c r="AJ452"/>
  <c r="AJ459" s="1"/>
  <c r="AI452"/>
  <c r="AI459" s="1"/>
  <c r="AH452"/>
  <c r="AH459" s="1"/>
  <c r="AN452"/>
  <c r="AN459" s="1"/>
  <c r="K419"/>
  <c r="AO452"/>
  <c r="AO459" s="1"/>
  <c r="AL452"/>
  <c r="AL459" s="1"/>
  <c r="AK452"/>
  <c r="AK459" s="1"/>
  <c r="AM452"/>
  <c r="AM459" s="1"/>
  <c r="AP452"/>
  <c r="AP459" s="1"/>
  <c r="D452"/>
  <c r="D459" s="1"/>
  <c r="D241" s="1"/>
  <c r="D243" s="1"/>
  <c r="D271" s="1"/>
  <c r="D272" s="1"/>
  <c r="D108" s="1"/>
  <c r="C452"/>
  <c r="Q452"/>
  <c r="Q459" s="1"/>
  <c r="Q241" s="1"/>
  <c r="Q243" s="1"/>
  <c r="Q271" s="1"/>
  <c r="Q272" s="1"/>
  <c r="Q108" s="1"/>
  <c r="E452"/>
  <c r="E459" s="1"/>
  <c r="E241" s="1"/>
  <c r="E243" s="1"/>
  <c r="E271" s="1"/>
  <c r="E272" s="1"/>
  <c r="E108" s="1"/>
  <c r="AE452"/>
  <c r="AE459" s="1"/>
  <c r="AE241" s="1"/>
  <c r="AE243" s="1"/>
  <c r="AE271" s="1"/>
  <c r="AE272" s="1"/>
  <c r="AE108" s="1"/>
  <c r="U452"/>
  <c r="U459" s="1"/>
  <c r="U241" s="1"/>
  <c r="U243" s="1"/>
  <c r="U271" s="1"/>
  <c r="U272" s="1"/>
  <c r="U108" s="1"/>
  <c r="S452"/>
  <c r="S459" s="1"/>
  <c r="S241" s="1"/>
  <c r="S243" s="1"/>
  <c r="S271" s="1"/>
  <c r="S272" s="1"/>
  <c r="S108" s="1"/>
  <c r="F452"/>
  <c r="F459" s="1"/>
  <c r="F241" s="1"/>
  <c r="F243" s="1"/>
  <c r="F271" s="1"/>
  <c r="F272" s="1"/>
  <c r="F108" s="1"/>
  <c r="L452"/>
  <c r="L459" s="1"/>
  <c r="L241" s="1"/>
  <c r="L243" s="1"/>
  <c r="L271" s="1"/>
  <c r="L272" s="1"/>
  <c r="L108" s="1"/>
  <c r="T452"/>
  <c r="T459" s="1"/>
  <c r="T241" s="1"/>
  <c r="T243" s="1"/>
  <c r="T271" s="1"/>
  <c r="T272" s="1"/>
  <c r="T108" s="1"/>
  <c r="P452"/>
  <c r="P459" s="1"/>
  <c r="P241" s="1"/>
  <c r="P243" s="1"/>
  <c r="P271" s="1"/>
  <c r="P272" s="1"/>
  <c r="P108" s="1"/>
  <c r="AC452"/>
  <c r="AC459" s="1"/>
  <c r="AC241" s="1"/>
  <c r="AC243" s="1"/>
  <c r="AC271" s="1"/>
  <c r="AC272" s="1"/>
  <c r="AC108" s="1"/>
  <c r="H452"/>
  <c r="H459" s="1"/>
  <c r="H241" s="1"/>
  <c r="H243" s="1"/>
  <c r="H271" s="1"/>
  <c r="H272" s="1"/>
  <c r="H108" s="1"/>
  <c r="R452"/>
  <c r="R459" s="1"/>
  <c r="R241" s="1"/>
  <c r="R243" s="1"/>
  <c r="R271" s="1"/>
  <c r="R272" s="1"/>
  <c r="R108" s="1"/>
  <c r="Z452"/>
  <c r="Z459" s="1"/>
  <c r="Z241" s="1"/>
  <c r="Z243" s="1"/>
  <c r="Z271" s="1"/>
  <c r="Z272" s="1"/>
  <c r="Z108" s="1"/>
  <c r="G452"/>
  <c r="G459" s="1"/>
  <c r="G241" s="1"/>
  <c r="G243" s="1"/>
  <c r="G271" s="1"/>
  <c r="G272" s="1"/>
  <c r="G108" s="1"/>
  <c r="W452"/>
  <c r="W459" s="1"/>
  <c r="W241" s="1"/>
  <c r="W243" s="1"/>
  <c r="W271" s="1"/>
  <c r="W272" s="1"/>
  <c r="W108" s="1"/>
  <c r="N452"/>
  <c r="N459" s="1"/>
  <c r="N241" s="1"/>
  <c r="N243" s="1"/>
  <c r="N271" s="1"/>
  <c r="N272" s="1"/>
  <c r="N108" s="1"/>
  <c r="Y452"/>
  <c r="Y459" s="1"/>
  <c r="Y241" s="1"/>
  <c r="Y243" s="1"/>
  <c r="Y271" s="1"/>
  <c r="Y272" s="1"/>
  <c r="Y108" s="1"/>
  <c r="O452"/>
  <c r="O459" s="1"/>
  <c r="O241" s="1"/>
  <c r="O243" s="1"/>
  <c r="O271" s="1"/>
  <c r="O272" s="1"/>
  <c r="O108" s="1"/>
  <c r="AF452"/>
  <c r="AF459" s="1"/>
  <c r="AF241" s="1"/>
  <c r="AF243" s="1"/>
  <c r="AF271" s="1"/>
  <c r="AF272" s="1"/>
  <c r="AF108" s="1"/>
  <c r="J452"/>
  <c r="J459" s="1"/>
  <c r="J241" s="1"/>
  <c r="J243" s="1"/>
  <c r="J271" s="1"/>
  <c r="J272" s="1"/>
  <c r="J108" s="1"/>
  <c r="V452"/>
  <c r="V459" s="1"/>
  <c r="V241" s="1"/>
  <c r="V243" s="1"/>
  <c r="V271" s="1"/>
  <c r="V272" s="1"/>
  <c r="V108" s="1"/>
  <c r="AD452"/>
  <c r="AD459" s="1"/>
  <c r="AD241" s="1"/>
  <c r="AD243" s="1"/>
  <c r="AD271" s="1"/>
  <c r="AD272" s="1"/>
  <c r="AD108" s="1"/>
  <c r="M452"/>
  <c r="M459" s="1"/>
  <c r="M241" s="1"/>
  <c r="M243" s="1"/>
  <c r="M271" s="1"/>
  <c r="M272" s="1"/>
  <c r="M108" s="1"/>
  <c r="K452"/>
  <c r="K459" s="1"/>
  <c r="K241" s="1"/>
  <c r="K243" s="1"/>
  <c r="K271" s="1"/>
  <c r="K272" s="1"/>
  <c r="K108" s="1"/>
  <c r="X452"/>
  <c r="X459" s="1"/>
  <c r="X241" s="1"/>
  <c r="X243" s="1"/>
  <c r="X271" s="1"/>
  <c r="X272" s="1"/>
  <c r="X108" s="1"/>
  <c r="AA452"/>
  <c r="AA459" s="1"/>
  <c r="AA241" s="1"/>
  <c r="AA243" s="1"/>
  <c r="AA271" s="1"/>
  <c r="AA272" s="1"/>
  <c r="AA108" s="1"/>
  <c r="AB452"/>
  <c r="AB459" s="1"/>
  <c r="AB241" s="1"/>
  <c r="AB243" s="1"/>
  <c r="AB271" s="1"/>
  <c r="AB272" s="1"/>
  <c r="AB108" s="1"/>
  <c r="I452"/>
  <c r="I459" s="1"/>
  <c r="I241" s="1"/>
  <c r="I243" s="1"/>
  <c r="I271" s="1"/>
  <c r="I272" s="1"/>
  <c r="I108" s="1"/>
  <c r="AA109" l="1"/>
  <c r="AA110" s="1"/>
  <c r="AB109"/>
  <c r="AB110" s="1"/>
  <c r="M109"/>
  <c r="M110" s="1"/>
  <c r="W109"/>
  <c r="W110" s="1"/>
  <c r="L109"/>
  <c r="L110" s="1"/>
  <c r="I109"/>
  <c r="I110" s="1"/>
  <c r="K109"/>
  <c r="K110" s="1"/>
  <c r="J109"/>
  <c r="J110" s="1"/>
  <c r="N109"/>
  <c r="N110" s="1"/>
  <c r="R109"/>
  <c r="R110" s="1"/>
  <c r="T109"/>
  <c r="T110" s="1"/>
  <c r="U109"/>
  <c r="U110" s="1"/>
  <c r="C459"/>
  <c r="B452"/>
  <c r="V109"/>
  <c r="V110" s="1"/>
  <c r="Y109"/>
  <c r="Y110" s="1"/>
  <c r="Z109"/>
  <c r="Z110" s="1"/>
  <c r="P109"/>
  <c r="P110" s="1"/>
  <c r="S109"/>
  <c r="S110" s="1"/>
  <c r="Q109"/>
  <c r="Q110" s="1"/>
  <c r="O109"/>
  <c r="O110" s="1"/>
  <c r="G109"/>
  <c r="G110" s="1"/>
  <c r="AC109"/>
  <c r="AC110" s="1"/>
  <c r="F109"/>
  <c r="F110" s="1"/>
  <c r="E109"/>
  <c r="E110" s="1"/>
  <c r="X109"/>
  <c r="X110" s="1"/>
  <c r="AD109"/>
  <c r="AD110" s="1"/>
  <c r="AF109"/>
  <c r="AF110" s="1"/>
  <c r="H109"/>
  <c r="H110" s="1"/>
  <c r="AE109"/>
  <c r="AE110" s="1"/>
  <c r="D109"/>
  <c r="D110" s="1"/>
  <c r="B459" l="1"/>
  <c r="C241"/>
  <c r="C243" s="1"/>
  <c r="C271" s="1"/>
  <c r="C272" s="1"/>
  <c r="C108" s="1"/>
  <c r="C109" l="1"/>
  <c r="C110" s="1"/>
  <c r="C147"/>
  <c r="C148" s="1"/>
  <c r="C149" s="1"/>
  <c r="D3" i="11" s="1"/>
  <c r="D65" l="1"/>
  <c r="D66"/>
  <c r="D70"/>
  <c r="D53"/>
  <c r="D45"/>
  <c r="D46"/>
  <c r="D14"/>
  <c r="D33"/>
  <c r="D18"/>
  <c r="D19"/>
  <c r="D83"/>
  <c r="D147"/>
  <c r="D211"/>
  <c r="D275"/>
  <c r="D126"/>
  <c r="D190"/>
  <c r="D254"/>
  <c r="D41"/>
  <c r="D50"/>
  <c r="D37"/>
  <c r="D21"/>
  <c r="D38"/>
  <c r="D6"/>
  <c r="D17"/>
  <c r="D61"/>
  <c r="D35"/>
  <c r="D99"/>
  <c r="D163"/>
  <c r="D227"/>
  <c r="D291"/>
  <c r="D78"/>
  <c r="D142"/>
  <c r="D206"/>
  <c r="D270"/>
  <c r="D113"/>
  <c r="D177"/>
  <c r="D241"/>
  <c r="D305"/>
  <c r="D24"/>
  <c r="D88"/>
  <c r="D152"/>
  <c r="D216"/>
  <c r="D280"/>
  <c r="D100"/>
  <c r="D26"/>
  <c r="D30"/>
  <c r="D57"/>
  <c r="D58"/>
  <c r="D51"/>
  <c r="D179"/>
  <c r="D158"/>
  <c r="D286"/>
  <c r="D81"/>
  <c r="D161"/>
  <c r="D257"/>
  <c r="D72"/>
  <c r="D168"/>
  <c r="D248"/>
  <c r="D228"/>
  <c r="D31"/>
  <c r="D95"/>
  <c r="D159"/>
  <c r="D223"/>
  <c r="D287"/>
  <c r="D138"/>
  <c r="D202"/>
  <c r="D266"/>
  <c r="D109"/>
  <c r="D173"/>
  <c r="D237"/>
  <c r="D301"/>
  <c r="D20"/>
  <c r="D116"/>
  <c r="D196"/>
  <c r="D27"/>
  <c r="D91"/>
  <c r="D155"/>
  <c r="D219"/>
  <c r="D283"/>
  <c r="D134"/>
  <c r="D198"/>
  <c r="D262"/>
  <c r="D105"/>
  <c r="D169"/>
  <c r="D233"/>
  <c r="D297"/>
  <c r="D16"/>
  <c r="D80"/>
  <c r="D144"/>
  <c r="D208"/>
  <c r="D272"/>
  <c r="D39"/>
  <c r="D103"/>
  <c r="D167"/>
  <c r="D231"/>
  <c r="D295"/>
  <c r="D82"/>
  <c r="D146"/>
  <c r="D210"/>
  <c r="D274"/>
  <c r="D117"/>
  <c r="D181"/>
  <c r="D245"/>
  <c r="D28"/>
  <c r="D92"/>
  <c r="D156"/>
  <c r="D220"/>
  <c r="D284"/>
  <c r="D153"/>
  <c r="D64"/>
  <c r="D256"/>
  <c r="D87"/>
  <c r="D279"/>
  <c r="D258"/>
  <c r="D165"/>
  <c r="D76"/>
  <c r="D204"/>
  <c r="D188"/>
  <c r="D9"/>
  <c r="D10"/>
  <c r="D54"/>
  <c r="D13"/>
  <c r="D131"/>
  <c r="D259"/>
  <c r="D110"/>
  <c r="D238"/>
  <c r="D145"/>
  <c r="D225"/>
  <c r="D56"/>
  <c r="D136"/>
  <c r="D232"/>
  <c r="D180"/>
  <c r="D15"/>
  <c r="D79"/>
  <c r="D143"/>
  <c r="D207"/>
  <c r="D271"/>
  <c r="D122"/>
  <c r="D186"/>
  <c r="D250"/>
  <c r="D93"/>
  <c r="D157"/>
  <c r="D221"/>
  <c r="D285"/>
  <c r="D68"/>
  <c r="D164"/>
  <c r="D11"/>
  <c r="D75"/>
  <c r="D139"/>
  <c r="D203"/>
  <c r="D267"/>
  <c r="D118"/>
  <c r="D246"/>
  <c r="D217"/>
  <c r="D128"/>
  <c r="D151"/>
  <c r="D130"/>
  <c r="D229"/>
  <c r="D268"/>
  <c r="D25"/>
  <c r="D34"/>
  <c r="D62"/>
  <c r="D29"/>
  <c r="D115"/>
  <c r="D243"/>
  <c r="D94"/>
  <c r="D222"/>
  <c r="D129"/>
  <c r="D209"/>
  <c r="D289"/>
  <c r="D40"/>
  <c r="D120"/>
  <c r="D200"/>
  <c r="D296"/>
  <c r="D63"/>
  <c r="D127"/>
  <c r="D191"/>
  <c r="D255"/>
  <c r="D106"/>
  <c r="D170"/>
  <c r="D234"/>
  <c r="D298"/>
  <c r="D77"/>
  <c r="D141"/>
  <c r="D205"/>
  <c r="D269"/>
  <c r="D52"/>
  <c r="D148"/>
  <c r="D292"/>
  <c r="D59"/>
  <c r="D123"/>
  <c r="D187"/>
  <c r="D251"/>
  <c r="D102"/>
  <c r="D166"/>
  <c r="D230"/>
  <c r="D294"/>
  <c r="D73"/>
  <c r="D137"/>
  <c r="D201"/>
  <c r="D265"/>
  <c r="D48"/>
  <c r="D112"/>
  <c r="D176"/>
  <c r="D240"/>
  <c r="D304"/>
  <c r="D7"/>
  <c r="D71"/>
  <c r="D135"/>
  <c r="D199"/>
  <c r="D263"/>
  <c r="D114"/>
  <c r="D178"/>
  <c r="D242"/>
  <c r="D306"/>
  <c r="D85"/>
  <c r="D149"/>
  <c r="D213"/>
  <c r="D277"/>
  <c r="D60"/>
  <c r="D252"/>
  <c r="D74"/>
  <c r="D22"/>
  <c r="D49"/>
  <c r="D42"/>
  <c r="D67"/>
  <c r="D195"/>
  <c r="D174"/>
  <c r="D302"/>
  <c r="D97"/>
  <c r="D193"/>
  <c r="D273"/>
  <c r="D8"/>
  <c r="D104"/>
  <c r="D184"/>
  <c r="D264"/>
  <c r="D276"/>
  <c r="D47"/>
  <c r="D111"/>
  <c r="D175"/>
  <c r="D239"/>
  <c r="D303"/>
  <c r="D90"/>
  <c r="D154"/>
  <c r="D218"/>
  <c r="D282"/>
  <c r="D125"/>
  <c r="D189"/>
  <c r="D253"/>
  <c r="D36"/>
  <c r="D132"/>
  <c r="D244"/>
  <c r="D43"/>
  <c r="D107"/>
  <c r="D171"/>
  <c r="D235"/>
  <c r="D299"/>
  <c r="D86"/>
  <c r="D150"/>
  <c r="D214"/>
  <c r="D278"/>
  <c r="D121"/>
  <c r="D185"/>
  <c r="D249"/>
  <c r="D32"/>
  <c r="D96"/>
  <c r="D160"/>
  <c r="D224"/>
  <c r="D288"/>
  <c r="D55"/>
  <c r="D119"/>
  <c r="D183"/>
  <c r="D247"/>
  <c r="D98"/>
  <c r="D162"/>
  <c r="D226"/>
  <c r="D290"/>
  <c r="D69"/>
  <c r="D133"/>
  <c r="D197"/>
  <c r="D261"/>
  <c r="D44"/>
  <c r="D108"/>
  <c r="D172"/>
  <c r="D236"/>
  <c r="D300"/>
  <c r="D84"/>
  <c r="D182"/>
  <c r="D89"/>
  <c r="D281"/>
  <c r="D192"/>
  <c r="D23"/>
  <c r="D215"/>
  <c r="D194"/>
  <c r="D101"/>
  <c r="D293"/>
  <c r="D12"/>
  <c r="D140"/>
  <c r="D260"/>
  <c r="D124"/>
  <c r="D212"/>
  <c r="C153" i="2"/>
  <c r="C151"/>
  <c r="AC112"/>
  <c r="D113"/>
  <c r="H112"/>
  <c r="Z113"/>
  <c r="O112"/>
  <c r="Q112"/>
  <c r="AG113"/>
  <c r="AO113"/>
  <c r="F112"/>
  <c r="Q113"/>
  <c r="X113"/>
  <c r="Y112"/>
  <c r="AP112"/>
  <c r="AH112"/>
  <c r="AO112"/>
  <c r="O113"/>
  <c r="N113"/>
  <c r="S113"/>
  <c r="AE112"/>
  <c r="AD112"/>
  <c r="R113"/>
  <c r="AK112"/>
  <c r="E112"/>
  <c r="S112"/>
  <c r="P112"/>
  <c r="AM113"/>
  <c r="AB113"/>
  <c r="AM112"/>
  <c r="C112"/>
  <c r="E113"/>
  <c r="Z112"/>
  <c r="AI112"/>
  <c r="V113"/>
  <c r="AN113"/>
  <c r="AG112"/>
  <c r="G113"/>
  <c r="W113"/>
  <c r="AE113"/>
  <c r="AF112"/>
  <c r="C88" i="1" s="1"/>
  <c r="AF113" i="2"/>
  <c r="C94" i="1" s="1"/>
  <c r="Y113" i="2"/>
  <c r="K113"/>
  <c r="K112"/>
  <c r="T112"/>
  <c r="R112"/>
  <c r="U113"/>
  <c r="AK113"/>
  <c r="I113"/>
  <c r="G112"/>
  <c r="F113"/>
  <c r="AA112"/>
  <c r="P113"/>
  <c r="AD113"/>
  <c r="AL112"/>
  <c r="AI113"/>
  <c r="M112"/>
  <c r="W112"/>
  <c r="AH113"/>
  <c r="M113"/>
  <c r="L112"/>
  <c r="C85" i="1" s="1"/>
  <c r="AC113" i="2"/>
  <c r="C113"/>
  <c r="J112"/>
  <c r="U112"/>
  <c r="AA113"/>
  <c r="I112"/>
  <c r="AJ113"/>
  <c r="AN112"/>
  <c r="H113"/>
  <c r="D112"/>
  <c r="J113"/>
  <c r="V112"/>
  <c r="AL113"/>
  <c r="AP113"/>
  <c r="AJ112"/>
  <c r="N112"/>
  <c r="X112"/>
  <c r="T113"/>
  <c r="AB112"/>
  <c r="L113"/>
  <c r="C91" i="1" s="1"/>
  <c r="C190" i="2"/>
  <c r="C191" s="1"/>
  <c r="C192" s="1"/>
  <c r="C194" l="1"/>
  <c r="C195"/>
  <c r="C152"/>
  <c r="D147" l="1"/>
  <c r="D190" s="1"/>
  <c r="D138"/>
  <c r="C155"/>
  <c r="D143"/>
  <c r="D182" s="1"/>
  <c r="D139"/>
  <c r="D178" s="1"/>
  <c r="D146"/>
  <c r="D142"/>
  <c r="D135"/>
  <c r="D140" l="1"/>
  <c r="D177"/>
  <c r="D179" s="1"/>
  <c r="D148"/>
  <c r="D189"/>
  <c r="D191" s="1"/>
  <c r="D144"/>
  <c r="D181"/>
  <c r="D183" s="1"/>
  <c r="D136"/>
  <c r="D126"/>
  <c r="D174"/>
  <c r="D175" s="1"/>
  <c r="D149" l="1"/>
  <c r="D127"/>
  <c r="D160"/>
  <c r="D161" s="1"/>
  <c r="D192"/>
  <c r="D151" l="1"/>
  <c r="D152" s="1"/>
  <c r="E3" i="11"/>
  <c r="D153" i="2"/>
  <c r="D195"/>
  <c r="D194"/>
  <c r="D129"/>
  <c r="D130"/>
  <c r="D163"/>
  <c r="D164"/>
  <c r="E230" i="11" l="1"/>
  <c r="E209"/>
  <c r="E166"/>
  <c r="E145"/>
  <c r="E102"/>
  <c r="E81"/>
  <c r="E303"/>
  <c r="E38"/>
  <c r="E294"/>
  <c r="E17"/>
  <c r="E118"/>
  <c r="E97"/>
  <c r="E68"/>
  <c r="E116"/>
  <c r="E242"/>
  <c r="E221"/>
  <c r="E192"/>
  <c r="E110"/>
  <c r="E89"/>
  <c r="E60"/>
  <c r="E58"/>
  <c r="E37"/>
  <c r="E293"/>
  <c r="E8"/>
  <c r="E264"/>
  <c r="E175"/>
  <c r="E299"/>
  <c r="E291"/>
  <c r="E236"/>
  <c r="E56"/>
  <c r="E95"/>
  <c r="E305"/>
  <c r="E100"/>
  <c r="E226"/>
  <c r="E205"/>
  <c r="E176"/>
  <c r="E94"/>
  <c r="E201"/>
  <c r="E149"/>
  <c r="E287"/>
  <c r="E70"/>
  <c r="E49"/>
  <c r="E244"/>
  <c r="E167"/>
  <c r="E82"/>
  <c r="E61"/>
  <c r="E32"/>
  <c r="E288"/>
  <c r="E259"/>
  <c r="E206"/>
  <c r="E185"/>
  <c r="E156"/>
  <c r="E67"/>
  <c r="E154"/>
  <c r="E133"/>
  <c r="E104"/>
  <c r="E235"/>
  <c r="E22"/>
  <c r="E228"/>
  <c r="E135"/>
  <c r="E66"/>
  <c r="E45"/>
  <c r="E301"/>
  <c r="E16"/>
  <c r="E272"/>
  <c r="E231"/>
  <c r="E190"/>
  <c r="E169"/>
  <c r="E140"/>
  <c r="E51"/>
  <c r="E138"/>
  <c r="E117"/>
  <c r="E88"/>
  <c r="E255"/>
  <c r="E71"/>
  <c r="E106"/>
  <c r="E213"/>
  <c r="E155"/>
  <c r="E79"/>
  <c r="E54"/>
  <c r="E33"/>
  <c r="E289"/>
  <c r="E260"/>
  <c r="E262"/>
  <c r="E241"/>
  <c r="E36"/>
  <c r="E219"/>
  <c r="E179"/>
  <c r="E178"/>
  <c r="E157"/>
  <c r="E128"/>
  <c r="E46"/>
  <c r="E302"/>
  <c r="E25"/>
  <c r="E281"/>
  <c r="E252"/>
  <c r="E250"/>
  <c r="E229"/>
  <c r="E200"/>
  <c r="E111"/>
  <c r="E171"/>
  <c r="E99"/>
  <c r="E44"/>
  <c r="E115"/>
  <c r="E298"/>
  <c r="E295"/>
  <c r="E103"/>
  <c r="E214"/>
  <c r="E193"/>
  <c r="E20"/>
  <c r="E139"/>
  <c r="E131"/>
  <c r="E162"/>
  <c r="E141"/>
  <c r="E112"/>
  <c r="E30"/>
  <c r="E286"/>
  <c r="E137"/>
  <c r="E108"/>
  <c r="E164"/>
  <c r="E23"/>
  <c r="E18"/>
  <c r="E274"/>
  <c r="E253"/>
  <c r="E224"/>
  <c r="E142"/>
  <c r="E121"/>
  <c r="E92"/>
  <c r="E90"/>
  <c r="E69"/>
  <c r="E40"/>
  <c r="E296"/>
  <c r="E207"/>
  <c r="E148"/>
  <c r="E258"/>
  <c r="E237"/>
  <c r="E208"/>
  <c r="E126"/>
  <c r="E105"/>
  <c r="E76"/>
  <c r="E74"/>
  <c r="E53"/>
  <c r="E24"/>
  <c r="E280"/>
  <c r="E191"/>
  <c r="E300"/>
  <c r="E21"/>
  <c r="E120"/>
  <c r="E159"/>
  <c r="E263"/>
  <c r="E246"/>
  <c r="E225"/>
  <c r="E196"/>
  <c r="E187"/>
  <c r="E134"/>
  <c r="E113"/>
  <c r="E292"/>
  <c r="E27"/>
  <c r="E247"/>
  <c r="E114"/>
  <c r="E93"/>
  <c r="E64"/>
  <c r="E238"/>
  <c r="E217"/>
  <c r="E188"/>
  <c r="E163"/>
  <c r="E186"/>
  <c r="E165"/>
  <c r="E136"/>
  <c r="E47"/>
  <c r="E43"/>
  <c r="E183"/>
  <c r="E170"/>
  <c r="E277"/>
  <c r="E267"/>
  <c r="E123"/>
  <c r="E86"/>
  <c r="E65"/>
  <c r="E276"/>
  <c r="E11"/>
  <c r="E199"/>
  <c r="E98"/>
  <c r="E77"/>
  <c r="E48"/>
  <c r="E304"/>
  <c r="E222"/>
  <c r="E73"/>
  <c r="E42"/>
  <c r="E248"/>
  <c r="E273"/>
  <c r="E84"/>
  <c r="E283"/>
  <c r="E275"/>
  <c r="E210"/>
  <c r="E189"/>
  <c r="E160"/>
  <c r="E78"/>
  <c r="E57"/>
  <c r="E28"/>
  <c r="E284"/>
  <c r="E26"/>
  <c r="E282"/>
  <c r="E261"/>
  <c r="E232"/>
  <c r="E15"/>
  <c r="E278"/>
  <c r="E257"/>
  <c r="E52"/>
  <c r="E251"/>
  <c r="E211"/>
  <c r="E194"/>
  <c r="E173"/>
  <c r="E144"/>
  <c r="E62"/>
  <c r="E41"/>
  <c r="E297"/>
  <c r="E12"/>
  <c r="E268"/>
  <c r="E10"/>
  <c r="E266"/>
  <c r="E245"/>
  <c r="E216"/>
  <c r="E127"/>
  <c r="E203"/>
  <c r="E147"/>
  <c r="E172"/>
  <c r="E31"/>
  <c r="E227"/>
  <c r="E182"/>
  <c r="E161"/>
  <c r="E132"/>
  <c r="E59"/>
  <c r="E6"/>
  <c r="E212"/>
  <c r="E87"/>
  <c r="E50"/>
  <c r="E306"/>
  <c r="E29"/>
  <c r="E285"/>
  <c r="E256"/>
  <c r="E119"/>
  <c r="E174"/>
  <c r="E153"/>
  <c r="E124"/>
  <c r="E35"/>
  <c r="E122"/>
  <c r="E101"/>
  <c r="E72"/>
  <c r="E239"/>
  <c r="E7"/>
  <c r="E9"/>
  <c r="E85"/>
  <c r="E184"/>
  <c r="E223"/>
  <c r="E143"/>
  <c r="E180"/>
  <c r="E55"/>
  <c r="E34"/>
  <c r="E290"/>
  <c r="E13"/>
  <c r="E269"/>
  <c r="E240"/>
  <c r="E39"/>
  <c r="E158"/>
  <c r="E265"/>
  <c r="E151"/>
  <c r="E198"/>
  <c r="E177"/>
  <c r="E107"/>
  <c r="E83"/>
  <c r="E146"/>
  <c r="E125"/>
  <c r="E96"/>
  <c r="E14"/>
  <c r="E270"/>
  <c r="E249"/>
  <c r="E220"/>
  <c r="E218"/>
  <c r="E197"/>
  <c r="E168"/>
  <c r="E195"/>
  <c r="E150"/>
  <c r="E129"/>
  <c r="E75"/>
  <c r="E279"/>
  <c r="E130"/>
  <c r="E109"/>
  <c r="E80"/>
  <c r="E254"/>
  <c r="E233"/>
  <c r="E204"/>
  <c r="E243"/>
  <c r="E202"/>
  <c r="E181"/>
  <c r="E152"/>
  <c r="E63"/>
  <c r="E91"/>
  <c r="E215"/>
  <c r="E19"/>
  <c r="E234"/>
  <c r="E271"/>
  <c r="E139" i="2"/>
  <c r="E178" s="1"/>
  <c r="E143"/>
  <c r="E182" s="1"/>
  <c r="E146"/>
  <c r="E147"/>
  <c r="E190" s="1"/>
  <c r="E142"/>
  <c r="E138"/>
  <c r="E135"/>
  <c r="D155"/>
  <c r="E140" l="1"/>
  <c r="E177"/>
  <c r="E179" s="1"/>
  <c r="E174"/>
  <c r="E175" s="1"/>
  <c r="E136"/>
  <c r="E126"/>
  <c r="E148"/>
  <c r="E189"/>
  <c r="E191" s="1"/>
  <c r="E144"/>
  <c r="E181"/>
  <c r="E183" s="1"/>
  <c r="E127" l="1"/>
  <c r="E160"/>
  <c r="E161" s="1"/>
  <c r="E149"/>
  <c r="F3" i="11" s="1"/>
  <c r="E192" i="2"/>
  <c r="F198" i="11" l="1"/>
  <c r="F45"/>
  <c r="F29"/>
  <c r="F18"/>
  <c r="F27"/>
  <c r="F154"/>
  <c r="F278"/>
  <c r="F84"/>
  <c r="F61"/>
  <c r="F34"/>
  <c r="F43"/>
  <c r="F170"/>
  <c r="F294"/>
  <c r="F100"/>
  <c r="F77"/>
  <c r="F50"/>
  <c r="F59"/>
  <c r="F186"/>
  <c r="F110"/>
  <c r="F120"/>
  <c r="F93"/>
  <c r="F66"/>
  <c r="F11"/>
  <c r="F114"/>
  <c r="F138"/>
  <c r="F262"/>
  <c r="F68"/>
  <c r="F111"/>
  <c r="F82"/>
  <c r="F91"/>
  <c r="F218"/>
  <c r="F174"/>
  <c r="F163"/>
  <c r="F132"/>
  <c r="F98"/>
  <c r="F108"/>
  <c r="F6"/>
  <c r="F234"/>
  <c r="F206"/>
  <c r="F184"/>
  <c r="F153"/>
  <c r="F117"/>
  <c r="F129"/>
  <c r="F202"/>
  <c r="F142"/>
  <c r="F141"/>
  <c r="F196"/>
  <c r="F160"/>
  <c r="F172"/>
  <c r="F282"/>
  <c r="F150"/>
  <c r="F302"/>
  <c r="F248"/>
  <c r="F217"/>
  <c r="F181"/>
  <c r="F193"/>
  <c r="F178"/>
  <c r="F168"/>
  <c r="F298"/>
  <c r="F166"/>
  <c r="F269"/>
  <c r="F239"/>
  <c r="F203"/>
  <c r="F215"/>
  <c r="F266"/>
  <c r="F134"/>
  <c r="F270"/>
  <c r="F227"/>
  <c r="F281"/>
  <c r="F245"/>
  <c r="F257"/>
  <c r="F16"/>
  <c r="F214"/>
  <c r="F303"/>
  <c r="F267"/>
  <c r="F279"/>
  <c r="F306"/>
  <c r="F253"/>
  <c r="F106"/>
  <c r="F230"/>
  <c r="F32"/>
  <c r="F288"/>
  <c r="F300"/>
  <c r="F21"/>
  <c r="F122"/>
  <c r="F246"/>
  <c r="F52"/>
  <c r="F236"/>
  <c r="F147"/>
  <c r="F286"/>
  <c r="F237"/>
  <c r="F291"/>
  <c r="F224"/>
  <c r="F242"/>
  <c r="F146"/>
  <c r="F28"/>
  <c r="F283"/>
  <c r="F295"/>
  <c r="F13"/>
  <c r="F92"/>
  <c r="F107"/>
  <c r="F123"/>
  <c r="F44"/>
  <c r="F58"/>
  <c r="F229"/>
  <c r="F210"/>
  <c r="F115"/>
  <c r="F89"/>
  <c r="F62"/>
  <c r="F7"/>
  <c r="F10"/>
  <c r="F41"/>
  <c r="F31"/>
  <c r="F256"/>
  <c r="F36"/>
  <c r="F284"/>
  <c r="F222"/>
  <c r="F195"/>
  <c r="F258"/>
  <c r="F221"/>
  <c r="F276"/>
  <c r="F240"/>
  <c r="F252"/>
  <c r="F8"/>
  <c r="F192"/>
  <c r="F81"/>
  <c r="F63"/>
  <c r="F164"/>
  <c r="F140"/>
  <c r="F126"/>
  <c r="F131"/>
  <c r="F162"/>
  <c r="F157"/>
  <c r="F127"/>
  <c r="F94"/>
  <c r="F103"/>
  <c r="F101"/>
  <c r="F83"/>
  <c r="F72"/>
  <c r="F86"/>
  <c r="F53"/>
  <c r="F35"/>
  <c r="F12"/>
  <c r="F38"/>
  <c r="F176"/>
  <c r="F24"/>
  <c r="F183"/>
  <c r="F47"/>
  <c r="F118"/>
  <c r="F238"/>
  <c r="F175"/>
  <c r="F75"/>
  <c r="F152"/>
  <c r="F194"/>
  <c r="F96"/>
  <c r="F73"/>
  <c r="F46"/>
  <c r="F55"/>
  <c r="F277"/>
  <c r="F293"/>
  <c r="F213"/>
  <c r="F49"/>
  <c r="F97"/>
  <c r="F79"/>
  <c r="F190"/>
  <c r="F173"/>
  <c r="F226"/>
  <c r="F200"/>
  <c r="F169"/>
  <c r="F133"/>
  <c r="F71"/>
  <c r="F149"/>
  <c r="F201"/>
  <c r="F177"/>
  <c r="F121"/>
  <c r="F99"/>
  <c r="F88"/>
  <c r="F102"/>
  <c r="F232"/>
  <c r="F280"/>
  <c r="F33"/>
  <c r="F9"/>
  <c r="F14"/>
  <c r="F23"/>
  <c r="F69"/>
  <c r="F51"/>
  <c r="F244"/>
  <c r="F220"/>
  <c r="F109"/>
  <c r="F180"/>
  <c r="F15"/>
  <c r="F254"/>
  <c r="F216"/>
  <c r="F290"/>
  <c r="F212"/>
  <c r="F247"/>
  <c r="F251"/>
  <c r="F250"/>
  <c r="F182"/>
  <c r="F260"/>
  <c r="F151"/>
  <c r="F211"/>
  <c r="F179"/>
  <c r="F148"/>
  <c r="F112"/>
  <c r="F124"/>
  <c r="F143"/>
  <c r="F119"/>
  <c r="F159"/>
  <c r="F135"/>
  <c r="F85"/>
  <c r="F67"/>
  <c r="F265"/>
  <c r="F241"/>
  <c r="F189"/>
  <c r="F259"/>
  <c r="F285"/>
  <c r="F255"/>
  <c r="F219"/>
  <c r="F145"/>
  <c r="F185"/>
  <c r="F19"/>
  <c r="F22"/>
  <c r="F292"/>
  <c r="F268"/>
  <c r="F272"/>
  <c r="F64"/>
  <c r="F105"/>
  <c r="F78"/>
  <c r="F87"/>
  <c r="F228"/>
  <c r="F204"/>
  <c r="F40"/>
  <c r="F54"/>
  <c r="F128"/>
  <c r="F17"/>
  <c r="F156"/>
  <c r="F275"/>
  <c r="F301"/>
  <c r="F297"/>
  <c r="F261"/>
  <c r="F273"/>
  <c r="F60"/>
  <c r="F74"/>
  <c r="F116"/>
  <c r="F95"/>
  <c r="F26"/>
  <c r="F65"/>
  <c r="F205"/>
  <c r="F139"/>
  <c r="F296"/>
  <c r="F158"/>
  <c r="F264"/>
  <c r="F233"/>
  <c r="F197"/>
  <c r="F209"/>
  <c r="F289"/>
  <c r="F104"/>
  <c r="F249"/>
  <c r="F225"/>
  <c r="F56"/>
  <c r="F70"/>
  <c r="F304"/>
  <c r="F48"/>
  <c r="F305"/>
  <c r="F231"/>
  <c r="F25"/>
  <c r="F161"/>
  <c r="F165"/>
  <c r="F76"/>
  <c r="F90"/>
  <c r="F137"/>
  <c r="F113"/>
  <c r="F274"/>
  <c r="F130"/>
  <c r="F136"/>
  <c r="F191"/>
  <c r="F155"/>
  <c r="F167"/>
  <c r="F20"/>
  <c r="F42"/>
  <c r="F208"/>
  <c r="F37"/>
  <c r="F299"/>
  <c r="F125"/>
  <c r="F144"/>
  <c r="F80"/>
  <c r="F57"/>
  <c r="F30"/>
  <c r="F39"/>
  <c r="F235"/>
  <c r="F287"/>
  <c r="F263"/>
  <c r="F171"/>
  <c r="F223"/>
  <c r="F199"/>
  <c r="F243"/>
  <c r="F188"/>
  <c r="F271"/>
  <c r="F207"/>
  <c r="F187"/>
  <c r="E163" i="2"/>
  <c r="E164"/>
  <c r="E153"/>
  <c r="E151"/>
  <c r="E194"/>
  <c r="E195"/>
  <c r="E129"/>
  <c r="E130"/>
  <c r="E152" l="1"/>
  <c r="F147" l="1"/>
  <c r="F190" s="1"/>
  <c r="F143"/>
  <c r="F182" s="1"/>
  <c r="F139"/>
  <c r="F178" s="1"/>
  <c r="F135"/>
  <c r="F146"/>
  <c r="F142"/>
  <c r="F138"/>
  <c r="E155"/>
  <c r="F144" l="1"/>
  <c r="F181"/>
  <c r="F183" s="1"/>
  <c r="F140"/>
  <c r="F177"/>
  <c r="F179" s="1"/>
  <c r="F126"/>
  <c r="F174"/>
  <c r="F175" s="1"/>
  <c r="F136"/>
  <c r="F148"/>
  <c r="F189"/>
  <c r="F191" s="1"/>
  <c r="F149" l="1"/>
  <c r="F127"/>
  <c r="F160"/>
  <c r="F161" s="1"/>
  <c r="F192"/>
  <c r="F153" l="1"/>
  <c r="G3" i="11"/>
  <c r="F151" i="2"/>
  <c r="F152" s="1"/>
  <c r="F194"/>
  <c r="F195"/>
  <c r="F130"/>
  <c r="F129"/>
  <c r="F164"/>
  <c r="F163"/>
  <c r="G28" i="11" l="1"/>
  <c r="G229"/>
  <c r="G232"/>
  <c r="G233"/>
  <c r="G115"/>
  <c r="G254"/>
  <c r="G55"/>
  <c r="G248"/>
  <c r="G249"/>
  <c r="G131"/>
  <c r="G264"/>
  <c r="G265"/>
  <c r="G147"/>
  <c r="G151"/>
  <c r="G39"/>
  <c r="G241"/>
  <c r="G92"/>
  <c r="G42"/>
  <c r="G172"/>
  <c r="G40"/>
  <c r="G41"/>
  <c r="G122"/>
  <c r="G62"/>
  <c r="G188"/>
  <c r="G56"/>
  <c r="G57"/>
  <c r="G138"/>
  <c r="G61"/>
  <c r="G165"/>
  <c r="G227"/>
  <c r="G247"/>
  <c r="G160"/>
  <c r="G19"/>
  <c r="G196"/>
  <c r="G178"/>
  <c r="G215"/>
  <c r="G167"/>
  <c r="G199"/>
  <c r="G66"/>
  <c r="G86"/>
  <c r="G113"/>
  <c r="G141"/>
  <c r="G268"/>
  <c r="G211"/>
  <c r="G100"/>
  <c r="G114"/>
  <c r="G70"/>
  <c r="G174"/>
  <c r="G48"/>
  <c r="G267"/>
  <c r="G84"/>
  <c r="G287"/>
  <c r="G64"/>
  <c r="G275"/>
  <c r="G158"/>
  <c r="G65"/>
  <c r="G97"/>
  <c r="G177"/>
  <c r="G205"/>
  <c r="G274"/>
  <c r="G75"/>
  <c r="G294"/>
  <c r="G95"/>
  <c r="G221"/>
  <c r="G245"/>
  <c r="G72"/>
  <c r="G154"/>
  <c r="G198"/>
  <c r="G284"/>
  <c r="G152"/>
  <c r="G153"/>
  <c r="G234"/>
  <c r="G27"/>
  <c r="G256"/>
  <c r="G132"/>
  <c r="G288"/>
  <c r="G242"/>
  <c r="G43"/>
  <c r="G216"/>
  <c r="G217"/>
  <c r="G298"/>
  <c r="G99"/>
  <c r="G296"/>
  <c r="G297"/>
  <c r="G179"/>
  <c r="G119"/>
  <c r="G195"/>
  <c r="G156"/>
  <c r="G24"/>
  <c r="G25"/>
  <c r="G106"/>
  <c r="G236"/>
  <c r="G104"/>
  <c r="G105"/>
  <c r="G186"/>
  <c r="G85"/>
  <c r="G189"/>
  <c r="G44"/>
  <c r="G253"/>
  <c r="G76"/>
  <c r="G293"/>
  <c r="G26"/>
  <c r="G110"/>
  <c r="G235"/>
  <c r="G20"/>
  <c r="G204"/>
  <c r="G137"/>
  <c r="G240"/>
  <c r="G123"/>
  <c r="G143"/>
  <c r="G228"/>
  <c r="G146"/>
  <c r="G166"/>
  <c r="G193"/>
  <c r="G49"/>
  <c r="G77"/>
  <c r="G213"/>
  <c r="G127"/>
  <c r="G277"/>
  <c r="G93"/>
  <c r="G117"/>
  <c r="G23"/>
  <c r="G133"/>
  <c r="G182"/>
  <c r="G96"/>
  <c r="G291"/>
  <c r="G17"/>
  <c r="G140"/>
  <c r="G37"/>
  <c r="G45"/>
  <c r="G238"/>
  <c r="G112"/>
  <c r="G299"/>
  <c r="G224"/>
  <c r="G260"/>
  <c r="G280"/>
  <c r="G281"/>
  <c r="G163"/>
  <c r="G243"/>
  <c r="G126"/>
  <c r="G252"/>
  <c r="G120"/>
  <c r="G121"/>
  <c r="G202"/>
  <c r="G145"/>
  <c r="G300"/>
  <c r="G168"/>
  <c r="G169"/>
  <c r="G250"/>
  <c r="G51"/>
  <c r="G173"/>
  <c r="G60"/>
  <c r="G273"/>
  <c r="G10"/>
  <c r="G200"/>
  <c r="G201"/>
  <c r="G282"/>
  <c r="G83"/>
  <c r="G301"/>
  <c r="G30"/>
  <c r="G50"/>
  <c r="G269"/>
  <c r="G6"/>
  <c r="G272"/>
  <c r="G46"/>
  <c r="G203"/>
  <c r="G223"/>
  <c r="G36"/>
  <c r="G263"/>
  <c r="G98"/>
  <c r="G118"/>
  <c r="G68"/>
  <c r="G279"/>
  <c r="G295"/>
  <c r="G164"/>
  <c r="G130"/>
  <c r="G150"/>
  <c r="G197"/>
  <c r="G225"/>
  <c r="G292"/>
  <c r="G162"/>
  <c r="G108"/>
  <c r="G58"/>
  <c r="G257"/>
  <c r="G124"/>
  <c r="G74"/>
  <c r="G8"/>
  <c r="G90"/>
  <c r="G94"/>
  <c r="G81"/>
  <c r="G101"/>
  <c r="G183"/>
  <c r="G32"/>
  <c r="G259"/>
  <c r="G220"/>
  <c r="G88"/>
  <c r="G89"/>
  <c r="G170"/>
  <c r="G128"/>
  <c r="G190"/>
  <c r="G184"/>
  <c r="G185"/>
  <c r="G266"/>
  <c r="G67"/>
  <c r="G192"/>
  <c r="G286"/>
  <c r="G87"/>
  <c r="G157"/>
  <c r="G136"/>
  <c r="G218"/>
  <c r="G129"/>
  <c r="G262"/>
  <c r="G63"/>
  <c r="G109"/>
  <c r="G9"/>
  <c r="G33"/>
  <c r="G15"/>
  <c r="G35"/>
  <c r="G155"/>
  <c r="G175"/>
  <c r="G239"/>
  <c r="G125"/>
  <c r="G13"/>
  <c r="G14"/>
  <c r="G187"/>
  <c r="G207"/>
  <c r="G210"/>
  <c r="G230"/>
  <c r="G11"/>
  <c r="G78"/>
  <c r="G219"/>
  <c r="G209"/>
  <c r="G107"/>
  <c r="G103"/>
  <c r="G285"/>
  <c r="G18"/>
  <c r="G38"/>
  <c r="G222"/>
  <c r="G237"/>
  <c r="G181"/>
  <c r="G306"/>
  <c r="G47"/>
  <c r="G73"/>
  <c r="G270"/>
  <c r="G144"/>
  <c r="G180"/>
  <c r="G231"/>
  <c r="G283"/>
  <c r="G139"/>
  <c r="G159"/>
  <c r="G34"/>
  <c r="G54"/>
  <c r="G111"/>
  <c r="G148"/>
  <c r="G191"/>
  <c r="G303"/>
  <c r="G22"/>
  <c r="G290"/>
  <c r="G134"/>
  <c r="G16"/>
  <c r="G251"/>
  <c r="G52"/>
  <c r="G271"/>
  <c r="G302"/>
  <c r="G176"/>
  <c r="G212"/>
  <c r="G206"/>
  <c r="G226"/>
  <c r="G246"/>
  <c r="G171"/>
  <c r="G31"/>
  <c r="G289"/>
  <c r="G142"/>
  <c r="G194"/>
  <c r="G214"/>
  <c r="G12"/>
  <c r="G69"/>
  <c r="G276"/>
  <c r="G255"/>
  <c r="G7"/>
  <c r="G258"/>
  <c r="G59"/>
  <c r="G278"/>
  <c r="G79"/>
  <c r="G149"/>
  <c r="G29"/>
  <c r="G53"/>
  <c r="G208"/>
  <c r="G244"/>
  <c r="G161"/>
  <c r="G82"/>
  <c r="G102"/>
  <c r="G21"/>
  <c r="G80"/>
  <c r="G116"/>
  <c r="G135"/>
  <c r="G305"/>
  <c r="G71"/>
  <c r="G261"/>
  <c r="G304"/>
  <c r="G91"/>
  <c r="G147" i="2"/>
  <c r="G190" s="1"/>
  <c r="G146"/>
  <c r="G138"/>
  <c r="G135"/>
  <c r="G142"/>
  <c r="G143"/>
  <c r="G182" s="1"/>
  <c r="G139"/>
  <c r="G178" s="1"/>
  <c r="F155"/>
  <c r="G144" l="1"/>
  <c r="G181"/>
  <c r="G183" s="1"/>
  <c r="G148"/>
  <c r="G189"/>
  <c r="G191" s="1"/>
  <c r="G177"/>
  <c r="G179" s="1"/>
  <c r="G140"/>
  <c r="G174"/>
  <c r="G175" s="1"/>
  <c r="G126"/>
  <c r="G136"/>
  <c r="G127" l="1"/>
  <c r="G160"/>
  <c r="G161" s="1"/>
  <c r="G192"/>
  <c r="G149"/>
  <c r="H3" i="11" s="1"/>
  <c r="H29" l="1"/>
  <c r="H144"/>
  <c r="H87"/>
  <c r="H43"/>
  <c r="H262"/>
  <c r="H122"/>
  <c r="H20"/>
  <c r="H28"/>
  <c r="H52"/>
  <c r="H99"/>
  <c r="H135"/>
  <c r="H289"/>
  <c r="H174"/>
  <c r="H224"/>
  <c r="H188"/>
  <c r="H70"/>
  <c r="H10"/>
  <c r="H19"/>
  <c r="H23"/>
  <c r="H250"/>
  <c r="H11"/>
  <c r="H300"/>
  <c r="H182"/>
  <c r="H298"/>
  <c r="H133"/>
  <c r="H259"/>
  <c r="H295"/>
  <c r="H64"/>
  <c r="H107"/>
  <c r="H189"/>
  <c r="H266"/>
  <c r="H304"/>
  <c r="H115"/>
  <c r="H61"/>
  <c r="H59"/>
  <c r="H244"/>
  <c r="H26"/>
  <c r="H90"/>
  <c r="H254"/>
  <c r="H51"/>
  <c r="H211"/>
  <c r="H81"/>
  <c r="H207"/>
  <c r="H76"/>
  <c r="H256"/>
  <c r="H155"/>
  <c r="H237"/>
  <c r="H261"/>
  <c r="H126"/>
  <c r="H186"/>
  <c r="H151"/>
  <c r="H206"/>
  <c r="H226"/>
  <c r="H8"/>
  <c r="H291"/>
  <c r="H284"/>
  <c r="H119"/>
  <c r="H169"/>
  <c r="H249"/>
  <c r="H223"/>
  <c r="H14"/>
  <c r="H290"/>
  <c r="H228"/>
  <c r="H30"/>
  <c r="H9"/>
  <c r="H89"/>
  <c r="H286"/>
  <c r="H181"/>
  <c r="H282"/>
  <c r="H34"/>
  <c r="H270"/>
  <c r="H39"/>
  <c r="H257"/>
  <c r="H178"/>
  <c r="H183"/>
  <c r="H213"/>
  <c r="H96"/>
  <c r="H114"/>
  <c r="H280"/>
  <c r="H283"/>
  <c r="H37"/>
  <c r="H279"/>
  <c r="H129"/>
  <c r="H45"/>
  <c r="H243"/>
  <c r="H125"/>
  <c r="H272"/>
  <c r="H55"/>
  <c r="H24"/>
  <c r="H18"/>
  <c r="H35"/>
  <c r="H71"/>
  <c r="H177"/>
  <c r="H159"/>
  <c r="H92"/>
  <c r="H248"/>
  <c r="H187"/>
  <c r="H269"/>
  <c r="H209"/>
  <c r="H204"/>
  <c r="H86"/>
  <c r="H47"/>
  <c r="H127"/>
  <c r="H93"/>
  <c r="H299"/>
  <c r="H202"/>
  <c r="H62"/>
  <c r="H152"/>
  <c r="H25"/>
  <c r="H197"/>
  <c r="H303"/>
  <c r="H172"/>
  <c r="H54"/>
  <c r="H252"/>
  <c r="H134"/>
  <c r="H74"/>
  <c r="H141"/>
  <c r="H31"/>
  <c r="H195"/>
  <c r="H231"/>
  <c r="H230"/>
  <c r="H97"/>
  <c r="H78"/>
  <c r="H98"/>
  <c r="H109"/>
  <c r="H112"/>
  <c r="H192"/>
  <c r="H36"/>
  <c r="H95"/>
  <c r="H255"/>
  <c r="H6"/>
  <c r="H53"/>
  <c r="H67"/>
  <c r="H136"/>
  <c r="H210"/>
  <c r="H263"/>
  <c r="H94"/>
  <c r="H46"/>
  <c r="H63"/>
  <c r="H49"/>
  <c r="H138"/>
  <c r="H145"/>
  <c r="H271"/>
  <c r="H140"/>
  <c r="H22"/>
  <c r="H42"/>
  <c r="H196"/>
  <c r="H217"/>
  <c r="H48"/>
  <c r="H72"/>
  <c r="H225"/>
  <c r="H142"/>
  <c r="H162"/>
  <c r="H165"/>
  <c r="H185"/>
  <c r="H163"/>
  <c r="H148"/>
  <c r="H69"/>
  <c r="H203"/>
  <c r="H285"/>
  <c r="H220"/>
  <c r="H102"/>
  <c r="H106"/>
  <c r="H100"/>
  <c r="H212"/>
  <c r="H247"/>
  <c r="H179"/>
  <c r="H276"/>
  <c r="H274"/>
  <c r="H21"/>
  <c r="H41"/>
  <c r="H180"/>
  <c r="H222"/>
  <c r="H242"/>
  <c r="H199"/>
  <c r="H240"/>
  <c r="H171"/>
  <c r="H253"/>
  <c r="H251"/>
  <c r="H273"/>
  <c r="H268"/>
  <c r="H150"/>
  <c r="H111"/>
  <c r="H128"/>
  <c r="H275"/>
  <c r="H277"/>
  <c r="H297"/>
  <c r="H101"/>
  <c r="H88"/>
  <c r="H82"/>
  <c r="H132"/>
  <c r="H176"/>
  <c r="H236"/>
  <c r="H118"/>
  <c r="H198"/>
  <c r="H184"/>
  <c r="H123"/>
  <c r="H205"/>
  <c r="H288"/>
  <c r="H104"/>
  <c r="H73"/>
  <c r="H193"/>
  <c r="H85"/>
  <c r="H260"/>
  <c r="H117"/>
  <c r="H227"/>
  <c r="H258"/>
  <c r="H149"/>
  <c r="H293"/>
  <c r="H306"/>
  <c r="H33"/>
  <c r="H13"/>
  <c r="H79"/>
  <c r="H16"/>
  <c r="H120"/>
  <c r="H40"/>
  <c r="H214"/>
  <c r="H175"/>
  <c r="H44"/>
  <c r="H139"/>
  <c r="H221"/>
  <c r="H294"/>
  <c r="H241"/>
  <c r="H232"/>
  <c r="H103"/>
  <c r="H161"/>
  <c r="H110"/>
  <c r="H130"/>
  <c r="H219"/>
  <c r="H301"/>
  <c r="H305"/>
  <c r="H77"/>
  <c r="H17"/>
  <c r="H143"/>
  <c r="H12"/>
  <c r="H215"/>
  <c r="H278"/>
  <c r="H65"/>
  <c r="H58"/>
  <c r="H137"/>
  <c r="H239"/>
  <c r="H108"/>
  <c r="H83"/>
  <c r="H267"/>
  <c r="H191"/>
  <c r="H60"/>
  <c r="H190"/>
  <c r="H113"/>
  <c r="H7"/>
  <c r="H121"/>
  <c r="H116"/>
  <c r="H27"/>
  <c r="H281"/>
  <c r="H160"/>
  <c r="H246"/>
  <c r="H56"/>
  <c r="H80"/>
  <c r="H84"/>
  <c r="H235"/>
  <c r="H208"/>
  <c r="H216"/>
  <c r="H15"/>
  <c r="H287"/>
  <c r="H156"/>
  <c r="H38"/>
  <c r="H131"/>
  <c r="H167"/>
  <c r="H105"/>
  <c r="H296"/>
  <c r="H200"/>
  <c r="H170"/>
  <c r="H147"/>
  <c r="H292"/>
  <c r="H234"/>
  <c r="H68"/>
  <c r="H302"/>
  <c r="H264"/>
  <c r="H218"/>
  <c r="H154"/>
  <c r="H164"/>
  <c r="H168"/>
  <c r="H245"/>
  <c r="H265"/>
  <c r="H153"/>
  <c r="H57"/>
  <c r="H32"/>
  <c r="H75"/>
  <c r="H157"/>
  <c r="H124"/>
  <c r="H158"/>
  <c r="H146"/>
  <c r="H173"/>
  <c r="H233"/>
  <c r="H194"/>
  <c r="H238"/>
  <c r="H166"/>
  <c r="H91"/>
  <c r="H229"/>
  <c r="H50"/>
  <c r="H201"/>
  <c r="H66"/>
  <c r="G163" i="2"/>
  <c r="G164"/>
  <c r="G194"/>
  <c r="G195"/>
  <c r="G151"/>
  <c r="G153"/>
  <c r="G130"/>
  <c r="G129"/>
  <c r="G152" l="1"/>
  <c r="H143" l="1"/>
  <c r="H182" s="1"/>
  <c r="H147"/>
  <c r="H190" s="1"/>
  <c r="H142"/>
  <c r="H138"/>
  <c r="H139"/>
  <c r="H178" s="1"/>
  <c r="H135"/>
  <c r="H146"/>
  <c r="G155"/>
  <c r="H174" l="1"/>
  <c r="H175" s="1"/>
  <c r="H136"/>
  <c r="H126"/>
  <c r="H148"/>
  <c r="H189"/>
  <c r="H191" s="1"/>
  <c r="H144"/>
  <c r="H181"/>
  <c r="H183" s="1"/>
  <c r="H140"/>
  <c r="H177"/>
  <c r="H179" s="1"/>
  <c r="H127" l="1"/>
  <c r="H160"/>
  <c r="H161" s="1"/>
  <c r="H149"/>
  <c r="I3" i="11" s="1"/>
  <c r="H192" i="2"/>
  <c r="I79" i="11" l="1"/>
  <c r="I206"/>
  <c r="I265"/>
  <c r="I103"/>
  <c r="I232"/>
  <c r="I266"/>
  <c r="I74"/>
  <c r="I10"/>
  <c r="I242"/>
  <c r="I102"/>
  <c r="I296"/>
  <c r="I31"/>
  <c r="I40"/>
  <c r="I27"/>
  <c r="I15"/>
  <c r="I247"/>
  <c r="I8"/>
  <c r="I289"/>
  <c r="I70"/>
  <c r="I153"/>
  <c r="I143"/>
  <c r="I60"/>
  <c r="I75"/>
  <c r="I186"/>
  <c r="I48"/>
  <c r="I215"/>
  <c r="I200"/>
  <c r="I151"/>
  <c r="I231"/>
  <c r="I168"/>
  <c r="I47"/>
  <c r="I109"/>
  <c r="I158"/>
  <c r="I252"/>
  <c r="I202"/>
  <c r="I258"/>
  <c r="I294"/>
  <c r="I239"/>
  <c r="I262"/>
  <c r="I214"/>
  <c r="I194"/>
  <c r="I72"/>
  <c r="I44"/>
  <c r="I187"/>
  <c r="I89"/>
  <c r="I98"/>
  <c r="I284"/>
  <c r="I132"/>
  <c r="I33"/>
  <c r="I57"/>
  <c r="I159"/>
  <c r="I270"/>
  <c r="I114"/>
  <c r="I163"/>
  <c r="I210"/>
  <c r="I119"/>
  <c r="I195"/>
  <c r="I253"/>
  <c r="I22"/>
  <c r="I107"/>
  <c r="I301"/>
  <c r="I293"/>
  <c r="I160"/>
  <c r="I192"/>
  <c r="I25"/>
  <c r="I105"/>
  <c r="I213"/>
  <c r="I86"/>
  <c r="I157"/>
  <c r="I82"/>
  <c r="I135"/>
  <c r="I267"/>
  <c r="I205"/>
  <c r="I264"/>
  <c r="I254"/>
  <c r="I156"/>
  <c r="I177"/>
  <c r="I295"/>
  <c r="I106"/>
  <c r="I32"/>
  <c r="I34"/>
  <c r="I271"/>
  <c r="I292"/>
  <c r="I184"/>
  <c r="I93"/>
  <c r="I134"/>
  <c r="I269"/>
  <c r="I280"/>
  <c r="I84"/>
  <c r="I245"/>
  <c r="I123"/>
  <c r="I286"/>
  <c r="I129"/>
  <c r="I145"/>
  <c r="I190"/>
  <c r="I18"/>
  <c r="I223"/>
  <c r="I305"/>
  <c r="I128"/>
  <c r="I58"/>
  <c r="I165"/>
  <c r="I80"/>
  <c r="I161"/>
  <c r="I38"/>
  <c r="I164"/>
  <c r="I138"/>
  <c r="I273"/>
  <c r="I201"/>
  <c r="I260"/>
  <c r="I234"/>
  <c r="I243"/>
  <c r="I152"/>
  <c r="I290"/>
  <c r="I208"/>
  <c r="I228"/>
  <c r="I219"/>
  <c r="I87"/>
  <c r="I199"/>
  <c r="I180"/>
  <c r="I176"/>
  <c r="I63"/>
  <c r="I43"/>
  <c r="I297"/>
  <c r="I136"/>
  <c r="I24"/>
  <c r="I229"/>
  <c r="I81"/>
  <c r="I108"/>
  <c r="I149"/>
  <c r="I172"/>
  <c r="I162"/>
  <c r="I255"/>
  <c r="I279"/>
  <c r="I278"/>
  <c r="I6"/>
  <c r="I88"/>
  <c r="I42"/>
  <c r="I39"/>
  <c r="I50"/>
  <c r="I189"/>
  <c r="I302"/>
  <c r="I45"/>
  <c r="I66"/>
  <c r="I169"/>
  <c r="I100"/>
  <c r="I49"/>
  <c r="I121"/>
  <c r="I55"/>
  <c r="I59"/>
  <c r="I235"/>
  <c r="I147"/>
  <c r="I139"/>
  <c r="I52"/>
  <c r="I291"/>
  <c r="I298"/>
  <c r="I216"/>
  <c r="I183"/>
  <c r="I244"/>
  <c r="I283"/>
  <c r="I142"/>
  <c r="I116"/>
  <c r="I68"/>
  <c r="I181"/>
  <c r="I91"/>
  <c r="I257"/>
  <c r="I62"/>
  <c r="I197"/>
  <c r="I122"/>
  <c r="I222"/>
  <c r="I248"/>
  <c r="I304"/>
  <c r="I218"/>
  <c r="I179"/>
  <c r="I77"/>
  <c r="I170"/>
  <c r="I240"/>
  <c r="I212"/>
  <c r="I175"/>
  <c r="I268"/>
  <c r="I90"/>
  <c r="I263"/>
  <c r="I236"/>
  <c r="I251"/>
  <c r="I12"/>
  <c r="I249"/>
  <c r="I118"/>
  <c r="I226"/>
  <c r="I211"/>
  <c r="I144"/>
  <c r="I155"/>
  <c r="I64"/>
  <c r="I140"/>
  <c r="I220"/>
  <c r="I117"/>
  <c r="I166"/>
  <c r="I178"/>
  <c r="I209"/>
  <c r="I69"/>
  <c r="I110"/>
  <c r="I85"/>
  <c r="I126"/>
  <c r="I78"/>
  <c r="I37"/>
  <c r="I230"/>
  <c r="I133"/>
  <c r="I182"/>
  <c r="I127"/>
  <c r="I203"/>
  <c r="I227"/>
  <c r="I137"/>
  <c r="I67"/>
  <c r="I19"/>
  <c r="I287"/>
  <c r="I299"/>
  <c r="I101"/>
  <c r="I150"/>
  <c r="I30"/>
  <c r="I65"/>
  <c r="I207"/>
  <c r="I276"/>
  <c r="I125"/>
  <c r="I174"/>
  <c r="I241"/>
  <c r="I146"/>
  <c r="I71"/>
  <c r="I11"/>
  <c r="I94"/>
  <c r="I193"/>
  <c r="I46"/>
  <c r="I113"/>
  <c r="I124"/>
  <c r="I97"/>
  <c r="I217"/>
  <c r="I285"/>
  <c r="I54"/>
  <c r="I36"/>
  <c r="I92"/>
  <c r="I277"/>
  <c r="I141"/>
  <c r="I196"/>
  <c r="I171"/>
  <c r="I148"/>
  <c r="I237"/>
  <c r="I272"/>
  <c r="I96"/>
  <c r="I303"/>
  <c r="I300"/>
  <c r="I282"/>
  <c r="I167"/>
  <c r="I233"/>
  <c r="I250"/>
  <c r="I23"/>
  <c r="I56"/>
  <c r="I191"/>
  <c r="I9"/>
  <c r="I28"/>
  <c r="I35"/>
  <c r="I112"/>
  <c r="I41"/>
  <c r="I306"/>
  <c r="I224"/>
  <c r="I115"/>
  <c r="I246"/>
  <c r="I204"/>
  <c r="I13"/>
  <c r="I104"/>
  <c r="I154"/>
  <c r="I173"/>
  <c r="I256"/>
  <c r="I83"/>
  <c r="I53"/>
  <c r="I185"/>
  <c r="I16"/>
  <c r="I95"/>
  <c r="I281"/>
  <c r="I274"/>
  <c r="I76"/>
  <c r="I111"/>
  <c r="I238"/>
  <c r="I130"/>
  <c r="I120"/>
  <c r="I221"/>
  <c r="I73"/>
  <c r="I275"/>
  <c r="I261"/>
  <c r="I99"/>
  <c r="I225"/>
  <c r="I259"/>
  <c r="I17"/>
  <c r="I288"/>
  <c r="I26"/>
  <c r="I29"/>
  <c r="I51"/>
  <c r="I7"/>
  <c r="I198"/>
  <c r="I188"/>
  <c r="I61"/>
  <c r="I20"/>
  <c r="I21"/>
  <c r="I131"/>
  <c r="I14"/>
  <c r="H164" i="2"/>
  <c r="H163"/>
  <c r="H151"/>
  <c r="H152" s="1"/>
  <c r="H153"/>
  <c r="H194"/>
  <c r="H195"/>
  <c r="H130"/>
  <c r="H129"/>
  <c r="I138" l="1"/>
  <c r="I139"/>
  <c r="I178" s="1"/>
  <c r="I147"/>
  <c r="I190" s="1"/>
  <c r="I142"/>
  <c r="I143"/>
  <c r="I182" s="1"/>
  <c r="I146"/>
  <c r="I135"/>
  <c r="H155"/>
  <c r="I177" l="1"/>
  <c r="I179" s="1"/>
  <c r="I140"/>
  <c r="I189"/>
  <c r="I191" s="1"/>
  <c r="I148"/>
  <c r="I126"/>
  <c r="I136"/>
  <c r="I174"/>
  <c r="I175" s="1"/>
  <c r="I181"/>
  <c r="I183" s="1"/>
  <c r="I144"/>
  <c r="I149" l="1"/>
  <c r="I192"/>
  <c r="I195" s="1"/>
  <c r="I160"/>
  <c r="I161" s="1"/>
  <c r="I127"/>
  <c r="I153" l="1"/>
  <c r="J3" i="11"/>
  <c r="I151" i="2"/>
  <c r="I152" s="1"/>
  <c r="J147" s="1"/>
  <c r="J190" s="1"/>
  <c r="I194"/>
  <c r="I163"/>
  <c r="I164"/>
  <c r="I129"/>
  <c r="I130"/>
  <c r="J143" l="1"/>
  <c r="J182" s="1"/>
  <c r="J173" i="11"/>
  <c r="J44"/>
  <c r="J12"/>
  <c r="J152"/>
  <c r="J58"/>
  <c r="J299"/>
  <c r="J139"/>
  <c r="J21"/>
  <c r="J197"/>
  <c r="J111"/>
  <c r="J169"/>
  <c r="J52"/>
  <c r="J18"/>
  <c r="J278"/>
  <c r="J47"/>
  <c r="J216"/>
  <c r="J168"/>
  <c r="J246"/>
  <c r="J164"/>
  <c r="J158"/>
  <c r="J214"/>
  <c r="J219"/>
  <c r="J171"/>
  <c r="J295"/>
  <c r="J121"/>
  <c r="J218"/>
  <c r="J143"/>
  <c r="J150"/>
  <c r="J124"/>
  <c r="J305"/>
  <c r="J151"/>
  <c r="J273"/>
  <c r="J112"/>
  <c r="J282"/>
  <c r="J272"/>
  <c r="J30"/>
  <c r="J183"/>
  <c r="J136"/>
  <c r="J234"/>
  <c r="J36"/>
  <c r="J9"/>
  <c r="J247"/>
  <c r="J15"/>
  <c r="J269"/>
  <c r="J227"/>
  <c r="J66"/>
  <c r="J129"/>
  <c r="J226"/>
  <c r="J177"/>
  <c r="J67"/>
  <c r="J138"/>
  <c r="J279"/>
  <c r="J109"/>
  <c r="J213"/>
  <c r="J55"/>
  <c r="J61"/>
  <c r="J43"/>
  <c r="J62"/>
  <c r="J95"/>
  <c r="J101"/>
  <c r="J31"/>
  <c r="J297"/>
  <c r="J198"/>
  <c r="J261"/>
  <c r="J133"/>
  <c r="J252"/>
  <c r="J153"/>
  <c r="J242"/>
  <c r="J114"/>
  <c r="J49"/>
  <c r="J146"/>
  <c r="J28"/>
  <c r="J59"/>
  <c r="J71"/>
  <c r="J50"/>
  <c r="J145"/>
  <c r="J100"/>
  <c r="J40"/>
  <c r="J236"/>
  <c r="J233"/>
  <c r="J11"/>
  <c r="J276"/>
  <c r="J137"/>
  <c r="J208"/>
  <c r="J60"/>
  <c r="J135"/>
  <c r="J116"/>
  <c r="J63"/>
  <c r="J85"/>
  <c r="J229"/>
  <c r="J91"/>
  <c r="J255"/>
  <c r="J289"/>
  <c r="J128"/>
  <c r="J298"/>
  <c r="J196"/>
  <c r="J265"/>
  <c r="J224"/>
  <c r="J243"/>
  <c r="J70"/>
  <c r="J192"/>
  <c r="J262"/>
  <c r="J182"/>
  <c r="J209"/>
  <c r="J99"/>
  <c r="J73"/>
  <c r="J170"/>
  <c r="J223"/>
  <c r="J266"/>
  <c r="J191"/>
  <c r="J181"/>
  <c r="J37"/>
  <c r="J26"/>
  <c r="J225"/>
  <c r="J64"/>
  <c r="J115"/>
  <c r="J281"/>
  <c r="J120"/>
  <c r="J290"/>
  <c r="J25"/>
  <c r="J108"/>
  <c r="J20"/>
  <c r="J285"/>
  <c r="J237"/>
  <c r="J217"/>
  <c r="J107"/>
  <c r="J53"/>
  <c r="J19"/>
  <c r="J34"/>
  <c r="J97"/>
  <c r="J194"/>
  <c r="J57"/>
  <c r="J154"/>
  <c r="J166"/>
  <c r="J148"/>
  <c r="J45"/>
  <c r="J244"/>
  <c r="J302"/>
  <c r="J220"/>
  <c r="J155"/>
  <c r="J254"/>
  <c r="J270"/>
  <c r="J293"/>
  <c r="J123"/>
  <c r="J110"/>
  <c r="J147"/>
  <c r="J286"/>
  <c r="J204"/>
  <c r="J287"/>
  <c r="J277"/>
  <c r="J179"/>
  <c r="J228"/>
  <c r="J142"/>
  <c r="J207"/>
  <c r="J256"/>
  <c r="J303"/>
  <c r="J206"/>
  <c r="J17"/>
  <c r="J38"/>
  <c r="J7"/>
  <c r="J6"/>
  <c r="J250"/>
  <c r="J180"/>
  <c r="J105"/>
  <c r="J202"/>
  <c r="J160"/>
  <c r="J187"/>
  <c r="J161"/>
  <c r="J51"/>
  <c r="J283"/>
  <c r="J122"/>
  <c r="J257"/>
  <c r="J96"/>
  <c r="J175"/>
  <c r="J157"/>
  <c r="J231"/>
  <c r="J24"/>
  <c r="J251"/>
  <c r="J90"/>
  <c r="J86"/>
  <c r="J79"/>
  <c r="J304"/>
  <c r="J119"/>
  <c r="J104"/>
  <c r="J84"/>
  <c r="J132"/>
  <c r="J39"/>
  <c r="J215"/>
  <c r="J203"/>
  <c r="J199"/>
  <c r="J300"/>
  <c r="J258"/>
  <c r="J230"/>
  <c r="J195"/>
  <c r="J185"/>
  <c r="J75"/>
  <c r="J35"/>
  <c r="J144"/>
  <c r="J87"/>
  <c r="J54"/>
  <c r="J301"/>
  <c r="J69"/>
  <c r="J280"/>
  <c r="J113"/>
  <c r="J210"/>
  <c r="J172"/>
  <c r="J33"/>
  <c r="J188"/>
  <c r="J222"/>
  <c r="J140"/>
  <c r="J296"/>
  <c r="J292"/>
  <c r="J221"/>
  <c r="J211"/>
  <c r="J159"/>
  <c r="J149"/>
  <c r="J48"/>
  <c r="J275"/>
  <c r="J134"/>
  <c r="J23"/>
  <c r="J29"/>
  <c r="J14"/>
  <c r="J264"/>
  <c r="J260"/>
  <c r="J174"/>
  <c r="J239"/>
  <c r="J288"/>
  <c r="J267"/>
  <c r="J106"/>
  <c r="J118"/>
  <c r="J165"/>
  <c r="J238"/>
  <c r="J156"/>
  <c r="J10"/>
  <c r="J190"/>
  <c r="J184"/>
  <c r="J82"/>
  <c r="J42"/>
  <c r="J271"/>
  <c r="J8"/>
  <c r="J241"/>
  <c r="J80"/>
  <c r="J131"/>
  <c r="J193"/>
  <c r="J83"/>
  <c r="J117"/>
  <c r="J263"/>
  <c r="J32"/>
  <c r="J235"/>
  <c r="J74"/>
  <c r="J76"/>
  <c r="J291"/>
  <c r="J130"/>
  <c r="J294"/>
  <c r="J212"/>
  <c r="J92"/>
  <c r="J94"/>
  <c r="J125"/>
  <c r="J259"/>
  <c r="J98"/>
  <c r="J102"/>
  <c r="J240"/>
  <c r="J249"/>
  <c r="J88"/>
  <c r="J167"/>
  <c r="J141"/>
  <c r="J268"/>
  <c r="J89"/>
  <c r="J186"/>
  <c r="J41"/>
  <c r="J163"/>
  <c r="J103"/>
  <c r="J65"/>
  <c r="J162"/>
  <c r="J189"/>
  <c r="J201"/>
  <c r="J232"/>
  <c r="J248"/>
  <c r="J200"/>
  <c r="J253"/>
  <c r="J205"/>
  <c r="J127"/>
  <c r="J81"/>
  <c r="J178"/>
  <c r="J46"/>
  <c r="J274"/>
  <c r="J93"/>
  <c r="J306"/>
  <c r="J27"/>
  <c r="J78"/>
  <c r="J68"/>
  <c r="J176"/>
  <c r="J56"/>
  <c r="J245"/>
  <c r="J13"/>
  <c r="J77"/>
  <c r="J284"/>
  <c r="J72"/>
  <c r="J16"/>
  <c r="J126"/>
  <c r="J22"/>
  <c r="J135" i="2"/>
  <c r="J174" s="1"/>
  <c r="J175" s="1"/>
  <c r="I155"/>
  <c r="J146"/>
  <c r="J189" s="1"/>
  <c r="J191" s="1"/>
  <c r="J139"/>
  <c r="J178" s="1"/>
  <c r="J138"/>
  <c r="J177" s="1"/>
  <c r="J142"/>
  <c r="J181" s="1"/>
  <c r="J183" s="1"/>
  <c r="J148" l="1"/>
  <c r="J126"/>
  <c r="J160" s="1"/>
  <c r="J161" s="1"/>
  <c r="J136"/>
  <c r="J179"/>
  <c r="J192" s="1"/>
  <c r="J140"/>
  <c r="J144"/>
  <c r="J127" l="1"/>
  <c r="J149"/>
  <c r="K3" i="11" s="1"/>
  <c r="J164" i="2"/>
  <c r="J163"/>
  <c r="J194"/>
  <c r="J195"/>
  <c r="J129"/>
  <c r="J130"/>
  <c r="J153" l="1"/>
  <c r="J151"/>
  <c r="J152" s="1"/>
  <c r="K147" s="1"/>
  <c r="K190" s="1"/>
  <c r="K164" i="11"/>
  <c r="K265"/>
  <c r="K194"/>
  <c r="K261"/>
  <c r="K175"/>
  <c r="K260"/>
  <c r="K289"/>
  <c r="K270"/>
  <c r="K239"/>
  <c r="K264"/>
  <c r="K157"/>
  <c r="K191"/>
  <c r="K58"/>
  <c r="K185"/>
  <c r="K26"/>
  <c r="K52"/>
  <c r="K149"/>
  <c r="K6"/>
  <c r="K104"/>
  <c r="K110"/>
  <c r="K277"/>
  <c r="K177"/>
  <c r="K21"/>
  <c r="K69"/>
  <c r="K125"/>
  <c r="K132"/>
  <c r="K154"/>
  <c r="K103"/>
  <c r="K61"/>
  <c r="K152"/>
  <c r="K295"/>
  <c r="K213"/>
  <c r="K130"/>
  <c r="K179"/>
  <c r="K16"/>
  <c r="K218"/>
  <c r="K137"/>
  <c r="K238"/>
  <c r="K54"/>
  <c r="K241"/>
  <c r="K272"/>
  <c r="K89"/>
  <c r="K266"/>
  <c r="K70"/>
  <c r="K20"/>
  <c r="K142"/>
  <c r="K226"/>
  <c r="K269"/>
  <c r="K187"/>
  <c r="K90"/>
  <c r="K131"/>
  <c r="K212"/>
  <c r="K127"/>
  <c r="K87"/>
  <c r="K224"/>
  <c r="K276"/>
  <c r="K284"/>
  <c r="K86"/>
  <c r="K280"/>
  <c r="K146"/>
  <c r="K158"/>
  <c r="K33"/>
  <c r="K170"/>
  <c r="K36"/>
  <c r="K114"/>
  <c r="K163"/>
  <c r="K286"/>
  <c r="K233"/>
  <c r="K240"/>
  <c r="K249"/>
  <c r="K304"/>
  <c r="K201"/>
  <c r="K214"/>
  <c r="K51"/>
  <c r="K204"/>
  <c r="K81"/>
  <c r="K234"/>
  <c r="K282"/>
  <c r="K94"/>
  <c r="K9"/>
  <c r="K28"/>
  <c r="K79"/>
  <c r="K220"/>
  <c r="K29"/>
  <c r="K246"/>
  <c r="K59"/>
  <c r="K253"/>
  <c r="K243"/>
  <c r="K294"/>
  <c r="K76"/>
  <c r="K48"/>
  <c r="K222"/>
  <c r="K49"/>
  <c r="K184"/>
  <c r="K153"/>
  <c r="K172"/>
  <c r="K279"/>
  <c r="K210"/>
  <c r="K217"/>
  <c r="K176"/>
  <c r="K169"/>
  <c r="K247"/>
  <c r="K296"/>
  <c r="K165"/>
  <c r="K19"/>
  <c r="K129"/>
  <c r="K78"/>
  <c r="K242"/>
  <c r="K32"/>
  <c r="K159"/>
  <c r="K215"/>
  <c r="K168"/>
  <c r="K298"/>
  <c r="K135"/>
  <c r="K93"/>
  <c r="K219"/>
  <c r="K151"/>
  <c r="K283"/>
  <c r="K18"/>
  <c r="K196"/>
  <c r="K273"/>
  <c r="K111"/>
  <c r="K236"/>
  <c r="K174"/>
  <c r="K235"/>
  <c r="K55"/>
  <c r="K278"/>
  <c r="K67"/>
  <c r="K105"/>
  <c r="K57"/>
  <c r="K227"/>
  <c r="K116"/>
  <c r="K139"/>
  <c r="K252"/>
  <c r="K77"/>
  <c r="K34"/>
  <c r="K92"/>
  <c r="K198"/>
  <c r="K37"/>
  <c r="K186"/>
  <c r="K113"/>
  <c r="K199"/>
  <c r="K262"/>
  <c r="K250"/>
  <c r="K109"/>
  <c r="K45"/>
  <c r="K256"/>
  <c r="K56"/>
  <c r="K300"/>
  <c r="K138"/>
  <c r="K288"/>
  <c r="K97"/>
  <c r="K64"/>
  <c r="K230"/>
  <c r="K53"/>
  <c r="K148"/>
  <c r="K299"/>
  <c r="K197"/>
  <c r="K102"/>
  <c r="K225"/>
  <c r="K208"/>
  <c r="K11"/>
  <c r="K117"/>
  <c r="K47"/>
  <c r="K232"/>
  <c r="K43"/>
  <c r="K258"/>
  <c r="K180"/>
  <c r="K108"/>
  <c r="K150"/>
  <c r="K193"/>
  <c r="K263"/>
  <c r="K75"/>
  <c r="K183"/>
  <c r="K80"/>
  <c r="K122"/>
  <c r="K171"/>
  <c r="K267"/>
  <c r="K254"/>
  <c r="K275"/>
  <c r="K112"/>
  <c r="K134"/>
  <c r="K291"/>
  <c r="K74"/>
  <c r="K115"/>
  <c r="K10"/>
  <c r="K140"/>
  <c r="K83"/>
  <c r="K35"/>
  <c r="K96"/>
  <c r="K119"/>
  <c r="K68"/>
  <c r="K195"/>
  <c r="K106"/>
  <c r="K155"/>
  <c r="K167"/>
  <c r="K306"/>
  <c r="K121"/>
  <c r="K95"/>
  <c r="K303"/>
  <c r="K221"/>
  <c r="K255"/>
  <c r="K63"/>
  <c r="K271"/>
  <c r="K25"/>
  <c r="K133"/>
  <c r="K156"/>
  <c r="K91"/>
  <c r="K290"/>
  <c r="K285"/>
  <c r="K237"/>
  <c r="K41"/>
  <c r="K128"/>
  <c r="K305"/>
  <c r="K14"/>
  <c r="K188"/>
  <c r="K12"/>
  <c r="K302"/>
  <c r="K287"/>
  <c r="K205"/>
  <c r="K144"/>
  <c r="K85"/>
  <c r="K13"/>
  <c r="K244"/>
  <c r="K229"/>
  <c r="K143"/>
  <c r="K274"/>
  <c r="K190"/>
  <c r="K257"/>
  <c r="K42"/>
  <c r="K101"/>
  <c r="K207"/>
  <c r="K66"/>
  <c r="K107"/>
  <c r="K245"/>
  <c r="K15"/>
  <c r="K182"/>
  <c r="K38"/>
  <c r="K24"/>
  <c r="K72"/>
  <c r="K160"/>
  <c r="K248"/>
  <c r="K118"/>
  <c r="K251"/>
  <c r="K181"/>
  <c r="K203"/>
  <c r="K161"/>
  <c r="K65"/>
  <c r="K100"/>
  <c r="K206"/>
  <c r="K166"/>
  <c r="K39"/>
  <c r="K46"/>
  <c r="K301"/>
  <c r="K259"/>
  <c r="K231"/>
  <c r="K71"/>
  <c r="K124"/>
  <c r="K84"/>
  <c r="K145"/>
  <c r="K8"/>
  <c r="K27"/>
  <c r="K22"/>
  <c r="K99"/>
  <c r="K31"/>
  <c r="K228"/>
  <c r="K281"/>
  <c r="K211"/>
  <c r="K173"/>
  <c r="K30"/>
  <c r="K82"/>
  <c r="K123"/>
  <c r="K189"/>
  <c r="K62"/>
  <c r="K223"/>
  <c r="K200"/>
  <c r="K141"/>
  <c r="K7"/>
  <c r="K23"/>
  <c r="K73"/>
  <c r="K202"/>
  <c r="K292"/>
  <c r="K297"/>
  <c r="K293"/>
  <c r="K268"/>
  <c r="K88"/>
  <c r="K50"/>
  <c r="K40"/>
  <c r="K209"/>
  <c r="K120"/>
  <c r="K126"/>
  <c r="K60"/>
  <c r="K192"/>
  <c r="K216"/>
  <c r="K17"/>
  <c r="K98"/>
  <c r="K162"/>
  <c r="K136"/>
  <c r="K178"/>
  <c r="K44"/>
  <c r="K147"/>
  <c r="K139" i="2" l="1"/>
  <c r="K178" s="1"/>
  <c r="K138"/>
  <c r="K143"/>
  <c r="K182" s="1"/>
  <c r="K142"/>
  <c r="K181" s="1"/>
  <c r="J155"/>
  <c r="K135"/>
  <c r="K174" s="1"/>
  <c r="K175" s="1"/>
  <c r="K146"/>
  <c r="K148" s="1"/>
  <c r="K140" l="1"/>
  <c r="K177"/>
  <c r="K179" s="1"/>
  <c r="K189"/>
  <c r="K191" s="1"/>
  <c r="K136"/>
  <c r="K126"/>
  <c r="K160" s="1"/>
  <c r="K161" s="1"/>
  <c r="K183"/>
  <c r="K144"/>
  <c r="K127" l="1"/>
  <c r="K149"/>
  <c r="K153" s="1"/>
  <c r="K192"/>
  <c r="K194" s="1"/>
  <c r="K129"/>
  <c r="K130"/>
  <c r="K163"/>
  <c r="K164"/>
  <c r="L3" i="11" l="1"/>
  <c r="L84" s="1"/>
  <c r="K151" i="2"/>
  <c r="K152" s="1"/>
  <c r="L143" s="1"/>
  <c r="L182" s="1"/>
  <c r="K195"/>
  <c r="L110" i="11"/>
  <c r="L207"/>
  <c r="L90"/>
  <c r="L166"/>
  <c r="L56"/>
  <c r="L280"/>
  <c r="L119"/>
  <c r="L271"/>
  <c r="L126"/>
  <c r="L223"/>
  <c r="L19"/>
  <c r="L230"/>
  <c r="L69"/>
  <c r="L120"/>
  <c r="L229"/>
  <c r="L29"/>
  <c r="L60"/>
  <c r="L66"/>
  <c r="L274"/>
  <c r="L204"/>
  <c r="L226"/>
  <c r="L106"/>
  <c r="L184"/>
  <c r="L45"/>
  <c r="L273"/>
  <c r="L187"/>
  <c r="L24"/>
  <c r="L283"/>
  <c r="L54"/>
  <c r="L151"/>
  <c r="L31"/>
  <c r="L289"/>
  <c r="L282"/>
  <c r="L146"/>
  <c r="L254"/>
  <c r="L281"/>
  <c r="L301"/>
  <c r="L193"/>
  <c r="L74"/>
  <c r="L168"/>
  <c r="L21"/>
  <c r="L93"/>
  <c r="L130"/>
  <c r="L221"/>
  <c r="L277"/>
  <c r="L304"/>
  <c r="L234"/>
  <c r="L100"/>
  <c r="L196"/>
  <c r="L245"/>
  <c r="L212"/>
  <c r="L246"/>
  <c r="L85"/>
  <c r="L164"/>
  <c r="L136"/>
  <c r="L195"/>
  <c r="L147"/>
  <c r="L141"/>
  <c r="L297"/>
  <c r="L202"/>
  <c r="L298"/>
  <c r="L58"/>
  <c r="L300"/>
  <c r="L154"/>
  <c r="L173"/>
  <c r="L44"/>
  <c r="L156"/>
  <c r="L150"/>
  <c r="L89"/>
  <c r="L12"/>
  <c r="L105"/>
  <c r="L43"/>
  <c r="L9"/>
  <c r="L71"/>
  <c r="L288"/>
  <c r="L127"/>
  <c r="L284"/>
  <c r="L198"/>
  <c r="L88"/>
  <c r="L62"/>
  <c r="L159"/>
  <c r="L139"/>
  <c r="L116"/>
  <c r="L152"/>
  <c r="L262"/>
  <c r="L101"/>
  <c r="L180"/>
  <c r="L214"/>
  <c r="L104"/>
  <c r="L279"/>
  <c r="L208"/>
  <c r="L27"/>
  <c r="L114"/>
  <c r="L134"/>
  <c r="L231"/>
  <c r="L94"/>
  <c r="L191"/>
  <c r="L247"/>
  <c r="L225"/>
  <c r="L86"/>
  <c r="L183"/>
  <c r="L32"/>
  <c r="L17"/>
  <c r="L236"/>
  <c r="L36"/>
  <c r="L28"/>
  <c r="L34"/>
  <c r="L83"/>
  <c r="L73"/>
  <c r="L259"/>
  <c r="L107"/>
  <c r="L264"/>
  <c r="L103"/>
  <c r="L113"/>
  <c r="L115"/>
  <c r="L211"/>
  <c r="L292"/>
  <c r="L210"/>
  <c r="L138"/>
  <c r="L140"/>
  <c r="L253"/>
  <c r="L249"/>
  <c r="L291"/>
  <c r="L209"/>
  <c r="L165"/>
  <c r="L186"/>
  <c r="L256"/>
  <c r="L95"/>
  <c r="L272"/>
  <c r="L111"/>
  <c r="L224"/>
  <c r="L63"/>
  <c r="L37"/>
  <c r="L233"/>
  <c r="L82"/>
  <c r="L8"/>
  <c r="L293"/>
  <c r="L18"/>
  <c r="L201"/>
  <c r="L171"/>
  <c r="L176"/>
  <c r="L13"/>
  <c r="L40"/>
  <c r="L129"/>
  <c r="L20"/>
  <c r="L302"/>
  <c r="L39"/>
  <c r="L240"/>
  <c r="L79"/>
  <c r="L192"/>
  <c r="L270"/>
  <c r="L109"/>
  <c r="L188"/>
  <c r="L251"/>
  <c r="L91"/>
  <c r="L263"/>
  <c r="L112"/>
  <c r="L122"/>
  <c r="L59"/>
  <c r="L182"/>
  <c r="L72"/>
  <c r="L238"/>
  <c r="L77"/>
  <c r="L128"/>
  <c r="L305"/>
  <c r="L257"/>
  <c r="L118"/>
  <c r="L215"/>
  <c r="L242"/>
  <c r="L285"/>
  <c r="L174"/>
  <c r="L64"/>
  <c r="L46"/>
  <c r="L52"/>
  <c r="L14"/>
  <c r="L306"/>
  <c r="L296"/>
  <c r="L135"/>
  <c r="L25"/>
  <c r="L258"/>
  <c r="L177"/>
  <c r="L41"/>
  <c r="L70"/>
  <c r="L167"/>
  <c r="L15"/>
  <c r="L158"/>
  <c r="L189"/>
  <c r="L227"/>
  <c r="L145"/>
  <c r="L179"/>
  <c r="L250"/>
  <c r="L155"/>
  <c r="L162"/>
  <c r="L11"/>
  <c r="L269"/>
  <c r="L102"/>
  <c r="L199"/>
  <c r="L67"/>
  <c r="L172"/>
  <c r="L268"/>
  <c r="L47"/>
  <c r="L53"/>
  <c r="L75"/>
  <c r="L97"/>
  <c r="L144"/>
  <c r="L265"/>
  <c r="L6"/>
  <c r="L267"/>
  <c r="L123"/>
  <c r="L235"/>
  <c r="L153"/>
  <c r="L7"/>
  <c r="L222"/>
  <c r="L142"/>
  <c r="L181"/>
  <c r="L276"/>
  <c r="L266"/>
  <c r="L131"/>
  <c r="L55"/>
  <c r="L149"/>
  <c r="L219"/>
  <c r="L137"/>
  <c r="L78"/>
  <c r="L175"/>
  <c r="L30"/>
  <c r="L220"/>
  <c r="L248"/>
  <c r="L87"/>
  <c r="L239"/>
  <c r="L169"/>
  <c r="L92"/>
  <c r="L98"/>
  <c r="L108"/>
  <c r="L160"/>
  <c r="L216"/>
  <c r="L286"/>
  <c r="L125"/>
  <c r="L295"/>
  <c r="L197"/>
  <c r="L33"/>
  <c r="L206"/>
  <c r="L96"/>
  <c r="L194"/>
  <c r="L42"/>
  <c r="L132"/>
  <c r="L26"/>
  <c r="L143"/>
  <c r="L65"/>
  <c r="L290"/>
  <c r="L68"/>
  <c r="L49"/>
  <c r="L61"/>
  <c r="L121"/>
  <c r="L23"/>
  <c r="L148"/>
  <c r="L38"/>
  <c r="L22"/>
  <c r="L81"/>
  <c r="L237"/>
  <c r="L205"/>
  <c r="L157"/>
  <c r="L241"/>
  <c r="L275"/>
  <c r="L218"/>
  <c r="L178"/>
  <c r="L190"/>
  <c r="L80"/>
  <c r="L124"/>
  <c r="L243"/>
  <c r="L161"/>
  <c r="L299"/>
  <c r="L217"/>
  <c r="L244"/>
  <c r="L48"/>
  <c r="L99"/>
  <c r="L278"/>
  <c r="L117"/>
  <c r="L287"/>
  <c r="L185"/>
  <c r="L57"/>
  <c r="L294"/>
  <c r="L133"/>
  <c r="L303"/>
  <c r="L255"/>
  <c r="L213"/>
  <c r="L260"/>
  <c r="L163"/>
  <c r="L10"/>
  <c r="L16"/>
  <c r="L51"/>
  <c r="L35"/>
  <c r="L232"/>
  <c r="L203"/>
  <c r="L50"/>
  <c r="L261"/>
  <c r="L76"/>
  <c r="L170"/>
  <c r="L200"/>
  <c r="L228" l="1"/>
  <c r="L252"/>
  <c r="L138" i="2"/>
  <c r="L177" s="1"/>
  <c r="L146"/>
  <c r="L189" s="1"/>
  <c r="L191" s="1"/>
  <c r="L139"/>
  <c r="L178" s="1"/>
  <c r="K155"/>
  <c r="L142"/>
  <c r="L181" s="1"/>
  <c r="L183" s="1"/>
  <c r="L135"/>
  <c r="L136" s="1"/>
  <c r="L147"/>
  <c r="L190" s="1"/>
  <c r="L179" l="1"/>
  <c r="L144"/>
  <c r="L174"/>
  <c r="L175" s="1"/>
  <c r="L192" s="1"/>
  <c r="L194" s="1"/>
  <c r="C111" i="1" s="1"/>
  <c r="L140" i="2"/>
  <c r="L148"/>
  <c r="L126"/>
  <c r="L160" s="1"/>
  <c r="L161" s="1"/>
  <c r="L163" s="1"/>
  <c r="C110" i="1" s="1"/>
  <c r="L164" i="2" l="1"/>
  <c r="C116" i="1" s="1"/>
  <c r="L149" i="2"/>
  <c r="M3" i="11" s="1"/>
  <c r="L127" i="2"/>
  <c r="L129" s="1"/>
  <c r="C97" i="1" s="1"/>
  <c r="L195" i="2"/>
  <c r="C117" i="1" s="1"/>
  <c r="L153" i="2" l="1"/>
  <c r="C104" i="1" s="1"/>
  <c r="L151" i="2"/>
  <c r="L152" s="1"/>
  <c r="M146" s="1"/>
  <c r="L130"/>
  <c r="C103" i="1" s="1"/>
  <c r="M150" i="11"/>
  <c r="M220"/>
  <c r="M189"/>
  <c r="M138"/>
  <c r="M92"/>
  <c r="M127"/>
  <c r="M176"/>
  <c r="M79"/>
  <c r="M120"/>
  <c r="M195"/>
  <c r="M240"/>
  <c r="M170"/>
  <c r="M34"/>
  <c r="M9"/>
  <c r="M66"/>
  <c r="M294"/>
  <c r="M124"/>
  <c r="M94"/>
  <c r="M287"/>
  <c r="M151"/>
  <c r="M296"/>
  <c r="M198"/>
  <c r="M46"/>
  <c r="M245"/>
  <c r="M161"/>
  <c r="M116"/>
  <c r="M144"/>
  <c r="M31"/>
  <c r="M88"/>
  <c r="M295"/>
  <c r="M277"/>
  <c r="M301"/>
  <c r="M71"/>
  <c r="M112"/>
  <c r="M137"/>
  <c r="M238"/>
  <c r="M261"/>
  <c r="M55"/>
  <c r="M133"/>
  <c r="M102"/>
  <c r="M207"/>
  <c r="M206"/>
  <c r="M158"/>
  <c r="M139"/>
  <c r="M242"/>
  <c r="M276"/>
  <c r="M257"/>
  <c r="M243"/>
  <c r="M129"/>
  <c r="M264"/>
  <c r="M244"/>
  <c r="M285"/>
  <c r="M162"/>
  <c r="M15"/>
  <c r="M300"/>
  <c r="M218"/>
  <c r="M54"/>
  <c r="M97"/>
  <c r="M37"/>
  <c r="M288"/>
  <c r="M186"/>
  <c r="M304"/>
  <c r="M256"/>
  <c r="M214"/>
  <c r="M165"/>
  <c r="M106"/>
  <c r="M58"/>
  <c r="M117"/>
  <c r="M164"/>
  <c r="M281"/>
  <c r="M263"/>
  <c r="M83"/>
  <c r="M68"/>
  <c r="M13"/>
  <c r="M67"/>
  <c r="M265"/>
  <c r="M148"/>
  <c r="M29"/>
  <c r="M18"/>
  <c r="M109"/>
  <c r="M59"/>
  <c r="M87"/>
  <c r="M27"/>
  <c r="M262"/>
  <c r="M208"/>
  <c r="M50"/>
  <c r="M105"/>
  <c r="M51"/>
  <c r="M272"/>
  <c r="M224"/>
  <c r="M41"/>
  <c r="M123"/>
  <c r="M230"/>
  <c r="M229"/>
  <c r="M24"/>
  <c r="M239"/>
  <c r="M98"/>
  <c r="M213"/>
  <c r="M237"/>
  <c r="M147"/>
  <c r="M10"/>
  <c r="M299"/>
  <c r="M72"/>
  <c r="M167"/>
  <c r="M175"/>
  <c r="M289"/>
  <c r="M269"/>
  <c r="M247"/>
  <c r="M274"/>
  <c r="M188"/>
  <c r="M219"/>
  <c r="M22"/>
  <c r="M73"/>
  <c r="M284"/>
  <c r="M19"/>
  <c r="M103"/>
  <c r="M152"/>
  <c r="M126"/>
  <c r="M53"/>
  <c r="M93"/>
  <c r="M47"/>
  <c r="M290"/>
  <c r="M35"/>
  <c r="M100"/>
  <c r="M122"/>
  <c r="M80"/>
  <c r="M69"/>
  <c r="M279"/>
  <c r="M282"/>
  <c r="M30"/>
  <c r="M302"/>
  <c r="M194"/>
  <c r="M157"/>
  <c r="M132"/>
  <c r="M96"/>
  <c r="M201"/>
  <c r="M222"/>
  <c r="M197"/>
  <c r="M217"/>
  <c r="M278"/>
  <c r="M36"/>
  <c r="M149"/>
  <c r="M42"/>
  <c r="M44"/>
  <c r="M153"/>
  <c r="M246"/>
  <c r="M293"/>
  <c r="M91"/>
  <c r="M196"/>
  <c r="M142"/>
  <c r="M298"/>
  <c r="M173"/>
  <c r="M209"/>
  <c r="M297"/>
  <c r="M82"/>
  <c r="M143"/>
  <c r="M111"/>
  <c r="M160"/>
  <c r="M140"/>
  <c r="M108"/>
  <c r="M118"/>
  <c r="M280"/>
  <c r="M12"/>
  <c r="M199"/>
  <c r="M107"/>
  <c r="M192"/>
  <c r="M248"/>
  <c r="M259"/>
  <c r="M62"/>
  <c r="M159"/>
  <c r="M226"/>
  <c r="M135"/>
  <c r="M184"/>
  <c r="M76"/>
  <c r="M6"/>
  <c r="M81"/>
  <c r="M99"/>
  <c r="M234"/>
  <c r="M65"/>
  <c r="M20"/>
  <c r="M78"/>
  <c r="M223"/>
  <c r="M134"/>
  <c r="M43"/>
  <c r="M260"/>
  <c r="M14"/>
  <c r="M212"/>
  <c r="M23"/>
  <c r="M90"/>
  <c r="M70"/>
  <c r="M191"/>
  <c r="M225"/>
  <c r="M169"/>
  <c r="M179"/>
  <c r="M254"/>
  <c r="M155"/>
  <c r="M250"/>
  <c r="M292"/>
  <c r="M210"/>
  <c r="M85"/>
  <c r="M275"/>
  <c r="M8"/>
  <c r="M227"/>
  <c r="M291"/>
  <c r="M16"/>
  <c r="M174"/>
  <c r="M204"/>
  <c r="M205"/>
  <c r="M86"/>
  <c r="M255"/>
  <c r="M39"/>
  <c r="M232"/>
  <c r="M172"/>
  <c r="M130"/>
  <c r="M32"/>
  <c r="M89"/>
  <c r="M60"/>
  <c r="M163"/>
  <c r="M252"/>
  <c r="M26"/>
  <c r="M305"/>
  <c r="M166"/>
  <c r="M11"/>
  <c r="M303"/>
  <c r="M251"/>
  <c r="M121"/>
  <c r="M306"/>
  <c r="M183"/>
  <c r="M258"/>
  <c r="M216"/>
  <c r="M171"/>
  <c r="M40"/>
  <c r="M249"/>
  <c r="M286"/>
  <c r="M113"/>
  <c r="M95"/>
  <c r="M136"/>
  <c r="M211"/>
  <c r="M110"/>
  <c r="M271"/>
  <c r="M84"/>
  <c r="M63"/>
  <c r="M104"/>
  <c r="M273"/>
  <c r="M45"/>
  <c r="M177"/>
  <c r="M128"/>
  <c r="M28"/>
  <c r="M235"/>
  <c r="M56"/>
  <c r="M52"/>
  <c r="M178"/>
  <c r="M119"/>
  <c r="M168"/>
  <c r="M190"/>
  <c r="M228"/>
  <c r="M221"/>
  <c r="M146"/>
  <c r="M180"/>
  <c r="M203"/>
  <c r="M48"/>
  <c r="M283"/>
  <c r="M156"/>
  <c r="M38"/>
  <c r="M181"/>
  <c r="M185"/>
  <c r="M270"/>
  <c r="M200"/>
  <c r="M145"/>
  <c r="M187"/>
  <c r="M233"/>
  <c r="M241"/>
  <c r="M215"/>
  <c r="M266"/>
  <c r="M57"/>
  <c r="M268"/>
  <c r="M21"/>
  <c r="M7"/>
  <c r="M236"/>
  <c r="M253"/>
  <c r="M154"/>
  <c r="M101"/>
  <c r="M182"/>
  <c r="M74"/>
  <c r="M267"/>
  <c r="M64"/>
  <c r="M77"/>
  <c r="M33"/>
  <c r="M125"/>
  <c r="M202"/>
  <c r="M115"/>
  <c r="M61"/>
  <c r="M231"/>
  <c r="M75"/>
  <c r="M114"/>
  <c r="M17"/>
  <c r="M25"/>
  <c r="M131"/>
  <c r="M193"/>
  <c r="M49"/>
  <c r="M141"/>
  <c r="M135" i="2" l="1"/>
  <c r="M138"/>
  <c r="M177" s="1"/>
  <c r="M179" s="1"/>
  <c r="M147"/>
  <c r="M190" s="1"/>
  <c r="M139"/>
  <c r="M178" s="1"/>
  <c r="M142"/>
  <c r="M143"/>
  <c r="M182" s="1"/>
  <c r="L155"/>
  <c r="C98" i="1"/>
  <c r="M126" i="2"/>
  <c r="M174"/>
  <c r="M175" s="1"/>
  <c r="M136"/>
  <c r="M189"/>
  <c r="M148" l="1"/>
  <c r="M191"/>
  <c r="M144"/>
  <c r="M149" s="1"/>
  <c r="N3" i="11" s="1"/>
  <c r="M140" i="2"/>
  <c r="M181"/>
  <c r="M183" s="1"/>
  <c r="M127"/>
  <c r="M160"/>
  <c r="M161" s="1"/>
  <c r="M192" l="1"/>
  <c r="N195" i="11"/>
  <c r="N85"/>
  <c r="N262"/>
  <c r="N252"/>
  <c r="N154"/>
  <c r="N6"/>
  <c r="N290"/>
  <c r="N182"/>
  <c r="N43"/>
  <c r="N26"/>
  <c r="N278"/>
  <c r="N275"/>
  <c r="N114"/>
  <c r="N284"/>
  <c r="N135"/>
  <c r="N218"/>
  <c r="N32"/>
  <c r="N121"/>
  <c r="N72"/>
  <c r="N10"/>
  <c r="N133"/>
  <c r="N281"/>
  <c r="N239"/>
  <c r="N162"/>
  <c r="N136"/>
  <c r="N258"/>
  <c r="N44"/>
  <c r="N232"/>
  <c r="N150"/>
  <c r="N288"/>
  <c r="N206"/>
  <c r="N226"/>
  <c r="N22"/>
  <c r="N37"/>
  <c r="N69"/>
  <c r="N71"/>
  <c r="N20"/>
  <c r="N28"/>
  <c r="N178"/>
  <c r="N174"/>
  <c r="N201"/>
  <c r="N191"/>
  <c r="N15"/>
  <c r="N213"/>
  <c r="N251"/>
  <c r="N90"/>
  <c r="N169"/>
  <c r="N203"/>
  <c r="N93"/>
  <c r="N170"/>
  <c r="N179"/>
  <c r="N141"/>
  <c r="N160"/>
  <c r="N40"/>
  <c r="N293"/>
  <c r="N132"/>
  <c r="N73"/>
  <c r="N223"/>
  <c r="N14"/>
  <c r="N119"/>
  <c r="N276"/>
  <c r="N149"/>
  <c r="N95"/>
  <c r="N289"/>
  <c r="N291"/>
  <c r="N130"/>
  <c r="N300"/>
  <c r="N9"/>
  <c r="N259"/>
  <c r="N98"/>
  <c r="N177"/>
  <c r="N205"/>
  <c r="N99"/>
  <c r="N196"/>
  <c r="N186"/>
  <c r="N134"/>
  <c r="N155"/>
  <c r="N124"/>
  <c r="N220"/>
  <c r="N126"/>
  <c r="N87"/>
  <c r="N57"/>
  <c r="N94"/>
  <c r="N16"/>
  <c r="N131"/>
  <c r="N187"/>
  <c r="N77"/>
  <c r="N88"/>
  <c r="N103"/>
  <c r="N173"/>
  <c r="N54"/>
  <c r="N243"/>
  <c r="N82"/>
  <c r="N161"/>
  <c r="N296"/>
  <c r="N214"/>
  <c r="N118"/>
  <c r="N199"/>
  <c r="N31"/>
  <c r="N242"/>
  <c r="N140"/>
  <c r="N263"/>
  <c r="N193"/>
  <c r="N101"/>
  <c r="N49"/>
  <c r="N55"/>
  <c r="N246"/>
  <c r="N302"/>
  <c r="N216"/>
  <c r="N27"/>
  <c r="N221"/>
  <c r="N168"/>
  <c r="N238"/>
  <c r="N167"/>
  <c r="N210"/>
  <c r="N266"/>
  <c r="N60"/>
  <c r="N234"/>
  <c r="N261"/>
  <c r="N100"/>
  <c r="N112"/>
  <c r="N224"/>
  <c r="N142"/>
  <c r="N229"/>
  <c r="N68"/>
  <c r="N181"/>
  <c r="N265"/>
  <c r="N299"/>
  <c r="N138"/>
  <c r="N267"/>
  <c r="N106"/>
  <c r="N185"/>
  <c r="N241"/>
  <c r="N67"/>
  <c r="N164"/>
  <c r="N176"/>
  <c r="N19"/>
  <c r="N96"/>
  <c r="N209"/>
  <c r="N25"/>
  <c r="N35"/>
  <c r="N128"/>
  <c r="N279"/>
  <c r="N237"/>
  <c r="N76"/>
  <c r="N228"/>
  <c r="N38"/>
  <c r="N151"/>
  <c r="N81"/>
  <c r="N51"/>
  <c r="N148"/>
  <c r="N231"/>
  <c r="N65"/>
  <c r="N274"/>
  <c r="N75"/>
  <c r="N172"/>
  <c r="N144"/>
  <c r="N145"/>
  <c r="N21"/>
  <c r="N42"/>
  <c r="N295"/>
  <c r="N64"/>
  <c r="N247"/>
  <c r="N253"/>
  <c r="N92"/>
  <c r="N33"/>
  <c r="N39"/>
  <c r="N7"/>
  <c r="N52"/>
  <c r="N255"/>
  <c r="N70"/>
  <c r="N306"/>
  <c r="N194"/>
  <c r="N8"/>
  <c r="N146"/>
  <c r="N270"/>
  <c r="N297"/>
  <c r="N211"/>
  <c r="N298"/>
  <c r="N280"/>
  <c r="N175"/>
  <c r="N248"/>
  <c r="N86"/>
  <c r="N17"/>
  <c r="N23"/>
  <c r="N11"/>
  <c r="N304"/>
  <c r="N222"/>
  <c r="N46"/>
  <c r="N244"/>
  <c r="N202"/>
  <c r="N127"/>
  <c r="N305"/>
  <c r="N152"/>
  <c r="N217"/>
  <c r="N47"/>
  <c r="N254"/>
  <c r="N189"/>
  <c r="N123"/>
  <c r="N245"/>
  <c r="N84"/>
  <c r="N301"/>
  <c r="N89"/>
  <c r="N45"/>
  <c r="N30"/>
  <c r="N269"/>
  <c r="N108"/>
  <c r="N102"/>
  <c r="N62"/>
  <c r="N272"/>
  <c r="N219"/>
  <c r="N109"/>
  <c r="N171"/>
  <c r="N61"/>
  <c r="N236"/>
  <c r="N165"/>
  <c r="N257"/>
  <c r="N50"/>
  <c r="N110"/>
  <c r="N18"/>
  <c r="N285"/>
  <c r="N120"/>
  <c r="N29"/>
  <c r="N107"/>
  <c r="N204"/>
  <c r="N183"/>
  <c r="N163"/>
  <c r="N53"/>
  <c r="N230"/>
  <c r="N264"/>
  <c r="N240"/>
  <c r="N58"/>
  <c r="N303"/>
  <c r="N80"/>
  <c r="N147"/>
  <c r="N294"/>
  <c r="N129"/>
  <c r="N287"/>
  <c r="N137"/>
  <c r="N48"/>
  <c r="N286"/>
  <c r="N215"/>
  <c r="N271"/>
  <c r="N184"/>
  <c r="N249"/>
  <c r="N105"/>
  <c r="N207"/>
  <c r="N198"/>
  <c r="N166"/>
  <c r="N59"/>
  <c r="N156"/>
  <c r="N158"/>
  <c r="N200"/>
  <c r="N256"/>
  <c r="N283"/>
  <c r="N122"/>
  <c r="N292"/>
  <c r="N235"/>
  <c r="N74"/>
  <c r="N125"/>
  <c r="N260"/>
  <c r="N115"/>
  <c r="N212"/>
  <c r="N192"/>
  <c r="N111"/>
  <c r="N277"/>
  <c r="N116"/>
  <c r="N41"/>
  <c r="N63"/>
  <c r="N273"/>
  <c r="N153"/>
  <c r="N157"/>
  <c r="N233"/>
  <c r="N24"/>
  <c r="N79"/>
  <c r="N12"/>
  <c r="N91"/>
  <c r="N188"/>
  <c r="N113"/>
  <c r="N282"/>
  <c r="N268"/>
  <c r="N197"/>
  <c r="N139"/>
  <c r="N227"/>
  <c r="N66"/>
  <c r="N117"/>
  <c r="N208"/>
  <c r="N36"/>
  <c r="N13"/>
  <c r="N143"/>
  <c r="N34"/>
  <c r="N225"/>
  <c r="N104"/>
  <c r="N159"/>
  <c r="N190"/>
  <c r="N97"/>
  <c r="N83"/>
  <c r="N180"/>
  <c r="N250"/>
  <c r="N78"/>
  <c r="N56"/>
  <c r="M164" i="2"/>
  <c r="M163"/>
  <c r="M195"/>
  <c r="M194"/>
  <c r="M151"/>
  <c r="M153"/>
  <c r="M129"/>
  <c r="M130"/>
  <c r="C80" i="1" l="1"/>
  <c r="M152" i="2"/>
  <c r="N139" l="1"/>
  <c r="N178" s="1"/>
  <c r="N143"/>
  <c r="N182" s="1"/>
  <c r="N147"/>
  <c r="N190" s="1"/>
  <c r="N146"/>
  <c r="N138"/>
  <c r="N135"/>
  <c r="N142"/>
  <c r="M155"/>
  <c r="N140" l="1"/>
  <c r="N177"/>
  <c r="N179" s="1"/>
  <c r="N136"/>
  <c r="N174"/>
  <c r="N175" s="1"/>
  <c r="N126"/>
  <c r="N144"/>
  <c r="N181"/>
  <c r="N183" s="1"/>
  <c r="N148"/>
  <c r="N189"/>
  <c r="N191" s="1"/>
  <c r="N127" l="1"/>
  <c r="N160"/>
  <c r="N161" s="1"/>
  <c r="N149"/>
  <c r="O3" i="11" s="1"/>
  <c r="N192" i="2"/>
  <c r="N164" l="1"/>
  <c r="N163"/>
  <c r="N153"/>
  <c r="N151"/>
  <c r="N152" s="1"/>
  <c r="N195"/>
  <c r="N194"/>
  <c r="N129"/>
  <c r="N130"/>
  <c r="O147" l="1"/>
  <c r="O190" s="1"/>
  <c r="O146"/>
  <c r="O135"/>
  <c r="O143"/>
  <c r="O182" s="1"/>
  <c r="O138"/>
  <c r="O139"/>
  <c r="O178" s="1"/>
  <c r="O142"/>
  <c r="N155"/>
  <c r="O140" l="1"/>
  <c r="O177"/>
  <c r="O179" s="1"/>
  <c r="O148"/>
  <c r="O189"/>
  <c r="O191" s="1"/>
  <c r="O181"/>
  <c r="O183" s="1"/>
  <c r="O144"/>
  <c r="O136"/>
  <c r="O126"/>
  <c r="O174"/>
  <c r="O175" s="1"/>
  <c r="O160" l="1"/>
  <c r="O161" s="1"/>
  <c r="O127"/>
  <c r="O149"/>
  <c r="P3" i="11" s="1"/>
  <c r="O192" i="2"/>
  <c r="O130" l="1"/>
  <c r="O129"/>
  <c r="O151"/>
  <c r="O152" s="1"/>
  <c r="O153"/>
  <c r="O195"/>
  <c r="O194"/>
  <c r="O163"/>
  <c r="O164"/>
  <c r="P147" l="1"/>
  <c r="P190" s="1"/>
  <c r="P146"/>
  <c r="P139"/>
  <c r="P178" s="1"/>
  <c r="P142"/>
  <c r="P135"/>
  <c r="P138"/>
  <c r="P143"/>
  <c r="P182" s="1"/>
  <c r="O155"/>
  <c r="P174" l="1"/>
  <c r="P175" s="1"/>
  <c r="P136"/>
  <c r="P126"/>
  <c r="P140"/>
  <c r="P177"/>
  <c r="P179" s="1"/>
  <c r="P189"/>
  <c r="P191" s="1"/>
  <c r="P148"/>
  <c r="P144"/>
  <c r="P181"/>
  <c r="P183" s="1"/>
  <c r="P149" l="1"/>
  <c r="P153" s="1"/>
  <c r="P127"/>
  <c r="P160"/>
  <c r="P161" s="1"/>
  <c r="P192"/>
  <c r="P151" l="1"/>
  <c r="P152" s="1"/>
  <c r="Q138" s="1"/>
  <c r="Q3" i="11"/>
  <c r="P195" i="2"/>
  <c r="P194"/>
  <c r="P130"/>
  <c r="P129"/>
  <c r="P163"/>
  <c r="P164"/>
  <c r="P155" l="1"/>
  <c r="Q146"/>
  <c r="Q189" s="1"/>
  <c r="Q135"/>
  <c r="Q174" s="1"/>
  <c r="Q175" s="1"/>
  <c r="Q139"/>
  <c r="Q178" s="1"/>
  <c r="Q142"/>
  <c r="Q181" s="1"/>
  <c r="Q147"/>
  <c r="Q190" s="1"/>
  <c r="Q143"/>
  <c r="Q182" s="1"/>
  <c r="Q177"/>
  <c r="Q126" l="1"/>
  <c r="Q160" s="1"/>
  <c r="Q161" s="1"/>
  <c r="Q191"/>
  <c r="Q179"/>
  <c r="Q136"/>
  <c r="Q140"/>
  <c r="Q148"/>
  <c r="Q144"/>
  <c r="Q183"/>
  <c r="Q127" l="1"/>
  <c r="Q130" s="1"/>
  <c r="Q192"/>
  <c r="Q194" s="1"/>
  <c r="Q149"/>
  <c r="Q151" s="1"/>
  <c r="Q152" s="1"/>
  <c r="R143" s="1"/>
  <c r="R182" s="1"/>
  <c r="Q164"/>
  <c r="Q163"/>
  <c r="Q129" l="1"/>
  <c r="Q195"/>
  <c r="Q153"/>
  <c r="R3" i="11"/>
  <c r="R147" i="2"/>
  <c r="R190" s="1"/>
  <c r="R135"/>
  <c r="R136" s="1"/>
  <c r="R142"/>
  <c r="R181" s="1"/>
  <c r="R183" s="1"/>
  <c r="R146"/>
  <c r="R189" s="1"/>
  <c r="R139"/>
  <c r="R178" s="1"/>
  <c r="Q155"/>
  <c r="R138"/>
  <c r="R191" l="1"/>
  <c r="R148"/>
  <c r="R140"/>
  <c r="R126"/>
  <c r="R160" s="1"/>
  <c r="R161" s="1"/>
  <c r="R144"/>
  <c r="R174"/>
  <c r="R175" s="1"/>
  <c r="R177"/>
  <c r="R179" s="1"/>
  <c r="R127"/>
  <c r="R149" l="1"/>
  <c r="S3" i="11" s="1"/>
  <c r="R192" i="2"/>
  <c r="R195" s="1"/>
  <c r="R164"/>
  <c r="R163"/>
  <c r="R151"/>
  <c r="R152" s="1"/>
  <c r="R129"/>
  <c r="R130"/>
  <c r="R153" l="1"/>
  <c r="R194"/>
  <c r="S147"/>
  <c r="S190" s="1"/>
  <c r="S146"/>
  <c r="S143"/>
  <c r="S182" s="1"/>
  <c r="S142"/>
  <c r="S139"/>
  <c r="S178" s="1"/>
  <c r="S138"/>
  <c r="S135"/>
  <c r="R155"/>
  <c r="S140" l="1"/>
  <c r="S177"/>
  <c r="S179" s="1"/>
  <c r="S148"/>
  <c r="S189"/>
  <c r="S191" s="1"/>
  <c r="S136"/>
  <c r="S174"/>
  <c r="S175" s="1"/>
  <c r="S126"/>
  <c r="S144"/>
  <c r="S181"/>
  <c r="S183" s="1"/>
  <c r="S192" l="1"/>
  <c r="S194" s="1"/>
  <c r="S127"/>
  <c r="S160"/>
  <c r="S161" s="1"/>
  <c r="S149"/>
  <c r="T3" i="11" s="1"/>
  <c r="S195" i="2" l="1"/>
  <c r="S129"/>
  <c r="S130"/>
  <c r="S163"/>
  <c r="S164"/>
  <c r="S151"/>
  <c r="S152" s="1"/>
  <c r="S153"/>
  <c r="T147" l="1"/>
  <c r="T190" s="1"/>
  <c r="T138"/>
  <c r="T142"/>
  <c r="T135"/>
  <c r="T139"/>
  <c r="T178" s="1"/>
  <c r="T143"/>
  <c r="T182" s="1"/>
  <c r="T146"/>
  <c r="S155"/>
  <c r="T140" l="1"/>
  <c r="T177"/>
  <c r="T179" s="1"/>
  <c r="T148"/>
  <c r="T189"/>
  <c r="T191" s="1"/>
  <c r="T144"/>
  <c r="T181"/>
  <c r="T183" s="1"/>
  <c r="T126"/>
  <c r="T174"/>
  <c r="T175" s="1"/>
  <c r="T136"/>
  <c r="T127" l="1"/>
  <c r="T160"/>
  <c r="T161" s="1"/>
  <c r="T192"/>
  <c r="T149"/>
  <c r="U3" i="11" s="1"/>
  <c r="T163" i="2" l="1"/>
  <c r="T164"/>
  <c r="T194"/>
  <c r="T195"/>
  <c r="T153"/>
  <c r="T151"/>
  <c r="T152" s="1"/>
  <c r="T130"/>
  <c r="T129"/>
  <c r="U147" l="1"/>
  <c r="U190" s="1"/>
  <c r="U142"/>
  <c r="U146"/>
  <c r="U135"/>
  <c r="U139"/>
  <c r="U178" s="1"/>
  <c r="U143"/>
  <c r="U182" s="1"/>
  <c r="U138"/>
  <c r="T155"/>
  <c r="U181" l="1"/>
  <c r="U183" s="1"/>
  <c r="U144"/>
  <c r="U140"/>
  <c r="U177"/>
  <c r="U179" s="1"/>
  <c r="U148"/>
  <c r="U189"/>
  <c r="U191" s="1"/>
  <c r="U126"/>
  <c r="U174"/>
  <c r="U175" s="1"/>
  <c r="U136"/>
  <c r="U127" l="1"/>
  <c r="U160"/>
  <c r="U161" s="1"/>
  <c r="U192"/>
  <c r="U149"/>
  <c r="V3" i="11" s="1"/>
  <c r="U164" i="2" l="1"/>
  <c r="U163"/>
  <c r="U194"/>
  <c r="U195"/>
  <c r="U153"/>
  <c r="U151"/>
  <c r="U152" s="1"/>
  <c r="U129"/>
  <c r="U130"/>
  <c r="V147" l="1"/>
  <c r="V190" s="1"/>
  <c r="V138"/>
  <c r="V139"/>
  <c r="V178" s="1"/>
  <c r="V146"/>
  <c r="V135"/>
  <c r="V142"/>
  <c r="V143"/>
  <c r="V182" s="1"/>
  <c r="U155"/>
  <c r="V126" l="1"/>
  <c r="V136"/>
  <c r="V174"/>
  <c r="V175" s="1"/>
  <c r="V140"/>
  <c r="V177"/>
  <c r="V179" s="1"/>
  <c r="V144"/>
  <c r="V181"/>
  <c r="V183" s="1"/>
  <c r="V148"/>
  <c r="V189"/>
  <c r="V191" s="1"/>
  <c r="V127" l="1"/>
  <c r="V160"/>
  <c r="V161" s="1"/>
  <c r="V149"/>
  <c r="W3" i="11" s="1"/>
  <c r="V192" i="2"/>
  <c r="V163" l="1"/>
  <c r="V164"/>
  <c r="V151"/>
  <c r="V152" s="1"/>
  <c r="V153"/>
  <c r="V194"/>
  <c r="V195"/>
  <c r="V130"/>
  <c r="V129"/>
  <c r="W139" l="1"/>
  <c r="W178" s="1"/>
  <c r="W147"/>
  <c r="W190" s="1"/>
  <c r="W142"/>
  <c r="W138"/>
  <c r="W143"/>
  <c r="W182" s="1"/>
  <c r="W135"/>
  <c r="W146"/>
  <c r="V155"/>
  <c r="W174" l="1"/>
  <c r="W175" s="1"/>
  <c r="W136"/>
  <c r="W126"/>
  <c r="W148"/>
  <c r="W189"/>
  <c r="W191" s="1"/>
  <c r="W144"/>
  <c r="W181"/>
  <c r="W183" s="1"/>
  <c r="W140"/>
  <c r="W177"/>
  <c r="W179" s="1"/>
  <c r="W127" l="1"/>
  <c r="W160"/>
  <c r="W161" s="1"/>
  <c r="W149"/>
  <c r="X3" i="11" s="1"/>
  <c r="W192" i="2"/>
  <c r="W163" l="1"/>
  <c r="W164"/>
  <c r="W153"/>
  <c r="W151"/>
  <c r="W152" s="1"/>
  <c r="W195"/>
  <c r="W194"/>
  <c r="W129"/>
  <c r="W130"/>
  <c r="X138" l="1"/>
  <c r="X139"/>
  <c r="X178" s="1"/>
  <c r="X142"/>
  <c r="X143"/>
  <c r="X182" s="1"/>
  <c r="X146"/>
  <c r="X147"/>
  <c r="X190" s="1"/>
  <c r="X135"/>
  <c r="W155"/>
  <c r="X148" l="1"/>
  <c r="X189"/>
  <c r="X191" s="1"/>
  <c r="X140"/>
  <c r="X177"/>
  <c r="X179" s="1"/>
  <c r="X126"/>
  <c r="X174"/>
  <c r="X175" s="1"/>
  <c r="X136"/>
  <c r="X181"/>
  <c r="X183" s="1"/>
  <c r="X144"/>
  <c r="X192" l="1"/>
  <c r="X194" s="1"/>
  <c r="X149"/>
  <c r="X127"/>
  <c r="X160"/>
  <c r="X161" s="1"/>
  <c r="X151" l="1"/>
  <c r="X152" s="1"/>
  <c r="Y138" s="1"/>
  <c r="Y3" i="11"/>
  <c r="X153" i="2"/>
  <c r="X195"/>
  <c r="X129"/>
  <c r="X130"/>
  <c r="X163"/>
  <c r="X164"/>
  <c r="Y135" l="1"/>
  <c r="Y126" s="1"/>
  <c r="Y146"/>
  <c r="Y189" s="1"/>
  <c r="Y147"/>
  <c r="Y190" s="1"/>
  <c r="Y143"/>
  <c r="Y182" s="1"/>
  <c r="Y139"/>
  <c r="Y178" s="1"/>
  <c r="Y142"/>
  <c r="Y181" s="1"/>
  <c r="X155"/>
  <c r="Y177"/>
  <c r="Y136" l="1"/>
  <c r="Y140"/>
  <c r="Y179"/>
  <c r="Y174"/>
  <c r="Y175" s="1"/>
  <c r="Y183"/>
  <c r="Y191"/>
  <c r="Y144"/>
  <c r="Y148"/>
  <c r="Y160"/>
  <c r="Y161" s="1"/>
  <c r="Y127"/>
  <c r="Y192" l="1"/>
  <c r="Y194" s="1"/>
  <c r="Y149"/>
  <c r="Z3" i="11" s="1"/>
  <c r="Y129" i="2"/>
  <c r="Y130"/>
  <c r="Y195"/>
  <c r="Y164"/>
  <c r="Y163"/>
  <c r="Y153" l="1"/>
  <c r="Y151"/>
  <c r="Y152" s="1"/>
  <c r="Z147" s="1"/>
  <c r="Z190" s="1"/>
  <c r="Y155" l="1"/>
  <c r="Z139"/>
  <c r="Z178" s="1"/>
  <c r="Z138"/>
  <c r="Z177" s="1"/>
  <c r="Z142"/>
  <c r="Z146"/>
  <c r="Z189" s="1"/>
  <c r="Z191" s="1"/>
  <c r="Z143"/>
  <c r="Z182" s="1"/>
  <c r="Z135"/>
  <c r="Z126" s="1"/>
  <c r="Z148" l="1"/>
  <c r="Z174"/>
  <c r="Z175" s="1"/>
  <c r="Z144"/>
  <c r="Z181"/>
  <c r="Z183" s="1"/>
  <c r="Z179"/>
  <c r="Z136"/>
  <c r="Z140"/>
  <c r="Z127"/>
  <c r="Z160"/>
  <c r="Z161" s="1"/>
  <c r="Z192" l="1"/>
  <c r="Z149"/>
  <c r="AA3" i="11" s="1"/>
  <c r="Z163" i="2"/>
  <c r="Z164"/>
  <c r="Z195"/>
  <c r="Z194"/>
  <c r="Z130"/>
  <c r="Z129"/>
  <c r="Z153" l="1"/>
  <c r="Z151"/>
  <c r="Z152" s="1"/>
  <c r="AA143" s="1"/>
  <c r="AA182" s="1"/>
  <c r="Z155" l="1"/>
  <c r="AA139"/>
  <c r="AA178" s="1"/>
  <c r="AA146"/>
  <c r="AA189" s="1"/>
  <c r="AA138"/>
  <c r="AA177" s="1"/>
  <c r="AA142"/>
  <c r="AA144" s="1"/>
  <c r="AA147"/>
  <c r="AA190" s="1"/>
  <c r="AA135"/>
  <c r="AA126" s="1"/>
  <c r="AA174" l="1"/>
  <c r="AA175" s="1"/>
  <c r="AA136"/>
  <c r="AA181"/>
  <c r="AA183" s="1"/>
  <c r="AA179"/>
  <c r="AA148"/>
  <c r="AA191"/>
  <c r="AA140"/>
  <c r="AA127"/>
  <c r="AA160"/>
  <c r="AA161" s="1"/>
  <c r="AA192" l="1"/>
  <c r="AA195" s="1"/>
  <c r="AA149"/>
  <c r="AA151" s="1"/>
  <c r="AA152" s="1"/>
  <c r="AB142" s="1"/>
  <c r="AA129"/>
  <c r="AA130"/>
  <c r="AA163"/>
  <c r="AA164"/>
  <c r="AA194"/>
  <c r="AA153" l="1"/>
  <c r="AB3" i="11"/>
  <c r="AA155" i="2"/>
  <c r="AB138"/>
  <c r="AB177" s="1"/>
  <c r="AB143"/>
  <c r="AB182" s="1"/>
  <c r="AB147"/>
  <c r="AB190" s="1"/>
  <c r="AB146"/>
  <c r="AB189" s="1"/>
  <c r="AB139"/>
  <c r="AB178" s="1"/>
  <c r="AB135"/>
  <c r="AB174" s="1"/>
  <c r="AB175" s="1"/>
  <c r="AB181"/>
  <c r="AB148" l="1"/>
  <c r="AB179"/>
  <c r="AB140"/>
  <c r="AB144"/>
  <c r="AB191"/>
  <c r="AB183"/>
  <c r="AB136"/>
  <c r="AB126"/>
  <c r="AB160" s="1"/>
  <c r="AB161" s="1"/>
  <c r="AB149" l="1"/>
  <c r="AC3" i="11" s="1"/>
  <c r="AB192" i="2"/>
  <c r="AB194" s="1"/>
  <c r="AB127"/>
  <c r="AB130" s="1"/>
  <c r="AB163"/>
  <c r="AB164"/>
  <c r="AB195" l="1"/>
  <c r="AB153"/>
  <c r="AB151"/>
  <c r="AB152" s="1"/>
  <c r="AC146" s="1"/>
  <c r="AB129"/>
  <c r="AB155" l="1"/>
  <c r="AC139"/>
  <c r="AC178" s="1"/>
  <c r="AC135"/>
  <c r="AC136" s="1"/>
  <c r="AC143"/>
  <c r="AC182" s="1"/>
  <c r="AC142"/>
  <c r="AC181" s="1"/>
  <c r="AC147"/>
  <c r="AC190" s="1"/>
  <c r="AC138"/>
  <c r="AC177" s="1"/>
  <c r="AC189"/>
  <c r="AC148" l="1"/>
  <c r="AC183"/>
  <c r="AC174"/>
  <c r="AC175" s="1"/>
  <c r="AC144"/>
  <c r="AC179"/>
  <c r="AC140"/>
  <c r="AC126"/>
  <c r="AC127" s="1"/>
  <c r="AC191"/>
  <c r="AC160" l="1"/>
  <c r="AC161" s="1"/>
  <c r="AC192"/>
  <c r="AC195" s="1"/>
  <c r="AC149"/>
  <c r="AC153" s="1"/>
  <c r="AC130"/>
  <c r="AC129"/>
  <c r="AC164"/>
  <c r="AC163"/>
  <c r="AC194" l="1"/>
  <c r="AC151"/>
  <c r="AC152" s="1"/>
  <c r="AD147" s="1"/>
  <c r="AD190" s="1"/>
  <c r="AD3" i="11"/>
  <c r="AD139" i="2" l="1"/>
  <c r="AD178" s="1"/>
  <c r="AD135"/>
  <c r="AD126" s="1"/>
  <c r="AD127" s="1"/>
  <c r="AC155"/>
  <c r="AD143"/>
  <c r="AD182" s="1"/>
  <c r="AD142"/>
  <c r="AD181" s="1"/>
  <c r="AD138"/>
  <c r="AD177" s="1"/>
  <c r="AD146"/>
  <c r="AD189" s="1"/>
  <c r="AD191" s="1"/>
  <c r="AD183" l="1"/>
  <c r="AD179"/>
  <c r="AD148"/>
  <c r="AD174"/>
  <c r="AD175" s="1"/>
  <c r="AD136"/>
  <c r="AD160"/>
  <c r="AD161" s="1"/>
  <c r="AD164" s="1"/>
  <c r="AD144"/>
  <c r="AD140"/>
  <c r="AD130"/>
  <c r="AD129"/>
  <c r="AD192" l="1"/>
  <c r="AD194" s="1"/>
  <c r="AD163"/>
  <c r="AD149"/>
  <c r="AE3" i="11" s="1"/>
  <c r="AD195" i="2"/>
  <c r="AD153" l="1"/>
  <c r="AD151"/>
  <c r="AD152" s="1"/>
  <c r="AE142" s="1"/>
  <c r="AE181" s="1"/>
  <c r="AE147" l="1"/>
  <c r="AE190" s="1"/>
  <c r="AE138"/>
  <c r="AE177" s="1"/>
  <c r="AE179" s="1"/>
  <c r="AD155"/>
  <c r="AE143"/>
  <c r="AE182" s="1"/>
  <c r="AE183" s="1"/>
  <c r="AE135"/>
  <c r="AE126" s="1"/>
  <c r="AE127" s="1"/>
  <c r="AE146"/>
  <c r="AE189" s="1"/>
  <c r="AE139"/>
  <c r="AE178" s="1"/>
  <c r="AE174"/>
  <c r="AE175" s="1"/>
  <c r="AE136" l="1"/>
  <c r="AE148"/>
  <c r="AE191"/>
  <c r="AE192" s="1"/>
  <c r="AE194" s="1"/>
  <c r="AE160"/>
  <c r="AE161" s="1"/>
  <c r="AE164" s="1"/>
  <c r="AE144"/>
  <c r="AE140"/>
  <c r="AE130"/>
  <c r="AE129"/>
  <c r="AE163" l="1"/>
  <c r="AE195"/>
  <c r="AE149"/>
  <c r="AF3" i="11" s="1"/>
  <c r="AE151" i="2" l="1"/>
  <c r="AE152" s="1"/>
  <c r="AF147" s="1"/>
  <c r="AF190" s="1"/>
  <c r="AE153"/>
  <c r="AF139" l="1"/>
  <c r="AF178" s="1"/>
  <c r="AF146"/>
  <c r="AF148" s="1"/>
  <c r="AF143"/>
  <c r="AF182" s="1"/>
  <c r="AE155"/>
  <c r="AF135"/>
  <c r="AF126" s="1"/>
  <c r="AF127" s="1"/>
  <c r="AF142"/>
  <c r="AF144" s="1"/>
  <c r="AF138"/>
  <c r="AF177" s="1"/>
  <c r="AF189" l="1"/>
  <c r="AF191" s="1"/>
  <c r="AF179"/>
  <c r="AF136"/>
  <c r="AF160"/>
  <c r="AF161" s="1"/>
  <c r="AF164" s="1"/>
  <c r="C119" i="1" s="1"/>
  <c r="AF140" i="2"/>
  <c r="AF181"/>
  <c r="AF183" s="1"/>
  <c r="AF174"/>
  <c r="AF175" s="1"/>
  <c r="AF163"/>
  <c r="C113" i="1" s="1"/>
  <c r="AF129" i="2"/>
  <c r="C100" i="1" s="1"/>
  <c r="AF130" i="2"/>
  <c r="C106" i="1" s="1"/>
  <c r="AF149" i="2" l="1"/>
  <c r="AF153" s="1"/>
  <c r="C107" i="1" s="1"/>
  <c r="AG3" i="11"/>
  <c r="AF192" i="2"/>
  <c r="AF194" s="1"/>
  <c r="C114" i="1" s="1"/>
  <c r="AF151" i="2"/>
  <c r="AF152" s="1"/>
  <c r="AF195" l="1"/>
  <c r="C120" i="1" s="1"/>
  <c r="C101"/>
  <c r="AG138" i="2"/>
  <c r="AG142"/>
  <c r="AG147"/>
  <c r="AG190" s="1"/>
  <c r="AG143"/>
  <c r="AG182" s="1"/>
  <c r="AG139"/>
  <c r="AG178" s="1"/>
  <c r="AG146"/>
  <c r="AG135"/>
  <c r="AF155"/>
  <c r="AG144" l="1"/>
  <c r="AG181"/>
  <c r="AG183" s="1"/>
  <c r="AG148"/>
  <c r="AG189"/>
  <c r="AG191" s="1"/>
  <c r="AG136"/>
  <c r="AG126"/>
  <c r="AG174"/>
  <c r="AG175" s="1"/>
  <c r="AG140"/>
  <c r="AG177"/>
  <c r="AG179" s="1"/>
  <c r="AG127" l="1"/>
  <c r="AG160"/>
  <c r="AG161" s="1"/>
  <c r="AG192"/>
  <c r="AG149"/>
  <c r="AG164" l="1"/>
  <c r="AG163"/>
  <c r="AG194"/>
  <c r="AG195"/>
  <c r="AG153"/>
  <c r="AG151"/>
  <c r="AG152" s="1"/>
  <c r="AG130"/>
  <c r="AG129"/>
  <c r="AH138" l="1"/>
  <c r="AH139"/>
  <c r="AH178" s="1"/>
  <c r="AH143"/>
  <c r="AH182" s="1"/>
  <c r="AH142"/>
  <c r="AH147"/>
  <c r="AH190" s="1"/>
  <c r="AH135"/>
  <c r="AH146"/>
  <c r="AG155"/>
  <c r="AH177" l="1"/>
  <c r="AH179" s="1"/>
  <c r="AH140"/>
  <c r="AH136"/>
  <c r="AH174"/>
  <c r="AH175" s="1"/>
  <c r="AH126"/>
  <c r="AH148"/>
  <c r="AH189"/>
  <c r="AH191" s="1"/>
  <c r="AH144"/>
  <c r="AH181"/>
  <c r="AH183" s="1"/>
  <c r="AH127" l="1"/>
  <c r="AH160"/>
  <c r="AH161" s="1"/>
  <c r="AH149"/>
  <c r="AH192"/>
  <c r="AH164" l="1"/>
  <c r="AH163"/>
  <c r="AH153"/>
  <c r="AH151"/>
  <c r="AH152" s="1"/>
  <c r="AH194"/>
  <c r="AH195"/>
  <c r="AH130"/>
  <c r="AH129"/>
  <c r="AI146" l="1"/>
  <c r="AI142"/>
  <c r="AI139"/>
  <c r="AI178" s="1"/>
  <c r="AI147"/>
  <c r="AI190" s="1"/>
  <c r="AI138"/>
  <c r="AI135"/>
  <c r="AI143"/>
  <c r="AI182" s="1"/>
  <c r="AH155"/>
  <c r="AI140" l="1"/>
  <c r="AI177"/>
  <c r="AI179" s="1"/>
  <c r="AI148"/>
  <c r="AI189"/>
  <c r="AI191" s="1"/>
  <c r="AI174"/>
  <c r="AI175" s="1"/>
  <c r="AI126"/>
  <c r="AI136"/>
  <c r="AI181"/>
  <c r="AI183" s="1"/>
  <c r="AI144"/>
  <c r="AI149" l="1"/>
  <c r="AI151" s="1"/>
  <c r="AI152" s="1"/>
  <c r="AI160"/>
  <c r="AI161" s="1"/>
  <c r="AI127"/>
  <c r="AI192"/>
  <c r="AI153" l="1"/>
  <c r="AJ143"/>
  <c r="AJ182" s="1"/>
  <c r="AJ142"/>
  <c r="AJ146"/>
  <c r="AJ138"/>
  <c r="AJ139"/>
  <c r="AJ178" s="1"/>
  <c r="AJ135"/>
  <c r="AJ147"/>
  <c r="AJ190" s="1"/>
  <c r="AI155"/>
  <c r="AI195"/>
  <c r="AI194"/>
  <c r="AI164"/>
  <c r="AI163"/>
  <c r="AI129"/>
  <c r="AI130"/>
  <c r="AJ140" l="1"/>
  <c r="AJ177"/>
  <c r="AJ179" s="1"/>
  <c r="AJ136"/>
  <c r="AJ126"/>
  <c r="AJ174"/>
  <c r="AJ175" s="1"/>
  <c r="AJ144"/>
  <c r="AJ181"/>
  <c r="AJ183" s="1"/>
  <c r="AJ148"/>
  <c r="AJ189"/>
  <c r="AJ191" s="1"/>
  <c r="AJ127" l="1"/>
  <c r="AJ160"/>
  <c r="AJ161" s="1"/>
  <c r="AJ149"/>
  <c r="AJ192"/>
  <c r="AJ163" l="1"/>
  <c r="AJ164"/>
  <c r="AJ151"/>
  <c r="AJ152" s="1"/>
  <c r="AJ153"/>
  <c r="AJ194"/>
  <c r="AJ195"/>
  <c r="AJ129"/>
  <c r="AJ130"/>
  <c r="AK138" l="1"/>
  <c r="AK143"/>
  <c r="AK182" s="1"/>
  <c r="AK139"/>
  <c r="AK178" s="1"/>
  <c r="AK142"/>
  <c r="AK146"/>
  <c r="AK135"/>
  <c r="AK147"/>
  <c r="AK190" s="1"/>
  <c r="AJ155"/>
  <c r="AK148" l="1"/>
  <c r="AK189"/>
  <c r="AK191" s="1"/>
  <c r="AK177"/>
  <c r="AK179" s="1"/>
  <c r="AK140"/>
  <c r="AK136"/>
  <c r="AK126"/>
  <c r="AK174"/>
  <c r="AK175" s="1"/>
  <c r="AK144"/>
  <c r="AK181"/>
  <c r="AK183" s="1"/>
  <c r="AK127" l="1"/>
  <c r="AK160"/>
  <c r="AK161" s="1"/>
  <c r="AK192"/>
  <c r="AK149"/>
  <c r="AK163" l="1"/>
  <c r="AK164"/>
  <c r="AK194"/>
  <c r="AK195"/>
  <c r="AK151"/>
  <c r="AK152" s="1"/>
  <c r="AK153"/>
  <c r="AK129"/>
  <c r="AK130"/>
  <c r="AL139" l="1"/>
  <c r="AL178" s="1"/>
  <c r="AL147"/>
  <c r="AL190" s="1"/>
  <c r="AL146"/>
  <c r="AL142"/>
  <c r="AL135"/>
  <c r="AL143"/>
  <c r="AL182" s="1"/>
  <c r="AL138"/>
  <c r="AK155"/>
  <c r="AL136" l="1"/>
  <c r="AL126"/>
  <c r="AL174"/>
  <c r="AL175" s="1"/>
  <c r="AL140"/>
  <c r="AL177"/>
  <c r="AL179" s="1"/>
  <c r="AL189"/>
  <c r="AL191" s="1"/>
  <c r="AL148"/>
  <c r="AL144"/>
  <c r="AL181"/>
  <c r="AL183" s="1"/>
  <c r="AL160" l="1"/>
  <c r="AL161" s="1"/>
  <c r="AL127"/>
  <c r="AL192"/>
  <c r="AL149"/>
  <c r="AL129" l="1"/>
  <c r="AL130"/>
  <c r="AL194"/>
  <c r="AL195"/>
  <c r="AL151"/>
  <c r="AL152" s="1"/>
  <c r="AL153"/>
  <c r="AL164"/>
  <c r="AL163"/>
  <c r="AM146" l="1"/>
  <c r="AM138"/>
  <c r="AM139"/>
  <c r="AM178" s="1"/>
  <c r="AM147"/>
  <c r="AM190" s="1"/>
  <c r="AM142"/>
  <c r="AM135"/>
  <c r="AM143"/>
  <c r="AM182" s="1"/>
  <c r="AL155"/>
  <c r="AM144" l="1"/>
  <c r="AM181"/>
  <c r="AM183" s="1"/>
  <c r="AM148"/>
  <c r="AM189"/>
  <c r="AM191" s="1"/>
  <c r="AM126"/>
  <c r="AM136"/>
  <c r="AM174"/>
  <c r="AM175" s="1"/>
  <c r="AM177"/>
  <c r="AM179" s="1"/>
  <c r="AM140"/>
  <c r="AM149" l="1"/>
  <c r="AM151" s="1"/>
  <c r="AM152" s="1"/>
  <c r="AM160"/>
  <c r="AM161" s="1"/>
  <c r="AM127"/>
  <c r="AM192"/>
  <c r="AM153" l="1"/>
  <c r="AN138"/>
  <c r="AN142"/>
  <c r="AN147"/>
  <c r="AN190" s="1"/>
  <c r="AN146"/>
  <c r="AN139"/>
  <c r="AN178" s="1"/>
  <c r="AN143"/>
  <c r="AN182" s="1"/>
  <c r="AN135"/>
  <c r="AM155"/>
  <c r="AM194"/>
  <c r="AM195"/>
  <c r="AM163"/>
  <c r="AM164"/>
  <c r="AM129"/>
  <c r="AM130"/>
  <c r="AN126" l="1"/>
  <c r="AN174"/>
  <c r="AN175" s="1"/>
  <c r="AN136"/>
  <c r="AN189"/>
  <c r="AN191" s="1"/>
  <c r="AN148"/>
  <c r="AN177"/>
  <c r="AN179" s="1"/>
  <c r="AN140"/>
  <c r="AN144"/>
  <c r="AN181"/>
  <c r="AN183" s="1"/>
  <c r="AN160" l="1"/>
  <c r="AN161" s="1"/>
  <c r="AN127"/>
  <c r="AN192"/>
  <c r="AN149"/>
  <c r="AN130" l="1"/>
  <c r="AN129"/>
  <c r="AN195"/>
  <c r="AN194"/>
  <c r="AN153"/>
  <c r="AN151"/>
  <c r="AN152" s="1"/>
  <c r="AN164"/>
  <c r="AN163"/>
  <c r="AO142" l="1"/>
  <c r="AO146"/>
  <c r="AO147"/>
  <c r="AO190" s="1"/>
  <c r="AO138"/>
  <c r="AO139"/>
  <c r="AO178" s="1"/>
  <c r="AO135"/>
  <c r="AO143"/>
  <c r="AO182" s="1"/>
  <c r="AN155"/>
  <c r="AO181" l="1"/>
  <c r="AO183" s="1"/>
  <c r="AO144"/>
  <c r="AO174"/>
  <c r="AO175" s="1"/>
  <c r="AO126"/>
  <c r="AO136"/>
  <c r="AO148"/>
  <c r="AO189"/>
  <c r="AO191" s="1"/>
  <c r="AO140"/>
  <c r="AO177"/>
  <c r="AO179" s="1"/>
  <c r="AO127" l="1"/>
  <c r="AO160"/>
  <c r="AO161" s="1"/>
  <c r="AO192"/>
  <c r="AO149"/>
  <c r="AO164" l="1"/>
  <c r="AO163"/>
  <c r="AO194"/>
  <c r="AO195"/>
  <c r="AO151"/>
  <c r="AO152" s="1"/>
  <c r="AO153"/>
  <c r="AO130"/>
  <c r="AO129"/>
  <c r="AP142" l="1"/>
  <c r="AP147"/>
  <c r="AP190" s="1"/>
  <c r="AP139"/>
  <c r="AP178" s="1"/>
  <c r="AP146"/>
  <c r="AP135"/>
  <c r="AP138"/>
  <c r="AP143"/>
  <c r="AP182" s="1"/>
  <c r="AO155"/>
  <c r="AP174" l="1"/>
  <c r="AP175" s="1"/>
  <c r="AP126"/>
  <c r="AP136"/>
  <c r="AP144"/>
  <c r="AP181"/>
  <c r="AP183" s="1"/>
  <c r="AP140"/>
  <c r="AP177"/>
  <c r="AP179" s="1"/>
  <c r="AP148"/>
  <c r="AP189"/>
  <c r="AP191" s="1"/>
  <c r="AP127" l="1"/>
  <c r="AP160"/>
  <c r="AP161" s="1"/>
  <c r="AP149"/>
  <c r="AP192"/>
  <c r="B168" l="1"/>
  <c r="AP164"/>
  <c r="AP163"/>
  <c r="B167"/>
  <c r="AP153"/>
  <c r="AP151"/>
  <c r="AP152" s="1"/>
  <c r="AP155" s="1"/>
  <c r="B155" s="1"/>
  <c r="C79" i="1" s="1"/>
  <c r="B197" i="2"/>
  <c r="B198"/>
  <c r="AP194"/>
  <c r="AP195"/>
  <c r="AP130"/>
  <c r="AP129"/>
</calcChain>
</file>

<file path=xl/comments1.xml><?xml version="1.0" encoding="utf-8"?>
<comments xmlns="http://schemas.openxmlformats.org/spreadsheetml/2006/main">
  <authors>
    <author>Matt Karcher</author>
  </authors>
  <commentList>
    <comment ref="O47" authorId="0">
      <text>
        <r>
          <rPr>
            <sz val="9"/>
            <color indexed="81"/>
            <rFont val="Tahoma"/>
            <family val="2"/>
          </rPr>
          <t xml:space="preserve">Note, used in the Leveraged Partnership Flip and Single Owner structures only.
</t>
        </r>
      </text>
    </comment>
    <comment ref="A74" authorId="0">
      <text>
        <r>
          <rPr>
            <sz val="10"/>
            <color indexed="81"/>
            <rFont val="Tahoma"/>
            <family val="2"/>
          </rPr>
          <t xml:space="preserve">The model has the flexibility to allow the user to either solve for or input a PPA price. Therefore, the Initial Year PPA figure can either be an input or an output depending on how the model is utilized. If the user has a PPA price, it is input here, and the resulting returns and LCOE are a result that can be reviewed.
If the user wants to find a required PPA price, the "Calculate PPA Price" button will solve for a price that yields the required return. The resulting PPA price and LCOE are then outputs. </t>
        </r>
      </text>
    </comment>
    <comment ref="A80" authorId="0">
      <text>
        <r>
          <rPr>
            <b/>
            <sz val="9"/>
            <color indexed="81"/>
            <rFont val="Tahoma"/>
            <family val="2"/>
          </rPr>
          <t>DHF:</t>
        </r>
        <r>
          <rPr>
            <sz val="9"/>
            <color indexed="81"/>
            <rFont val="Tahoma"/>
            <family val="2"/>
          </rPr>
          <t xml:space="preserve">
The primary return being sought is after-tax (i.e. tax benefits included) in all cases, but is for different parties depending on the financing structure. In the two Partnership Flip structures the target return is to Tax Equity, in the Sale Leaseback structure it is to the Lessor and in the Single Owner structure it is for the signle owner.</t>
        </r>
      </text>
    </comment>
    <comment ref="A123" authorId="0">
      <text>
        <r>
          <rPr>
            <sz val="10"/>
            <color indexed="81"/>
            <rFont val="Tahoma"/>
            <family val="2"/>
          </rPr>
          <t>Note, the model assumes 100% construction financing. Equity, either Sponsor or Third party is not contributed until commercial operations date. Implicit in this assumption is that construction draws are relatively uniform. To the extent that the construction spending schedule is front-loaded or back-loaded (i.e. not even each  month) the Interest During Construction may be different than the result from the simplifying assumption used here.</t>
        </r>
      </text>
    </comment>
    <comment ref="A131" authorId="0">
      <text>
        <r>
          <rPr>
            <sz val="10"/>
            <color indexed="81"/>
            <rFont val="Tahoma"/>
            <family val="2"/>
          </rPr>
          <t xml:space="preserve">The model assumes a single annual debt service payment. Assuming a single annual payment, relative to quarterly or semi-annual payments, will typically slightly understate the project's borrowing capacity.
</t>
        </r>
      </text>
    </comment>
    <comment ref="C132" authorId="0">
      <text>
        <r>
          <rPr>
            <b/>
            <sz val="9"/>
            <color indexed="81"/>
            <rFont val="Tahoma"/>
            <family val="2"/>
          </rPr>
          <t>DHF:</t>
        </r>
        <r>
          <rPr>
            <sz val="9"/>
            <color indexed="81"/>
            <rFont val="Tahoma"/>
            <family val="2"/>
          </rPr>
          <t xml:space="preserve">
Note, debt is automatically sized in the model based on cash available. The model does not cap the amount of debt that can be supported. Regardless of cash flow available there is likely a market cap on the amount of debt. Please check the result against current market terms.</t>
        </r>
      </text>
    </comment>
    <comment ref="E132" authorId="0">
      <text>
        <r>
          <rPr>
            <b/>
            <sz val="9"/>
            <color indexed="81"/>
            <rFont val="Tahoma"/>
            <family val="2"/>
          </rPr>
          <t>DHF:</t>
        </r>
        <r>
          <rPr>
            <sz val="9"/>
            <color indexed="81"/>
            <rFont val="Tahoma"/>
            <family val="2"/>
          </rPr>
          <t xml:space="preserve">
Note, debt is automatically sized in the model based on cash available. The model does not cap the amount of debt that can be supported. Regardless of cash flow available there is likely a market cap on the amount of debt. Please check the result against current market terms.</t>
        </r>
      </text>
    </comment>
    <comment ref="D176" authorId="0">
      <text>
        <r>
          <rPr>
            <b/>
            <sz val="9"/>
            <color indexed="81"/>
            <rFont val="Tahoma"/>
            <family val="2"/>
          </rPr>
          <t>DHF:</t>
        </r>
        <r>
          <rPr>
            <sz val="9"/>
            <color indexed="81"/>
            <rFont val="Tahoma"/>
            <family val="2"/>
          </rPr>
          <t xml:space="preserve">
The underlying assumption for the Sale Leaseback structure is 100% purchase by the Tax Equity.</t>
        </r>
      </text>
    </comment>
    <comment ref="A187" authorId="0">
      <text>
        <r>
          <rPr>
            <sz val="9"/>
            <color indexed="81"/>
            <rFont val="Tahoma"/>
            <family val="2"/>
          </rPr>
          <t xml:space="preserve">In the All Equity Partnership Flip structure this input is for cash sharing after the Sponsor Capital Recover and prior to the Flip Point.
</t>
        </r>
      </text>
    </comment>
    <comment ref="A206" authorId="0">
      <text>
        <r>
          <rPr>
            <b/>
            <sz val="9"/>
            <color indexed="81"/>
            <rFont val="Tahoma"/>
            <family val="2"/>
          </rPr>
          <t>DHF:</t>
        </r>
        <r>
          <rPr>
            <sz val="9"/>
            <color indexed="81"/>
            <rFont val="Tahoma"/>
            <family val="2"/>
          </rPr>
          <t xml:space="preserve">
Return Targets specified are for non-sponsor equity provider (Tax Equity, Lessor or Single Owner, depending on structure).
</t>
        </r>
      </text>
    </comment>
  </commentList>
</comments>
</file>

<file path=xl/comments2.xml><?xml version="1.0" encoding="utf-8"?>
<comments xmlns="http://schemas.openxmlformats.org/spreadsheetml/2006/main">
  <authors>
    <author>Matt Karcher</author>
  </authors>
  <commentList>
    <comment ref="A81" authorId="0">
      <text>
        <r>
          <rPr>
            <sz val="10"/>
            <color indexed="81"/>
            <rFont val="Tahoma"/>
            <family val="2"/>
          </rPr>
          <t xml:space="preserve">Note, the ISERROR formula is used here and is structured to return incalculable IRRs as "0". 
</t>
        </r>
      </text>
    </comment>
    <comment ref="A103" authorId="0">
      <text>
        <r>
          <rPr>
            <sz val="10"/>
            <color indexed="81"/>
            <rFont val="Tahoma"/>
            <family val="2"/>
          </rPr>
          <t xml:space="preserve">Note, the ISERROR formula is used here and is structured to return incalculable IRRs as "0". 
</t>
        </r>
      </text>
    </comment>
    <comment ref="A120" authorId="0">
      <text>
        <r>
          <rPr>
            <sz val="10"/>
            <color indexed="81"/>
            <rFont val="Tahoma"/>
            <family val="2"/>
          </rPr>
          <t xml:space="preserve">Note, the ISERROR formula is used here and is structured to return incalculable IRRs as "0". 
</t>
        </r>
      </text>
    </comment>
    <comment ref="A142" authorId="0">
      <text>
        <r>
          <rPr>
            <sz val="10"/>
            <color indexed="81"/>
            <rFont val="Tahoma"/>
            <family val="2"/>
          </rPr>
          <t xml:space="preserve">Note, the ISERROR formula is used here and is structured to return incalculable IRRs as "0". 
</t>
        </r>
      </text>
    </comment>
    <comment ref="A162" authorId="0">
      <text>
        <r>
          <rPr>
            <sz val="10"/>
            <color indexed="81"/>
            <rFont val="Tahoma"/>
            <family val="2"/>
          </rPr>
          <t xml:space="preserve">Note, the ISERROR formula is used here and is structured to return incalculable IRRs as "N/A". 
</t>
        </r>
      </text>
    </comment>
    <comment ref="A194" authorId="0">
      <text>
        <r>
          <rPr>
            <sz val="10"/>
            <color indexed="81"/>
            <rFont val="Tahoma"/>
            <family val="2"/>
          </rPr>
          <t xml:space="preserve">Note, the ISERROR formula is used here and is structured to return incalculable IRRs as "N/A". 
</t>
        </r>
      </text>
    </comment>
    <comment ref="A225" authorId="0">
      <text>
        <r>
          <rPr>
            <b/>
            <sz val="9"/>
            <color indexed="81"/>
            <rFont val="Tahoma"/>
            <family val="2"/>
          </rPr>
          <t>DHF:</t>
        </r>
        <r>
          <rPr>
            <sz val="9"/>
            <color indexed="81"/>
            <rFont val="Tahoma"/>
            <family val="2"/>
          </rPr>
          <t xml:space="preserve">
PBI is included in EBITDA. If the PBI is non-taxable it will be removed here.</t>
        </r>
      </text>
    </comment>
    <comment ref="A261" authorId="0">
      <text>
        <r>
          <rPr>
            <b/>
            <sz val="9"/>
            <color indexed="81"/>
            <rFont val="Tahoma"/>
            <family val="2"/>
          </rPr>
          <t>DHF:</t>
        </r>
        <r>
          <rPr>
            <sz val="9"/>
            <color indexed="81"/>
            <rFont val="Tahoma"/>
            <family val="2"/>
          </rPr>
          <t xml:space="preserve">
If PBI is available for Debt Service it is already included in the EBITDA figure and not included here.</t>
        </r>
      </text>
    </comment>
  </commentList>
</comments>
</file>

<file path=xl/comments3.xml><?xml version="1.0" encoding="utf-8"?>
<comments xmlns="http://schemas.openxmlformats.org/spreadsheetml/2006/main">
  <authors>
    <author>Matt Karcher</author>
  </authors>
  <commentList>
    <comment ref="A90" authorId="0">
      <text>
        <r>
          <rPr>
            <sz val="10"/>
            <color indexed="81"/>
            <rFont val="Tahoma"/>
            <family val="2"/>
          </rPr>
          <t xml:space="preserve">Note, the ISERROR formula is used here and is structured to return incalculable IRRs as "0". 
</t>
        </r>
      </text>
    </comment>
    <comment ref="A112" authorId="0">
      <text>
        <r>
          <rPr>
            <sz val="10"/>
            <color indexed="81"/>
            <rFont val="Tahoma"/>
            <family val="2"/>
          </rPr>
          <t xml:space="preserve">Note, the ISERROR formula is used here and is structured to return incalculable IRRs as "0". 
</t>
        </r>
      </text>
    </comment>
    <comment ref="A129" authorId="0">
      <text>
        <r>
          <rPr>
            <sz val="10"/>
            <color indexed="81"/>
            <rFont val="Tahoma"/>
            <family val="2"/>
          </rPr>
          <t xml:space="preserve">Note, the ISERROR formula is used here and is structured to return incalculable IRRs as "0". 
</t>
        </r>
      </text>
    </comment>
    <comment ref="A151" authorId="0">
      <text>
        <r>
          <rPr>
            <sz val="10"/>
            <color indexed="81"/>
            <rFont val="Tahoma"/>
            <family val="2"/>
          </rPr>
          <t xml:space="preserve">Note, the ISERROR formula is used here and is structured to return incalculable IRRs as "0". 
</t>
        </r>
      </text>
    </comment>
    <comment ref="A163" authorId="0">
      <text>
        <r>
          <rPr>
            <sz val="10"/>
            <color indexed="81"/>
            <rFont val="Tahoma"/>
            <family val="2"/>
          </rPr>
          <t xml:space="preserve">Note, the ISERROR formula is used here and is structured to return incalculable IRRs as "N/A". 
</t>
        </r>
      </text>
    </comment>
    <comment ref="A194" authorId="0">
      <text>
        <r>
          <rPr>
            <sz val="10"/>
            <color indexed="81"/>
            <rFont val="Tahoma"/>
            <family val="2"/>
          </rPr>
          <t xml:space="preserve">Note, the ISERROR formula is used here and is structured to return incalculable IRRs as "N/A". 
</t>
        </r>
      </text>
    </comment>
    <comment ref="A226" authorId="0">
      <text>
        <r>
          <rPr>
            <b/>
            <sz val="9"/>
            <color indexed="81"/>
            <rFont val="Tahoma"/>
            <family val="2"/>
          </rPr>
          <t>DHF:</t>
        </r>
        <r>
          <rPr>
            <sz val="9"/>
            <color indexed="81"/>
            <rFont val="Tahoma"/>
            <family val="2"/>
          </rPr>
          <t xml:space="preserve">
If PBI is available for Debt Service it is already included in the EBITDA figure and not included here.</t>
        </r>
      </text>
    </comment>
    <comment ref="A263" authorId="0">
      <text>
        <r>
          <rPr>
            <b/>
            <sz val="9"/>
            <color indexed="81"/>
            <rFont val="Tahoma"/>
            <family val="2"/>
          </rPr>
          <t>DHF:</t>
        </r>
        <r>
          <rPr>
            <sz val="9"/>
            <color indexed="81"/>
            <rFont val="Tahoma"/>
            <family val="2"/>
          </rPr>
          <t xml:space="preserve">
If PBI is available for Debt Service it is already included in the EBITDA figure and not included here.</t>
        </r>
      </text>
    </comment>
  </commentList>
</comments>
</file>

<file path=xl/comments4.xml><?xml version="1.0" encoding="utf-8"?>
<comments xmlns="http://schemas.openxmlformats.org/spreadsheetml/2006/main">
  <authors>
    <author>Matt Karcher</author>
  </authors>
  <commentList>
    <comment ref="A56" authorId="0">
      <text>
        <r>
          <rPr>
            <b/>
            <sz val="9"/>
            <color indexed="81"/>
            <rFont val="Tahoma"/>
            <family val="2"/>
          </rPr>
          <t>DHF:</t>
        </r>
        <r>
          <rPr>
            <sz val="9"/>
            <color indexed="81"/>
            <rFont val="Tahoma"/>
            <family val="2"/>
          </rPr>
          <t xml:space="preserve">
Salvage Value will be received by the Lessor.</t>
        </r>
      </text>
    </comment>
    <comment ref="A103" authorId="0">
      <text>
        <r>
          <rPr>
            <sz val="10"/>
            <color indexed="81"/>
            <rFont val="Tahoma"/>
            <family val="2"/>
          </rPr>
          <t xml:space="preserve">Note, the ISERROR formula is used here and is structured to return incalculable IRRs as "0". 
</t>
        </r>
      </text>
    </comment>
    <comment ref="A125" authorId="0">
      <text>
        <r>
          <rPr>
            <sz val="10"/>
            <color indexed="81"/>
            <rFont val="Tahoma"/>
            <family val="2"/>
          </rPr>
          <t xml:space="preserve">Note, the ISERROR formula is used here and is structured to return incalculable IRRs as "0". 
</t>
        </r>
      </text>
    </comment>
    <comment ref="A145" authorId="0">
      <text>
        <r>
          <rPr>
            <sz val="10"/>
            <color indexed="81"/>
            <rFont val="Tahoma"/>
            <family val="2"/>
          </rPr>
          <t xml:space="preserve">Note, the ISERROR formula is used here and is structured to return incalculable IRRs as "0". 
</t>
        </r>
      </text>
    </comment>
    <comment ref="A170" authorId="0">
      <text>
        <r>
          <rPr>
            <sz val="10"/>
            <color indexed="81"/>
            <rFont val="Tahoma"/>
            <family val="2"/>
          </rPr>
          <t xml:space="preserve">Note, the ISERROR formula is used here and is structured to return incalculable IRRs as "0". 
</t>
        </r>
      </text>
    </comment>
    <comment ref="A186" authorId="0">
      <text>
        <r>
          <rPr>
            <sz val="10"/>
            <color indexed="81"/>
            <rFont val="Tahoma"/>
            <family val="2"/>
          </rPr>
          <t xml:space="preserve">Note, the ISERROR formula is used here and is structured to return incalculable IRRs as "N/A". 
</t>
        </r>
      </text>
    </comment>
    <comment ref="A208" authorId="0">
      <text>
        <r>
          <rPr>
            <sz val="10"/>
            <color indexed="81"/>
            <rFont val="Tahoma"/>
            <family val="2"/>
          </rPr>
          <t xml:space="preserve">Note, the ISERROR formula is used here and is structured to return incalculable IRRs as "N/A". 
</t>
        </r>
      </text>
    </comment>
  </commentList>
</comments>
</file>

<file path=xl/comments5.xml><?xml version="1.0" encoding="utf-8"?>
<comments xmlns="http://schemas.openxmlformats.org/spreadsheetml/2006/main">
  <authors>
    <author>Matt Karcher</author>
  </authors>
  <commentList>
    <comment ref="A90" authorId="0">
      <text>
        <r>
          <rPr>
            <sz val="10"/>
            <color indexed="81"/>
            <rFont val="Tahoma"/>
            <family val="2"/>
          </rPr>
          <t xml:space="preserve">Note, the ISERROR formula is used here and is structured to return incalculable IRRs as "0". 
</t>
        </r>
      </text>
    </comment>
    <comment ref="A112" authorId="0">
      <text>
        <r>
          <rPr>
            <sz val="10"/>
            <color indexed="81"/>
            <rFont val="Tahoma"/>
            <family val="2"/>
          </rPr>
          <t xml:space="preserve">Note, the ISERROR formula is used here and is structured to return incalculable IRRs as "0". 
</t>
        </r>
      </text>
    </comment>
    <comment ref="A152" authorId="0">
      <text>
        <r>
          <rPr>
            <b/>
            <sz val="9"/>
            <color indexed="81"/>
            <rFont val="Tahoma"/>
            <family val="2"/>
          </rPr>
          <t>DHF:</t>
        </r>
        <r>
          <rPr>
            <sz val="9"/>
            <color indexed="81"/>
            <rFont val="Tahoma"/>
            <family val="2"/>
          </rPr>
          <t xml:space="preserve">
If PBI is available for Debt Service it is already included in the EBITDA figure and not included here.</t>
        </r>
      </text>
    </comment>
    <comment ref="A189" authorId="0">
      <text>
        <r>
          <rPr>
            <b/>
            <sz val="9"/>
            <color indexed="81"/>
            <rFont val="Tahoma"/>
            <family val="2"/>
          </rPr>
          <t>DHF:</t>
        </r>
        <r>
          <rPr>
            <sz val="9"/>
            <color indexed="81"/>
            <rFont val="Tahoma"/>
            <family val="2"/>
          </rPr>
          <t xml:space="preserve">
If PBI is available for Debt Service it is already included in the EBITDA figure and not included here.</t>
        </r>
      </text>
    </comment>
  </commentList>
</comments>
</file>

<file path=xl/comments6.xml><?xml version="1.0" encoding="utf-8"?>
<comments xmlns="http://schemas.openxmlformats.org/spreadsheetml/2006/main">
  <authors>
    <author>Matt Karcher</author>
  </authors>
  <commentList>
    <comment ref="A1" authorId="0">
      <text>
        <r>
          <rPr>
            <sz val="9"/>
            <color indexed="81"/>
            <rFont val="Tahoma"/>
            <family val="2"/>
          </rPr>
          <t>For additional information on depreciation schedules. Please refer to IRS publication 946.
http://www.irs.gov/pub/irs-pdf/p946.pdf</t>
        </r>
      </text>
    </comment>
  </commentList>
</comments>
</file>

<file path=xl/sharedStrings.xml><?xml version="1.0" encoding="utf-8"?>
<sst xmlns="http://schemas.openxmlformats.org/spreadsheetml/2006/main" count="2084" uniqueCount="510">
  <si>
    <t>Contingency (%)</t>
  </si>
  <si>
    <t>Contingency ($)</t>
  </si>
  <si>
    <t>Sales Tax</t>
  </si>
  <si>
    <t>Total Sales Tax</t>
  </si>
  <si>
    <t>OPERATIONS AND MAINTENANCE COSTS</t>
  </si>
  <si>
    <t>Fixed Annual Cost</t>
  </si>
  <si>
    <t>Escalation (above inflation)</t>
  </si>
  <si>
    <t>Fixed Cost by Capacity</t>
  </si>
  <si>
    <t>First Year Cost ($)</t>
  </si>
  <si>
    <t>Variable Cost by Generation</t>
  </si>
  <si>
    <t>First Year Cost ($/MWh)</t>
  </si>
  <si>
    <t>Note: fossil fuel costs not included</t>
  </si>
  <si>
    <t>SYSTEM</t>
  </si>
  <si>
    <t>Capacity (kW-DC)</t>
  </si>
  <si>
    <t>DC to AC Derate Factor</t>
  </si>
  <si>
    <t>Capacity (kW-AC)</t>
  </si>
  <si>
    <t>Note: Total Installed Cost does not include financing costs.</t>
  </si>
  <si>
    <t>GENERAL</t>
  </si>
  <si>
    <t>Inflation Rate</t>
  </si>
  <si>
    <t>Analysis Period (yrs-40 max)</t>
  </si>
  <si>
    <t>TAXES AND INSURANCE</t>
  </si>
  <si>
    <t>Federal Tax Rate</t>
  </si>
  <si>
    <t>Property Tax</t>
  </si>
  <si>
    <t>CAPITAL COSTS - PRE FINANCING</t>
  </si>
  <si>
    <t>PROJECT SPECIFIC INPUTS</t>
  </si>
  <si>
    <t>All Equity Partnership Flip</t>
  </si>
  <si>
    <t>Leveraged Partnership Flip</t>
  </si>
  <si>
    <t>Sale Leaseback</t>
  </si>
  <si>
    <t>Single Owner</t>
  </si>
  <si>
    <t>Total Pre-Financing Installed Cost ($/Watt-DC)</t>
  </si>
  <si>
    <t>Total Pre-Financing Installed Cost ($)</t>
  </si>
  <si>
    <t>Operating Year</t>
  </si>
  <si>
    <t>TAX CREDIT INCENTIVES</t>
  </si>
  <si>
    <t>Investment Tax Credit</t>
  </si>
  <si>
    <t>Amount</t>
  </si>
  <si>
    <t>Amount ($)</t>
  </si>
  <si>
    <t>Federal</t>
  </si>
  <si>
    <t>State</t>
  </si>
  <si>
    <t>Production Tax Credit</t>
  </si>
  <si>
    <t>Escalation</t>
  </si>
  <si>
    <t>Amount (%)</t>
  </si>
  <si>
    <t>%</t>
  </si>
  <si>
    <t>Maximum</t>
  </si>
  <si>
    <t>Amount ($/kWh)</t>
  </si>
  <si>
    <t>Term (yrs)</t>
  </si>
  <si>
    <t>Initial Year</t>
  </si>
  <si>
    <t>Production (AC-kWh)</t>
  </si>
  <si>
    <t>Net Production (AC-kWh)</t>
  </si>
  <si>
    <t>Price  (¢/kWh)</t>
  </si>
  <si>
    <t>Expenses</t>
  </si>
  <si>
    <t>First Year Cost ($/DC kW-yr)</t>
  </si>
  <si>
    <t>Capacity (DC kW)</t>
  </si>
  <si>
    <t>Fixed Cost ($/DC kW-yr)</t>
  </si>
  <si>
    <t>Total</t>
  </si>
  <si>
    <t>Financing</t>
  </si>
  <si>
    <t>Generation (AC-MWh)</t>
  </si>
  <si>
    <t>Variable Cost ($/AC-MWh)</t>
  </si>
  <si>
    <t>PAYMENT INCENTIVES</t>
  </si>
  <si>
    <t>Investment Based Incentive (IBI)</t>
  </si>
  <si>
    <t>Utility</t>
  </si>
  <si>
    <t>Other</t>
  </si>
  <si>
    <t>Taxable Incentive</t>
  </si>
  <si>
    <t>Reduces ITC Basis</t>
  </si>
  <si>
    <t>Reduces Depreciation Basis</t>
  </si>
  <si>
    <t>Percentage of Pre-Financing Costs</t>
  </si>
  <si>
    <t>Capacity Based Incentive (CBI) ($/DC-Watt)</t>
  </si>
  <si>
    <t>Available for Debt Service</t>
  </si>
  <si>
    <t>Fixed Amount ($)</t>
  </si>
  <si>
    <t>Yes</t>
  </si>
  <si>
    <t>No</t>
  </si>
  <si>
    <t>Amount ($/DC-Watt)</t>
  </si>
  <si>
    <t>Percentage (% of Pre-Finance Costs)</t>
  </si>
  <si>
    <t>Production Based Incentive (PBI) ($/kWh)</t>
  </si>
  <si>
    <t>Term (Yrs)</t>
  </si>
  <si>
    <t>Total Expenses</t>
  </si>
  <si>
    <t>Total PPA Revenue</t>
  </si>
  <si>
    <t>Revenues</t>
  </si>
  <si>
    <t>PPA</t>
  </si>
  <si>
    <t>Production Based Incentive (included if available for debt service)</t>
  </si>
  <si>
    <t>Total PBI</t>
  </si>
  <si>
    <t>EBITDA (cash available for debt service)</t>
  </si>
  <si>
    <t>Capital Costs</t>
  </si>
  <si>
    <t>Total Pre-Financing</t>
  </si>
  <si>
    <t>Summary</t>
  </si>
  <si>
    <t>Equity Closing Costs</t>
  </si>
  <si>
    <t>Debt Service Reserve</t>
  </si>
  <si>
    <t>Construction Financing</t>
  </si>
  <si>
    <t>Total Financing</t>
  </si>
  <si>
    <t>Debt Closing Costs (costs &amp; fees)</t>
  </si>
  <si>
    <t>Construction Period (months)</t>
  </si>
  <si>
    <t>Interest During Construction</t>
  </si>
  <si>
    <t>Interest Rate (%)</t>
  </si>
  <si>
    <t>Up-Front Fee ($)</t>
  </si>
  <si>
    <t>Up-Front Fee (%)</t>
  </si>
  <si>
    <t>Total Construction Financing Cost</t>
  </si>
  <si>
    <t>Term Financing</t>
  </si>
  <si>
    <t>Debt Amount</t>
  </si>
  <si>
    <t>% of Total Capital Cost</t>
  </si>
  <si>
    <t>Tenor (Yrs)</t>
  </si>
  <si>
    <t>Debt</t>
  </si>
  <si>
    <t>Beginning Balance</t>
  </si>
  <si>
    <t>Funding</t>
  </si>
  <si>
    <t>Repayment</t>
  </si>
  <si>
    <t>Ending Balance</t>
  </si>
  <si>
    <t>Principal</t>
  </si>
  <si>
    <t>Interest</t>
  </si>
  <si>
    <t>Total P&amp;I</t>
  </si>
  <si>
    <t>Release of Funds</t>
  </si>
  <si>
    <t>Financing Costs</t>
  </si>
  <si>
    <t>DSCR</t>
  </si>
  <si>
    <t>Cash Available for Debt Service</t>
  </si>
  <si>
    <t>Total Debt Payment</t>
  </si>
  <si>
    <t>Average</t>
  </si>
  <si>
    <t>Min</t>
  </si>
  <si>
    <t>Debt Service Reserve Account (months P&amp;I)</t>
  </si>
  <si>
    <t>Debt Service Coverage Ratio</t>
  </si>
  <si>
    <t>Taxes</t>
  </si>
  <si>
    <t>EBITDA</t>
  </si>
  <si>
    <t>Less: Interest Payment</t>
  </si>
  <si>
    <t>Taxable Income Prior to Incentives</t>
  </si>
  <si>
    <t>Federal Income Taxes</t>
  </si>
  <si>
    <t>Less: Tax Depreciation</t>
  </si>
  <si>
    <t>Questions, Comments, Notes</t>
  </si>
  <si>
    <t>IBI percentage based on total cost pre-financing.</t>
  </si>
  <si>
    <t>CBI is based on DC-Watts of capacity.</t>
  </si>
  <si>
    <t>Annual Fixed Operating Cost by Capacity based on DC-kW</t>
  </si>
  <si>
    <t>Production Based Incentive (PBI)</t>
  </si>
  <si>
    <t>Incentive ($/kWh)</t>
  </si>
  <si>
    <t>Generation (kWh)</t>
  </si>
  <si>
    <t>Capacity Based Incentive (CBI)</t>
  </si>
  <si>
    <t>Plus: Interest Earned</t>
  </si>
  <si>
    <t>State Tax Benefit/(Liability)</t>
  </si>
  <si>
    <t>Total Taxable Incentives</t>
  </si>
  <si>
    <t>Taxable Income Including Incentives</t>
  </si>
  <si>
    <t>State Income Taxes</t>
  </si>
  <si>
    <t>Tax benefits assumed to be utilized when generated.</t>
  </si>
  <si>
    <t>Insurance</t>
  </si>
  <si>
    <t>State Tax Rate</t>
  </si>
  <si>
    <t>The Indirect Capital Cost category of "Project, Land, Miscellaneous" was changed to "Development Costs (Project, Land, Miscellaneous)".</t>
  </si>
  <si>
    <t>Depreciation</t>
  </si>
  <si>
    <t>State Depreciation</t>
  </si>
  <si>
    <t>Allocations (%)</t>
  </si>
  <si>
    <t>5-yr MACRS</t>
  </si>
  <si>
    <t>15-yr MACRS</t>
  </si>
  <si>
    <t>5-yr SL</t>
  </si>
  <si>
    <t>15-yr SL</t>
  </si>
  <si>
    <t>20-yr SL</t>
  </si>
  <si>
    <t>39-yr SL</t>
  </si>
  <si>
    <t>Non-Depreciable</t>
  </si>
  <si>
    <t>Allocations ($)</t>
  </si>
  <si>
    <t>Federal Depreciation</t>
  </si>
  <si>
    <t>DEPRECIATION SCHEDULES - Half Year</t>
  </si>
  <si>
    <t>Salvage Value</t>
  </si>
  <si>
    <t>Gross Amount Allocated</t>
  </si>
  <si>
    <t>Total Basis Reduction</t>
  </si>
  <si>
    <t>Reduction: IBI</t>
  </si>
  <si>
    <t>Reduction: CBI</t>
  </si>
  <si>
    <t>% of Total Depreciable Basis</t>
  </si>
  <si>
    <t>Depreciable Basis Prior to ITC</t>
  </si>
  <si>
    <t>Depreciable Basis After ITC Reduction</t>
  </si>
  <si>
    <t>Applicable %</t>
  </si>
  <si>
    <t>IBI and CBI assumed cash payments at COD</t>
  </si>
  <si>
    <t>State ITC</t>
  </si>
  <si>
    <t>ITC Qualifying Costs</t>
  </si>
  <si>
    <t>Depreciable Basis</t>
  </si>
  <si>
    <t>ITC Amount</t>
  </si>
  <si>
    <t>% of ITC Qualifying Costs</t>
  </si>
  <si>
    <t>ITC Basis Disallowance</t>
  </si>
  <si>
    <t>ITC Basis Disallowance is hard coded at 50%</t>
  </si>
  <si>
    <t>Total ITC Qualifying Cost Reduction</t>
  </si>
  <si>
    <t>ITC Qualifying Cost Reductions</t>
  </si>
  <si>
    <t>Depreciable Basis Incentive Reductions</t>
  </si>
  <si>
    <t>Adjusted ITC Qualifying Costs</t>
  </si>
  <si>
    <t>ITC as % of Project Cost</t>
  </si>
  <si>
    <t>ITC as Fixed Amount</t>
  </si>
  <si>
    <t>ITC Reduction: State</t>
  </si>
  <si>
    <t>ITC Reduction: Federal</t>
  </si>
  <si>
    <t>State Investment Tax Credit</t>
  </si>
  <si>
    <t>Federal Investment Tax Credit</t>
  </si>
  <si>
    <t>Federal ITC</t>
  </si>
  <si>
    <t>Production Tax Credit (PTC)</t>
  </si>
  <si>
    <t>Both state and federal PTC is assumed to be rounded to the nearest $/MWh, as per current federal PTC methodology.</t>
  </si>
  <si>
    <t>Unadjusted PTC value ($/kWh)</t>
  </si>
  <si>
    <t>Adjusted PTC Value ($/MWh)</t>
  </si>
  <si>
    <t>Production (MWh)</t>
  </si>
  <si>
    <t>Capital Structure</t>
  </si>
  <si>
    <t>Equity</t>
  </si>
  <si>
    <t>IBI - Percent of Direct Cost</t>
  </si>
  <si>
    <t>IBI - Fixed Amount</t>
  </si>
  <si>
    <t>CBI</t>
  </si>
  <si>
    <t>Total($/DC-Watt)</t>
  </si>
  <si>
    <t>Cash Flows from Investing Activities</t>
  </si>
  <si>
    <t>(Purchase)/Sale of Property</t>
  </si>
  <si>
    <t>(Increase)/Decrease in Reserve Accounts</t>
  </si>
  <si>
    <t>DSRA</t>
  </si>
  <si>
    <t>Cash Flows from Financing Activities</t>
  </si>
  <si>
    <t>Borrowing/(Redemption) of Long-Term Debt</t>
  </si>
  <si>
    <t>Pre-Tax Cashflow</t>
  </si>
  <si>
    <t>Cash Flow from Operating Activities</t>
  </si>
  <si>
    <t>Less: Interest Expense</t>
  </si>
  <si>
    <t>Working Capital Reserve Account</t>
  </si>
  <si>
    <t>Reserve Accounts</t>
  </si>
  <si>
    <t>O&amp;M/Working Capital Reserve</t>
  </si>
  <si>
    <t>MAJOR EQUIPMENT REPLACEMENT RESERVE</t>
  </si>
  <si>
    <t>Cost of Replacement (in year 1 $/DC-Watt)</t>
  </si>
  <si>
    <t>Added the concept of interest on reserves.</t>
  </si>
  <si>
    <t>Timing of Funding</t>
  </si>
  <si>
    <t>Cost of Each Occurrence</t>
  </si>
  <si>
    <t>Funding (through operations)</t>
  </si>
  <si>
    <t>Funding of Each Occurrence</t>
  </si>
  <si>
    <t>Interest on Reserves</t>
  </si>
  <si>
    <t>Total Reserves</t>
  </si>
  <si>
    <t>Major Equipment Capital Spending</t>
  </si>
  <si>
    <t>SALVAGE VALUE</t>
  </si>
  <si>
    <t>Incentives</t>
  </si>
  <si>
    <t>IBI</t>
  </si>
  <si>
    <t>Major Equipment Replacement Depreciation</t>
  </si>
  <si>
    <t>Timing</t>
  </si>
  <si>
    <t>Depreciation Schedule Selected</t>
  </si>
  <si>
    <t>Year</t>
  </si>
  <si>
    <t>Depreciation Percent</t>
  </si>
  <si>
    <t>Depreciation Amount</t>
  </si>
  <si>
    <t>Plus: PBI (not included above)</t>
  </si>
  <si>
    <t>Total Project Returns: Pre-Tax</t>
  </si>
  <si>
    <t>Equity Investment</t>
  </si>
  <si>
    <t>Operating Cash Distributions/(Contributions)</t>
  </si>
  <si>
    <t>IRR</t>
  </si>
  <si>
    <t>NPV</t>
  </si>
  <si>
    <t>Total Project Returns: After-Tax</t>
  </si>
  <si>
    <t>Cash</t>
  </si>
  <si>
    <t xml:space="preserve">Total </t>
  </si>
  <si>
    <t>ITC</t>
  </si>
  <si>
    <t>PTC</t>
  </si>
  <si>
    <t>Tax Benefit/(Liability)</t>
  </si>
  <si>
    <t>Federal Tax Benefit/(Liability)</t>
  </si>
  <si>
    <t>Tax Investor</t>
  </si>
  <si>
    <t>Equity Structure</t>
  </si>
  <si>
    <t xml:space="preserve">Percent </t>
  </si>
  <si>
    <t>Sponsor</t>
  </si>
  <si>
    <t>Cash Sharing Ratio</t>
  </si>
  <si>
    <t>Pre-Flip</t>
  </si>
  <si>
    <t>Post-Flip</t>
  </si>
  <si>
    <t>Tax Benefit Sharing Ratio</t>
  </si>
  <si>
    <t>After-Tax Flip/Return Targets</t>
  </si>
  <si>
    <t>Return Targets</t>
  </si>
  <si>
    <t>Target Year</t>
  </si>
  <si>
    <t>Project Life (for reference)</t>
  </si>
  <si>
    <t>Max After-Tax IRR</t>
  </si>
  <si>
    <t>After-Tax IRR</t>
  </si>
  <si>
    <t>Returns</t>
  </si>
  <si>
    <t>Total Project</t>
  </si>
  <si>
    <t>Pre-Tax</t>
  </si>
  <si>
    <t>After-Tax</t>
  </si>
  <si>
    <t>Tax Investor: After-Tax</t>
  </si>
  <si>
    <t>Tax Investor: Pre-Tax</t>
  </si>
  <si>
    <t>Sponsor: Pre-Tax</t>
  </si>
  <si>
    <t>Sponsor: After-Tax</t>
  </si>
  <si>
    <t>Total Project Returns</t>
  </si>
  <si>
    <t>Partner Returns</t>
  </si>
  <si>
    <t>Target Return Reached</t>
  </si>
  <si>
    <t>Tax Equity/Lessor</t>
  </si>
  <si>
    <t>LCOE</t>
  </si>
  <si>
    <t>LCOE (c/kWh)</t>
  </si>
  <si>
    <t>State Depreciation Amounts</t>
  </si>
  <si>
    <t>Federal Depreciation Amounts</t>
  </si>
  <si>
    <t>IBI and CBI</t>
  </si>
  <si>
    <t>Soft costs have been added to the capital costs.</t>
  </si>
  <si>
    <t>Tax benefits</t>
  </si>
  <si>
    <t>Annual Operating Costs</t>
  </si>
  <si>
    <t>Sales Tax is based on Direct and Indirect costs, not including financing costs.</t>
  </si>
  <si>
    <t>Property Tax is based on Direct and Indirect costs, not including financing costs.</t>
  </si>
  <si>
    <t>PBI</t>
  </si>
  <si>
    <t>Note, IBI and CBI depreciable basis reductions (if applicable) were allocated over only the depreciable basis. No allocations were made to the Non-Depreciable category.</t>
  </si>
  <si>
    <t>Federal Cash Grant and ITC Tax Credit are not differentiated in this version.</t>
  </si>
  <si>
    <t>The State and Federal ITC are shown as tax credits in year 1.</t>
  </si>
  <si>
    <t>Reserves</t>
  </si>
  <si>
    <t>A separate Working Capital/O&amp;M reserve account was added.</t>
  </si>
  <si>
    <t>Model assumes 100% construction debt</t>
  </si>
  <si>
    <t>Previous model assumed 100% of project costs assigned to specified schedule, with MACRS schedule being 5-year MACRS only. Additional detail was added to this model to allow the user to specify the percentage of total project cost assigned to multiple schedules.</t>
  </si>
  <si>
    <t>The user has the option to specify if the PBI is (a) taxable income (either state and federal), and (b) is available for debt service.</t>
  </si>
  <si>
    <t>Major Equipment Replacement Reserve concept was added.</t>
  </si>
  <si>
    <t>Frequency (every X years)</t>
  </si>
  <si>
    <t>Sponsor/Lessee/Single Owner</t>
  </si>
  <si>
    <t>a</t>
  </si>
  <si>
    <t>b</t>
  </si>
  <si>
    <t>c</t>
  </si>
  <si>
    <t>d</t>
  </si>
  <si>
    <t>Total Revenue</t>
  </si>
  <si>
    <t>STRUCTURE SPECIFIC INPUTS &amp; RESULTS</t>
  </si>
  <si>
    <t>Percentage</t>
  </si>
  <si>
    <t>Assets in This Class Qualify for ITC</t>
  </si>
  <si>
    <t>A net after-tax salvage value input was added as a percent of pre-financing capital costs.</t>
  </si>
  <si>
    <t>Check: Is Total Reduction Used</t>
  </si>
  <si>
    <t>Partial Income Statement: Project</t>
  </si>
  <si>
    <t>Cash Flow: Project</t>
  </si>
  <si>
    <t>Denotes input</t>
  </si>
  <si>
    <t>Denotes a formula or output</t>
  </si>
  <si>
    <t>Calculation</t>
  </si>
  <si>
    <t>To obtain optimal results, the user should set their "Maximum Change" in Excel to 0.0001. This can be done in Excel 2007 by clicking on the Microsoft logo in the upper left hand corner, clicking on the "Excel Options" botton, selecting "Formula" and setting the Maximum Change.</t>
  </si>
  <si>
    <t>The user has the option to specify if each IBI and/or CBI is (a) taxable income (either state or federal), (b) reduces ITC qualifying costs (either state or federal) and (c ) reduces depreciable basis (either state or federal)</t>
  </si>
  <si>
    <t>In the utility_ipp model sent Sales Tax is used (a) as a tax on the direct costs, so it is included in the total capital costs and (b) as a reduction of taxable income in year 1, calculated as a percentage of total project cost. The latter was not included as it was  unclear why it would be shown again in year 1.</t>
  </si>
  <si>
    <t>KEY</t>
  </si>
  <si>
    <t xml:space="preserve">Note: the "Calculate" buttons for each structure will solve for an initial year PPA Price required to yield the required investor return. </t>
  </si>
  <si>
    <t>SAM MODEL UPDATE</t>
  </si>
  <si>
    <t>Remove the mid-quarter depreciation convention as an option.</t>
  </si>
  <si>
    <t>Nominal Discount Rate</t>
  </si>
  <si>
    <t>The label for the "Real Discount Rate" was changed to "Nominal Discount Rate"</t>
  </si>
  <si>
    <t>Net Pre-Tax Cash Salvage Value (% Pre-Finance Costs)</t>
  </si>
  <si>
    <t>Net Pre-Tax Cash Salvage Value ($ at end of project)</t>
  </si>
  <si>
    <t>Discount Rate</t>
  </si>
  <si>
    <t>Net Salvage Value</t>
  </si>
  <si>
    <t>Sizing</t>
  </si>
  <si>
    <t>Annual Rate</t>
  </si>
  <si>
    <t>Present Value Interest Factor</t>
  </si>
  <si>
    <t>Present Value of CAFDS</t>
  </si>
  <si>
    <t>Size of Debt</t>
  </si>
  <si>
    <t>Annual All-In Interest Rate</t>
  </si>
  <si>
    <t>Debt Mechanics</t>
  </si>
  <si>
    <t>PTC Escalation</t>
  </si>
  <si>
    <t>Pre-Financing Costs</t>
  </si>
  <si>
    <t>% of Pre-Financing Costs Assessed</t>
  </si>
  <si>
    <t>Assessed Value of Property fo Tax Pursposes</t>
  </si>
  <si>
    <t>Assessed Value Annual Decline</t>
  </si>
  <si>
    <t>Annual Property Tax Rate</t>
  </si>
  <si>
    <t>Net Assessed Value</t>
  </si>
  <si>
    <t xml:space="preserve">ANNUAL PRODUCTION </t>
  </si>
  <si>
    <t>Yr</t>
  </si>
  <si>
    <t>kWh (AC)</t>
  </si>
  <si>
    <t>Annual Production</t>
  </si>
  <si>
    <t>Collapsed the depreciation percentage allocations for both state and federal into one set of assumptions.</t>
  </si>
  <si>
    <t>Federal &amp; State Depreciation Allocations</t>
  </si>
  <si>
    <t>Bonus Depreciation</t>
  </si>
  <si>
    <t>First Year Bonus Depreciation</t>
  </si>
  <si>
    <t>Depreciation Allocation</t>
  </si>
  <si>
    <t>State Bonus Depreciation</t>
  </si>
  <si>
    <t>Assets in This Class Qualify for Bonus Depreciation</t>
  </si>
  <si>
    <t>Federal Bonus Depreciation</t>
  </si>
  <si>
    <t>Depreciable Basis After Bonus Reduction</t>
  </si>
  <si>
    <t>Bonus Amount</t>
  </si>
  <si>
    <t>ITC Qualification</t>
  </si>
  <si>
    <t>Consolidated the state and federal ITC qualification for each depreciation schedule into one input for all financing structures.</t>
  </si>
  <si>
    <t>Generation Equipment</t>
  </si>
  <si>
    <t>Balance of Plant</t>
  </si>
  <si>
    <t>Network Upgrades</t>
  </si>
  <si>
    <t>Land Improvements</t>
  </si>
  <si>
    <t>Subtotal</t>
  </si>
  <si>
    <t>Contingency</t>
  </si>
  <si>
    <t>Hard Costs</t>
  </si>
  <si>
    <t>Soft Costs</t>
  </si>
  <si>
    <t>Total Hard Costs</t>
  </si>
  <si>
    <t>Sales Tax (% of Hard and Soft Costs)</t>
  </si>
  <si>
    <t>Taxable Costs (%)</t>
  </si>
  <si>
    <t>Total Soft Costs</t>
  </si>
  <si>
    <t>Capital Cost Line Items</t>
  </si>
  <si>
    <t>Changed the capital cost line items with the DHF proposed items.</t>
  </si>
  <si>
    <t>Added a dollar figure amount to the Net Salvage Value input section so the user would see the number, rather than just the percent input. Also changed the label to read "Pre-Tax…" rather than "After-Tax".</t>
  </si>
  <si>
    <t>Updated the property tax calculations so the user now has the option to input (a) a percent of pre-financing costs applicable and (b) annual decline rate. Note, the calculation is hard coded so the assessed value that is declined will not go below zero.</t>
  </si>
  <si>
    <t>Federal &amp; State Depreciation</t>
  </si>
  <si>
    <t>Added first year bonus depreciation inputs for both state and federal. Also added depreciation category qualifications for each schedule.</t>
  </si>
  <si>
    <t>Per NREL request, changed the production input from an initial first year figure with an annual degradation to annual inputs for 40 years. Note, NCF calculation was removed given the inputs are now annual.</t>
  </si>
  <si>
    <t>Power Purchase Agreement (¢/kWh)</t>
  </si>
  <si>
    <t>Total Pre-Financing Installed Costs</t>
  </si>
  <si>
    <t>Year Flip Target/Year Hurdle Rate Reached</t>
  </si>
  <si>
    <t>Actual Year 
(note, red highlight indicates further investigation required)</t>
  </si>
  <si>
    <t>IRR at Year - 10</t>
  </si>
  <si>
    <t>Results</t>
  </si>
  <si>
    <t>NPV at Year - 10</t>
  </si>
  <si>
    <t>Structure Headers</t>
  </si>
  <si>
    <t>On the Inputs and Results tab added the financing structure headers periodically throughout the input section so the user could more readily identify the corresponding structure.</t>
  </si>
  <si>
    <t>Non-Depreciable 
(red higlight indicates invalid figure)</t>
  </si>
  <si>
    <t>Added conditional formatting to the "Non-Depreciable" allocation. This number is one minus all the other allocations. To the extent someone exceeds 100% with all the other allocations this figure will be a negative number, which is invalid. The cell with now highlight in red if a negative number is calculated.</t>
  </si>
  <si>
    <t>Depreciation Treatment for All Capital Expenditure</t>
  </si>
  <si>
    <t>Major Equipment Reserve 1</t>
  </si>
  <si>
    <t>Major Equipment Reserve 2</t>
  </si>
  <si>
    <t>Major Equipment Reserve 3</t>
  </si>
  <si>
    <t>Major Equipment Replacement Reserve 1</t>
  </si>
  <si>
    <t>Major Equipment Replacement Reserve 2</t>
  </si>
  <si>
    <t>Cost or Replacement (year 1 $)</t>
  </si>
  <si>
    <t>Major Equipment Replacement Reserves</t>
  </si>
  <si>
    <t>Major Equipment Replacement Reserve 3</t>
  </si>
  <si>
    <t>Major Equipment Spending 1</t>
  </si>
  <si>
    <t>Major Equipment Spending 2</t>
  </si>
  <si>
    <t>Major Equipment Spending 3</t>
  </si>
  <si>
    <t>Major Equipment Replacement 1</t>
  </si>
  <si>
    <t>Major Equipment Replacement - 2</t>
  </si>
  <si>
    <t>Major Equipment Replacement - 3</t>
  </si>
  <si>
    <t>Major Equipment Replacement 2</t>
  </si>
  <si>
    <t>Major Equipment Replacement 3</t>
  </si>
  <si>
    <t>Assessed Value of Property For Tax Purposes</t>
  </si>
  <si>
    <t>LCOE ($/kWh)</t>
  </si>
  <si>
    <t>Issuance of Equity</t>
  </si>
  <si>
    <t xml:space="preserve">Non-Depreciable </t>
  </si>
  <si>
    <t xml:space="preserve">Added two more Major Equipment Replacement Reserves. Note, MERR events in the final year of the analysis period occur. For example a MM event that occurs every 15 years will occur in years 15 and 30, even if the project has a 30 year life. </t>
  </si>
  <si>
    <t>Fixed a formula error in the major maintenance funding calculations. Note, only MM events during the analysis period are funded (including the last year of the analysis horizon). For example, if the MM is timed for ever 12 years, with a 30 year analysis horizon, events in years 12 and 24 will be funded, but there will be no reserve account funding for the event in year 36 as it is outside the analysis horizon.</t>
  </si>
  <si>
    <t>Added 10 year IRRs and NPVs to the current end of project IRRs and NPVs.</t>
  </si>
  <si>
    <t>Consolidated the Construction Financing Inputs so there is no only one set of inputs for all the financing structures.</t>
  </si>
  <si>
    <t>Changed the debt mechanics to a Constant Coverage Ratio methodology. Note, (a) the debt amount is now an output and (b) the DSCR constraints have been removed. Also consolidated the interest rate to just an annual all-in input, rather than a base rate plus spread.</t>
  </si>
  <si>
    <t>Replaced the state and federal user inputs for annual escalation and linked the calculation to the inflation assumption.</t>
  </si>
  <si>
    <t>Changes made to v2</t>
  </si>
  <si>
    <t>Changes made to v1</t>
  </si>
  <si>
    <t>Developer Fee</t>
  </si>
  <si>
    <t>Amount (% of Pre-Financing Costs)</t>
  </si>
  <si>
    <t>Development Fee</t>
  </si>
  <si>
    <t>Developer Fee Tax Liability</t>
  </si>
  <si>
    <t>(i) removed Developer Fee from "Developer Costs &amp; Fees" line item (Inputs &amp; Results, B13), so the line is now "Developer Costs"; (ii) added a separate input line item for Developer Fees for each financing structure other than Single Owner (Inputs &amp; Results, row 139); (iii) added Developer Fee to the Developer Return section of the Leveraged Partnership Flip tab, including the tax liability of the Fee; (iv) changed the Developer Cumulative IRR calculation to read "N/A" if a return could not be calculated.</t>
  </si>
  <si>
    <t>Single Owner Structure</t>
  </si>
  <si>
    <t>Added the Single Owner financing structure.</t>
  </si>
  <si>
    <t>Insurance (% of Pre-Financing Installed Costs)</t>
  </si>
  <si>
    <t>Changed the Insurance Cost line item label to "…(% of Pre-Financing Installed Cost)". Note, the formula did not change. This was a label change only.</t>
  </si>
  <si>
    <t>Year Target Return Reached</t>
  </si>
  <si>
    <t>Max IRR</t>
  </si>
  <si>
    <t>Tax Benefits</t>
  </si>
  <si>
    <t>Sponsor Capital Recovery</t>
  </si>
  <si>
    <t>Duration of Recovery</t>
  </si>
  <si>
    <t>If "Time" - Duration (in years)</t>
  </si>
  <si>
    <t>Sponsor Capital Recovery (AEPF Structure Only)</t>
  </si>
  <si>
    <t>Full Capital Recovery</t>
  </si>
  <si>
    <t>Note: 100% Cash to Sponsor During Recovery Period</t>
  </si>
  <si>
    <t>Cumulative IRR</t>
  </si>
  <si>
    <t>Cumulative NPV</t>
  </si>
  <si>
    <t>All Equity Partnership Flip Structure</t>
  </si>
  <si>
    <t>Lease Structure</t>
  </si>
  <si>
    <t>Annual Escalation</t>
  </si>
  <si>
    <t>Production Based Incentive</t>
  </si>
  <si>
    <t xml:space="preserve">Added the PBI to Revenue in the All Equity Flip structure. In the Leveraged Partnership Flip structure and the Single Owner structure the user has the choice to include (or not) the PBI in project revenue, which impacts EBITDA for DSCR calculations. </t>
  </si>
  <si>
    <t>Sale Leaseback Assumptions</t>
  </si>
  <si>
    <t>Insurance carried at the project level.</t>
  </si>
  <si>
    <t>Amount ($/kW-DC)</t>
  </si>
  <si>
    <t>Lease Payment Reserve</t>
  </si>
  <si>
    <t>Lease Payment Reserve (Months of Reserve)</t>
  </si>
  <si>
    <t>Added a Lease Payment Reserve account that is held until the project end date. The Lease Payment Reserve is sized at COD but is not increased/(decreased) during the life of the project due to a circular reference).</t>
  </si>
  <si>
    <t>PPA Revenue</t>
  </si>
  <si>
    <t>Plus: Interest on Reserves</t>
  </si>
  <si>
    <t>Less: Operating Expenses</t>
  </si>
  <si>
    <t>Less: Lease Payment</t>
  </si>
  <si>
    <t>Plus: PBI</t>
  </si>
  <si>
    <t>Total Taxable Income</t>
  </si>
  <si>
    <t>Tax Equity (Lessor) - State</t>
  </si>
  <si>
    <t>Lease Payment</t>
  </si>
  <si>
    <t>Plus: IBI</t>
  </si>
  <si>
    <t>Plus: CBI</t>
  </si>
  <si>
    <t>Taxes - Tax Equity (Lessor)</t>
  </si>
  <si>
    <t>Tax Equity (Lessor) - Federal</t>
  </si>
  <si>
    <t>Tax Investor (Lessor): After-Tax</t>
  </si>
  <si>
    <t>Lease Payments</t>
  </si>
  <si>
    <t>Sponsor Margin</t>
  </si>
  <si>
    <t>Annual Sponsor Margin</t>
  </si>
  <si>
    <t>Sponsor Tax Benefit/(Liability)</t>
  </si>
  <si>
    <t>Party Returns</t>
  </si>
  <si>
    <t>Share of Project Tax Benefit/(Liability)</t>
  </si>
  <si>
    <t>After-Tax Return in Target Year</t>
  </si>
  <si>
    <t>For additional information on depreciation schedules. Please refer to IRS publication 946.</t>
  </si>
  <si>
    <t>http://www.irs.gov/pub/irs-pdf/p946.pdf</t>
  </si>
  <si>
    <t>Sponsor Capital Investment</t>
  </si>
  <si>
    <t>Operating Cash to Sponsor During Recovery Period</t>
  </si>
  <si>
    <t>Operating Cash During Capital Recovery Period</t>
  </si>
  <si>
    <t>Operating Cash Distributions/(Contributions) Post Recovery Period</t>
  </si>
  <si>
    <t>NPV - Annual Payments ($)</t>
  </si>
  <si>
    <t>NPV - Generation (kWh)</t>
  </si>
  <si>
    <t>Annual PPA Revenue</t>
  </si>
  <si>
    <t>Pre-Tax Cashflow Including Release of Reserves and Salvage Value</t>
  </si>
  <si>
    <t>Adjustment for Salvage Value</t>
  </si>
  <si>
    <t>Pre-Tax Operating Cashflow (Effective Lease Payment)</t>
  </si>
  <si>
    <t>Plus: Pre-Tax Salvage Value</t>
  </si>
  <si>
    <t>Pre-Tax Salvage Value</t>
  </si>
  <si>
    <t>Release of Working Capital Reserve</t>
  </si>
  <si>
    <t>Release of Lease Payment Reserve</t>
  </si>
  <si>
    <t>Release of Major Equipment Replacement Reserves</t>
  </si>
  <si>
    <t>Added the All Equity Partnership Flip financing structure.</t>
  </si>
  <si>
    <t>Developer Margin is an input in the model, while Lease Payment is an output. This was done so a PPA Price can be solved for. The Effective Lease Payment is the cash generated from the project after expenses, developer margin, and funding of reserves.</t>
  </si>
  <si>
    <t>Adjustment for Release of Reserves</t>
  </si>
  <si>
    <t>Sponsor (Lessee): Pre-Tax</t>
  </si>
  <si>
    <t>Sponsor (Lessee): After-Tax</t>
  </si>
  <si>
    <t>Tax Equity (Lessor): Pre-Tax</t>
  </si>
  <si>
    <t>Other Financing Cost</t>
  </si>
  <si>
    <t>PBI Escalation Rate</t>
  </si>
  <si>
    <t>Updated the PBI formulas in each of the financing structure tabs to include the annual escalation rate.</t>
  </si>
  <si>
    <t>Annual Sponsor (Lessee) Margin</t>
  </si>
  <si>
    <t>Development Costs</t>
  </si>
  <si>
    <t>Taxes - Sponsor (Lessee)</t>
  </si>
  <si>
    <t>Development Fee (Gain on Sale of Asset)</t>
  </si>
  <si>
    <t>Purchase Price of Asset</t>
  </si>
  <si>
    <t>Cash Flow: Lessee</t>
  </si>
  <si>
    <t>Sale of Property</t>
  </si>
  <si>
    <t>Purchase of Plant and Equipment</t>
  </si>
  <si>
    <t>Distribution of Development Fee</t>
  </si>
  <si>
    <t>Cash Flow: Lessor</t>
  </si>
  <si>
    <t>Purchase of Property</t>
  </si>
  <si>
    <t>Plus: Development Fee (Gain on Sale)</t>
  </si>
  <si>
    <t>Plus: Reserve Account Cash Received (Gain on Sale)</t>
  </si>
  <si>
    <t>Salvage Value goes to Lessor and is taxable.</t>
  </si>
  <si>
    <t>Release of reserve accounts goes to Lessee and is non-taxable.</t>
  </si>
  <si>
    <t xml:space="preserve">CBI's and IBI's go to Lessor. </t>
  </si>
  <si>
    <t>PBI's flow to the project and are taxable (if so specified) to the Lessee.</t>
  </si>
  <si>
    <t>Interest on Reserves (all but Lease Payment Reserve)</t>
  </si>
  <si>
    <t>Interest on Lease Payment Reserve</t>
  </si>
  <si>
    <t>Interest Earned on Lease Payment Reserve</t>
  </si>
  <si>
    <t>Plus: Interest on Lease Payment Reserve</t>
  </si>
  <si>
    <t>Plus: Interest on Reserves (Non-Lease Payment Reserve)</t>
  </si>
  <si>
    <t>PBI (All Equity Flip &amp; Sale Leaseback structures)</t>
  </si>
  <si>
    <t>Discuss with NREL that the Developer Margin may not be sufficient to provide positive cash flow. May need to add a warning to the user to increase the margin.</t>
  </si>
  <si>
    <t xml:space="preserve">Discuss with NREL the timing of the Development Fee for IRR purposes. </t>
  </si>
  <si>
    <t>Discuss with NREL the solver for the Leveraged Partnership Flip can find a solution that meets the target return in the target year, but yields negative cash flows to the Tax Investor.</t>
  </si>
  <si>
    <t>The Lessor Cash Purchase Price of the Asset and the Tax Purchase Price are the same and inlcude funding of reserve accounts.</t>
  </si>
  <si>
    <t>All tax incentives go to Lessor.</t>
  </si>
  <si>
    <t>Interest Income on the lease reserve account is given to the Lessee. Due to a circular reference it is kept off the Lessee cash flow statement (which is used to determine the size of the Lease Payment) and included directly in the Lessee return calculation. It is taxable to the Lessee.</t>
  </si>
  <si>
    <t>Partial Income Statement: Project (Lessee's Perspective)</t>
  </si>
  <si>
    <t>Sponsor (Lessee) - State</t>
  </si>
  <si>
    <t>Sponsor (Lessee) - Federal</t>
  </si>
  <si>
    <t>Rate</t>
  </si>
</sst>
</file>

<file path=xl/styles.xml><?xml version="1.0" encoding="utf-8"?>
<styleSheet xmlns="http://schemas.openxmlformats.org/spreadsheetml/2006/main">
  <numFmts count="13">
    <numFmt numFmtId="8" formatCode="&quot;$&quot;#,##0.00_);[Red]\(&quot;$&quot;#,##0.00\)"/>
    <numFmt numFmtId="41" formatCode="_(* #,##0_);_(* \(#,##0\);_(* &quot;-&quot;_);_(@_)"/>
    <numFmt numFmtId="44" formatCode="_(&quot;$&quot;* #,##0.00_);_(&quot;$&quot;* \(#,##0.00\);_(&quot;$&quot;* &quot;-&quot;??_);_(@_)"/>
    <numFmt numFmtId="43" formatCode="_(* #,##0.00_);_(* \(#,##0.00\);_(* &quot;-&quot;??_);_(@_)"/>
    <numFmt numFmtId="164" formatCode="0_);[Red]\(0\)"/>
    <numFmt numFmtId="165" formatCode="_(* #,##0.000_);_(* \(#,##0.000\);_(* &quot;-&quot;??_);_(@_)"/>
    <numFmt numFmtId="166" formatCode="_(* #,##0.000_);_(* \(#,##0.000\);_(* &quot;-&quot;???_);_(@_)"/>
    <numFmt numFmtId="167" formatCode="0.0%"/>
    <numFmt numFmtId="168" formatCode="_(* #,##0.00_);_(* \(#,##0.00\);_(* &quot;-&quot;_);_(@_)"/>
    <numFmt numFmtId="169" formatCode="0.000000"/>
    <numFmt numFmtId="170" formatCode="&quot;Yr&quot;\ #,##0"/>
    <numFmt numFmtId="171" formatCode="_(* #,##0.0000_);_(* \(#,##0.0000\);_(* &quot;-&quot;????_);_(@_)"/>
    <numFmt numFmtId="172" formatCode="0.000%"/>
  </numFmts>
  <fonts count="20">
    <font>
      <sz val="11"/>
      <color theme="1"/>
      <name val="Calibri"/>
      <family val="2"/>
      <scheme val="minor"/>
    </font>
    <font>
      <sz val="11"/>
      <color theme="1"/>
      <name val="Calibri"/>
      <family val="2"/>
      <scheme val="minor"/>
    </font>
    <font>
      <sz val="9"/>
      <color indexed="81"/>
      <name val="Tahoma"/>
      <family val="2"/>
    </font>
    <font>
      <b/>
      <sz val="9"/>
      <color indexed="81"/>
      <name val="Tahoma"/>
      <family val="2"/>
    </font>
    <font>
      <b/>
      <sz val="10"/>
      <name val="Calibri"/>
      <family val="2"/>
      <scheme val="minor"/>
    </font>
    <font>
      <sz val="10"/>
      <name val="Calibri"/>
      <family val="2"/>
      <scheme val="minor"/>
    </font>
    <font>
      <sz val="10"/>
      <color indexed="8"/>
      <name val="Calibri"/>
      <family val="2"/>
      <scheme val="minor"/>
    </font>
    <font>
      <sz val="10"/>
      <color indexed="12"/>
      <name val="Calibri"/>
      <family val="2"/>
      <scheme val="minor"/>
    </font>
    <font>
      <b/>
      <sz val="11"/>
      <color theme="1"/>
      <name val="Calibri"/>
      <family val="2"/>
      <scheme val="minor"/>
    </font>
    <font>
      <b/>
      <sz val="14"/>
      <color theme="1"/>
      <name val="Calibri"/>
      <family val="2"/>
      <scheme val="minor"/>
    </font>
    <font>
      <b/>
      <sz val="11"/>
      <color indexed="12"/>
      <name val="Calibri"/>
      <family val="2"/>
      <scheme val="minor"/>
    </font>
    <font>
      <sz val="10"/>
      <color indexed="81"/>
      <name val="Tahoma"/>
      <family val="2"/>
    </font>
    <font>
      <b/>
      <sz val="12"/>
      <color theme="1"/>
      <name val="Calibri"/>
      <family val="2"/>
      <scheme val="minor"/>
    </font>
    <font>
      <b/>
      <sz val="16"/>
      <color theme="1"/>
      <name val="Calibri"/>
      <family val="2"/>
      <scheme val="minor"/>
    </font>
    <font>
      <sz val="10"/>
      <color theme="1"/>
      <name val="Calibri"/>
      <family val="2"/>
      <scheme val="minor"/>
    </font>
    <font>
      <b/>
      <sz val="10"/>
      <color theme="1"/>
      <name val="Calibri"/>
      <family val="2"/>
      <scheme val="minor"/>
    </font>
    <font>
      <i/>
      <sz val="10"/>
      <color theme="1"/>
      <name val="Calibri"/>
      <family val="2"/>
      <scheme val="minor"/>
    </font>
    <font>
      <sz val="10"/>
      <color rgb="FF0000CC"/>
      <name val="Calibri"/>
      <family val="2"/>
      <scheme val="minor"/>
    </font>
    <font>
      <sz val="10"/>
      <color rgb="FF0000FF"/>
      <name val="Calibri"/>
      <family val="2"/>
      <scheme val="minor"/>
    </font>
    <font>
      <sz val="10"/>
      <color theme="0" tint="-0.34998626667073579"/>
      <name val="Calibri"/>
      <family val="2"/>
      <scheme val="minor"/>
    </font>
  </fonts>
  <fills count="9">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lightGray"/>
    </fill>
    <fill>
      <patternFill patternType="solid">
        <fgColor indexed="22"/>
        <bgColor indexed="64"/>
      </patternFill>
    </fill>
    <fill>
      <patternFill patternType="solid">
        <fgColor theme="4" tint="0.59999389629810485"/>
        <bgColor indexed="64"/>
      </patternFill>
    </fill>
    <fill>
      <patternFill patternType="solid">
        <fgColor theme="0"/>
        <bgColor indexed="64"/>
      </patternFill>
    </fill>
    <fill>
      <patternFill patternType="lightGray">
        <bgColor auto="1"/>
      </patternFill>
    </fill>
  </fills>
  <borders count="28">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55"/>
      </top>
      <bottom style="thin">
        <color indexed="55"/>
      </bottom>
      <diagonal/>
    </border>
    <border>
      <left style="thin">
        <color indexed="64"/>
      </left>
      <right style="thin">
        <color indexed="64"/>
      </right>
      <top style="thin">
        <color indexed="55"/>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s>
  <cellStyleXfs count="3">
    <xf numFmtId="0" fontId="0" fillId="0" borderId="0"/>
    <xf numFmtId="9" fontId="1" fillId="0" borderId="0" applyFont="0" applyFill="0" applyBorder="0" applyAlignment="0" applyProtection="0"/>
    <xf numFmtId="44" fontId="1" fillId="0" borderId="0" applyFont="0" applyFill="0" applyBorder="0" applyAlignment="0" applyProtection="0"/>
  </cellStyleXfs>
  <cellXfs count="391">
    <xf numFmtId="0" fontId="0" fillId="0" borderId="0" xfId="0"/>
    <xf numFmtId="169" fontId="4" fillId="5" borderId="4" xfId="0" applyNumberFormat="1" applyFont="1" applyFill="1" applyBorder="1" applyAlignment="1">
      <alignment horizontal="left"/>
    </xf>
    <xf numFmtId="0" fontId="5" fillId="5" borderId="2" xfId="0" applyNumberFormat="1" applyFont="1" applyFill="1" applyBorder="1" applyAlignment="1"/>
    <xf numFmtId="41" fontId="6" fillId="5" borderId="2" xfId="2" applyNumberFormat="1" applyFont="1" applyFill="1" applyBorder="1"/>
    <xf numFmtId="0" fontId="5" fillId="5" borderId="5" xfId="0" applyNumberFormat="1" applyFont="1" applyFill="1" applyBorder="1" applyAlignment="1"/>
    <xf numFmtId="0" fontId="5" fillId="0" borderId="0" xfId="0" applyNumberFormat="1" applyFont="1" applyFill="1" applyAlignment="1"/>
    <xf numFmtId="0" fontId="5" fillId="0" borderId="6" xfId="0" applyNumberFormat="1" applyFont="1" applyFill="1" applyBorder="1" applyAlignment="1">
      <alignment horizontal="center"/>
    </xf>
    <xf numFmtId="0" fontId="4" fillId="0" borderId="3" xfId="0" applyNumberFormat="1" applyFont="1" applyFill="1" applyBorder="1" applyAlignment="1">
      <alignment horizontal="center"/>
    </xf>
    <xf numFmtId="170" fontId="5" fillId="0" borderId="13" xfId="0" applyNumberFormat="1" applyFont="1" applyFill="1" applyBorder="1" applyAlignment="1">
      <alignment horizontal="center"/>
    </xf>
    <xf numFmtId="10" fontId="7" fillId="0" borderId="13" xfId="0" applyNumberFormat="1" applyFont="1" applyFill="1" applyBorder="1" applyAlignment="1"/>
    <xf numFmtId="10" fontId="7" fillId="0" borderId="13" xfId="2" applyNumberFormat="1" applyFont="1" applyFill="1" applyBorder="1"/>
    <xf numFmtId="170" fontId="5" fillId="0" borderId="14" xfId="0" applyNumberFormat="1" applyFont="1" applyFill="1" applyBorder="1" applyAlignment="1">
      <alignment horizontal="center"/>
    </xf>
    <xf numFmtId="10" fontId="7" fillId="0" borderId="14" xfId="0" applyNumberFormat="1" applyFont="1" applyFill="1" applyBorder="1" applyAlignment="1"/>
    <xf numFmtId="10" fontId="7" fillId="0" borderId="14" xfId="2" applyNumberFormat="1" applyFont="1" applyFill="1" applyBorder="1"/>
    <xf numFmtId="10" fontId="7" fillId="0" borderId="14" xfId="0" applyNumberFormat="1" applyFont="1" applyFill="1" applyBorder="1" applyAlignment="1">
      <alignment horizontal="right"/>
    </xf>
    <xf numFmtId="170" fontId="5" fillId="0" borderId="15" xfId="0" applyNumberFormat="1" applyFont="1" applyFill="1" applyBorder="1" applyAlignment="1">
      <alignment horizontal="center"/>
    </xf>
    <xf numFmtId="10" fontId="7" fillId="0" borderId="15" xfId="0" applyNumberFormat="1" applyFont="1" applyFill="1" applyBorder="1" applyAlignment="1"/>
    <xf numFmtId="0" fontId="8" fillId="0" borderId="0" xfId="0" applyFont="1"/>
    <xf numFmtId="0" fontId="9" fillId="0" borderId="0" xfId="0" applyFont="1"/>
    <xf numFmtId="0" fontId="0" fillId="0" borderId="0" xfId="0" applyFill="1"/>
    <xf numFmtId="0" fontId="8" fillId="0" borderId="10" xfId="0" applyFont="1" applyBorder="1" applyAlignment="1">
      <alignment horizontal="center"/>
    </xf>
    <xf numFmtId="0" fontId="8" fillId="0" borderId="11" xfId="0" applyFont="1" applyBorder="1"/>
    <xf numFmtId="0" fontId="0" fillId="0" borderId="6" xfId="0" applyFont="1" applyBorder="1" applyAlignment="1">
      <alignment horizontal="right"/>
    </xf>
    <xf numFmtId="0" fontId="0" fillId="0" borderId="7" xfId="0" applyBorder="1" applyAlignment="1">
      <alignment horizontal="left" indent="2"/>
    </xf>
    <xf numFmtId="0" fontId="0" fillId="0" borderId="9" xfId="0" applyFont="1" applyBorder="1" applyAlignment="1">
      <alignment horizontal="right"/>
    </xf>
    <xf numFmtId="0" fontId="0" fillId="0" borderId="8" xfId="0" applyBorder="1" applyAlignment="1">
      <alignment horizontal="left" wrapText="1" indent="2"/>
    </xf>
    <xf numFmtId="0" fontId="0" fillId="0" borderId="8" xfId="0" applyBorder="1" applyAlignment="1">
      <alignment horizontal="left" wrapText="1" indent="1"/>
    </xf>
    <xf numFmtId="0" fontId="0" fillId="0" borderId="7" xfId="0" applyBorder="1" applyAlignment="1">
      <alignment horizontal="left" wrapText="1" indent="2"/>
    </xf>
    <xf numFmtId="0" fontId="8" fillId="0" borderId="11" xfId="0" applyFont="1" applyBorder="1" applyAlignment="1">
      <alignment horizontal="left" wrapText="1"/>
    </xf>
    <xf numFmtId="0" fontId="0" fillId="0" borderId="7" xfId="0" applyFill="1" applyBorder="1" applyAlignment="1">
      <alignment horizontal="left" wrapText="1" indent="2"/>
    </xf>
    <xf numFmtId="0" fontId="12" fillId="0" borderId="0" xfId="0" applyFont="1"/>
    <xf numFmtId="0" fontId="0" fillId="0" borderId="0" xfId="0" applyFont="1"/>
    <xf numFmtId="0" fontId="0" fillId="0" borderId="20" xfId="0" applyFont="1" applyBorder="1"/>
    <xf numFmtId="0" fontId="0" fillId="0" borderId="20" xfId="0" applyFont="1" applyBorder="1" applyAlignment="1">
      <alignment wrapText="1"/>
    </xf>
    <xf numFmtId="0" fontId="13" fillId="2" borderId="21" xfId="0" applyFont="1" applyFill="1" applyBorder="1"/>
    <xf numFmtId="0" fontId="13" fillId="2" borderId="23" xfId="0" applyFont="1" applyFill="1" applyBorder="1"/>
    <xf numFmtId="0" fontId="13" fillId="2" borderId="22" xfId="0" applyFont="1" applyFill="1" applyBorder="1"/>
    <xf numFmtId="0" fontId="14" fillId="0" borderId="0" xfId="0" applyFont="1"/>
    <xf numFmtId="0" fontId="15" fillId="3" borderId="21" xfId="0" applyFont="1" applyFill="1" applyBorder="1"/>
    <xf numFmtId="0" fontId="14" fillId="3" borderId="22" xfId="0" applyFont="1" applyFill="1" applyBorder="1"/>
    <xf numFmtId="0" fontId="14" fillId="0" borderId="0" xfId="0" applyFont="1" applyBorder="1"/>
    <xf numFmtId="0" fontId="14" fillId="3" borderId="23" xfId="0" applyFont="1" applyFill="1" applyBorder="1"/>
    <xf numFmtId="0" fontId="14" fillId="0" borderId="0" xfId="0" applyFont="1" applyFill="1" applyBorder="1"/>
    <xf numFmtId="0" fontId="14" fillId="0" borderId="6" xfId="0" applyFont="1" applyBorder="1"/>
    <xf numFmtId="0" fontId="14" fillId="0" borderId="7" xfId="0" applyFont="1" applyBorder="1"/>
    <xf numFmtId="0" fontId="14" fillId="6" borderId="21" xfId="0" applyFont="1" applyFill="1" applyBorder="1"/>
    <xf numFmtId="0" fontId="14" fillId="6" borderId="22" xfId="0" applyFont="1" applyFill="1" applyBorder="1"/>
    <xf numFmtId="10" fontId="5" fillId="0" borderId="7" xfId="1" applyNumberFormat="1" applyFont="1" applyBorder="1"/>
    <xf numFmtId="0" fontId="15" fillId="0" borderId="20" xfId="0" applyFont="1" applyBorder="1" applyAlignment="1">
      <alignment horizontal="center"/>
    </xf>
    <xf numFmtId="0" fontId="14" fillId="0" borderId="6" xfId="0" applyFont="1" applyFill="1" applyBorder="1" applyAlignment="1">
      <alignment horizontal="left" indent="2"/>
    </xf>
    <xf numFmtId="41" fontId="5" fillId="0" borderId="7" xfId="0" applyNumberFormat="1" applyFont="1" applyFill="1" applyBorder="1"/>
    <xf numFmtId="0" fontId="5" fillId="7" borderId="21" xfId="0" applyFont="1" applyFill="1" applyBorder="1"/>
    <xf numFmtId="0" fontId="5" fillId="7" borderId="22" xfId="0" applyFont="1" applyFill="1" applyBorder="1"/>
    <xf numFmtId="41" fontId="5" fillId="0" borderId="0" xfId="0" applyNumberFormat="1" applyFont="1" applyBorder="1"/>
    <xf numFmtId="41" fontId="5" fillId="0" borderId="7" xfId="0" applyNumberFormat="1" applyFont="1" applyBorder="1"/>
    <xf numFmtId="0" fontId="14" fillId="0" borderId="6" xfId="0" applyFont="1" applyFill="1" applyBorder="1"/>
    <xf numFmtId="41" fontId="5" fillId="0" borderId="8" xfId="0" applyNumberFormat="1" applyFont="1" applyFill="1" applyBorder="1"/>
    <xf numFmtId="0" fontId="14" fillId="0" borderId="6" xfId="0" applyFont="1" applyBorder="1" applyAlignment="1">
      <alignment horizontal="left" indent="3"/>
    </xf>
    <xf numFmtId="41" fontId="5" fillId="6" borderId="7" xfId="0" applyNumberFormat="1" applyFont="1" applyFill="1" applyBorder="1"/>
    <xf numFmtId="0" fontId="14" fillId="0" borderId="6" xfId="0" applyFont="1" applyBorder="1" applyAlignment="1">
      <alignment horizontal="left" indent="2"/>
    </xf>
    <xf numFmtId="41" fontId="14" fillId="6" borderId="7" xfId="0" applyNumberFormat="1" applyFont="1" applyFill="1" applyBorder="1"/>
    <xf numFmtId="43" fontId="5" fillId="0" borderId="7" xfId="0" applyNumberFormat="1" applyFont="1" applyBorder="1"/>
    <xf numFmtId="172" fontId="14" fillId="0" borderId="8" xfId="1" applyNumberFormat="1" applyFont="1" applyBorder="1"/>
    <xf numFmtId="0" fontId="14" fillId="0" borderId="6" xfId="0" applyFont="1" applyBorder="1" applyAlignment="1">
      <alignment horizontal="left" indent="4"/>
    </xf>
    <xf numFmtId="10" fontId="5" fillId="0" borderId="8" xfId="1" applyNumberFormat="1" applyFont="1" applyBorder="1"/>
    <xf numFmtId="0" fontId="14" fillId="0" borderId="9" xfId="0" applyFont="1" applyBorder="1"/>
    <xf numFmtId="0" fontId="14" fillId="0" borderId="1" xfId="0" applyFont="1" applyBorder="1"/>
    <xf numFmtId="43" fontId="5" fillId="6" borderId="8" xfId="0" applyNumberFormat="1" applyFont="1" applyFill="1" applyBorder="1"/>
    <xf numFmtId="10" fontId="5" fillId="0" borderId="7" xfId="1" applyNumberFormat="1" applyFont="1" applyFill="1" applyBorder="1"/>
    <xf numFmtId="41" fontId="5" fillId="6" borderId="8" xfId="0" applyNumberFormat="1" applyFont="1" applyFill="1" applyBorder="1"/>
    <xf numFmtId="0" fontId="14" fillId="0" borderId="9" xfId="0" applyFont="1" applyFill="1" applyBorder="1"/>
    <xf numFmtId="0" fontId="14" fillId="0" borderId="1" xfId="0" applyFont="1" applyFill="1" applyBorder="1"/>
    <xf numFmtId="10" fontId="5" fillId="0" borderId="8" xfId="1" applyNumberFormat="1" applyFont="1" applyFill="1" applyBorder="1"/>
    <xf numFmtId="0" fontId="5" fillId="0" borderId="7" xfId="0" applyFont="1" applyBorder="1"/>
    <xf numFmtId="0" fontId="5" fillId="0" borderId="7" xfId="0" applyFont="1" applyBorder="1" applyAlignment="1">
      <alignment horizontal="right"/>
    </xf>
    <xf numFmtId="41" fontId="5" fillId="6" borderId="22" xfId="0" applyNumberFormat="1" applyFont="1" applyFill="1" applyBorder="1"/>
    <xf numFmtId="0" fontId="14" fillId="0" borderId="9" xfId="0" applyFont="1" applyBorder="1" applyAlignment="1">
      <alignment horizontal="left" indent="2"/>
    </xf>
    <xf numFmtId="0" fontId="5" fillId="0" borderId="8" xfId="0" applyFont="1" applyBorder="1" applyAlignment="1">
      <alignment horizontal="right"/>
    </xf>
    <xf numFmtId="41" fontId="14" fillId="6" borderId="22" xfId="0" applyNumberFormat="1" applyFont="1" applyFill="1" applyBorder="1"/>
    <xf numFmtId="0" fontId="16" fillId="0" borderId="9" xfId="0" applyFont="1" applyBorder="1"/>
    <xf numFmtId="0" fontId="5" fillId="0" borderId="8" xfId="0" applyFont="1" applyBorder="1"/>
    <xf numFmtId="43" fontId="14" fillId="6" borderId="7" xfId="0" applyNumberFormat="1" applyFont="1" applyFill="1" applyBorder="1"/>
    <xf numFmtId="0" fontId="14" fillId="0" borderId="8" xfId="0" applyFont="1" applyBorder="1"/>
    <xf numFmtId="0" fontId="14" fillId="0" borderId="9" xfId="0" applyFont="1" applyBorder="1" applyAlignment="1">
      <alignment horizontal="center"/>
    </xf>
    <xf numFmtId="41" fontId="5" fillId="0" borderId="1" xfId="0" applyNumberFormat="1" applyFont="1" applyBorder="1"/>
    <xf numFmtId="0" fontId="14" fillId="0" borderId="20" xfId="0" applyFont="1" applyBorder="1" applyAlignment="1">
      <alignment horizontal="center" wrapText="1"/>
    </xf>
    <xf numFmtId="0" fontId="14" fillId="0" borderId="27" xfId="0" applyFont="1" applyBorder="1"/>
    <xf numFmtId="0" fontId="14" fillId="0" borderId="20" xfId="0" applyFont="1" applyBorder="1" applyAlignment="1">
      <alignment horizontal="center"/>
    </xf>
    <xf numFmtId="0" fontId="5" fillId="0" borderId="16" xfId="0" applyFont="1" applyBorder="1"/>
    <xf numFmtId="0" fontId="5" fillId="0" borderId="0" xfId="0" applyFont="1" applyBorder="1"/>
    <xf numFmtId="0" fontId="5" fillId="0" borderId="16" xfId="0" applyFont="1" applyBorder="1" applyAlignment="1">
      <alignment horizontal="center"/>
    </xf>
    <xf numFmtId="0" fontId="5" fillId="0" borderId="7" xfId="0" applyFont="1" applyBorder="1" applyAlignment="1">
      <alignment horizontal="center"/>
    </xf>
    <xf numFmtId="0" fontId="5" fillId="0" borderId="20" xfId="0" applyFont="1" applyBorder="1" applyAlignment="1">
      <alignment horizontal="center"/>
    </xf>
    <xf numFmtId="167" fontId="5" fillId="0" borderId="0" xfId="1" applyNumberFormat="1" applyFont="1" applyBorder="1"/>
    <xf numFmtId="11" fontId="5" fillId="0" borderId="0" xfId="0" applyNumberFormat="1" applyFont="1" applyBorder="1"/>
    <xf numFmtId="0" fontId="5" fillId="0" borderId="20" xfId="0" applyFont="1" applyBorder="1" applyAlignment="1">
      <alignment horizontal="center" wrapText="1"/>
    </xf>
    <xf numFmtId="0" fontId="14" fillId="0" borderId="16" xfId="0" applyFont="1" applyBorder="1"/>
    <xf numFmtId="166" fontId="5" fillId="0" borderId="0" xfId="0" applyNumberFormat="1" applyFont="1" applyBorder="1"/>
    <xf numFmtId="43" fontId="5" fillId="0" borderId="0" xfId="0" applyNumberFormat="1" applyFont="1" applyBorder="1"/>
    <xf numFmtId="0" fontId="14" fillId="4" borderId="16" xfId="0" applyFont="1" applyFill="1" applyBorder="1"/>
    <xf numFmtId="0" fontId="14" fillId="4" borderId="7" xfId="0" applyFont="1" applyFill="1" applyBorder="1"/>
    <xf numFmtId="166" fontId="5" fillId="0" borderId="1" xfId="0" applyNumberFormat="1" applyFont="1" applyBorder="1"/>
    <xf numFmtId="43" fontId="5" fillId="0" borderId="1" xfId="0" applyNumberFormat="1" applyFont="1" applyBorder="1"/>
    <xf numFmtId="0" fontId="14" fillId="4" borderId="17" xfId="0" applyFont="1" applyFill="1" applyBorder="1"/>
    <xf numFmtId="0" fontId="14" fillId="4" borderId="8" xfId="0" applyFont="1" applyFill="1" applyBorder="1"/>
    <xf numFmtId="0" fontId="5" fillId="0" borderId="0" xfId="0" applyFont="1" applyFill="1" applyBorder="1"/>
    <xf numFmtId="0" fontId="5" fillId="0" borderId="7" xfId="0" applyFont="1" applyFill="1" applyBorder="1"/>
    <xf numFmtId="0" fontId="17" fillId="0" borderId="6" xfId="0" applyFont="1" applyFill="1" applyBorder="1" applyAlignment="1">
      <alignment horizontal="center"/>
    </xf>
    <xf numFmtId="0" fontId="17" fillId="0" borderId="7" xfId="0" applyFont="1" applyFill="1" applyBorder="1" applyAlignment="1">
      <alignment horizontal="center"/>
    </xf>
    <xf numFmtId="0" fontId="14" fillId="0" borderId="16" xfId="0" applyFont="1" applyFill="1" applyBorder="1"/>
    <xf numFmtId="41" fontId="17" fillId="0" borderId="6" xfId="0" applyNumberFormat="1" applyFont="1" applyBorder="1"/>
    <xf numFmtId="0" fontId="5" fillId="4" borderId="0" xfId="0" applyFont="1" applyFill="1" applyBorder="1"/>
    <xf numFmtId="0" fontId="5" fillId="4" borderId="7" xfId="0" applyFont="1" applyFill="1" applyBorder="1"/>
    <xf numFmtId="0" fontId="5" fillId="0" borderId="6" xfId="0" applyFont="1" applyBorder="1" applyAlignment="1">
      <alignment horizontal="center"/>
    </xf>
    <xf numFmtId="0" fontId="5" fillId="0" borderId="6" xfId="0" applyFont="1" applyBorder="1"/>
    <xf numFmtId="41" fontId="5" fillId="6" borderId="6" xfId="0" applyNumberFormat="1" applyFont="1" applyFill="1" applyBorder="1"/>
    <xf numFmtId="10" fontId="5" fillId="0" borderId="0" xfId="1" applyNumberFormat="1" applyFont="1" applyBorder="1"/>
    <xf numFmtId="0" fontId="5" fillId="0" borderId="6" xfId="0" applyFont="1" applyFill="1" applyBorder="1" applyAlignment="1">
      <alignment horizontal="center"/>
    </xf>
    <xf numFmtId="0" fontId="5" fillId="0" borderId="7" xfId="0" applyFont="1" applyFill="1" applyBorder="1" applyAlignment="1">
      <alignment horizontal="center"/>
    </xf>
    <xf numFmtId="0" fontId="14" fillId="0" borderId="0" xfId="0" applyFont="1" applyFill="1"/>
    <xf numFmtId="0" fontId="14" fillId="4" borderId="6" xfId="0" applyFont="1" applyFill="1" applyBorder="1"/>
    <xf numFmtId="165" fontId="5" fillId="0" borderId="0" xfId="0" applyNumberFormat="1" applyFont="1" applyBorder="1"/>
    <xf numFmtId="0" fontId="5" fillId="4" borderId="6" xfId="0" applyFont="1" applyFill="1" applyBorder="1"/>
    <xf numFmtId="0" fontId="14" fillId="4" borderId="9" xfId="0" applyFont="1" applyFill="1" applyBorder="1"/>
    <xf numFmtId="0" fontId="5" fillId="4" borderId="1" xfId="0" applyFont="1" applyFill="1" applyBorder="1"/>
    <xf numFmtId="165" fontId="5" fillId="0" borderId="1" xfId="0" applyNumberFormat="1" applyFont="1" applyBorder="1"/>
    <xf numFmtId="0" fontId="5" fillId="0" borderId="9" xfId="0" applyFont="1" applyBorder="1" applyAlignment="1">
      <alignment horizontal="center"/>
    </xf>
    <xf numFmtId="0" fontId="5" fillId="0" borderId="8" xfId="0" applyFont="1" applyBorder="1" applyAlignment="1">
      <alignment horizontal="center"/>
    </xf>
    <xf numFmtId="0" fontId="5" fillId="4" borderId="9" xfId="0" applyFont="1" applyFill="1" applyBorder="1"/>
    <xf numFmtId="0" fontId="5" fillId="4" borderId="8" xfId="0" applyFont="1" applyFill="1" applyBorder="1"/>
    <xf numFmtId="0" fontId="13" fillId="2" borderId="4" xfId="0" applyFont="1" applyFill="1" applyBorder="1"/>
    <xf numFmtId="0" fontId="13" fillId="2" borderId="2" xfId="0" applyFont="1" applyFill="1" applyBorder="1"/>
    <xf numFmtId="0" fontId="13" fillId="2" borderId="5" xfId="0" applyFont="1" applyFill="1" applyBorder="1"/>
    <xf numFmtId="0" fontId="14" fillId="0" borderId="3" xfId="0" applyFont="1" applyBorder="1" applyAlignment="1">
      <alignment horizontal="center" wrapText="1"/>
    </xf>
    <xf numFmtId="0" fontId="16" fillId="0" borderId="0" xfId="0" applyFont="1" applyAlignment="1">
      <alignment horizontal="left" wrapText="1"/>
    </xf>
    <xf numFmtId="0" fontId="14" fillId="0" borderId="16" xfId="0" applyFont="1" applyBorder="1" applyAlignment="1">
      <alignment horizontal="center" wrapText="1"/>
    </xf>
    <xf numFmtId="0" fontId="15" fillId="0" borderId="10" xfId="0" applyFont="1" applyBorder="1"/>
    <xf numFmtId="0" fontId="14" fillId="0" borderId="13" xfId="0" applyFont="1" applyBorder="1"/>
    <xf numFmtId="0" fontId="14" fillId="0" borderId="11" xfId="0" applyFont="1" applyBorder="1"/>
    <xf numFmtId="43" fontId="5" fillId="0" borderId="16" xfId="0" applyNumberFormat="1" applyFont="1" applyBorder="1"/>
    <xf numFmtId="10" fontId="5" fillId="0" borderId="17" xfId="1" applyNumberFormat="1" applyFont="1" applyBorder="1"/>
    <xf numFmtId="0" fontId="15" fillId="0" borderId="10" xfId="0" applyFont="1" applyBorder="1" applyAlignment="1">
      <alignment horizontal="left"/>
    </xf>
    <xf numFmtId="10" fontId="18" fillId="0" borderId="13" xfId="1" applyNumberFormat="1" applyFont="1" applyBorder="1"/>
    <xf numFmtId="0" fontId="15" fillId="0" borderId="6" xfId="0" applyFont="1" applyBorder="1" applyAlignment="1">
      <alignment horizontal="left" indent="3"/>
    </xf>
    <xf numFmtId="0" fontId="14" fillId="0" borderId="6" xfId="0" applyFont="1" applyBorder="1" applyAlignment="1">
      <alignment horizontal="left" indent="5"/>
    </xf>
    <xf numFmtId="41" fontId="14" fillId="6" borderId="16" xfId="0" applyNumberFormat="1" applyFont="1" applyFill="1" applyBorder="1"/>
    <xf numFmtId="41" fontId="14" fillId="0" borderId="0" xfId="0" applyNumberFormat="1" applyFont="1" applyFill="1" applyBorder="1"/>
    <xf numFmtId="10" fontId="14" fillId="6" borderId="16" xfId="1" applyNumberFormat="1" applyFont="1" applyFill="1" applyBorder="1"/>
    <xf numFmtId="10" fontId="14" fillId="0" borderId="0" xfId="1" applyNumberFormat="1" applyFont="1" applyFill="1" applyBorder="1"/>
    <xf numFmtId="43" fontId="14" fillId="6" borderId="16" xfId="0" applyNumberFormat="1" applyFont="1" applyFill="1" applyBorder="1"/>
    <xf numFmtId="43" fontId="14" fillId="0" borderId="0" xfId="0" applyNumberFormat="1" applyFont="1" applyFill="1" applyBorder="1"/>
    <xf numFmtId="0" fontId="15" fillId="0" borderId="6" xfId="0" applyFont="1" applyBorder="1" applyAlignment="1">
      <alignment horizontal="left" indent="2"/>
    </xf>
    <xf numFmtId="10" fontId="18" fillId="0" borderId="16" xfId="1" applyNumberFormat="1" applyFont="1" applyBorder="1"/>
    <xf numFmtId="10" fontId="18" fillId="0" borderId="0" xfId="1" applyNumberFormat="1" applyFont="1" applyFill="1" applyBorder="1"/>
    <xf numFmtId="0" fontId="14" fillId="0" borderId="6" xfId="0" applyFont="1" applyBorder="1" applyAlignment="1">
      <alignment horizontal="left" indent="6"/>
    </xf>
    <xf numFmtId="10" fontId="5" fillId="6" borderId="16" xfId="1" applyNumberFormat="1" applyFont="1" applyFill="1" applyBorder="1"/>
    <xf numFmtId="10" fontId="5" fillId="0" borderId="0" xfId="1" applyNumberFormat="1" applyFont="1" applyFill="1" applyBorder="1"/>
    <xf numFmtId="41" fontId="5" fillId="6" borderId="16" xfId="1" applyNumberFormat="1" applyFont="1" applyFill="1" applyBorder="1"/>
    <xf numFmtId="0" fontId="5" fillId="0" borderId="0" xfId="0" applyFont="1"/>
    <xf numFmtId="41" fontId="5" fillId="0" borderId="0" xfId="1" applyNumberFormat="1" applyFont="1" applyFill="1" applyBorder="1"/>
    <xf numFmtId="10" fontId="18" fillId="0" borderId="16" xfId="1" applyNumberFormat="1" applyFont="1" applyFill="1" applyBorder="1"/>
    <xf numFmtId="10" fontId="5" fillId="0" borderId="16" xfId="1" applyNumberFormat="1" applyFont="1" applyBorder="1"/>
    <xf numFmtId="10" fontId="5" fillId="6" borderId="7" xfId="1" applyNumberFormat="1" applyFont="1" applyFill="1" applyBorder="1"/>
    <xf numFmtId="41" fontId="5" fillId="0" borderId="16" xfId="0" applyNumberFormat="1" applyFont="1" applyBorder="1"/>
    <xf numFmtId="41" fontId="14" fillId="0" borderId="0" xfId="0" applyNumberFormat="1" applyFont="1"/>
    <xf numFmtId="41" fontId="14" fillId="0" borderId="16" xfId="0" applyNumberFormat="1" applyFont="1" applyBorder="1"/>
    <xf numFmtId="41" fontId="14" fillId="0" borderId="7" xfId="0" applyNumberFormat="1" applyFont="1" applyBorder="1"/>
    <xf numFmtId="41" fontId="5" fillId="6" borderId="16" xfId="0" applyNumberFormat="1" applyFont="1" applyFill="1" applyBorder="1"/>
    <xf numFmtId="0" fontId="5" fillId="4" borderId="16" xfId="0" applyFont="1" applyFill="1" applyBorder="1"/>
    <xf numFmtId="167" fontId="5" fillId="6" borderId="16" xfId="1" applyNumberFormat="1" applyFont="1" applyFill="1" applyBorder="1"/>
    <xf numFmtId="10" fontId="5" fillId="0" borderId="16" xfId="1" applyNumberFormat="1" applyFont="1" applyFill="1" applyBorder="1"/>
    <xf numFmtId="43" fontId="5" fillId="0" borderId="16" xfId="0" applyNumberFormat="1" applyFont="1" applyFill="1" applyBorder="1"/>
    <xf numFmtId="41" fontId="5" fillId="0" borderId="17" xfId="0" applyNumberFormat="1" applyFont="1" applyBorder="1"/>
    <xf numFmtId="41" fontId="5" fillId="6" borderId="17" xfId="0" applyNumberFormat="1" applyFont="1" applyFill="1" applyBorder="1"/>
    <xf numFmtId="0" fontId="14" fillId="0" borderId="9" xfId="0" applyFont="1" applyBorder="1" applyAlignment="1">
      <alignment horizontal="left" indent="4"/>
    </xf>
    <xf numFmtId="43" fontId="5" fillId="6" borderId="17" xfId="0" applyNumberFormat="1" applyFont="1" applyFill="1" applyBorder="1"/>
    <xf numFmtId="43" fontId="14" fillId="0" borderId="13" xfId="0" applyNumberFormat="1" applyFont="1" applyBorder="1"/>
    <xf numFmtId="43" fontId="14" fillId="0" borderId="11" xfId="0" applyNumberFormat="1" applyFont="1" applyBorder="1"/>
    <xf numFmtId="43" fontId="14" fillId="0" borderId="16" xfId="0" applyNumberFormat="1" applyFont="1" applyBorder="1"/>
    <xf numFmtId="43" fontId="14" fillId="0" borderId="7" xfId="0" applyNumberFormat="1" applyFont="1" applyBorder="1"/>
    <xf numFmtId="0" fontId="14" fillId="0" borderId="16" xfId="0" applyFont="1" applyBorder="1" applyAlignment="1">
      <alignment horizontal="left" indent="4"/>
    </xf>
    <xf numFmtId="167" fontId="14" fillId="4" borderId="16" xfId="0" applyNumberFormat="1" applyFont="1" applyFill="1" applyBorder="1"/>
    <xf numFmtId="167" fontId="5" fillId="6" borderId="17" xfId="1" applyNumberFormat="1" applyFont="1" applyFill="1" applyBorder="1"/>
    <xf numFmtId="41" fontId="5" fillId="0" borderId="13" xfId="0" applyNumberFormat="1" applyFont="1" applyBorder="1"/>
    <xf numFmtId="41" fontId="5" fillId="0" borderId="11" xfId="0" applyNumberFormat="1" applyFont="1" applyBorder="1"/>
    <xf numFmtId="41" fontId="5" fillId="0" borderId="16" xfId="1" applyNumberFormat="1" applyFont="1" applyBorder="1"/>
    <xf numFmtId="41" fontId="5" fillId="0" borderId="7" xfId="1" applyNumberFormat="1" applyFont="1" applyBorder="1"/>
    <xf numFmtId="0" fontId="5" fillId="0" borderId="6" xfId="0" applyNumberFormat="1" applyFont="1" applyFill="1" applyBorder="1" applyAlignment="1">
      <alignment horizontal="left" indent="6"/>
    </xf>
    <xf numFmtId="10" fontId="5" fillId="6" borderId="17" xfId="1" applyNumberFormat="1" applyFont="1" applyFill="1" applyBorder="1"/>
    <xf numFmtId="10" fontId="5" fillId="6" borderId="8" xfId="1" applyNumberFormat="1" applyFont="1" applyFill="1" applyBorder="1"/>
    <xf numFmtId="41" fontId="5" fillId="6" borderId="20" xfId="0" applyNumberFormat="1" applyFont="1" applyFill="1" applyBorder="1"/>
    <xf numFmtId="0" fontId="14" fillId="0" borderId="6" xfId="0" applyFont="1" applyBorder="1" applyAlignment="1">
      <alignment horizontal="center"/>
    </xf>
    <xf numFmtId="0" fontId="5" fillId="0" borderId="6" xfId="0" applyNumberFormat="1" applyFont="1" applyFill="1" applyBorder="1" applyAlignment="1">
      <alignment horizontal="left" indent="7"/>
    </xf>
    <xf numFmtId="0" fontId="5" fillId="0" borderId="6" xfId="0" applyFont="1" applyBorder="1" applyAlignment="1">
      <alignment horizontal="center"/>
    </xf>
    <xf numFmtId="0" fontId="5" fillId="0" borderId="7" xfId="0" applyFont="1" applyBorder="1" applyAlignment="1">
      <alignment horizontal="center"/>
    </xf>
    <xf numFmtId="0" fontId="5" fillId="0" borderId="6" xfId="0" applyNumberFormat="1" applyFont="1" applyFill="1" applyBorder="1" applyAlignment="1">
      <alignment horizontal="left" indent="8"/>
    </xf>
    <xf numFmtId="0" fontId="5" fillId="0" borderId="9" xfId="0" applyNumberFormat="1" applyFont="1" applyFill="1" applyBorder="1" applyAlignment="1">
      <alignment horizontal="left" indent="8"/>
    </xf>
    <xf numFmtId="0" fontId="5" fillId="0" borderId="9" xfId="0" applyNumberFormat="1" applyFont="1" applyFill="1" applyBorder="1" applyAlignment="1">
      <alignment horizontal="left" indent="6"/>
    </xf>
    <xf numFmtId="0" fontId="13" fillId="0" borderId="0" xfId="0" applyFont="1"/>
    <xf numFmtId="164" fontId="15" fillId="3" borderId="2" xfId="0" applyNumberFormat="1" applyFont="1" applyFill="1" applyBorder="1" applyAlignment="1">
      <alignment horizontal="center"/>
    </xf>
    <xf numFmtId="164" fontId="14" fillId="0" borderId="0" xfId="0" applyNumberFormat="1" applyFont="1" applyBorder="1" applyAlignment="1">
      <alignment horizontal="center"/>
    </xf>
    <xf numFmtId="0" fontId="15" fillId="3" borderId="3" xfId="0" applyFont="1" applyFill="1" applyBorder="1"/>
    <xf numFmtId="0" fontId="14" fillId="0" borderId="0" xfId="0" applyFont="1" applyAlignment="1">
      <alignment horizontal="left"/>
    </xf>
    <xf numFmtId="10" fontId="14" fillId="0" borderId="0" xfId="1" applyNumberFormat="1" applyFont="1"/>
    <xf numFmtId="0" fontId="15" fillId="0" borderId="0" xfId="0" applyFont="1"/>
    <xf numFmtId="168" fontId="14" fillId="0" borderId="0" xfId="0" applyNumberFormat="1" applyFont="1"/>
    <xf numFmtId="0" fontId="14" fillId="0" borderId="0" xfId="0" applyFont="1" applyAlignment="1">
      <alignment horizontal="left" indent="2"/>
    </xf>
    <xf numFmtId="43" fontId="14" fillId="0" borderId="1" xfId="0" applyNumberFormat="1" applyFont="1" applyBorder="1"/>
    <xf numFmtId="41" fontId="14" fillId="0" borderId="0" xfId="0" applyNumberFormat="1" applyFont="1" applyBorder="1"/>
    <xf numFmtId="41" fontId="14" fillId="0" borderId="1" xfId="0" applyNumberFormat="1" applyFont="1" applyBorder="1"/>
    <xf numFmtId="41" fontId="14" fillId="0" borderId="12" xfId="0" applyNumberFormat="1" applyFont="1" applyBorder="1"/>
    <xf numFmtId="0" fontId="14" fillId="0" borderId="0" xfId="0" applyFont="1" applyAlignment="1">
      <alignment horizontal="left" indent="3"/>
    </xf>
    <xf numFmtId="10" fontId="14" fillId="0" borderId="1" xfId="1" applyNumberFormat="1" applyFont="1" applyBorder="1"/>
    <xf numFmtId="167" fontId="14" fillId="0" borderId="1" xfId="1" applyNumberFormat="1" applyFont="1" applyBorder="1"/>
    <xf numFmtId="167" fontId="14" fillId="0" borderId="1" xfId="0" applyNumberFormat="1" applyFont="1" applyBorder="1"/>
    <xf numFmtId="41" fontId="14" fillId="0" borderId="18" xfId="0" applyNumberFormat="1" applyFont="1" applyBorder="1"/>
    <xf numFmtId="41" fontId="14" fillId="0" borderId="2" xfId="0" applyNumberFormat="1" applyFont="1" applyBorder="1"/>
    <xf numFmtId="0" fontId="15" fillId="0" borderId="0" xfId="0" applyFont="1" applyFill="1" applyBorder="1"/>
    <xf numFmtId="41" fontId="14" fillId="0" borderId="3" xfId="0" applyNumberFormat="1" applyFont="1" applyBorder="1"/>
    <xf numFmtId="0" fontId="14" fillId="0" borderId="0" xfId="0" applyFont="1" applyFill="1" applyBorder="1" applyAlignment="1">
      <alignment horizontal="left"/>
    </xf>
    <xf numFmtId="41" fontId="14" fillId="0" borderId="0" xfId="0" applyNumberFormat="1" applyFont="1" applyFill="1"/>
    <xf numFmtId="43" fontId="14" fillId="0" borderId="3" xfId="0" applyNumberFormat="1" applyFont="1" applyBorder="1"/>
    <xf numFmtId="0" fontId="14" fillId="0" borderId="0" xfId="0" applyFont="1" applyAlignment="1">
      <alignment horizontal="left" indent="4"/>
    </xf>
    <xf numFmtId="10" fontId="14" fillId="0" borderId="12" xfId="0" applyNumberFormat="1" applyFont="1" applyBorder="1"/>
    <xf numFmtId="10" fontId="14" fillId="0" borderId="1" xfId="0" applyNumberFormat="1" applyFont="1" applyBorder="1"/>
    <xf numFmtId="41" fontId="14" fillId="0" borderId="1" xfId="0" applyNumberFormat="1" applyFont="1" applyFill="1" applyBorder="1"/>
    <xf numFmtId="0" fontId="14" fillId="0" borderId="0" xfId="0" applyFont="1" applyFill="1" applyBorder="1" applyAlignment="1">
      <alignment horizontal="left" indent="2"/>
    </xf>
    <xf numFmtId="0" fontId="14" fillId="0" borderId="0" xfId="0" applyFont="1" applyFill="1" applyBorder="1" applyAlignment="1">
      <alignment horizontal="left" indent="4"/>
    </xf>
    <xf numFmtId="0" fontId="14" fillId="0" borderId="4" xfId="0" applyFont="1" applyBorder="1" applyAlignment="1">
      <alignment horizontal="center" wrapText="1"/>
    </xf>
    <xf numFmtId="0" fontId="14" fillId="0" borderId="2" xfId="0" applyFont="1" applyBorder="1" applyAlignment="1">
      <alignment horizontal="center" wrapText="1"/>
    </xf>
    <xf numFmtId="0" fontId="14" fillId="0" borderId="23" xfId="0" applyFont="1" applyBorder="1" applyAlignment="1">
      <alignment horizontal="center" wrapText="1"/>
    </xf>
    <xf numFmtId="167" fontId="14" fillId="0" borderId="6" xfId="1" applyNumberFormat="1" applyFont="1" applyBorder="1"/>
    <xf numFmtId="41" fontId="14" fillId="0" borderId="27" xfId="0" applyNumberFormat="1" applyFont="1" applyBorder="1"/>
    <xf numFmtId="167" fontId="14" fillId="4" borderId="9" xfId="1" applyNumberFormat="1" applyFont="1" applyFill="1" applyBorder="1"/>
    <xf numFmtId="41" fontId="14" fillId="4" borderId="1" xfId="0" applyNumberFormat="1" applyFont="1" applyFill="1" applyBorder="1"/>
    <xf numFmtId="0" fontId="14" fillId="4" borderId="1" xfId="0" applyFont="1" applyFill="1" applyBorder="1"/>
    <xf numFmtId="167" fontId="14" fillId="0" borderId="9" xfId="1" applyNumberFormat="1" applyFont="1" applyBorder="1"/>
    <xf numFmtId="41" fontId="14" fillId="0" borderId="17" xfId="0" applyNumberFormat="1" applyFont="1" applyBorder="1"/>
    <xf numFmtId="0" fontId="14" fillId="0" borderId="0" xfId="0" applyFont="1" applyAlignment="1">
      <alignment horizontal="left" indent="6"/>
    </xf>
    <xf numFmtId="167" fontId="14" fillId="0" borderId="13" xfId="0" applyNumberFormat="1" applyFont="1" applyBorder="1"/>
    <xf numFmtId="167" fontId="14" fillId="0" borderId="0" xfId="1" applyNumberFormat="1" applyFont="1" applyBorder="1"/>
    <xf numFmtId="167" fontId="14" fillId="0" borderId="16" xfId="0" applyNumberFormat="1" applyFont="1" applyBorder="1"/>
    <xf numFmtId="167" fontId="14" fillId="0" borderId="17" xfId="0" applyNumberFormat="1" applyFont="1" applyBorder="1"/>
    <xf numFmtId="41" fontId="14" fillId="0" borderId="13" xfId="0" applyNumberFormat="1" applyFont="1" applyBorder="1"/>
    <xf numFmtId="0" fontId="14" fillId="0" borderId="0" xfId="0" applyFont="1" applyAlignment="1">
      <alignment horizontal="right"/>
    </xf>
    <xf numFmtId="167" fontId="14" fillId="0" borderId="0" xfId="1" applyNumberFormat="1" applyFont="1"/>
    <xf numFmtId="41" fontId="14" fillId="0" borderId="9" xfId="0" applyNumberFormat="1" applyFont="1" applyBorder="1"/>
    <xf numFmtId="0" fontId="14" fillId="0" borderId="0" xfId="0" applyFont="1" applyFill="1" applyAlignment="1">
      <alignment horizontal="right"/>
    </xf>
    <xf numFmtId="41" fontId="14" fillId="0" borderId="16" xfId="0" applyNumberFormat="1" applyFont="1" applyFill="1" applyBorder="1"/>
    <xf numFmtId="41" fontId="14" fillId="0" borderId="17" xfId="0" applyNumberFormat="1" applyFont="1" applyFill="1" applyBorder="1"/>
    <xf numFmtId="41" fontId="14" fillId="0" borderId="6" xfId="0" applyNumberFormat="1" applyFont="1" applyBorder="1"/>
    <xf numFmtId="0" fontId="15" fillId="0" borderId="0" xfId="0" applyFont="1" applyFill="1" applyBorder="1" applyAlignment="1">
      <alignment horizontal="left"/>
    </xf>
    <xf numFmtId="0" fontId="15" fillId="0" borderId="4" xfId="0" applyFont="1" applyBorder="1"/>
    <xf numFmtId="0" fontId="15" fillId="0" borderId="2" xfId="0" applyFont="1" applyBorder="1"/>
    <xf numFmtId="41" fontId="15" fillId="0" borderId="5" xfId="0" applyNumberFormat="1" applyFont="1" applyFill="1" applyBorder="1"/>
    <xf numFmtId="41" fontId="15" fillId="0" borderId="10" xfId="0" applyNumberFormat="1" applyFont="1" applyFill="1" applyBorder="1"/>
    <xf numFmtId="41" fontId="14" fillId="0" borderId="11" xfId="0" applyNumberFormat="1" applyFont="1" applyFill="1" applyBorder="1"/>
    <xf numFmtId="0" fontId="14" fillId="0" borderId="3" xfId="0" applyFont="1" applyFill="1" applyBorder="1" applyAlignment="1">
      <alignment horizontal="center" wrapText="1"/>
    </xf>
    <xf numFmtId="41" fontId="14" fillId="0" borderId="10" xfId="0" applyNumberFormat="1" applyFont="1" applyFill="1" applyBorder="1"/>
    <xf numFmtId="167" fontId="14" fillId="0" borderId="12" xfId="1" applyNumberFormat="1" applyFont="1" applyFill="1" applyBorder="1"/>
    <xf numFmtId="41" fontId="14" fillId="0" borderId="12" xfId="0" applyNumberFormat="1" applyFont="1" applyFill="1" applyBorder="1"/>
    <xf numFmtId="41" fontId="14" fillId="0" borderId="13" xfId="0" applyNumberFormat="1" applyFont="1" applyFill="1" applyBorder="1"/>
    <xf numFmtId="41" fontId="14" fillId="0" borderId="6" xfId="0" applyNumberFormat="1" applyFont="1" applyFill="1" applyBorder="1"/>
    <xf numFmtId="167" fontId="14" fillId="0" borderId="0" xfId="1" applyNumberFormat="1" applyFont="1" applyFill="1" applyBorder="1"/>
    <xf numFmtId="167" fontId="14" fillId="4" borderId="1" xfId="1" applyNumberFormat="1" applyFont="1" applyFill="1" applyBorder="1"/>
    <xf numFmtId="167" fontId="14" fillId="4" borderId="17" xfId="1" applyNumberFormat="1" applyFont="1" applyFill="1" applyBorder="1"/>
    <xf numFmtId="167" fontId="14" fillId="0" borderId="17" xfId="1" applyNumberFormat="1" applyFont="1" applyBorder="1"/>
    <xf numFmtId="9" fontId="14" fillId="0" borderId="0" xfId="1" applyFont="1" applyFill="1" applyBorder="1"/>
    <xf numFmtId="0" fontId="16" fillId="0" borderId="0" xfId="0" applyFont="1" applyAlignment="1">
      <alignment horizontal="left" indent="2"/>
    </xf>
    <xf numFmtId="41" fontId="16" fillId="0" borderId="0" xfId="0" applyNumberFormat="1" applyFont="1" applyAlignment="1">
      <alignment horizontal="center"/>
    </xf>
    <xf numFmtId="166" fontId="14" fillId="0" borderId="0" xfId="0" applyNumberFormat="1" applyFont="1"/>
    <xf numFmtId="43" fontId="14" fillId="0" borderId="0" xfId="0" applyNumberFormat="1" applyFont="1"/>
    <xf numFmtId="166" fontId="14" fillId="0" borderId="0" xfId="0" applyNumberFormat="1" applyFont="1" applyBorder="1"/>
    <xf numFmtId="10" fontId="14" fillId="0" borderId="0" xfId="1" applyNumberFormat="1" applyFont="1" applyFill="1"/>
    <xf numFmtId="171" fontId="14" fillId="0" borderId="0" xfId="1" applyNumberFormat="1" applyFont="1" applyFill="1"/>
    <xf numFmtId="171" fontId="14" fillId="0" borderId="0" xfId="1" applyNumberFormat="1" applyFont="1" applyFill="1" applyBorder="1"/>
    <xf numFmtId="41" fontId="14" fillId="0" borderId="19" xfId="0" applyNumberFormat="1" applyFont="1" applyBorder="1"/>
    <xf numFmtId="43" fontId="14" fillId="0" borderId="0" xfId="1" applyNumberFormat="1" applyFont="1" applyFill="1"/>
    <xf numFmtId="169" fontId="5" fillId="0" borderId="0" xfId="0" applyNumberFormat="1" applyFont="1" applyAlignment="1">
      <alignment horizontal="left"/>
    </xf>
    <xf numFmtId="43" fontId="14" fillId="0" borderId="2" xfId="0" applyNumberFormat="1" applyFont="1" applyBorder="1"/>
    <xf numFmtId="0" fontId="15" fillId="0" borderId="0" xfId="0" applyFont="1" applyFill="1" applyBorder="1" applyAlignment="1">
      <alignment horizontal="center"/>
    </xf>
    <xf numFmtId="0" fontId="15" fillId="3" borderId="9" xfId="0" applyFont="1" applyFill="1" applyBorder="1"/>
    <xf numFmtId="0" fontId="14" fillId="3" borderId="8" xfId="0" applyFont="1" applyFill="1" applyBorder="1"/>
    <xf numFmtId="0" fontId="14" fillId="3" borderId="1" xfId="0" applyFont="1" applyFill="1" applyBorder="1"/>
    <xf numFmtId="0" fontId="5" fillId="3" borderId="8" xfId="0" applyFont="1" applyFill="1" applyBorder="1"/>
    <xf numFmtId="0" fontId="15" fillId="3" borderId="6" xfId="0" applyFont="1" applyFill="1" applyBorder="1"/>
    <xf numFmtId="0" fontId="14" fillId="3" borderId="7" xfId="0" applyFont="1" applyFill="1" applyBorder="1"/>
    <xf numFmtId="0" fontId="14" fillId="0" borderId="7" xfId="0" applyFont="1" applyFill="1" applyBorder="1"/>
    <xf numFmtId="0" fontId="15" fillId="0" borderId="7" xfId="0" applyFont="1" applyFill="1" applyBorder="1" applyAlignment="1">
      <alignment horizontal="center"/>
    </xf>
    <xf numFmtId="0" fontId="14" fillId="0" borderId="6" xfId="0" applyFont="1" applyBorder="1" applyAlignment="1">
      <alignment horizontal="left" wrapText="1" indent="5"/>
    </xf>
    <xf numFmtId="0" fontId="0" fillId="0" borderId="20" xfId="0" applyFont="1" applyFill="1" applyBorder="1" applyAlignment="1">
      <alignment wrapText="1"/>
    </xf>
    <xf numFmtId="41" fontId="14" fillId="0" borderId="23" xfId="0" applyNumberFormat="1" applyFont="1" applyBorder="1"/>
    <xf numFmtId="0" fontId="0" fillId="0" borderId="20" xfId="0" applyFill="1" applyBorder="1" applyAlignment="1">
      <alignment wrapText="1"/>
    </xf>
    <xf numFmtId="0" fontId="14" fillId="0" borderId="21" xfId="0" applyFont="1" applyBorder="1" applyAlignment="1">
      <alignment horizontal="left" indent="6"/>
    </xf>
    <xf numFmtId="0" fontId="5" fillId="0" borderId="6" xfId="0" applyNumberFormat="1" applyFont="1" applyFill="1" applyBorder="1" applyAlignment="1">
      <alignment horizontal="left" wrapText="1" indent="6"/>
    </xf>
    <xf numFmtId="41" fontId="14" fillId="0" borderId="20" xfId="0" applyNumberFormat="1" applyFont="1" applyBorder="1"/>
    <xf numFmtId="0" fontId="0" fillId="0" borderId="0" xfId="0" applyFont="1" applyAlignment="1">
      <alignment wrapText="1"/>
    </xf>
    <xf numFmtId="0" fontId="14" fillId="0" borderId="0" xfId="0" applyFont="1" applyFill="1" applyAlignment="1">
      <alignment horizontal="left" indent="2"/>
    </xf>
    <xf numFmtId="0" fontId="14" fillId="0" borderId="0" xfId="0" applyFont="1" applyFill="1" applyAlignment="1">
      <alignment horizontal="left" indent="4"/>
    </xf>
    <xf numFmtId="0" fontId="14" fillId="0" borderId="0" xfId="0" applyFont="1" applyFill="1" applyAlignment="1">
      <alignment horizontal="left" indent="6"/>
    </xf>
    <xf numFmtId="0" fontId="5" fillId="0" borderId="17" xfId="0" applyFont="1" applyBorder="1" applyAlignment="1">
      <alignment horizontal="center"/>
    </xf>
    <xf numFmtId="0" fontId="14" fillId="0" borderId="0" xfId="0" applyFont="1" applyFill="1" applyAlignment="1">
      <alignment horizontal="left" wrapText="1" indent="2"/>
    </xf>
    <xf numFmtId="41" fontId="5" fillId="2" borderId="7" xfId="0" applyNumberFormat="1" applyFont="1" applyFill="1" applyBorder="1"/>
    <xf numFmtId="41" fontId="5" fillId="2" borderId="8" xfId="0" applyNumberFormat="1" applyFont="1" applyFill="1" applyBorder="1"/>
    <xf numFmtId="0" fontId="0" fillId="0" borderId="20" xfId="0" applyBorder="1" applyAlignment="1">
      <alignment wrapText="1"/>
    </xf>
    <xf numFmtId="10" fontId="5" fillId="6" borderId="16" xfId="1" applyNumberFormat="1" applyFont="1" applyFill="1" applyBorder="1" applyAlignment="1">
      <alignment horizontal="right"/>
    </xf>
    <xf numFmtId="10" fontId="18" fillId="0" borderId="16" xfId="1" applyNumberFormat="1" applyFont="1" applyBorder="1" applyAlignment="1">
      <alignment horizontal="right"/>
    </xf>
    <xf numFmtId="10" fontId="14" fillId="0" borderId="3" xfId="0" applyNumberFormat="1" applyFont="1" applyBorder="1" applyAlignment="1">
      <alignment horizontal="right"/>
    </xf>
    <xf numFmtId="41" fontId="14" fillId="0" borderId="25" xfId="0" applyNumberFormat="1" applyFont="1" applyBorder="1"/>
    <xf numFmtId="0" fontId="14" fillId="0" borderId="0" xfId="0" applyFont="1" applyFill="1" applyAlignment="1">
      <alignment horizontal="left"/>
    </xf>
    <xf numFmtId="10" fontId="14" fillId="0" borderId="12" xfId="0" applyNumberFormat="1" applyFont="1" applyFill="1" applyBorder="1" applyAlignment="1">
      <alignment horizontal="right"/>
    </xf>
    <xf numFmtId="41" fontId="14" fillId="0" borderId="23" xfId="0" applyNumberFormat="1" applyFont="1" applyFill="1" applyBorder="1"/>
    <xf numFmtId="10" fontId="14" fillId="0" borderId="25" xfId="0" applyNumberFormat="1" applyFont="1" applyBorder="1"/>
    <xf numFmtId="0" fontId="14" fillId="2" borderId="0" xfId="0" applyFont="1" applyFill="1" applyAlignment="1">
      <alignment horizontal="left"/>
    </xf>
    <xf numFmtId="10" fontId="14" fillId="2" borderId="1" xfId="0" applyNumberFormat="1" applyFont="1" applyFill="1" applyBorder="1"/>
    <xf numFmtId="0" fontId="14" fillId="2" borderId="0" xfId="0" applyFont="1" applyFill="1"/>
    <xf numFmtId="10" fontId="5" fillId="8" borderId="16" xfId="1" applyNumberFormat="1" applyFont="1" applyFill="1" applyBorder="1"/>
    <xf numFmtId="0" fontId="14" fillId="2" borderId="0" xfId="0" applyFont="1" applyFill="1" applyBorder="1"/>
    <xf numFmtId="41" fontId="5" fillId="0" borderId="16" xfId="0" applyNumberFormat="1" applyFont="1" applyFill="1" applyBorder="1"/>
    <xf numFmtId="41" fontId="5" fillId="0" borderId="16" xfId="0" applyNumberFormat="1" applyFont="1" applyFill="1" applyBorder="1" applyAlignment="1"/>
    <xf numFmtId="41" fontId="14" fillId="2" borderId="1" xfId="0" applyNumberFormat="1" applyFont="1" applyFill="1" applyBorder="1"/>
    <xf numFmtId="0" fontId="5" fillId="0" borderId="16" xfId="0" applyNumberFormat="1" applyFont="1" applyFill="1" applyBorder="1" applyAlignment="1">
      <alignment horizontal="right" wrapText="1"/>
    </xf>
    <xf numFmtId="41" fontId="14" fillId="2" borderId="0" xfId="0" applyNumberFormat="1" applyFont="1" applyFill="1"/>
    <xf numFmtId="0" fontId="14" fillId="2" borderId="0" xfId="0" applyFont="1" applyFill="1" applyAlignment="1">
      <alignment horizontal="left" indent="2"/>
    </xf>
    <xf numFmtId="41" fontId="14" fillId="2" borderId="0" xfId="0" applyNumberFormat="1" applyFont="1" applyFill="1" applyBorder="1"/>
    <xf numFmtId="41" fontId="14" fillId="2" borderId="12" xfId="0" applyNumberFormat="1" applyFont="1" applyFill="1" applyBorder="1"/>
    <xf numFmtId="41" fontId="14" fillId="0" borderId="2" xfId="0" applyNumberFormat="1" applyFont="1" applyFill="1" applyBorder="1"/>
    <xf numFmtId="10" fontId="19" fillId="0" borderId="16" xfId="1" applyNumberFormat="1" applyFont="1" applyBorder="1"/>
    <xf numFmtId="0" fontId="15" fillId="0" borderId="0" xfId="0" applyFont="1" applyFill="1"/>
    <xf numFmtId="0" fontId="14" fillId="0" borderId="0" xfId="0" applyFont="1" applyAlignment="1">
      <alignment horizontal="left" wrapText="1"/>
    </xf>
    <xf numFmtId="0" fontId="14" fillId="0" borderId="0" xfId="0" applyFont="1" applyAlignment="1">
      <alignment horizontal="left" wrapText="1" indent="2"/>
    </xf>
    <xf numFmtId="0" fontId="15" fillId="4" borderId="0" xfId="0" applyFont="1" applyFill="1" applyBorder="1"/>
    <xf numFmtId="41" fontId="14" fillId="4" borderId="0" xfId="0" applyNumberFormat="1" applyFont="1" applyFill="1"/>
    <xf numFmtId="41" fontId="14" fillId="4" borderId="0" xfId="0" applyNumberFormat="1" applyFont="1" applyFill="1" applyBorder="1"/>
    <xf numFmtId="0" fontId="14" fillId="4" borderId="0" xfId="0" applyFont="1" applyFill="1" applyAlignment="1">
      <alignment horizontal="left"/>
    </xf>
    <xf numFmtId="10" fontId="14" fillId="4" borderId="12" xfId="0" applyNumberFormat="1" applyFont="1" applyFill="1" applyBorder="1"/>
    <xf numFmtId="41" fontId="14" fillId="4" borderId="23" xfId="0" applyNumberFormat="1" applyFont="1" applyFill="1" applyBorder="1"/>
    <xf numFmtId="0" fontId="14" fillId="4" borderId="0" xfId="0" applyFont="1" applyFill="1" applyBorder="1" applyAlignment="1">
      <alignment horizontal="left"/>
    </xf>
    <xf numFmtId="0" fontId="14" fillId="4" borderId="0" xfId="0" applyFont="1" applyFill="1" applyAlignment="1">
      <alignment horizontal="left" indent="2"/>
    </xf>
    <xf numFmtId="41" fontId="14" fillId="4" borderId="2" xfId="0" applyNumberFormat="1" applyFont="1" applyFill="1" applyBorder="1"/>
    <xf numFmtId="10" fontId="14" fillId="0" borderId="3" xfId="0" applyNumberFormat="1" applyFont="1" applyFill="1" applyBorder="1" applyAlignment="1">
      <alignment horizontal="right"/>
    </xf>
    <xf numFmtId="41" fontId="14" fillId="0" borderId="3" xfId="0" applyNumberFormat="1" applyFont="1" applyFill="1" applyBorder="1"/>
    <xf numFmtId="0" fontId="14" fillId="3" borderId="16" xfId="0" applyFont="1" applyFill="1" applyBorder="1" applyAlignment="1">
      <alignment horizontal="center" wrapText="1"/>
    </xf>
    <xf numFmtId="0" fontId="14" fillId="3" borderId="7" xfId="0" applyFont="1" applyFill="1" applyBorder="1" applyAlignment="1">
      <alignment horizontal="center" wrapText="1"/>
    </xf>
    <xf numFmtId="172" fontId="14" fillId="0" borderId="0" xfId="1" applyNumberFormat="1" applyFont="1"/>
    <xf numFmtId="0" fontId="0" fillId="0" borderId="20" xfId="0" applyFont="1" applyFill="1" applyBorder="1"/>
    <xf numFmtId="0" fontId="0" fillId="0" borderId="0" xfId="0" applyFont="1" applyFill="1"/>
    <xf numFmtId="0" fontId="5" fillId="0" borderId="6" xfId="0" applyFont="1" applyBorder="1" applyAlignment="1">
      <alignment horizontal="center"/>
    </xf>
    <xf numFmtId="0" fontId="5" fillId="0" borderId="7" xfId="0" applyFont="1" applyBorder="1" applyAlignment="1">
      <alignment horizontal="center"/>
    </xf>
    <xf numFmtId="41" fontId="15" fillId="0" borderId="2" xfId="0" applyNumberFormat="1" applyFont="1" applyBorder="1"/>
    <xf numFmtId="41" fontId="0" fillId="0" borderId="0" xfId="0" applyNumberFormat="1"/>
    <xf numFmtId="8" fontId="0" fillId="0" borderId="0" xfId="0" applyNumberFormat="1"/>
    <xf numFmtId="0" fontId="0" fillId="0" borderId="0" xfId="0" applyNumberFormat="1"/>
    <xf numFmtId="0" fontId="14" fillId="0" borderId="6" xfId="0" applyFont="1" applyBorder="1" applyAlignment="1">
      <alignment horizontal="center"/>
    </xf>
    <xf numFmtId="0" fontId="14" fillId="0" borderId="0" xfId="0" applyFont="1" applyBorder="1" applyAlignment="1">
      <alignment horizontal="center"/>
    </xf>
    <xf numFmtId="0" fontId="14" fillId="0" borderId="7" xfId="0" applyFont="1" applyBorder="1" applyAlignment="1">
      <alignment horizontal="center"/>
    </xf>
    <xf numFmtId="0" fontId="5" fillId="0" borderId="6" xfId="0" applyFont="1" applyBorder="1" applyAlignment="1">
      <alignment horizontal="center"/>
    </xf>
    <xf numFmtId="0" fontId="5" fillId="0" borderId="0" xfId="0" applyFont="1" applyBorder="1" applyAlignment="1">
      <alignment horizontal="center"/>
    </xf>
    <xf numFmtId="0" fontId="5" fillId="0" borderId="7" xfId="0" applyFont="1" applyBorder="1" applyAlignment="1">
      <alignment horizontal="center"/>
    </xf>
    <xf numFmtId="0" fontId="14" fillId="0" borderId="21" xfId="0" applyFont="1" applyBorder="1" applyAlignment="1">
      <alignment horizontal="center"/>
    </xf>
    <xf numFmtId="0" fontId="14" fillId="0" borderId="22" xfId="0" applyFont="1" applyBorder="1" applyAlignment="1">
      <alignment horizontal="center"/>
    </xf>
    <xf numFmtId="0" fontId="5" fillId="0" borderId="9" xfId="0" applyFont="1" applyBorder="1" applyAlignment="1">
      <alignment horizontal="center"/>
    </xf>
    <xf numFmtId="0" fontId="5" fillId="0" borderId="1" xfId="0" applyFont="1" applyBorder="1" applyAlignment="1">
      <alignment horizontal="center"/>
    </xf>
    <xf numFmtId="0" fontId="5" fillId="0" borderId="8" xfId="0" applyFont="1" applyBorder="1" applyAlignment="1">
      <alignment horizontal="center"/>
    </xf>
    <xf numFmtId="0" fontId="14" fillId="0" borderId="24" xfId="0" applyFont="1" applyBorder="1" applyAlignment="1">
      <alignment horizontal="center"/>
    </xf>
    <xf numFmtId="0" fontId="14" fillId="0" borderId="25" xfId="0" applyFont="1" applyBorder="1" applyAlignment="1">
      <alignment horizontal="center"/>
    </xf>
    <xf numFmtId="0" fontId="14" fillId="0" borderId="26" xfId="0" applyFont="1" applyBorder="1" applyAlignment="1">
      <alignment horizontal="center"/>
    </xf>
    <xf numFmtId="41" fontId="5" fillId="0" borderId="24" xfId="0" applyNumberFormat="1" applyFont="1" applyFill="1" applyBorder="1" applyAlignment="1">
      <alignment horizontal="center"/>
    </xf>
    <xf numFmtId="41" fontId="5" fillId="0" borderId="25" xfId="0" applyNumberFormat="1" applyFont="1" applyFill="1" applyBorder="1" applyAlignment="1">
      <alignment horizontal="center"/>
    </xf>
    <xf numFmtId="41" fontId="5" fillId="0" borderId="26" xfId="0" applyNumberFormat="1" applyFont="1" applyFill="1" applyBorder="1" applyAlignment="1">
      <alignment horizontal="center"/>
    </xf>
    <xf numFmtId="41" fontId="5" fillId="0" borderId="6" xfId="0" applyNumberFormat="1" applyFont="1" applyFill="1" applyBorder="1" applyAlignment="1">
      <alignment horizontal="center"/>
    </xf>
    <xf numFmtId="41" fontId="5" fillId="0" borderId="0" xfId="0" applyNumberFormat="1" applyFont="1" applyFill="1" applyBorder="1" applyAlignment="1">
      <alignment horizontal="center"/>
    </xf>
    <xf numFmtId="41" fontId="5" fillId="0" borderId="7" xfId="0" applyNumberFormat="1" applyFont="1" applyFill="1" applyBorder="1" applyAlignment="1">
      <alignment horizontal="center"/>
    </xf>
    <xf numFmtId="10" fontId="14" fillId="0" borderId="6" xfId="1" applyNumberFormat="1" applyFont="1" applyBorder="1" applyAlignment="1">
      <alignment horizontal="center"/>
    </xf>
    <xf numFmtId="10" fontId="14" fillId="0" borderId="0" xfId="1" applyNumberFormat="1" applyFont="1" applyBorder="1" applyAlignment="1">
      <alignment horizontal="center"/>
    </xf>
    <xf numFmtId="10" fontId="14" fillId="0" borderId="7" xfId="1" applyNumberFormat="1" applyFont="1" applyBorder="1" applyAlignment="1">
      <alignment horizontal="center"/>
    </xf>
    <xf numFmtId="37" fontId="5" fillId="0" borderId="6" xfId="0" applyNumberFormat="1" applyFont="1" applyBorder="1" applyAlignment="1">
      <alignment horizontal="center"/>
    </xf>
    <xf numFmtId="37" fontId="5" fillId="0" borderId="0" xfId="0" applyNumberFormat="1" applyFont="1" applyBorder="1" applyAlignment="1">
      <alignment horizontal="center"/>
    </xf>
    <xf numFmtId="37" fontId="5" fillId="0" borderId="7" xfId="0" applyNumberFormat="1" applyFont="1" applyBorder="1" applyAlignment="1">
      <alignment horizontal="center"/>
    </xf>
    <xf numFmtId="10" fontId="5" fillId="0" borderId="9" xfId="1" applyNumberFormat="1" applyFont="1" applyBorder="1" applyAlignment="1">
      <alignment horizontal="center"/>
    </xf>
    <xf numFmtId="10" fontId="5" fillId="0" borderId="1" xfId="1" applyNumberFormat="1" applyFont="1" applyBorder="1" applyAlignment="1">
      <alignment horizontal="center"/>
    </xf>
    <xf numFmtId="10" fontId="5" fillId="0" borderId="8" xfId="1" applyNumberFormat="1" applyFont="1" applyBorder="1" applyAlignment="1">
      <alignment horizontal="center"/>
    </xf>
    <xf numFmtId="37" fontId="14" fillId="6" borderId="6" xfId="0" applyNumberFormat="1" applyFont="1" applyFill="1" applyBorder="1" applyAlignment="1">
      <alignment horizontal="center"/>
    </xf>
    <xf numFmtId="37" fontId="14" fillId="6" borderId="0" xfId="0" applyNumberFormat="1" applyFont="1" applyFill="1" applyBorder="1" applyAlignment="1">
      <alignment horizontal="center"/>
    </xf>
    <xf numFmtId="37" fontId="14" fillId="6" borderId="7" xfId="0" applyNumberFormat="1" applyFont="1" applyFill="1" applyBorder="1" applyAlignment="1">
      <alignment horizontal="center"/>
    </xf>
    <xf numFmtId="10" fontId="5" fillId="0" borderId="6" xfId="1" applyNumberFormat="1" applyFont="1" applyBorder="1" applyAlignment="1">
      <alignment horizontal="center"/>
    </xf>
    <xf numFmtId="10" fontId="5" fillId="0" borderId="0" xfId="1" applyNumberFormat="1" applyFont="1" applyBorder="1" applyAlignment="1">
      <alignment horizontal="center"/>
    </xf>
    <xf numFmtId="10" fontId="5" fillId="0" borderId="7" xfId="1" applyNumberFormat="1" applyFont="1" applyBorder="1" applyAlignment="1">
      <alignment horizontal="center"/>
    </xf>
    <xf numFmtId="37" fontId="14" fillId="6" borderId="9" xfId="0" applyNumberFormat="1" applyFont="1" applyFill="1" applyBorder="1" applyAlignment="1">
      <alignment horizontal="center"/>
    </xf>
    <xf numFmtId="37" fontId="14" fillId="6" borderId="1" xfId="0" applyNumberFormat="1" applyFont="1" applyFill="1" applyBorder="1" applyAlignment="1">
      <alignment horizontal="center"/>
    </xf>
    <xf numFmtId="37" fontId="14" fillId="6" borderId="8" xfId="0" applyNumberFormat="1" applyFont="1" applyFill="1" applyBorder="1" applyAlignment="1">
      <alignment horizontal="center"/>
    </xf>
  </cellXfs>
  <cellStyles count="3">
    <cellStyle name="Currency" xfId="2" builtinId="4"/>
    <cellStyle name="Normal" xfId="0" builtinId="0"/>
    <cellStyle name="Percent" xfId="1" builtinId="5"/>
  </cellStyles>
  <dxfs count="9">
    <dxf>
      <font>
        <color rgb="FF0000CC"/>
      </font>
      <numFmt numFmtId="0" formatCode="General"/>
      <fill>
        <patternFill>
          <bgColor rgb="FFFF0000"/>
        </patternFill>
      </fill>
      <border>
        <left style="thin">
          <color auto="1"/>
        </left>
        <right style="thin">
          <color auto="1"/>
        </right>
        <top style="thin">
          <color auto="1"/>
        </top>
        <bottom style="thin">
          <color auto="1"/>
        </bottom>
        <vertical/>
        <horizontal/>
      </border>
    </dxf>
    <dxf>
      <font>
        <color rgb="FF0000CC"/>
      </font>
      <numFmt numFmtId="0" formatCode="General"/>
      <fill>
        <patternFill>
          <bgColor rgb="FFFF0000"/>
        </patternFill>
      </fill>
      <border>
        <left style="thin">
          <color auto="1"/>
        </left>
        <right style="thin">
          <color auto="1"/>
        </right>
        <top style="thin">
          <color auto="1"/>
        </top>
        <bottom style="thin">
          <color auto="1"/>
        </bottom>
        <vertical/>
        <horizontal/>
      </border>
    </dxf>
    <dxf>
      <font>
        <color rgb="FF0000CC"/>
      </font>
      <numFmt numFmtId="0" formatCode="General"/>
      <fill>
        <patternFill>
          <bgColor rgb="FFFF0000"/>
        </patternFill>
      </fill>
      <border>
        <left style="thin">
          <color auto="1"/>
        </left>
        <right style="thin">
          <color auto="1"/>
        </right>
        <top style="thin">
          <color auto="1"/>
        </top>
        <bottom style="thin">
          <color auto="1"/>
        </bottom>
        <vertical/>
        <horizontal/>
      </border>
    </dxf>
    <dxf>
      <font>
        <color rgb="FF0000CC"/>
      </font>
      <numFmt numFmtId="0" formatCode="General"/>
      <fill>
        <patternFill>
          <bgColor rgb="FFFF0000"/>
        </patternFill>
      </fill>
      <border>
        <left style="thin">
          <color auto="1"/>
        </left>
        <right style="thin">
          <color auto="1"/>
        </right>
        <top style="thin">
          <color auto="1"/>
        </top>
        <bottom style="thin">
          <color auto="1"/>
        </bottom>
        <vertical/>
        <horizontal/>
      </border>
    </dxf>
    <dxf>
      <font>
        <color rgb="FF0000CC"/>
      </font>
      <numFmt numFmtId="33" formatCode="_(* #,##0_);_(* \(#,##0\);_(* &quot;-&quot;_);_(@_)"/>
      <fill>
        <patternFill>
          <bgColor rgb="FFFF0000"/>
        </patternFill>
      </fill>
      <border>
        <left style="thin">
          <color auto="1"/>
        </left>
        <right style="thin">
          <color auto="1"/>
        </right>
        <top style="thin">
          <color auto="1"/>
        </top>
        <bottom style="thin">
          <color auto="1"/>
        </bottom>
        <vertical/>
        <horizontal/>
      </border>
    </dxf>
    <dxf>
      <font>
        <color rgb="FF0000CC"/>
      </font>
      <numFmt numFmtId="33" formatCode="_(* #,##0_);_(* \(#,##0\);_(* &quot;-&quot;_);_(@_)"/>
      <fill>
        <patternFill>
          <bgColor rgb="FFFF0000"/>
        </patternFill>
      </fill>
      <border>
        <left style="thin">
          <color auto="1"/>
        </left>
        <right style="thin">
          <color auto="1"/>
        </right>
        <top style="thin">
          <color auto="1"/>
        </top>
        <bottom style="thin">
          <color auto="1"/>
        </bottom>
        <vertical/>
        <horizontal/>
      </border>
    </dxf>
    <dxf>
      <font>
        <color rgb="FF0000CC"/>
      </font>
      <numFmt numFmtId="33" formatCode="_(* #,##0_);_(* \(#,##0\);_(* &quot;-&quot;_);_(@_)"/>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ont>
        <color rgb="FF0000CC"/>
      </font>
      <numFmt numFmtId="33" formatCode="_(* #,##0_);_(* \(#,##0\);_(* &quot;-&quot;_);_(@_)"/>
      <fill>
        <patternFill>
          <bgColor rgb="FFFF0000"/>
        </patternFill>
      </fill>
      <border>
        <left style="thin">
          <color auto="1"/>
        </left>
        <right style="thin">
          <color auto="1"/>
        </right>
        <top style="thin">
          <color auto="1"/>
        </top>
        <bottom style="thin">
          <color auto="1"/>
        </bottom>
        <vertical/>
        <horizontal/>
      </border>
    </dxf>
  </dxfs>
  <tableStyles count="0" defaultTableStyle="TableStyleMedium9" defaultPivotStyle="PivotStyleLight16"/>
  <colors>
    <mruColors>
      <color rgb="FFFF0000"/>
      <color rgb="FF0000CC"/>
      <color rgb="FF0000FF"/>
      <color rgb="FF0099FF"/>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1.6507460610603285E-2"/>
          <c:y val="1.460806627178784E-2"/>
          <c:w val="0.83645290658589222"/>
          <c:h val="0.94684610563715443"/>
        </c:manualLayout>
      </c:layout>
      <c:scatterChart>
        <c:scatterStyle val="smoothMarker"/>
        <c:ser>
          <c:idx val="1"/>
          <c:order val="0"/>
          <c:marker>
            <c:symbol val="none"/>
          </c:marker>
          <c:xVal>
            <c:numRef>
              <c:f>NPV!$C$6:$C$306</c:f>
              <c:numCache>
                <c:formatCode>General</c:formatCode>
                <c:ptCount val="301"/>
                <c:pt idx="0">
                  <c:v>-0.99</c:v>
                </c:pt>
                <c:pt idx="1">
                  <c:v>-0.98</c:v>
                </c:pt>
                <c:pt idx="2">
                  <c:v>-0.97</c:v>
                </c:pt>
                <c:pt idx="3">
                  <c:v>-0.96</c:v>
                </c:pt>
                <c:pt idx="4">
                  <c:v>-0.95</c:v>
                </c:pt>
                <c:pt idx="5">
                  <c:v>-0.94</c:v>
                </c:pt>
                <c:pt idx="6">
                  <c:v>-0.93</c:v>
                </c:pt>
                <c:pt idx="7">
                  <c:v>-0.92</c:v>
                </c:pt>
                <c:pt idx="8">
                  <c:v>-0.91</c:v>
                </c:pt>
                <c:pt idx="9">
                  <c:v>-0.9</c:v>
                </c:pt>
                <c:pt idx="10">
                  <c:v>-0.89</c:v>
                </c:pt>
                <c:pt idx="11">
                  <c:v>-0.88</c:v>
                </c:pt>
                <c:pt idx="12">
                  <c:v>-0.87</c:v>
                </c:pt>
                <c:pt idx="13">
                  <c:v>-0.86</c:v>
                </c:pt>
                <c:pt idx="14">
                  <c:v>-0.85</c:v>
                </c:pt>
                <c:pt idx="15">
                  <c:v>-0.84</c:v>
                </c:pt>
                <c:pt idx="16">
                  <c:v>-0.83</c:v>
                </c:pt>
                <c:pt idx="17">
                  <c:v>-0.82</c:v>
                </c:pt>
                <c:pt idx="18">
                  <c:v>-0.81</c:v>
                </c:pt>
                <c:pt idx="19">
                  <c:v>-0.8</c:v>
                </c:pt>
                <c:pt idx="20">
                  <c:v>-0.79</c:v>
                </c:pt>
                <c:pt idx="21">
                  <c:v>-0.78</c:v>
                </c:pt>
                <c:pt idx="22">
                  <c:v>-0.77</c:v>
                </c:pt>
                <c:pt idx="23">
                  <c:v>-0.76</c:v>
                </c:pt>
                <c:pt idx="24">
                  <c:v>-0.75</c:v>
                </c:pt>
                <c:pt idx="25">
                  <c:v>-0.74</c:v>
                </c:pt>
                <c:pt idx="26">
                  <c:v>-0.73</c:v>
                </c:pt>
                <c:pt idx="27">
                  <c:v>-0.72</c:v>
                </c:pt>
                <c:pt idx="28">
                  <c:v>-0.71</c:v>
                </c:pt>
                <c:pt idx="29">
                  <c:v>-0.7</c:v>
                </c:pt>
                <c:pt idx="30">
                  <c:v>-0.69</c:v>
                </c:pt>
                <c:pt idx="31">
                  <c:v>-0.68</c:v>
                </c:pt>
                <c:pt idx="32">
                  <c:v>-0.67</c:v>
                </c:pt>
                <c:pt idx="33">
                  <c:v>-0.66</c:v>
                </c:pt>
                <c:pt idx="34">
                  <c:v>-0.65</c:v>
                </c:pt>
                <c:pt idx="35">
                  <c:v>-0.64</c:v>
                </c:pt>
                <c:pt idx="36">
                  <c:v>-0.63</c:v>
                </c:pt>
                <c:pt idx="37">
                  <c:v>-0.62</c:v>
                </c:pt>
                <c:pt idx="38">
                  <c:v>-0.61</c:v>
                </c:pt>
                <c:pt idx="39">
                  <c:v>-0.6</c:v>
                </c:pt>
                <c:pt idx="40">
                  <c:v>-0.59</c:v>
                </c:pt>
                <c:pt idx="41">
                  <c:v>-0.57999999999999996</c:v>
                </c:pt>
                <c:pt idx="42">
                  <c:v>-0.56999999999999995</c:v>
                </c:pt>
                <c:pt idx="43">
                  <c:v>-0.56000000000000005</c:v>
                </c:pt>
                <c:pt idx="44">
                  <c:v>-0.55000000000000004</c:v>
                </c:pt>
                <c:pt idx="45">
                  <c:v>-0.54</c:v>
                </c:pt>
                <c:pt idx="46">
                  <c:v>-0.53</c:v>
                </c:pt>
                <c:pt idx="47">
                  <c:v>-0.52</c:v>
                </c:pt>
                <c:pt idx="48">
                  <c:v>-0.51</c:v>
                </c:pt>
                <c:pt idx="49">
                  <c:v>-0.5</c:v>
                </c:pt>
                <c:pt idx="50">
                  <c:v>-0.49</c:v>
                </c:pt>
                <c:pt idx="51">
                  <c:v>-0.48</c:v>
                </c:pt>
                <c:pt idx="52">
                  <c:v>-0.47</c:v>
                </c:pt>
                <c:pt idx="53">
                  <c:v>-0.46</c:v>
                </c:pt>
                <c:pt idx="54">
                  <c:v>-0.45</c:v>
                </c:pt>
                <c:pt idx="55">
                  <c:v>-0.44</c:v>
                </c:pt>
                <c:pt idx="56">
                  <c:v>-0.42999999999999899</c:v>
                </c:pt>
                <c:pt idx="57">
                  <c:v>-0.41999999999999899</c:v>
                </c:pt>
                <c:pt idx="58">
                  <c:v>-0.40999999999999898</c:v>
                </c:pt>
                <c:pt idx="59">
                  <c:v>-0.39999999999999902</c:v>
                </c:pt>
                <c:pt idx="60">
                  <c:v>-0.38999999999999901</c:v>
                </c:pt>
                <c:pt idx="61">
                  <c:v>-0.37999999999999901</c:v>
                </c:pt>
                <c:pt idx="62">
                  <c:v>-0.369999999999999</c:v>
                </c:pt>
                <c:pt idx="63">
                  <c:v>-0.35999999999999899</c:v>
                </c:pt>
                <c:pt idx="64">
                  <c:v>-0.34999999999999898</c:v>
                </c:pt>
                <c:pt idx="65">
                  <c:v>-0.33999999999999903</c:v>
                </c:pt>
                <c:pt idx="66">
                  <c:v>-0.32999999999999902</c:v>
                </c:pt>
                <c:pt idx="67">
                  <c:v>-0.31999999999999901</c:v>
                </c:pt>
                <c:pt idx="68">
                  <c:v>-0.309999999999999</c:v>
                </c:pt>
                <c:pt idx="69">
                  <c:v>-0.29999999999999899</c:v>
                </c:pt>
                <c:pt idx="70">
                  <c:v>-0.28999999999999898</c:v>
                </c:pt>
                <c:pt idx="71">
                  <c:v>-0.27999999999999903</c:v>
                </c:pt>
                <c:pt idx="72">
                  <c:v>-0.26999999999999902</c:v>
                </c:pt>
                <c:pt idx="73">
                  <c:v>-0.25999999999999901</c:v>
                </c:pt>
                <c:pt idx="74">
                  <c:v>-0.249999999999999</c:v>
                </c:pt>
                <c:pt idx="75">
                  <c:v>-0.23999999999999899</c:v>
                </c:pt>
                <c:pt idx="76">
                  <c:v>-0.22999999999999901</c:v>
                </c:pt>
                <c:pt idx="77">
                  <c:v>-0.219999999999999</c:v>
                </c:pt>
                <c:pt idx="78">
                  <c:v>-0.20999999999999899</c:v>
                </c:pt>
                <c:pt idx="79">
                  <c:v>-0.19999999999999901</c:v>
                </c:pt>
                <c:pt idx="80">
                  <c:v>-0.189999999999999</c:v>
                </c:pt>
                <c:pt idx="81">
                  <c:v>-0.17999999999999899</c:v>
                </c:pt>
                <c:pt idx="82">
                  <c:v>-0.16999999999999901</c:v>
                </c:pt>
                <c:pt idx="83">
                  <c:v>-0.159999999999999</c:v>
                </c:pt>
                <c:pt idx="84">
                  <c:v>-0.149999999999999</c:v>
                </c:pt>
                <c:pt idx="85">
                  <c:v>-0.13999999999999899</c:v>
                </c:pt>
                <c:pt idx="86">
                  <c:v>-0.12999999999999901</c:v>
                </c:pt>
                <c:pt idx="87">
                  <c:v>-0.119999999999999</c:v>
                </c:pt>
                <c:pt idx="88">
                  <c:v>-0.109999999999999</c:v>
                </c:pt>
                <c:pt idx="89">
                  <c:v>-9.9999999999999006E-2</c:v>
                </c:pt>
                <c:pt idx="90">
                  <c:v>-8.9999999999998997E-2</c:v>
                </c:pt>
                <c:pt idx="91">
                  <c:v>-7.9999999999999002E-2</c:v>
                </c:pt>
                <c:pt idx="92">
                  <c:v>-6.9999999999998994E-2</c:v>
                </c:pt>
                <c:pt idx="93">
                  <c:v>-5.9999999999999103E-2</c:v>
                </c:pt>
                <c:pt idx="94">
                  <c:v>-4.9999999999998997E-2</c:v>
                </c:pt>
                <c:pt idx="95">
                  <c:v>-3.9999999999999002E-2</c:v>
                </c:pt>
                <c:pt idx="96">
                  <c:v>-2.9999999999999E-2</c:v>
                </c:pt>
                <c:pt idx="97">
                  <c:v>-1.9999999999999001E-2</c:v>
                </c:pt>
                <c:pt idx="98">
                  <c:v>-9.9999999999990097E-3</c:v>
                </c:pt>
                <c:pt idx="99">
                  <c:v>0</c:v>
                </c:pt>
                <c:pt idx="100">
                  <c:v>0.01</c:v>
                </c:pt>
                <c:pt idx="101">
                  <c:v>0.02</c:v>
                </c:pt>
                <c:pt idx="102">
                  <c:v>0.03</c:v>
                </c:pt>
                <c:pt idx="103">
                  <c:v>0.04</c:v>
                </c:pt>
                <c:pt idx="104">
                  <c:v>0.05</c:v>
                </c:pt>
                <c:pt idx="105">
                  <c:v>6.0000000000000102E-2</c:v>
                </c:pt>
                <c:pt idx="106">
                  <c:v>7.0000000000000104E-2</c:v>
                </c:pt>
                <c:pt idx="107">
                  <c:v>8.0000000000000099E-2</c:v>
                </c:pt>
                <c:pt idx="108">
                  <c:v>9.0000000000000094E-2</c:v>
                </c:pt>
                <c:pt idx="109">
                  <c:v>0.1</c:v>
                </c:pt>
                <c:pt idx="110">
                  <c:v>0.11</c:v>
                </c:pt>
                <c:pt idx="111">
                  <c:v>0.12</c:v>
                </c:pt>
                <c:pt idx="112">
                  <c:v>0.13</c:v>
                </c:pt>
                <c:pt idx="113">
                  <c:v>0.14000000000000001</c:v>
                </c:pt>
                <c:pt idx="114">
                  <c:v>0.15</c:v>
                </c:pt>
                <c:pt idx="115">
                  <c:v>0.16</c:v>
                </c:pt>
                <c:pt idx="116">
                  <c:v>0.17</c:v>
                </c:pt>
                <c:pt idx="117">
                  <c:v>0.18</c:v>
                </c:pt>
                <c:pt idx="118">
                  <c:v>0.19</c:v>
                </c:pt>
                <c:pt idx="119">
                  <c:v>0.2</c:v>
                </c:pt>
                <c:pt idx="120">
                  <c:v>0.21</c:v>
                </c:pt>
                <c:pt idx="121">
                  <c:v>0.22</c:v>
                </c:pt>
                <c:pt idx="122">
                  <c:v>0.23</c:v>
                </c:pt>
                <c:pt idx="123">
                  <c:v>0.24</c:v>
                </c:pt>
                <c:pt idx="124">
                  <c:v>0.25</c:v>
                </c:pt>
                <c:pt idx="125">
                  <c:v>0.26</c:v>
                </c:pt>
                <c:pt idx="126">
                  <c:v>0.27</c:v>
                </c:pt>
                <c:pt idx="127">
                  <c:v>0.28000000000000003</c:v>
                </c:pt>
                <c:pt idx="128">
                  <c:v>0.28999999999999998</c:v>
                </c:pt>
                <c:pt idx="129">
                  <c:v>0.3</c:v>
                </c:pt>
                <c:pt idx="130">
                  <c:v>0.31</c:v>
                </c:pt>
                <c:pt idx="131">
                  <c:v>0.32</c:v>
                </c:pt>
                <c:pt idx="132">
                  <c:v>0.33</c:v>
                </c:pt>
                <c:pt idx="133">
                  <c:v>0.34</c:v>
                </c:pt>
                <c:pt idx="134">
                  <c:v>0.35</c:v>
                </c:pt>
                <c:pt idx="135">
                  <c:v>0.36</c:v>
                </c:pt>
                <c:pt idx="136">
                  <c:v>0.37</c:v>
                </c:pt>
                <c:pt idx="137">
                  <c:v>0.38</c:v>
                </c:pt>
                <c:pt idx="138">
                  <c:v>0.39</c:v>
                </c:pt>
                <c:pt idx="139">
                  <c:v>0.4</c:v>
                </c:pt>
                <c:pt idx="140">
                  <c:v>0.41</c:v>
                </c:pt>
                <c:pt idx="141">
                  <c:v>0.42</c:v>
                </c:pt>
                <c:pt idx="142">
                  <c:v>0.43</c:v>
                </c:pt>
                <c:pt idx="143">
                  <c:v>0.44</c:v>
                </c:pt>
                <c:pt idx="144">
                  <c:v>0.45</c:v>
                </c:pt>
                <c:pt idx="145">
                  <c:v>0.46</c:v>
                </c:pt>
                <c:pt idx="146">
                  <c:v>0.47</c:v>
                </c:pt>
                <c:pt idx="147">
                  <c:v>0.48</c:v>
                </c:pt>
                <c:pt idx="148">
                  <c:v>0.49</c:v>
                </c:pt>
                <c:pt idx="149">
                  <c:v>0.5</c:v>
                </c:pt>
                <c:pt idx="150">
                  <c:v>0.51</c:v>
                </c:pt>
                <c:pt idx="151">
                  <c:v>0.52</c:v>
                </c:pt>
                <c:pt idx="152">
                  <c:v>0.53</c:v>
                </c:pt>
                <c:pt idx="153">
                  <c:v>0.54</c:v>
                </c:pt>
                <c:pt idx="154">
                  <c:v>0.55000000000000004</c:v>
                </c:pt>
                <c:pt idx="155">
                  <c:v>0.56000000000000005</c:v>
                </c:pt>
                <c:pt idx="156">
                  <c:v>0.56999999999999995</c:v>
                </c:pt>
                <c:pt idx="157">
                  <c:v>0.57999999999999996</c:v>
                </c:pt>
                <c:pt idx="158">
                  <c:v>0.59</c:v>
                </c:pt>
                <c:pt idx="159">
                  <c:v>0.6</c:v>
                </c:pt>
                <c:pt idx="160">
                  <c:v>0.61</c:v>
                </c:pt>
                <c:pt idx="161">
                  <c:v>0.62</c:v>
                </c:pt>
                <c:pt idx="162">
                  <c:v>0.63</c:v>
                </c:pt>
                <c:pt idx="163">
                  <c:v>0.64</c:v>
                </c:pt>
                <c:pt idx="164">
                  <c:v>0.65</c:v>
                </c:pt>
                <c:pt idx="165">
                  <c:v>0.66</c:v>
                </c:pt>
                <c:pt idx="166">
                  <c:v>0.67</c:v>
                </c:pt>
                <c:pt idx="167">
                  <c:v>0.68</c:v>
                </c:pt>
                <c:pt idx="168">
                  <c:v>0.69</c:v>
                </c:pt>
                <c:pt idx="169">
                  <c:v>0.7</c:v>
                </c:pt>
                <c:pt idx="170">
                  <c:v>0.71</c:v>
                </c:pt>
                <c:pt idx="171">
                  <c:v>0.72</c:v>
                </c:pt>
                <c:pt idx="172">
                  <c:v>0.73</c:v>
                </c:pt>
                <c:pt idx="173">
                  <c:v>0.74</c:v>
                </c:pt>
                <c:pt idx="174">
                  <c:v>0.75</c:v>
                </c:pt>
                <c:pt idx="175">
                  <c:v>0.76</c:v>
                </c:pt>
                <c:pt idx="176">
                  <c:v>0.77</c:v>
                </c:pt>
                <c:pt idx="177">
                  <c:v>0.78</c:v>
                </c:pt>
                <c:pt idx="178">
                  <c:v>0.79</c:v>
                </c:pt>
                <c:pt idx="179">
                  <c:v>0.8</c:v>
                </c:pt>
                <c:pt idx="180">
                  <c:v>0.81</c:v>
                </c:pt>
                <c:pt idx="181">
                  <c:v>0.82</c:v>
                </c:pt>
                <c:pt idx="182">
                  <c:v>0.83</c:v>
                </c:pt>
                <c:pt idx="183">
                  <c:v>0.84</c:v>
                </c:pt>
                <c:pt idx="184">
                  <c:v>0.85</c:v>
                </c:pt>
                <c:pt idx="185">
                  <c:v>0.86</c:v>
                </c:pt>
                <c:pt idx="186">
                  <c:v>0.87</c:v>
                </c:pt>
                <c:pt idx="187">
                  <c:v>0.88</c:v>
                </c:pt>
                <c:pt idx="188">
                  <c:v>0.89</c:v>
                </c:pt>
                <c:pt idx="189">
                  <c:v>0.9</c:v>
                </c:pt>
                <c:pt idx="190">
                  <c:v>0.91</c:v>
                </c:pt>
                <c:pt idx="191">
                  <c:v>0.92</c:v>
                </c:pt>
                <c:pt idx="192">
                  <c:v>0.93</c:v>
                </c:pt>
                <c:pt idx="193">
                  <c:v>0.94</c:v>
                </c:pt>
                <c:pt idx="194">
                  <c:v>0.95</c:v>
                </c:pt>
                <c:pt idx="195">
                  <c:v>0.96</c:v>
                </c:pt>
                <c:pt idx="196">
                  <c:v>0.97</c:v>
                </c:pt>
                <c:pt idx="197">
                  <c:v>0.98</c:v>
                </c:pt>
                <c:pt idx="198">
                  <c:v>0.99</c:v>
                </c:pt>
                <c:pt idx="199">
                  <c:v>1</c:v>
                </c:pt>
                <c:pt idx="200">
                  <c:v>1.01</c:v>
                </c:pt>
                <c:pt idx="201">
                  <c:v>1.02</c:v>
                </c:pt>
                <c:pt idx="202">
                  <c:v>1.03</c:v>
                </c:pt>
                <c:pt idx="203">
                  <c:v>1.04</c:v>
                </c:pt>
                <c:pt idx="204">
                  <c:v>1.05</c:v>
                </c:pt>
                <c:pt idx="205">
                  <c:v>1.06</c:v>
                </c:pt>
                <c:pt idx="206">
                  <c:v>1.07</c:v>
                </c:pt>
                <c:pt idx="207">
                  <c:v>1.08</c:v>
                </c:pt>
                <c:pt idx="208">
                  <c:v>1.0900000000000001</c:v>
                </c:pt>
                <c:pt idx="209">
                  <c:v>1.1000000000000001</c:v>
                </c:pt>
                <c:pt idx="210">
                  <c:v>1.1100000000000001</c:v>
                </c:pt>
                <c:pt idx="211">
                  <c:v>1.1200000000000001</c:v>
                </c:pt>
                <c:pt idx="212">
                  <c:v>1.1299999999999999</c:v>
                </c:pt>
                <c:pt idx="213">
                  <c:v>1.1399999999999999</c:v>
                </c:pt>
                <c:pt idx="214">
                  <c:v>1.1499999999999999</c:v>
                </c:pt>
                <c:pt idx="215">
                  <c:v>1.1599999999999999</c:v>
                </c:pt>
                <c:pt idx="216">
                  <c:v>1.17</c:v>
                </c:pt>
                <c:pt idx="217">
                  <c:v>1.18</c:v>
                </c:pt>
                <c:pt idx="218">
                  <c:v>1.19</c:v>
                </c:pt>
                <c:pt idx="219">
                  <c:v>1.2</c:v>
                </c:pt>
                <c:pt idx="220">
                  <c:v>1.21</c:v>
                </c:pt>
                <c:pt idx="221">
                  <c:v>1.22</c:v>
                </c:pt>
                <c:pt idx="222">
                  <c:v>1.23</c:v>
                </c:pt>
                <c:pt idx="223">
                  <c:v>1.24</c:v>
                </c:pt>
                <c:pt idx="224">
                  <c:v>1.25</c:v>
                </c:pt>
                <c:pt idx="225">
                  <c:v>1.26</c:v>
                </c:pt>
                <c:pt idx="226">
                  <c:v>1.27</c:v>
                </c:pt>
                <c:pt idx="227">
                  <c:v>1.28</c:v>
                </c:pt>
                <c:pt idx="228">
                  <c:v>1.29</c:v>
                </c:pt>
                <c:pt idx="229">
                  <c:v>1.3</c:v>
                </c:pt>
                <c:pt idx="230">
                  <c:v>1.31</c:v>
                </c:pt>
                <c:pt idx="231">
                  <c:v>1.32</c:v>
                </c:pt>
                <c:pt idx="232">
                  <c:v>1.33</c:v>
                </c:pt>
                <c:pt idx="233">
                  <c:v>1.34</c:v>
                </c:pt>
                <c:pt idx="234">
                  <c:v>1.35</c:v>
                </c:pt>
                <c:pt idx="235">
                  <c:v>1.36</c:v>
                </c:pt>
                <c:pt idx="236">
                  <c:v>1.37</c:v>
                </c:pt>
                <c:pt idx="237">
                  <c:v>1.38</c:v>
                </c:pt>
                <c:pt idx="238">
                  <c:v>1.39</c:v>
                </c:pt>
                <c:pt idx="239">
                  <c:v>1.4</c:v>
                </c:pt>
                <c:pt idx="240">
                  <c:v>1.41</c:v>
                </c:pt>
                <c:pt idx="241">
                  <c:v>1.42</c:v>
                </c:pt>
                <c:pt idx="242">
                  <c:v>1.43</c:v>
                </c:pt>
                <c:pt idx="243">
                  <c:v>1.44</c:v>
                </c:pt>
                <c:pt idx="244">
                  <c:v>1.45</c:v>
                </c:pt>
                <c:pt idx="245">
                  <c:v>1.46</c:v>
                </c:pt>
                <c:pt idx="246">
                  <c:v>1.47</c:v>
                </c:pt>
                <c:pt idx="247">
                  <c:v>1.48</c:v>
                </c:pt>
                <c:pt idx="248">
                  <c:v>1.49</c:v>
                </c:pt>
                <c:pt idx="249">
                  <c:v>1.5</c:v>
                </c:pt>
                <c:pt idx="250">
                  <c:v>1.51</c:v>
                </c:pt>
                <c:pt idx="251">
                  <c:v>1.52</c:v>
                </c:pt>
                <c:pt idx="252">
                  <c:v>1.53</c:v>
                </c:pt>
                <c:pt idx="253">
                  <c:v>1.54</c:v>
                </c:pt>
                <c:pt idx="254">
                  <c:v>1.55</c:v>
                </c:pt>
                <c:pt idx="255">
                  <c:v>1.56</c:v>
                </c:pt>
                <c:pt idx="256">
                  <c:v>1.57</c:v>
                </c:pt>
                <c:pt idx="257">
                  <c:v>1.58</c:v>
                </c:pt>
                <c:pt idx="258">
                  <c:v>1.59</c:v>
                </c:pt>
                <c:pt idx="259">
                  <c:v>1.6</c:v>
                </c:pt>
                <c:pt idx="260">
                  <c:v>1.61</c:v>
                </c:pt>
                <c:pt idx="261">
                  <c:v>1.62</c:v>
                </c:pt>
                <c:pt idx="262">
                  <c:v>1.63</c:v>
                </c:pt>
                <c:pt idx="263">
                  <c:v>1.64</c:v>
                </c:pt>
                <c:pt idx="264">
                  <c:v>1.65</c:v>
                </c:pt>
                <c:pt idx="265">
                  <c:v>1.66</c:v>
                </c:pt>
                <c:pt idx="266">
                  <c:v>1.67</c:v>
                </c:pt>
                <c:pt idx="267">
                  <c:v>1.68</c:v>
                </c:pt>
                <c:pt idx="268">
                  <c:v>1.69</c:v>
                </c:pt>
                <c:pt idx="269">
                  <c:v>1.7</c:v>
                </c:pt>
                <c:pt idx="270">
                  <c:v>1.71</c:v>
                </c:pt>
                <c:pt idx="271">
                  <c:v>1.72</c:v>
                </c:pt>
                <c:pt idx="272">
                  <c:v>1.73</c:v>
                </c:pt>
                <c:pt idx="273">
                  <c:v>1.74</c:v>
                </c:pt>
                <c:pt idx="274">
                  <c:v>1.75</c:v>
                </c:pt>
                <c:pt idx="275">
                  <c:v>1.76</c:v>
                </c:pt>
                <c:pt idx="276">
                  <c:v>1.77</c:v>
                </c:pt>
                <c:pt idx="277">
                  <c:v>1.78</c:v>
                </c:pt>
                <c:pt idx="278">
                  <c:v>1.79</c:v>
                </c:pt>
                <c:pt idx="279">
                  <c:v>1.8</c:v>
                </c:pt>
                <c:pt idx="280">
                  <c:v>1.81</c:v>
                </c:pt>
                <c:pt idx="281">
                  <c:v>1.82</c:v>
                </c:pt>
                <c:pt idx="282">
                  <c:v>1.83</c:v>
                </c:pt>
                <c:pt idx="283">
                  <c:v>1.84</c:v>
                </c:pt>
                <c:pt idx="284">
                  <c:v>1.85</c:v>
                </c:pt>
                <c:pt idx="285">
                  <c:v>1.86</c:v>
                </c:pt>
                <c:pt idx="286">
                  <c:v>1.87</c:v>
                </c:pt>
                <c:pt idx="287">
                  <c:v>1.88</c:v>
                </c:pt>
                <c:pt idx="288">
                  <c:v>1.89</c:v>
                </c:pt>
                <c:pt idx="289">
                  <c:v>1.9</c:v>
                </c:pt>
                <c:pt idx="290">
                  <c:v>1.91</c:v>
                </c:pt>
                <c:pt idx="291">
                  <c:v>1.92</c:v>
                </c:pt>
                <c:pt idx="292">
                  <c:v>1.93</c:v>
                </c:pt>
                <c:pt idx="293">
                  <c:v>1.94</c:v>
                </c:pt>
                <c:pt idx="294">
                  <c:v>1.95</c:v>
                </c:pt>
                <c:pt idx="295">
                  <c:v>1.96</c:v>
                </c:pt>
                <c:pt idx="296">
                  <c:v>1.97</c:v>
                </c:pt>
                <c:pt idx="297">
                  <c:v>1.98</c:v>
                </c:pt>
                <c:pt idx="298">
                  <c:v>1.99</c:v>
                </c:pt>
                <c:pt idx="299">
                  <c:v>2</c:v>
                </c:pt>
                <c:pt idx="300">
                  <c:v>2.0099999999999998</c:v>
                </c:pt>
              </c:numCache>
            </c:numRef>
          </c:xVal>
          <c:yVal>
            <c:numRef>
              <c:f>NPV!$D$6:$D$306</c:f>
              <c:numCache>
                <c:formatCode>"$"#,##0.00_);[Red]\("$"#,##0.00\)</c:formatCode>
                <c:ptCount val="301"/>
                <c:pt idx="0">
                  <c:v>-9274009200.5284939</c:v>
                </c:pt>
                <c:pt idx="1">
                  <c:v>-2555196015.5232487</c:v>
                </c:pt>
                <c:pt idx="2">
                  <c:v>-1240839880.4063885</c:v>
                </c:pt>
                <c:pt idx="3">
                  <c:v>-757145861.57637477</c:v>
                </c:pt>
                <c:pt idx="4">
                  <c:v>-522444345.8714599</c:v>
                </c:pt>
                <c:pt idx="5">
                  <c:v>-389107875.23197216</c:v>
                </c:pt>
                <c:pt idx="6">
                  <c:v>-305197109.59011292</c:v>
                </c:pt>
                <c:pt idx="7">
                  <c:v>-248459894.24187553</c:v>
                </c:pt>
                <c:pt idx="8">
                  <c:v>-208002569.04993248</c:v>
                </c:pt>
                <c:pt idx="9">
                  <c:v>-177949829.5460903</c:v>
                </c:pt>
                <c:pt idx="10">
                  <c:v>-154890560.46424404</c:v>
                </c:pt>
                <c:pt idx="11">
                  <c:v>-136725921.37318078</c:v>
                </c:pt>
                <c:pt idx="12">
                  <c:v>-122102411.47516289</c:v>
                </c:pt>
                <c:pt idx="13">
                  <c:v>-110112665.31054607</c:v>
                </c:pt>
                <c:pt idx="14">
                  <c:v>-100128254.49969569</c:v>
                </c:pt>
                <c:pt idx="15">
                  <c:v>-91701687.984359488</c:v>
                </c:pt>
                <c:pt idx="16">
                  <c:v>-84506598.565953389</c:v>
                </c:pt>
                <c:pt idx="17">
                  <c:v>-78299943.972608119</c:v>
                </c:pt>
                <c:pt idx="18">
                  <c:v>-72897387.004680187</c:v>
                </c:pt>
                <c:pt idx="19">
                  <c:v>-68156828.925635129</c:v>
                </c:pt>
                <c:pt idx="20">
                  <c:v>-63967134.766028456</c:v>
                </c:pt>
                <c:pt idx="21">
                  <c:v>-60240250.60616333</c:v>
                </c:pt>
                <c:pt idx="22">
                  <c:v>-56905588.194607854</c:v>
                </c:pt>
                <c:pt idx="23">
                  <c:v>-53905956.625888981</c:v>
                </c:pt>
                <c:pt idx="24">
                  <c:v>-51194569.404922485</c:v>
                </c:pt>
                <c:pt idx="25">
                  <c:v>-48732811.745031141</c:v>
                </c:pt>
                <c:pt idx="26">
                  <c:v>-46488553.636770308</c:v>
                </c:pt>
                <c:pt idx="27">
                  <c:v>-44434860.284145482</c:v>
                </c:pt>
                <c:pt idx="28">
                  <c:v>-42548995.629410885</c:v>
                </c:pt>
                <c:pt idx="29">
                  <c:v>-40811644.65099895</c:v>
                </c:pt>
                <c:pt idx="30">
                  <c:v>-39206300.777797662</c:v>
                </c:pt>
                <c:pt idx="31">
                  <c:v>-37718779.208035223</c:v>
                </c:pt>
                <c:pt idx="32">
                  <c:v>-36336827.15389584</c:v>
                </c:pt>
                <c:pt idx="33">
                  <c:v>-35049809.370378092</c:v>
                </c:pt>
                <c:pt idx="34">
                  <c:v>-33848452.647935972</c:v>
                </c:pt>
                <c:pt idx="35">
                  <c:v>-32724636.848214559</c:v>
                </c:pt>
                <c:pt idx="36">
                  <c:v>-31671222.948758636</c:v>
                </c:pt>
                <c:pt idx="37">
                  <c:v>-30681910.719124012</c:v>
                </c:pt>
                <c:pt idx="38">
                  <c:v>-29751120.276120696</c:v>
                </c:pt>
                <c:pt idx="39">
                  <c:v>-28873893.000965048</c:v>
                </c:pt>
                <c:pt idx="40">
                  <c:v>-28045808.246941447</c:v>
                </c:pt>
                <c:pt idx="41">
                  <c:v>-27262912.995846417</c:v>
                </c:pt>
                <c:pt idx="42">
                  <c:v>-26521662.188338332</c:v>
                </c:pt>
                <c:pt idx="43">
                  <c:v>-25818867.896591991</c:v>
                </c:pt>
                <c:pt idx="44">
                  <c:v>-25151655.856477331</c:v>
                </c:pt>
                <c:pt idx="45">
                  <c:v>-24517428.152613938</c:v>
                </c:pt>
                <c:pt idx="46">
                  <c:v>-23913831.069486462</c:v>
                </c:pt>
                <c:pt idx="47">
                  <c:v>-23338727.297769137</c:v>
                </c:pt>
                <c:pt idx="48">
                  <c:v>-22790171.826582506</c:v>
                </c:pt>
                <c:pt idx="49">
                  <c:v>-22266390.966875639</c:v>
                </c:pt>
                <c:pt idx="50">
                  <c:v>-21765764.04411903</c:v>
                </c:pt>
                <c:pt idx="51">
                  <c:v>-21286807.374377992</c:v>
                </c:pt>
                <c:pt idx="52">
                  <c:v>-20828160.200029403</c:v>
                </c:pt>
                <c:pt idx="53">
                  <c:v>-20388572.312567592</c:v>
                </c:pt>
                <c:pt idx="54">
                  <c:v>-19966893.13223524</c:v>
                </c:pt>
                <c:pt idx="55">
                  <c:v>-19562062.049290847</c:v>
                </c:pt>
                <c:pt idx="56">
                  <c:v>-19173099.860923514</c:v>
                </c:pt>
                <c:pt idx="57">
                  <c:v>-18799101.162219081</c:v>
                </c:pt>
                <c:pt idx="58">
                  <c:v>-18439227.570028581</c:v>
                </c:pt>
                <c:pt idx="59">
                  <c:v>-18092701.675787218</c:v>
                </c:pt>
                <c:pt idx="60">
                  <c:v>-17758801.637838885</c:v>
                </c:pt>
                <c:pt idx="61">
                  <c:v>-17436856.336098593</c:v>
                </c:pt>
                <c:pt idx="62">
                  <c:v>-17126241.022304736</c:v>
                </c:pt>
                <c:pt idx="63">
                  <c:v>-16826373.407981444</c:v>
                </c:pt>
                <c:pt idx="64">
                  <c:v>-16536710.139800357</c:v>
                </c:pt>
                <c:pt idx="65">
                  <c:v>-16256743.618508035</c:v>
                </c:pt>
                <c:pt idx="66">
                  <c:v>-15985999.123142237</c:v>
                </c:pt>
                <c:pt idx="67">
                  <c:v>-15724032.20703936</c:v>
                </c:pt>
                <c:pt idx="68">
                  <c:v>-15470426.336255934</c:v>
                </c:pt>
                <c:pt idx="69">
                  <c:v>-15224790.744587552</c:v>
                </c:pt>
                <c:pt idx="70">
                  <c:v>-14986758.48245259</c:v>
                </c:pt>
                <c:pt idx="71">
                  <c:v>-14755984.639584878</c:v>
                </c:pt>
                <c:pt idx="72">
                  <c:v>-14532144.723807942</c:v>
                </c:pt>
                <c:pt idx="73">
                  <c:v>-14314933.180193027</c:v>
                </c:pt>
                <c:pt idx="74">
                  <c:v>-14104062.036675828</c:v>
                </c:pt>
                <c:pt idx="75">
                  <c:v>-13899259.663757967</c:v>
                </c:pt>
                <c:pt idx="76">
                  <c:v>-13700269.637279563</c:v>
                </c:pt>
                <c:pt idx="77">
                  <c:v>-13506849.694443626</c:v>
                </c:pt>
                <c:pt idx="78">
                  <c:v>-13318770.774324551</c:v>
                </c:pt>
                <c:pt idx="79">
                  <c:v>-13135816.135019382</c:v>
                </c:pt>
                <c:pt idx="80">
                  <c:v>-12957780.540418921</c:v>
                </c:pt>
                <c:pt idx="81">
                  <c:v>-12784469.510299383</c:v>
                </c:pt>
                <c:pt idx="82">
                  <c:v>-12615698.628076285</c:v>
                </c:pt>
                <c:pt idx="83">
                  <c:v>-12451292.901131241</c:v>
                </c:pt>
                <c:pt idx="84">
                  <c:v>-12291086.16912755</c:v>
                </c:pt>
                <c:pt idx="85">
                  <c:v>-12134920.556180509</c:v>
                </c:pt>
                <c:pt idx="86">
                  <c:v>-11982645.963149102</c:v>
                </c:pt>
                <c:pt idx="87">
                  <c:v>-11834119.596673559</c:v>
                </c:pt>
                <c:pt idx="88">
                  <c:v>-11689205.531903112</c:v>
                </c:pt>
                <c:pt idx="89">
                  <c:v>-11547774.306144327</c:v>
                </c:pt>
                <c:pt idx="90">
                  <c:v>-11409702.540916985</c:v>
                </c:pt>
                <c:pt idx="91">
                  <c:v>-11274872.590134459</c:v>
                </c:pt>
                <c:pt idx="92">
                  <c:v>-11143172.212332357</c:v>
                </c:pt>
                <c:pt idx="93">
                  <c:v>-11014494.265055122</c:v>
                </c:pt>
                <c:pt idx="94">
                  <c:v>-10888736.419677734</c:v>
                </c:pt>
                <c:pt idx="95">
                  <c:v>-10765800.895090718</c:v>
                </c:pt>
                <c:pt idx="96">
                  <c:v>-10645594.208812898</c:v>
                </c:pt>
                <c:pt idx="97">
                  <c:v>-10528026.944219602</c:v>
                </c:pt>
                <c:pt idx="98">
                  <c:v>-10413013.532685397</c:v>
                </c:pt>
                <c:pt idx="99">
                  <c:v>-10300472.049541418</c:v>
                </c:pt>
                <c:pt idx="100">
                  <c:v>-10190324.022838809</c:v>
                </c:pt>
                <c:pt idx="101">
                  <c:v>-10082494.253993001</c:v>
                </c:pt>
                <c:pt idx="102">
                  <c:v>-9976910.6494587306</c:v>
                </c:pt>
                <c:pt idx="103">
                  <c:v>-9873504.0626546033</c:v>
                </c:pt>
                <c:pt idx="104">
                  <c:v>-9772208.1454182938</c:v>
                </c:pt>
                <c:pt idx="105">
                  <c:v>-9672959.2083304729</c:v>
                </c:pt>
                <c:pt idx="106">
                  <c:v>-9575696.0892973784</c:v>
                </c:pt>
                <c:pt idx="107">
                  <c:v>-9480360.0298294052</c:v>
                </c:pt>
                <c:pt idx="108">
                  <c:v>-9386894.5584963132</c:v>
                </c:pt>
                <c:pt idx="109">
                  <c:v>-9295245.3810792714</c:v>
                </c:pt>
                <c:pt idx="110">
                  <c:v>-9205360.2769761942</c:v>
                </c:pt>
                <c:pt idx="111">
                  <c:v>-9117189.0014499519</c:v>
                </c:pt>
                <c:pt idx="112">
                  <c:v>-9030683.1933395509</c:v>
                </c:pt>
                <c:pt idx="113">
                  <c:v>-8945796.2878822088</c:v>
                </c:pt>
                <c:pt idx="114">
                  <c:v>-8862483.4343199786</c:v>
                </c:pt>
                <c:pt idx="115">
                  <c:v>-8780701.4179879781</c:v>
                </c:pt>
                <c:pt idx="116">
                  <c:v>-8700408.5866031647</c:v>
                </c:pt>
                <c:pt idx="117">
                  <c:v>-8621564.7804923318</c:v>
                </c:pt>
                <c:pt idx="118">
                  <c:v>-8544131.2665164694</c:v>
                </c:pt>
                <c:pt idx="119">
                  <c:v>-8468070.6754655708</c:v>
                </c:pt>
                <c:pt idx="120">
                  <c:v>-8393346.9427135251</c:v>
                </c:pt>
                <c:pt idx="121">
                  <c:v>-8319925.2519371947</c:v>
                </c:pt>
                <c:pt idx="122">
                  <c:v>-8247771.9817170817</c:v>
                </c:pt>
                <c:pt idx="123">
                  <c:v>-8176854.654849261</c:v>
                </c:pt>
                <c:pt idx="124">
                  <c:v>-8107141.8902097102</c:v>
                </c:pt>
                <c:pt idx="125">
                  <c:v>-8038603.3570226263</c:v>
                </c:pt>
                <c:pt idx="126">
                  <c:v>-7971209.7313941186</c:v>
                </c:pt>
                <c:pt idx="127">
                  <c:v>-7904932.6549817035</c:v>
                </c:pt>
                <c:pt idx="128">
                  <c:v>-7839744.6956784278</c:v>
                </c:pt>
                <c:pt idx="129">
                  <c:v>-7775619.3101981794</c:v>
                </c:pt>
                <c:pt idx="130">
                  <c:v>-7712530.8084560186</c:v>
                </c:pt>
                <c:pt idx="131">
                  <c:v>-7650454.3196440674</c:v>
                </c:pt>
                <c:pt idx="132">
                  <c:v>-7589365.7599097034</c:v>
                </c:pt>
                <c:pt idx="133">
                  <c:v>-7529241.8015486319</c:v>
                </c:pt>
                <c:pt idx="134">
                  <c:v>-7470059.8436308224</c:v>
                </c:pt>
                <c:pt idx="135">
                  <c:v>-7411797.9839822808</c:v>
                </c:pt>
                <c:pt idx="136">
                  <c:v>-7354434.9924503556</c:v>
                </c:pt>
                <c:pt idx="137">
                  <c:v>-7297950.2853846494</c:v>
                </c:pt>
                <c:pt idx="138">
                  <c:v>-7242323.9012695896</c:v>
                </c:pt>
                <c:pt idx="139">
                  <c:v>-7187536.477448687</c:v>
                </c:pt>
                <c:pt idx="140">
                  <c:v>-7133569.2278838474</c:v>
                </c:pt>
                <c:pt idx="141">
                  <c:v>-7080403.9218966104</c:v>
                </c:pt>
                <c:pt idx="142">
                  <c:v>-7028022.8638411546</c:v>
                </c:pt>
                <c:pt idx="143">
                  <c:v>-6976408.8736618571</c:v>
                </c:pt>
                <c:pt idx="144">
                  <c:v>-6925545.2682909286</c:v>
                </c:pt>
                <c:pt idx="145">
                  <c:v>-6875415.8438441204</c:v>
                </c:pt>
                <c:pt idx="146">
                  <c:v>-6826004.8585749352</c:v>
                </c:pt>
                <c:pt idx="147">
                  <c:v>-6777297.0165499579</c:v>
                </c:pt>
                <c:pt idx="148">
                  <c:v>-6729277.4520100337</c:v>
                </c:pt>
                <c:pt idx="149">
                  <c:v>-6681931.7143839672</c:v>
                </c:pt>
                <c:pt idx="150">
                  <c:v>-6635245.7539232383</c:v>
                </c:pt>
                <c:pt idx="151">
                  <c:v>-6589205.90792799</c:v>
                </c:pt>
                <c:pt idx="152">
                  <c:v>-6543798.8875361085</c:v>
                </c:pt>
                <c:pt idx="153">
                  <c:v>-6499011.7650487963</c:v>
                </c:pt>
                <c:pt idx="154">
                  <c:v>-6454831.9617673997</c:v>
                </c:pt>
                <c:pt idx="155">
                  <c:v>-6411247.2363176476</c:v>
                </c:pt>
                <c:pt idx="156">
                  <c:v>-6368245.673438712</c:v>
                </c:pt>
                <c:pt idx="157">
                  <c:v>-6325815.6732156407</c:v>
                </c:pt>
                <c:pt idx="158">
                  <c:v>-6283945.9407349313</c:v>
                </c:pt>
                <c:pt idx="159">
                  <c:v>-6242625.4761439171</c:v>
                </c:pt>
                <c:pt idx="160">
                  <c:v>-6201843.5650958214</c:v>
                </c:pt>
                <c:pt idx="161">
                  <c:v>-6161589.7695630724</c:v>
                </c:pt>
                <c:pt idx="162">
                  <c:v>-6121853.9190025143</c:v>
                </c:pt>
                <c:pt idx="163">
                  <c:v>-6082626.1018568669</c:v>
                </c:pt>
                <c:pt idx="164">
                  <c:v>-6043896.6573776603</c:v>
                </c:pt>
                <c:pt idx="165">
                  <c:v>-6005656.1677555265</c:v>
                </c:pt>
                <c:pt idx="166">
                  <c:v>-5967895.4505445091</c:v>
                </c:pt>
                <c:pt idx="167">
                  <c:v>-5930605.5513676405</c:v>
                </c:pt>
                <c:pt idx="168">
                  <c:v>-5893777.7368917335</c:v>
                </c:pt>
                <c:pt idx="169">
                  <c:v>-5857403.4880598374</c:v>
                </c:pt>
                <c:pt idx="170">
                  <c:v>-5821474.4935704591</c:v>
                </c:pt>
                <c:pt idx="171">
                  <c:v>-5785982.6435931018</c:v>
                </c:pt>
                <c:pt idx="172">
                  <c:v>-5750920.0237102071</c:v>
                </c:pt>
                <c:pt idx="173">
                  <c:v>-5716278.9090760769</c:v>
                </c:pt>
                <c:pt idx="174">
                  <c:v>-5682051.7587837325</c:v>
                </c:pt>
                <c:pt idx="175">
                  <c:v>-5648231.2104311828</c:v>
                </c:pt>
                <c:pt idx="176">
                  <c:v>-5614810.0748788919</c:v>
                </c:pt>
                <c:pt idx="177">
                  <c:v>-5581781.3311906736</c:v>
                </c:pt>
                <c:pt idx="178">
                  <c:v>-5549138.1217505634</c:v>
                </c:pt>
                <c:pt idx="179">
                  <c:v>-5516873.7475485904</c:v>
                </c:pt>
                <c:pt idx="180">
                  <c:v>-5484981.6636286685</c:v>
                </c:pt>
                <c:pt idx="181">
                  <c:v>-5453455.4746921668</c:v>
                </c:pt>
                <c:pt idx="182">
                  <c:v>-5422288.9308509603</c:v>
                </c:pt>
                <c:pt idx="183">
                  <c:v>-5391475.9235241124</c:v>
                </c:pt>
                <c:pt idx="184">
                  <c:v>-5361010.4814725146</c:v>
                </c:pt>
                <c:pt idx="185">
                  <c:v>-5330886.7669661622</c:v>
                </c:pt>
                <c:pt idx="186">
                  <c:v>-5301099.072078865</c:v>
                </c:pt>
                <c:pt idx="187">
                  <c:v>-5271641.8151055435</c:v>
                </c:pt>
                <c:pt idx="188">
                  <c:v>-5242509.5370973609</c:v>
                </c:pt>
                <c:pt idx="189">
                  <c:v>-5213696.8985102307</c:v>
                </c:pt>
                <c:pt idx="190">
                  <c:v>-5185198.6759623867</c:v>
                </c:pt>
                <c:pt idx="191">
                  <c:v>-5157009.7590969065</c:v>
                </c:pt>
                <c:pt idx="192">
                  <c:v>-5129125.1475452445</c:v>
                </c:pt>
                <c:pt idx="193">
                  <c:v>-5101539.9479880258</c:v>
                </c:pt>
                <c:pt idx="194">
                  <c:v>-5074249.3713094508</c:v>
                </c:pt>
                <c:pt idx="195">
                  <c:v>-5047248.7298418982</c:v>
                </c:pt>
                <c:pt idx="196">
                  <c:v>-5020533.4346973859</c:v>
                </c:pt>
                <c:pt idx="197">
                  <c:v>-4994098.9931827206</c:v>
                </c:pt>
                <c:pt idx="198">
                  <c:v>-4967941.0062952926</c:v>
                </c:pt>
                <c:pt idx="199">
                  <c:v>-4942055.1662966087</c:v>
                </c:pt>
                <c:pt idx="200">
                  <c:v>-4916437.254360755</c:v>
                </c:pt>
                <c:pt idx="201">
                  <c:v>-4891083.1382951029</c:v>
                </c:pt>
                <c:pt idx="202">
                  <c:v>-4865988.7703307001</c:v>
                </c:pt>
                <c:pt idx="203">
                  <c:v>-4841150.1849798718</c:v>
                </c:pt>
                <c:pt idx="204">
                  <c:v>-4816563.4969586413</c:v>
                </c:pt>
                <c:pt idx="205">
                  <c:v>-4792224.8991717258</c:v>
                </c:pt>
                <c:pt idx="206">
                  <c:v>-4768130.6607579142</c:v>
                </c:pt>
                <c:pt idx="207">
                  <c:v>-4744277.125193703</c:v>
                </c:pt>
                <c:pt idx="208">
                  <c:v>-4720660.7084532147</c:v>
                </c:pt>
                <c:pt idx="209">
                  <c:v>-4697277.8972224351</c:v>
                </c:pt>
                <c:pt idx="210">
                  <c:v>-4674125.2471659184</c:v>
                </c:pt>
                <c:pt idx="211">
                  <c:v>-4651199.3812441789</c:v>
                </c:pt>
                <c:pt idx="212">
                  <c:v>-4628496.9880800303</c:v>
                </c:pt>
                <c:pt idx="213">
                  <c:v>-4606014.8203722471</c:v>
                </c:pt>
                <c:pt idx="214">
                  <c:v>-4583749.6933549363</c:v>
                </c:pt>
                <c:pt idx="215">
                  <c:v>-4561698.4833011059</c:v>
                </c:pt>
                <c:pt idx="216">
                  <c:v>-4539858.1260689525</c:v>
                </c:pt>
                <c:pt idx="217">
                  <c:v>-4518225.6156894499</c:v>
                </c:pt>
                <c:pt idx="218">
                  <c:v>-4496798.0029938892</c:v>
                </c:pt>
                <c:pt idx="219">
                  <c:v>-4475572.394280049</c:v>
                </c:pt>
                <c:pt idx="220">
                  <c:v>-4454545.9500157433</c:v>
                </c:pt>
                <c:pt idx="221">
                  <c:v>-4433715.8835785128</c:v>
                </c:pt>
                <c:pt idx="222">
                  <c:v>-4413079.460030322</c:v>
                </c:pt>
                <c:pt idx="223">
                  <c:v>-4392633.994926108</c:v>
                </c:pt>
                <c:pt idx="224">
                  <c:v>-4372376.8531550998</c:v>
                </c:pt>
                <c:pt idx="225">
                  <c:v>-4352305.4478138741</c:v>
                </c:pt>
                <c:pt idx="226">
                  <c:v>-4332417.2391101299</c:v>
                </c:pt>
                <c:pt idx="227">
                  <c:v>-4312709.7332962137</c:v>
                </c:pt>
                <c:pt idx="228">
                  <c:v>-4293180.4816314504</c:v>
                </c:pt>
                <c:pt idx="229">
                  <c:v>-4273827.0793723902</c:v>
                </c:pt>
                <c:pt idx="230">
                  <c:v>-4254647.1647900883</c:v>
                </c:pt>
                <c:pt idx="231">
                  <c:v>-4235638.4182135919</c:v>
                </c:pt>
                <c:pt idx="232">
                  <c:v>-4216798.5610988028</c:v>
                </c:pt>
                <c:pt idx="233">
                  <c:v>-4198125.3551219488</c:v>
                </c:pt>
                <c:pt idx="234">
                  <c:v>-4179616.601296911</c:v>
                </c:pt>
                <c:pt idx="235">
                  <c:v>-4161270.1391156702</c:v>
                </c:pt>
                <c:pt idx="236">
                  <c:v>-4143083.845711174</c:v>
                </c:pt>
                <c:pt idx="237">
                  <c:v>-4125055.6350419363</c:v>
                </c:pt>
                <c:pt idx="238">
                  <c:v>-4107183.457097739</c:v>
                </c:pt>
                <c:pt idx="239">
                  <c:v>-4089465.2971257712</c:v>
                </c:pt>
                <c:pt idx="240">
                  <c:v>-4071899.1748766191</c:v>
                </c:pt>
                <c:pt idx="241">
                  <c:v>-4054483.1438695006</c:v>
                </c:pt>
                <c:pt idx="242">
                  <c:v>-4037215.2906761835</c:v>
                </c:pt>
                <c:pt idx="243">
                  <c:v>-4020093.7342230324</c:v>
                </c:pt>
                <c:pt idx="244">
                  <c:v>-4003116.6251106528</c:v>
                </c:pt>
                <c:pt idx="245">
                  <c:v>-3986282.1449506152</c:v>
                </c:pt>
                <c:pt idx="246">
                  <c:v>-3969588.5057187625</c:v>
                </c:pt>
                <c:pt idx="247">
                  <c:v>-3953033.949124617</c:v>
                </c:pt>
                <c:pt idx="248">
                  <c:v>-3936616.7459964347</c:v>
                </c:pt>
                <c:pt idx="249">
                  <c:v>-3920335.1956814313</c:v>
                </c:pt>
                <c:pt idx="250">
                  <c:v>-3904187.62546077</c:v>
                </c:pt>
                <c:pt idx="251">
                  <c:v>-3888172.3899788749</c:v>
                </c:pt>
                <c:pt idx="252">
                  <c:v>-3872287.870686668</c:v>
                </c:pt>
                <c:pt idx="253">
                  <c:v>-3856532.4752983358</c:v>
                </c:pt>
                <c:pt idx="254">
                  <c:v>-3840904.6372612379</c:v>
                </c:pt>
                <c:pt idx="255">
                  <c:v>-3825402.8152385931</c:v>
                </c:pt>
                <c:pt idx="256">
                  <c:v>-3810025.4926045951</c:v>
                </c:pt>
                <c:pt idx="257">
                  <c:v>-3794771.1769515872</c:v>
                </c:pt>
                <c:pt idx="258">
                  <c:v>-3779638.3996089799</c:v>
                </c:pt>
                <c:pt idx="259">
                  <c:v>-3764625.7151735867</c:v>
                </c:pt>
                <c:pt idx="260">
                  <c:v>-3749731.701051055</c:v>
                </c:pt>
                <c:pt idx="261">
                  <c:v>-3734954.9570080917</c:v>
                </c:pt>
                <c:pt idx="262">
                  <c:v>-3720294.1047351845</c:v>
                </c:pt>
                <c:pt idx="263">
                  <c:v>-3705747.7874195431</c:v>
                </c:pt>
                <c:pt idx="264">
                  <c:v>-3691314.6693279743</c:v>
                </c:pt>
                <c:pt idx="265">
                  <c:v>-3676993.435399421</c:v>
                </c:pt>
                <c:pt idx="266">
                  <c:v>-3662782.7908469182</c:v>
                </c:pt>
                <c:pt idx="267">
                  <c:v>-3648681.4607686917</c:v>
                </c:pt>
                <c:pt idx="268">
                  <c:v>-3634688.1897681756</c:v>
                </c:pt>
                <c:pt idx="269">
                  <c:v>-3620801.7415827089</c:v>
                </c:pt>
                <c:pt idx="270">
                  <c:v>-3607020.8987206598</c:v>
                </c:pt>
                <c:pt idx="271">
                  <c:v>-3593344.4621067867</c:v>
                </c:pt>
                <c:pt idx="272">
                  <c:v>-3579771.2507355926</c:v>
                </c:pt>
                <c:pt idx="273">
                  <c:v>-3566300.1013324824</c:v>
                </c:pt>
                <c:pt idx="274">
                  <c:v>-3552929.8680225057</c:v>
                </c:pt>
                <c:pt idx="275">
                  <c:v>-3539659.4220064916</c:v>
                </c:pt>
                <c:pt idx="276">
                  <c:v>-3526487.6512443922</c:v>
                </c:pt>
                <c:pt idx="277">
                  <c:v>-3513413.4601456379</c:v>
                </c:pt>
                <c:pt idx="278">
                  <c:v>-3500435.7692663246</c:v>
                </c:pt>
                <c:pt idx="279">
                  <c:v>-3487553.515013068</c:v>
                </c:pt>
                <c:pt idx="280">
                  <c:v>-3474765.6493533389</c:v>
                </c:pt>
                <c:pt idx="281">
                  <c:v>-3462071.1395321344</c:v>
                </c:pt>
                <c:pt idx="282">
                  <c:v>-3449468.9677948034</c:v>
                </c:pt>
                <c:pt idx="283">
                  <c:v>-3436958.1311158813</c:v>
                </c:pt>
                <c:pt idx="284">
                  <c:v>-3424537.6409337888</c:v>
                </c:pt>
                <c:pt idx="285">
                  <c:v>-3412206.5228912351</c:v>
                </c:pt>
                <c:pt idx="286">
                  <c:v>-3399963.8165811892</c:v>
                </c:pt>
                <c:pt idx="287">
                  <c:v>-3387808.5752982795</c:v>
                </c:pt>
                <c:pt idx="288">
                  <c:v>-3375739.8657954889</c:v>
                </c:pt>
                <c:pt idx="289">
                  <c:v>-3363756.7680460112</c:v>
                </c:pt>
                <c:pt idx="290">
                  <c:v>-3351858.375010144</c:v>
                </c:pt>
                <c:pt idx="291">
                  <c:v>-3340043.792407095</c:v>
                </c:pt>
                <c:pt idx="292">
                  <c:v>-3328312.1384915733</c:v>
                </c:pt>
                <c:pt idx="293">
                  <c:v>-3316662.5438350635</c:v>
                </c:pt>
                <c:pt idx="294">
                  <c:v>-3305094.1511116577</c:v>
                </c:pt>
                <c:pt idx="295">
                  <c:v>-3293606.1148883365</c:v>
                </c:pt>
                <c:pt idx="296">
                  <c:v>-3282197.6014195946</c:v>
                </c:pt>
                <c:pt idx="297">
                  <c:v>-3270867.7884463035</c:v>
                </c:pt>
                <c:pt idx="298">
                  <c:v>-3259615.8649987136</c:v>
                </c:pt>
                <c:pt idx="299">
                  <c:v>-3248441.0312034949</c:v>
                </c:pt>
                <c:pt idx="300">
                  <c:v>-3237342.4980947124</c:v>
                </c:pt>
              </c:numCache>
            </c:numRef>
          </c:yVal>
          <c:smooth val="1"/>
        </c:ser>
        <c:ser>
          <c:idx val="2"/>
          <c:order val="1"/>
          <c:marker>
            <c:symbol val="none"/>
          </c:marker>
          <c:xVal>
            <c:numRef>
              <c:f>NPV!$C$6:$C$306</c:f>
              <c:numCache>
                <c:formatCode>General</c:formatCode>
                <c:ptCount val="301"/>
                <c:pt idx="0">
                  <c:v>-0.99</c:v>
                </c:pt>
                <c:pt idx="1">
                  <c:v>-0.98</c:v>
                </c:pt>
                <c:pt idx="2">
                  <c:v>-0.97</c:v>
                </c:pt>
                <c:pt idx="3">
                  <c:v>-0.96</c:v>
                </c:pt>
                <c:pt idx="4">
                  <c:v>-0.95</c:v>
                </c:pt>
                <c:pt idx="5">
                  <c:v>-0.94</c:v>
                </c:pt>
                <c:pt idx="6">
                  <c:v>-0.93</c:v>
                </c:pt>
                <c:pt idx="7">
                  <c:v>-0.92</c:v>
                </c:pt>
                <c:pt idx="8">
                  <c:v>-0.91</c:v>
                </c:pt>
                <c:pt idx="9">
                  <c:v>-0.9</c:v>
                </c:pt>
                <c:pt idx="10">
                  <c:v>-0.89</c:v>
                </c:pt>
                <c:pt idx="11">
                  <c:v>-0.88</c:v>
                </c:pt>
                <c:pt idx="12">
                  <c:v>-0.87</c:v>
                </c:pt>
                <c:pt idx="13">
                  <c:v>-0.86</c:v>
                </c:pt>
                <c:pt idx="14">
                  <c:v>-0.85</c:v>
                </c:pt>
                <c:pt idx="15">
                  <c:v>-0.84</c:v>
                </c:pt>
                <c:pt idx="16">
                  <c:v>-0.83</c:v>
                </c:pt>
                <c:pt idx="17">
                  <c:v>-0.82</c:v>
                </c:pt>
                <c:pt idx="18">
                  <c:v>-0.81</c:v>
                </c:pt>
                <c:pt idx="19">
                  <c:v>-0.8</c:v>
                </c:pt>
                <c:pt idx="20">
                  <c:v>-0.79</c:v>
                </c:pt>
                <c:pt idx="21">
                  <c:v>-0.78</c:v>
                </c:pt>
                <c:pt idx="22">
                  <c:v>-0.77</c:v>
                </c:pt>
                <c:pt idx="23">
                  <c:v>-0.76</c:v>
                </c:pt>
                <c:pt idx="24">
                  <c:v>-0.75</c:v>
                </c:pt>
                <c:pt idx="25">
                  <c:v>-0.74</c:v>
                </c:pt>
                <c:pt idx="26">
                  <c:v>-0.73</c:v>
                </c:pt>
                <c:pt idx="27">
                  <c:v>-0.72</c:v>
                </c:pt>
                <c:pt idx="28">
                  <c:v>-0.71</c:v>
                </c:pt>
                <c:pt idx="29">
                  <c:v>-0.7</c:v>
                </c:pt>
                <c:pt idx="30">
                  <c:v>-0.69</c:v>
                </c:pt>
                <c:pt idx="31">
                  <c:v>-0.68</c:v>
                </c:pt>
                <c:pt idx="32">
                  <c:v>-0.67</c:v>
                </c:pt>
                <c:pt idx="33">
                  <c:v>-0.66</c:v>
                </c:pt>
                <c:pt idx="34">
                  <c:v>-0.65</c:v>
                </c:pt>
                <c:pt idx="35">
                  <c:v>-0.64</c:v>
                </c:pt>
                <c:pt idx="36">
                  <c:v>-0.63</c:v>
                </c:pt>
                <c:pt idx="37">
                  <c:v>-0.62</c:v>
                </c:pt>
                <c:pt idx="38">
                  <c:v>-0.61</c:v>
                </c:pt>
                <c:pt idx="39">
                  <c:v>-0.6</c:v>
                </c:pt>
                <c:pt idx="40">
                  <c:v>-0.59</c:v>
                </c:pt>
                <c:pt idx="41">
                  <c:v>-0.57999999999999996</c:v>
                </c:pt>
                <c:pt idx="42">
                  <c:v>-0.56999999999999995</c:v>
                </c:pt>
                <c:pt idx="43">
                  <c:v>-0.56000000000000005</c:v>
                </c:pt>
                <c:pt idx="44">
                  <c:v>-0.55000000000000004</c:v>
                </c:pt>
                <c:pt idx="45">
                  <c:v>-0.54</c:v>
                </c:pt>
                <c:pt idx="46">
                  <c:v>-0.53</c:v>
                </c:pt>
                <c:pt idx="47">
                  <c:v>-0.52</c:v>
                </c:pt>
                <c:pt idx="48">
                  <c:v>-0.51</c:v>
                </c:pt>
                <c:pt idx="49">
                  <c:v>-0.5</c:v>
                </c:pt>
                <c:pt idx="50">
                  <c:v>-0.49</c:v>
                </c:pt>
                <c:pt idx="51">
                  <c:v>-0.48</c:v>
                </c:pt>
                <c:pt idx="52">
                  <c:v>-0.47</c:v>
                </c:pt>
                <c:pt idx="53">
                  <c:v>-0.46</c:v>
                </c:pt>
                <c:pt idx="54">
                  <c:v>-0.45</c:v>
                </c:pt>
                <c:pt idx="55">
                  <c:v>-0.44</c:v>
                </c:pt>
                <c:pt idx="56">
                  <c:v>-0.42999999999999899</c:v>
                </c:pt>
                <c:pt idx="57">
                  <c:v>-0.41999999999999899</c:v>
                </c:pt>
                <c:pt idx="58">
                  <c:v>-0.40999999999999898</c:v>
                </c:pt>
                <c:pt idx="59">
                  <c:v>-0.39999999999999902</c:v>
                </c:pt>
                <c:pt idx="60">
                  <c:v>-0.38999999999999901</c:v>
                </c:pt>
                <c:pt idx="61">
                  <c:v>-0.37999999999999901</c:v>
                </c:pt>
                <c:pt idx="62">
                  <c:v>-0.369999999999999</c:v>
                </c:pt>
                <c:pt idx="63">
                  <c:v>-0.35999999999999899</c:v>
                </c:pt>
                <c:pt idx="64">
                  <c:v>-0.34999999999999898</c:v>
                </c:pt>
                <c:pt idx="65">
                  <c:v>-0.33999999999999903</c:v>
                </c:pt>
                <c:pt idx="66">
                  <c:v>-0.32999999999999902</c:v>
                </c:pt>
                <c:pt idx="67">
                  <c:v>-0.31999999999999901</c:v>
                </c:pt>
                <c:pt idx="68">
                  <c:v>-0.309999999999999</c:v>
                </c:pt>
                <c:pt idx="69">
                  <c:v>-0.29999999999999899</c:v>
                </c:pt>
                <c:pt idx="70">
                  <c:v>-0.28999999999999898</c:v>
                </c:pt>
                <c:pt idx="71">
                  <c:v>-0.27999999999999903</c:v>
                </c:pt>
                <c:pt idx="72">
                  <c:v>-0.26999999999999902</c:v>
                </c:pt>
                <c:pt idx="73">
                  <c:v>-0.25999999999999901</c:v>
                </c:pt>
                <c:pt idx="74">
                  <c:v>-0.249999999999999</c:v>
                </c:pt>
                <c:pt idx="75">
                  <c:v>-0.23999999999999899</c:v>
                </c:pt>
                <c:pt idx="76">
                  <c:v>-0.22999999999999901</c:v>
                </c:pt>
                <c:pt idx="77">
                  <c:v>-0.219999999999999</c:v>
                </c:pt>
                <c:pt idx="78">
                  <c:v>-0.20999999999999899</c:v>
                </c:pt>
                <c:pt idx="79">
                  <c:v>-0.19999999999999901</c:v>
                </c:pt>
                <c:pt idx="80">
                  <c:v>-0.189999999999999</c:v>
                </c:pt>
                <c:pt idx="81">
                  <c:v>-0.17999999999999899</c:v>
                </c:pt>
                <c:pt idx="82">
                  <c:v>-0.16999999999999901</c:v>
                </c:pt>
                <c:pt idx="83">
                  <c:v>-0.159999999999999</c:v>
                </c:pt>
                <c:pt idx="84">
                  <c:v>-0.149999999999999</c:v>
                </c:pt>
                <c:pt idx="85">
                  <c:v>-0.13999999999999899</c:v>
                </c:pt>
                <c:pt idx="86">
                  <c:v>-0.12999999999999901</c:v>
                </c:pt>
                <c:pt idx="87">
                  <c:v>-0.119999999999999</c:v>
                </c:pt>
                <c:pt idx="88">
                  <c:v>-0.109999999999999</c:v>
                </c:pt>
                <c:pt idx="89">
                  <c:v>-9.9999999999999006E-2</c:v>
                </c:pt>
                <c:pt idx="90">
                  <c:v>-8.9999999999998997E-2</c:v>
                </c:pt>
                <c:pt idx="91">
                  <c:v>-7.9999999999999002E-2</c:v>
                </c:pt>
                <c:pt idx="92">
                  <c:v>-6.9999999999998994E-2</c:v>
                </c:pt>
                <c:pt idx="93">
                  <c:v>-5.9999999999999103E-2</c:v>
                </c:pt>
                <c:pt idx="94">
                  <c:v>-4.9999999999998997E-2</c:v>
                </c:pt>
                <c:pt idx="95">
                  <c:v>-3.9999999999999002E-2</c:v>
                </c:pt>
                <c:pt idx="96">
                  <c:v>-2.9999999999999E-2</c:v>
                </c:pt>
                <c:pt idx="97">
                  <c:v>-1.9999999999999001E-2</c:v>
                </c:pt>
                <c:pt idx="98">
                  <c:v>-9.9999999999990097E-3</c:v>
                </c:pt>
                <c:pt idx="99">
                  <c:v>0</c:v>
                </c:pt>
                <c:pt idx="100">
                  <c:v>0.01</c:v>
                </c:pt>
                <c:pt idx="101">
                  <c:v>0.02</c:v>
                </c:pt>
                <c:pt idx="102">
                  <c:v>0.03</c:v>
                </c:pt>
                <c:pt idx="103">
                  <c:v>0.04</c:v>
                </c:pt>
                <c:pt idx="104">
                  <c:v>0.05</c:v>
                </c:pt>
                <c:pt idx="105">
                  <c:v>6.0000000000000102E-2</c:v>
                </c:pt>
                <c:pt idx="106">
                  <c:v>7.0000000000000104E-2</c:v>
                </c:pt>
                <c:pt idx="107">
                  <c:v>8.0000000000000099E-2</c:v>
                </c:pt>
                <c:pt idx="108">
                  <c:v>9.0000000000000094E-2</c:v>
                </c:pt>
                <c:pt idx="109">
                  <c:v>0.1</c:v>
                </c:pt>
                <c:pt idx="110">
                  <c:v>0.11</c:v>
                </c:pt>
                <c:pt idx="111">
                  <c:v>0.12</c:v>
                </c:pt>
                <c:pt idx="112">
                  <c:v>0.13</c:v>
                </c:pt>
                <c:pt idx="113">
                  <c:v>0.14000000000000001</c:v>
                </c:pt>
                <c:pt idx="114">
                  <c:v>0.15</c:v>
                </c:pt>
                <c:pt idx="115">
                  <c:v>0.16</c:v>
                </c:pt>
                <c:pt idx="116">
                  <c:v>0.17</c:v>
                </c:pt>
                <c:pt idx="117">
                  <c:v>0.18</c:v>
                </c:pt>
                <c:pt idx="118">
                  <c:v>0.19</c:v>
                </c:pt>
                <c:pt idx="119">
                  <c:v>0.2</c:v>
                </c:pt>
                <c:pt idx="120">
                  <c:v>0.21</c:v>
                </c:pt>
                <c:pt idx="121">
                  <c:v>0.22</c:v>
                </c:pt>
                <c:pt idx="122">
                  <c:v>0.23</c:v>
                </c:pt>
                <c:pt idx="123">
                  <c:v>0.24</c:v>
                </c:pt>
                <c:pt idx="124">
                  <c:v>0.25</c:v>
                </c:pt>
                <c:pt idx="125">
                  <c:v>0.26</c:v>
                </c:pt>
                <c:pt idx="126">
                  <c:v>0.27</c:v>
                </c:pt>
                <c:pt idx="127">
                  <c:v>0.28000000000000003</c:v>
                </c:pt>
                <c:pt idx="128">
                  <c:v>0.28999999999999998</c:v>
                </c:pt>
                <c:pt idx="129">
                  <c:v>0.3</c:v>
                </c:pt>
                <c:pt idx="130">
                  <c:v>0.31</c:v>
                </c:pt>
                <c:pt idx="131">
                  <c:v>0.32</c:v>
                </c:pt>
                <c:pt idx="132">
                  <c:v>0.33</c:v>
                </c:pt>
                <c:pt idx="133">
                  <c:v>0.34</c:v>
                </c:pt>
                <c:pt idx="134">
                  <c:v>0.35</c:v>
                </c:pt>
                <c:pt idx="135">
                  <c:v>0.36</c:v>
                </c:pt>
                <c:pt idx="136">
                  <c:v>0.37</c:v>
                </c:pt>
                <c:pt idx="137">
                  <c:v>0.38</c:v>
                </c:pt>
                <c:pt idx="138">
                  <c:v>0.39</c:v>
                </c:pt>
                <c:pt idx="139">
                  <c:v>0.4</c:v>
                </c:pt>
                <c:pt idx="140">
                  <c:v>0.41</c:v>
                </c:pt>
                <c:pt idx="141">
                  <c:v>0.42</c:v>
                </c:pt>
                <c:pt idx="142">
                  <c:v>0.43</c:v>
                </c:pt>
                <c:pt idx="143">
                  <c:v>0.44</c:v>
                </c:pt>
                <c:pt idx="144">
                  <c:v>0.45</c:v>
                </c:pt>
                <c:pt idx="145">
                  <c:v>0.46</c:v>
                </c:pt>
                <c:pt idx="146">
                  <c:v>0.47</c:v>
                </c:pt>
                <c:pt idx="147">
                  <c:v>0.48</c:v>
                </c:pt>
                <c:pt idx="148">
                  <c:v>0.49</c:v>
                </c:pt>
                <c:pt idx="149">
                  <c:v>0.5</c:v>
                </c:pt>
                <c:pt idx="150">
                  <c:v>0.51</c:v>
                </c:pt>
                <c:pt idx="151">
                  <c:v>0.52</c:v>
                </c:pt>
                <c:pt idx="152">
                  <c:v>0.53</c:v>
                </c:pt>
                <c:pt idx="153">
                  <c:v>0.54</c:v>
                </c:pt>
                <c:pt idx="154">
                  <c:v>0.55000000000000004</c:v>
                </c:pt>
                <c:pt idx="155">
                  <c:v>0.56000000000000005</c:v>
                </c:pt>
                <c:pt idx="156">
                  <c:v>0.56999999999999995</c:v>
                </c:pt>
                <c:pt idx="157">
                  <c:v>0.57999999999999996</c:v>
                </c:pt>
                <c:pt idx="158">
                  <c:v>0.59</c:v>
                </c:pt>
                <c:pt idx="159">
                  <c:v>0.6</c:v>
                </c:pt>
                <c:pt idx="160">
                  <c:v>0.61</c:v>
                </c:pt>
                <c:pt idx="161">
                  <c:v>0.62</c:v>
                </c:pt>
                <c:pt idx="162">
                  <c:v>0.63</c:v>
                </c:pt>
                <c:pt idx="163">
                  <c:v>0.64</c:v>
                </c:pt>
                <c:pt idx="164">
                  <c:v>0.65</c:v>
                </c:pt>
                <c:pt idx="165">
                  <c:v>0.66</c:v>
                </c:pt>
                <c:pt idx="166">
                  <c:v>0.67</c:v>
                </c:pt>
                <c:pt idx="167">
                  <c:v>0.68</c:v>
                </c:pt>
                <c:pt idx="168">
                  <c:v>0.69</c:v>
                </c:pt>
                <c:pt idx="169">
                  <c:v>0.7</c:v>
                </c:pt>
                <c:pt idx="170">
                  <c:v>0.71</c:v>
                </c:pt>
                <c:pt idx="171">
                  <c:v>0.72</c:v>
                </c:pt>
                <c:pt idx="172">
                  <c:v>0.73</c:v>
                </c:pt>
                <c:pt idx="173">
                  <c:v>0.74</c:v>
                </c:pt>
                <c:pt idx="174">
                  <c:v>0.75</c:v>
                </c:pt>
                <c:pt idx="175">
                  <c:v>0.76</c:v>
                </c:pt>
                <c:pt idx="176">
                  <c:v>0.77</c:v>
                </c:pt>
                <c:pt idx="177">
                  <c:v>0.78</c:v>
                </c:pt>
                <c:pt idx="178">
                  <c:v>0.79</c:v>
                </c:pt>
                <c:pt idx="179">
                  <c:v>0.8</c:v>
                </c:pt>
                <c:pt idx="180">
                  <c:v>0.81</c:v>
                </c:pt>
                <c:pt idx="181">
                  <c:v>0.82</c:v>
                </c:pt>
                <c:pt idx="182">
                  <c:v>0.83</c:v>
                </c:pt>
                <c:pt idx="183">
                  <c:v>0.84</c:v>
                </c:pt>
                <c:pt idx="184">
                  <c:v>0.85</c:v>
                </c:pt>
                <c:pt idx="185">
                  <c:v>0.86</c:v>
                </c:pt>
                <c:pt idx="186">
                  <c:v>0.87</c:v>
                </c:pt>
                <c:pt idx="187">
                  <c:v>0.88</c:v>
                </c:pt>
                <c:pt idx="188">
                  <c:v>0.89</c:v>
                </c:pt>
                <c:pt idx="189">
                  <c:v>0.9</c:v>
                </c:pt>
                <c:pt idx="190">
                  <c:v>0.91</c:v>
                </c:pt>
                <c:pt idx="191">
                  <c:v>0.92</c:v>
                </c:pt>
                <c:pt idx="192">
                  <c:v>0.93</c:v>
                </c:pt>
                <c:pt idx="193">
                  <c:v>0.94</c:v>
                </c:pt>
                <c:pt idx="194">
                  <c:v>0.95</c:v>
                </c:pt>
                <c:pt idx="195">
                  <c:v>0.96</c:v>
                </c:pt>
                <c:pt idx="196">
                  <c:v>0.97</c:v>
                </c:pt>
                <c:pt idx="197">
                  <c:v>0.98</c:v>
                </c:pt>
                <c:pt idx="198">
                  <c:v>0.99</c:v>
                </c:pt>
                <c:pt idx="199">
                  <c:v>1</c:v>
                </c:pt>
                <c:pt idx="200">
                  <c:v>1.01</c:v>
                </c:pt>
                <c:pt idx="201">
                  <c:v>1.02</c:v>
                </c:pt>
                <c:pt idx="202">
                  <c:v>1.03</c:v>
                </c:pt>
                <c:pt idx="203">
                  <c:v>1.04</c:v>
                </c:pt>
                <c:pt idx="204">
                  <c:v>1.05</c:v>
                </c:pt>
                <c:pt idx="205">
                  <c:v>1.06</c:v>
                </c:pt>
                <c:pt idx="206">
                  <c:v>1.07</c:v>
                </c:pt>
                <c:pt idx="207">
                  <c:v>1.08</c:v>
                </c:pt>
                <c:pt idx="208">
                  <c:v>1.0900000000000001</c:v>
                </c:pt>
                <c:pt idx="209">
                  <c:v>1.1000000000000001</c:v>
                </c:pt>
                <c:pt idx="210">
                  <c:v>1.1100000000000001</c:v>
                </c:pt>
                <c:pt idx="211">
                  <c:v>1.1200000000000001</c:v>
                </c:pt>
                <c:pt idx="212">
                  <c:v>1.1299999999999999</c:v>
                </c:pt>
                <c:pt idx="213">
                  <c:v>1.1399999999999999</c:v>
                </c:pt>
                <c:pt idx="214">
                  <c:v>1.1499999999999999</c:v>
                </c:pt>
                <c:pt idx="215">
                  <c:v>1.1599999999999999</c:v>
                </c:pt>
                <c:pt idx="216">
                  <c:v>1.17</c:v>
                </c:pt>
                <c:pt idx="217">
                  <c:v>1.18</c:v>
                </c:pt>
                <c:pt idx="218">
                  <c:v>1.19</c:v>
                </c:pt>
                <c:pt idx="219">
                  <c:v>1.2</c:v>
                </c:pt>
                <c:pt idx="220">
                  <c:v>1.21</c:v>
                </c:pt>
                <c:pt idx="221">
                  <c:v>1.22</c:v>
                </c:pt>
                <c:pt idx="222">
                  <c:v>1.23</c:v>
                </c:pt>
                <c:pt idx="223">
                  <c:v>1.24</c:v>
                </c:pt>
                <c:pt idx="224">
                  <c:v>1.25</c:v>
                </c:pt>
                <c:pt idx="225">
                  <c:v>1.26</c:v>
                </c:pt>
                <c:pt idx="226">
                  <c:v>1.27</c:v>
                </c:pt>
                <c:pt idx="227">
                  <c:v>1.28</c:v>
                </c:pt>
                <c:pt idx="228">
                  <c:v>1.29</c:v>
                </c:pt>
                <c:pt idx="229">
                  <c:v>1.3</c:v>
                </c:pt>
                <c:pt idx="230">
                  <c:v>1.31</c:v>
                </c:pt>
                <c:pt idx="231">
                  <c:v>1.32</c:v>
                </c:pt>
                <c:pt idx="232">
                  <c:v>1.33</c:v>
                </c:pt>
                <c:pt idx="233">
                  <c:v>1.34</c:v>
                </c:pt>
                <c:pt idx="234">
                  <c:v>1.35</c:v>
                </c:pt>
                <c:pt idx="235">
                  <c:v>1.36</c:v>
                </c:pt>
                <c:pt idx="236">
                  <c:v>1.37</c:v>
                </c:pt>
                <c:pt idx="237">
                  <c:v>1.38</c:v>
                </c:pt>
                <c:pt idx="238">
                  <c:v>1.39</c:v>
                </c:pt>
                <c:pt idx="239">
                  <c:v>1.4</c:v>
                </c:pt>
                <c:pt idx="240">
                  <c:v>1.41</c:v>
                </c:pt>
                <c:pt idx="241">
                  <c:v>1.42</c:v>
                </c:pt>
                <c:pt idx="242">
                  <c:v>1.43</c:v>
                </c:pt>
                <c:pt idx="243">
                  <c:v>1.44</c:v>
                </c:pt>
                <c:pt idx="244">
                  <c:v>1.45</c:v>
                </c:pt>
                <c:pt idx="245">
                  <c:v>1.46</c:v>
                </c:pt>
                <c:pt idx="246">
                  <c:v>1.47</c:v>
                </c:pt>
                <c:pt idx="247">
                  <c:v>1.48</c:v>
                </c:pt>
                <c:pt idx="248">
                  <c:v>1.49</c:v>
                </c:pt>
                <c:pt idx="249">
                  <c:v>1.5</c:v>
                </c:pt>
                <c:pt idx="250">
                  <c:v>1.51</c:v>
                </c:pt>
                <c:pt idx="251">
                  <c:v>1.52</c:v>
                </c:pt>
                <c:pt idx="252">
                  <c:v>1.53</c:v>
                </c:pt>
                <c:pt idx="253">
                  <c:v>1.54</c:v>
                </c:pt>
                <c:pt idx="254">
                  <c:v>1.55</c:v>
                </c:pt>
                <c:pt idx="255">
                  <c:v>1.56</c:v>
                </c:pt>
                <c:pt idx="256">
                  <c:v>1.57</c:v>
                </c:pt>
                <c:pt idx="257">
                  <c:v>1.58</c:v>
                </c:pt>
                <c:pt idx="258">
                  <c:v>1.59</c:v>
                </c:pt>
                <c:pt idx="259">
                  <c:v>1.6</c:v>
                </c:pt>
                <c:pt idx="260">
                  <c:v>1.61</c:v>
                </c:pt>
                <c:pt idx="261">
                  <c:v>1.62</c:v>
                </c:pt>
                <c:pt idx="262">
                  <c:v>1.63</c:v>
                </c:pt>
                <c:pt idx="263">
                  <c:v>1.64</c:v>
                </c:pt>
                <c:pt idx="264">
                  <c:v>1.65</c:v>
                </c:pt>
                <c:pt idx="265">
                  <c:v>1.66</c:v>
                </c:pt>
                <c:pt idx="266">
                  <c:v>1.67</c:v>
                </c:pt>
                <c:pt idx="267">
                  <c:v>1.68</c:v>
                </c:pt>
                <c:pt idx="268">
                  <c:v>1.69</c:v>
                </c:pt>
                <c:pt idx="269">
                  <c:v>1.7</c:v>
                </c:pt>
                <c:pt idx="270">
                  <c:v>1.71</c:v>
                </c:pt>
                <c:pt idx="271">
                  <c:v>1.72</c:v>
                </c:pt>
                <c:pt idx="272">
                  <c:v>1.73</c:v>
                </c:pt>
                <c:pt idx="273">
                  <c:v>1.74</c:v>
                </c:pt>
                <c:pt idx="274">
                  <c:v>1.75</c:v>
                </c:pt>
                <c:pt idx="275">
                  <c:v>1.76</c:v>
                </c:pt>
                <c:pt idx="276">
                  <c:v>1.77</c:v>
                </c:pt>
                <c:pt idx="277">
                  <c:v>1.78</c:v>
                </c:pt>
                <c:pt idx="278">
                  <c:v>1.79</c:v>
                </c:pt>
                <c:pt idx="279">
                  <c:v>1.8</c:v>
                </c:pt>
                <c:pt idx="280">
                  <c:v>1.81</c:v>
                </c:pt>
                <c:pt idx="281">
                  <c:v>1.82</c:v>
                </c:pt>
                <c:pt idx="282">
                  <c:v>1.83</c:v>
                </c:pt>
                <c:pt idx="283">
                  <c:v>1.84</c:v>
                </c:pt>
                <c:pt idx="284">
                  <c:v>1.85</c:v>
                </c:pt>
                <c:pt idx="285">
                  <c:v>1.86</c:v>
                </c:pt>
                <c:pt idx="286">
                  <c:v>1.87</c:v>
                </c:pt>
                <c:pt idx="287">
                  <c:v>1.88</c:v>
                </c:pt>
                <c:pt idx="288">
                  <c:v>1.89</c:v>
                </c:pt>
                <c:pt idx="289">
                  <c:v>1.9</c:v>
                </c:pt>
                <c:pt idx="290">
                  <c:v>1.91</c:v>
                </c:pt>
                <c:pt idx="291">
                  <c:v>1.92</c:v>
                </c:pt>
                <c:pt idx="292">
                  <c:v>1.93</c:v>
                </c:pt>
                <c:pt idx="293">
                  <c:v>1.94</c:v>
                </c:pt>
                <c:pt idx="294">
                  <c:v>1.95</c:v>
                </c:pt>
                <c:pt idx="295">
                  <c:v>1.96</c:v>
                </c:pt>
                <c:pt idx="296">
                  <c:v>1.97</c:v>
                </c:pt>
                <c:pt idx="297">
                  <c:v>1.98</c:v>
                </c:pt>
                <c:pt idx="298">
                  <c:v>1.99</c:v>
                </c:pt>
                <c:pt idx="299">
                  <c:v>2</c:v>
                </c:pt>
                <c:pt idx="300">
                  <c:v>2.0099999999999998</c:v>
                </c:pt>
              </c:numCache>
            </c:numRef>
          </c:xVal>
          <c:yVal>
            <c:numRef>
              <c:f>NPV!$E$6:$E$306</c:f>
              <c:numCache>
                <c:formatCode>"$"#,##0.00_);[Red]\("$"#,##0.00\)</c:formatCode>
                <c:ptCount val="301"/>
                <c:pt idx="0">
                  <c:v>4546197565505.666</c:v>
                </c:pt>
                <c:pt idx="1">
                  <c:v>566878750822.7511</c:v>
                </c:pt>
                <c:pt idx="2">
                  <c:v>167480329553.15637</c:v>
                </c:pt>
                <c:pt idx="3">
                  <c:v>70422097493.207916</c:v>
                </c:pt>
                <c:pt idx="4">
                  <c:v>35921328251.778107</c:v>
                </c:pt>
                <c:pt idx="5">
                  <c:v>20701038303.963371</c:v>
                </c:pt>
                <c:pt idx="6">
                  <c:v>12976061125.704979</c:v>
                </c:pt>
                <c:pt idx="7">
                  <c:v>8648945525.1061993</c:v>
                </c:pt>
                <c:pt idx="8">
                  <c:v>6040929632.1931572</c:v>
                </c:pt>
                <c:pt idx="9">
                  <c:v>4377521745.16012</c:v>
                </c:pt>
                <c:pt idx="10">
                  <c:v>3267702658.6989479</c:v>
                </c:pt>
                <c:pt idx="11">
                  <c:v>2499542351.0262451</c:v>
                </c:pt>
                <c:pt idx="12">
                  <c:v>1951393981.1994872</c:v>
                </c:pt>
                <c:pt idx="13">
                  <c:v>1550044614.1013365</c:v>
                </c:pt>
                <c:pt idx="14">
                  <c:v>1249641100.9688096</c:v>
                </c:pt>
                <c:pt idx="15">
                  <c:v>1020473989.4341475</c:v>
                </c:pt>
                <c:pt idx="16">
                  <c:v>842721485.02985442</c:v>
                </c:pt>
                <c:pt idx="17">
                  <c:v>702816581.18277657</c:v>
                </c:pt>
                <c:pt idx="18">
                  <c:v>591262341.04696155</c:v>
                </c:pt>
                <c:pt idx="19">
                  <c:v>501277117.91264111</c:v>
                </c:pt>
                <c:pt idx="20">
                  <c:v>427931318.39304823</c:v>
                </c:pt>
                <c:pt idx="21">
                  <c:v>367583901.78923565</c:v>
                </c:pt>
                <c:pt idx="22">
                  <c:v>317506475.14937246</c:v>
                </c:pt>
                <c:pt idx="23">
                  <c:v>275627577.42403919</c:v>
                </c:pt>
                <c:pt idx="24">
                  <c:v>240355611.37627476</c:v>
                </c:pt>
                <c:pt idx="25">
                  <c:v>210454237.3393001</c:v>
                </c:pt>
                <c:pt idx="26">
                  <c:v>184953379.74260306</c:v>
                </c:pt>
                <c:pt idx="27">
                  <c:v>163084799.64233986</c:v>
                </c:pt>
                <c:pt idx="28">
                  <c:v>144234864.91043106</c:v>
                </c:pt>
                <c:pt idx="29">
                  <c:v>127909524.78256419</c:v>
                </c:pt>
                <c:pt idx="30">
                  <c:v>113708055.05806568</c:v>
                </c:pt>
                <c:pt idx="31">
                  <c:v>101303180.46927829</c:v>
                </c:pt>
                <c:pt idx="32">
                  <c:v>90425884.66696313</c:v>
                </c:pt>
                <c:pt idx="33">
                  <c:v>80853701.079098001</c:v>
                </c:pt>
                <c:pt idx="34">
                  <c:v>72401613.234424561</c:v>
                </c:pt>
                <c:pt idx="35">
                  <c:v>64914928.796208613</c:v>
                </c:pt>
                <c:pt idx="36">
                  <c:v>58263658.987280838</c:v>
                </c:pt>
                <c:pt idx="37">
                  <c:v>52338055.287331134</c:v>
                </c:pt>
                <c:pt idx="38">
                  <c:v>47045042.415533014</c:v>
                </c:pt>
                <c:pt idx="39">
                  <c:v>42305350.35381943</c:v>
                </c:pt>
                <c:pt idx="40">
                  <c:v>38051195.202024847</c:v>
                </c:pt>
                <c:pt idx="41">
                  <c:v>34224393.649038129</c:v>
                </c:pt>
                <c:pt idx="42">
                  <c:v>30774822.079791587</c:v>
                </c:pt>
                <c:pt idx="43">
                  <c:v>27659151.152832881</c:v>
                </c:pt>
                <c:pt idx="44">
                  <c:v>24839801.75346734</c:v>
                </c:pt>
                <c:pt idx="45">
                  <c:v>22284079.765383597</c:v>
                </c:pt>
                <c:pt idx="46">
                  <c:v>19963455.993170246</c:v>
                </c:pt>
                <c:pt idx="47">
                  <c:v>17852964.458471887</c:v>
                </c:pt>
                <c:pt idx="48">
                  <c:v>15930697.664073661</c:v>
                </c:pt>
                <c:pt idx="49">
                  <c:v>14177381.630774017</c:v>
                </c:pt>
                <c:pt idx="50">
                  <c:v>12576016.829799803</c:v>
                </c:pt>
                <c:pt idx="51">
                  <c:v>11111573.761163415</c:v>
                </c:pt>
                <c:pt idx="52">
                  <c:v>9770734.0194014441</c:v>
                </c:pt>
                <c:pt idx="53">
                  <c:v>8541669.3598540798</c:v>
                </c:pt>
                <c:pt idx="54">
                  <c:v>7413852.6210702816</c:v>
                </c:pt>
                <c:pt idx="55">
                  <c:v>6377895.4415198173</c:v>
                </c:pt>
                <c:pt idx="56">
                  <c:v>5425408.5854334468</c:v>
                </c:pt>
                <c:pt idx="57">
                  <c:v>4548881.4052610584</c:v>
                </c:pt>
                <c:pt idx="58">
                  <c:v>3741577.5498044314</c:v>
                </c:pt>
                <c:pt idx="59">
                  <c:v>2997444.5034080818</c:v>
                </c:pt>
                <c:pt idx="60">
                  <c:v>2311034.9330907711</c:v>
                </c:pt>
                <c:pt idx="61">
                  <c:v>1677438.1433842406</c:v>
                </c:pt>
                <c:pt idx="62">
                  <c:v>1092220.205809121</c:v>
                </c:pt>
                <c:pt idx="63">
                  <c:v>551371.55168265372</c:v>
                </c:pt>
                <c:pt idx="64">
                  <c:v>51261.001596768809</c:v>
                </c:pt>
                <c:pt idx="65">
                  <c:v>-411404.64090074657</c:v>
                </c:pt>
                <c:pt idx="66">
                  <c:v>-839616.17475368734</c:v>
                </c:pt>
                <c:pt idx="67">
                  <c:v>-1236093.4008549196</c:v>
                </c:pt>
                <c:pt idx="68">
                  <c:v>-1603312.879071547</c:v>
                </c:pt>
                <c:pt idx="69">
                  <c:v>-1943532.5092925474</c:v>
                </c:pt>
                <c:pt idx="70">
                  <c:v>-2258813.3376926202</c:v>
                </c:pt>
                <c:pt idx="71">
                  <c:v>-2551038.9340320337</c:v>
                </c:pt>
                <c:pt idx="72">
                  <c:v>-2821932.6387160611</c:v>
                </c:pt>
                <c:pt idx="73">
                  <c:v>-3073072.9381881389</c:v>
                </c:pt>
                <c:pt idx="74">
                  <c:v>-3305907.1929278243</c:v>
                </c:pt>
                <c:pt idx="75">
                  <c:v>-3521763.9129511155</c:v>
                </c:pt>
                <c:pt idx="76">
                  <c:v>-3721863.75050645</c:v>
                </c:pt>
                <c:pt idx="77">
                  <c:v>-3907329.3579869494</c:v>
                </c:pt>
                <c:pt idx="78">
                  <c:v>-4079194.2404069719</c:v>
                </c:pt>
                <c:pt idx="79">
                  <c:v>-4238410.7156713512</c:v>
                </c:pt>
                <c:pt idx="80">
                  <c:v>-4385857.0819236394</c:v>
                </c:pt>
                <c:pt idx="81">
                  <c:v>-4522344.079178622</c:v>
                </c:pt>
                <c:pt idx="82">
                  <c:v>-4648620.7219570652</c:v>
                </c:pt>
                <c:pt idx="83">
                  <c:v>-4765379.570520699</c:v>
                </c:pt>
                <c:pt idx="84">
                  <c:v>-4873261.5003611073</c:v>
                </c:pt>
                <c:pt idx="85">
                  <c:v>-4972860.0226642918</c:v>
                </c:pt>
                <c:pt idx="86">
                  <c:v>-5064725.202414236</c:v>
                </c:pt>
                <c:pt idx="87">
                  <c:v>-5149367.2154954756</c:v>
                </c:pt>
                <c:pt idx="88">
                  <c:v>-5227259.581505022</c:v>
                </c:pt>
                <c:pt idx="89">
                  <c:v>-5298842.1049012663</c:v>
                </c:pt>
                <c:pt idx="90">
                  <c:v>-5364523.5535273543</c:v>
                </c:pt>
                <c:pt idx="91">
                  <c:v>-5424684.1003847877</c:v>
                </c:pt>
                <c:pt idx="92">
                  <c:v>-5479677.551744842</c:v>
                </c:pt>
                <c:pt idx="93">
                  <c:v>-5529833.382223051</c:v>
                </c:pt>
                <c:pt idx="94">
                  <c:v>-5575458.595264622</c:v>
                </c:pt>
                <c:pt idx="95">
                  <c:v>-5616839.4255606057</c:v>
                </c:pt>
                <c:pt idx="96">
                  <c:v>-5654242.8982052729</c:v>
                </c:pt>
                <c:pt idx="97">
                  <c:v>-5687918.2578875972</c:v>
                </c:pt>
                <c:pt idx="98">
                  <c:v>-5718098.2800610075</c:v>
                </c:pt>
                <c:pt idx="99">
                  <c:v>-5745000.4748352105</c:v>
                </c:pt>
                <c:pt idx="100">
                  <c:v>-5768828.1932645319</c:v>
                </c:pt>
                <c:pt idx="101">
                  <c:v>-5789771.6447531469</c:v>
                </c:pt>
                <c:pt idx="102">
                  <c:v>-5808008.833445942</c:v>
                </c:pt>
                <c:pt idx="103">
                  <c:v>-5823706.4207119262</c:v>
                </c:pt>
                <c:pt idx="104">
                  <c:v>-5837020.5201456835</c:v>
                </c:pt>
                <c:pt idx="105">
                  <c:v>-5848097.4309016177</c:v>
                </c:pt>
                <c:pt idx="106">
                  <c:v>-5857074.3146280767</c:v>
                </c:pt>
                <c:pt idx="107">
                  <c:v>-5864079.8207766963</c:v>
                </c:pt>
                <c:pt idx="108">
                  <c:v>-5869234.6646204181</c:v>
                </c:pt>
                <c:pt idx="109">
                  <c:v>-5872652.1619160809</c:v>
                </c:pt>
                <c:pt idx="110">
                  <c:v>-5874438.7237895494</c:v>
                </c:pt>
                <c:pt idx="111">
                  <c:v>-5874694.3150986182</c:v>
                </c:pt>
                <c:pt idx="112">
                  <c:v>-5873512.8792379834</c:v>
                </c:pt>
                <c:pt idx="113">
                  <c:v>-5870982.7320875758</c:v>
                </c:pt>
                <c:pt idx="114">
                  <c:v>-5867186.9275681367</c:v>
                </c:pt>
                <c:pt idx="115">
                  <c:v>-5862203.5970529448</c:v>
                </c:pt>
                <c:pt idx="116">
                  <c:v>-5856106.264690063</c:v>
                </c:pt>
                <c:pt idx="117">
                  <c:v>-5848964.140513191</c:v>
                </c:pt>
                <c:pt idx="118">
                  <c:v>-5840842.3930593012</c:v>
                </c:pt>
                <c:pt idx="119">
                  <c:v>-5831802.4030661443</c:v>
                </c:pt>
                <c:pt idx="120">
                  <c:v>-5821901.999690841</c:v>
                </c:pt>
                <c:pt idx="121">
                  <c:v>-5811195.6805709749</c:v>
                </c:pt>
                <c:pt idx="122">
                  <c:v>-5799734.8169405516</c:v>
                </c:pt>
                <c:pt idx="123">
                  <c:v>-5787567.8449138943</c:v>
                </c:pt>
                <c:pt idx="124">
                  <c:v>-5774740.4439601321</c:v>
                </c:pt>
                <c:pt idx="125">
                  <c:v>-5761295.7035083845</c:v>
                </c:pt>
                <c:pt idx="126">
                  <c:v>-5747274.2785485284</c:v>
                </c:pt>
                <c:pt idx="127">
                  <c:v>-5732714.5350236809</c:v>
                </c:pt>
                <c:pt idx="128">
                  <c:v>-5717652.6857476896</c:v>
                </c:pt>
                <c:pt idx="129">
                  <c:v>-5702122.9175235294</c:v>
                </c:pt>
                <c:pt idx="130">
                  <c:v>-5686157.5100858873</c:v>
                </c:pt>
                <c:pt idx="131">
                  <c:v>-5669786.9474431472</c:v>
                </c:pt>
                <c:pt idx="132">
                  <c:v>-5653040.0221498162</c:v>
                </c:pt>
                <c:pt idx="133">
                  <c:v>-5635943.9330000551</c:v>
                </c:pt>
                <c:pt idx="134">
                  <c:v>-5618524.3765958352</c:v>
                </c:pt>
                <c:pt idx="135">
                  <c:v>-5600805.6332092164</c:v>
                </c:pt>
                <c:pt idx="136">
                  <c:v>-5582810.6473269099</c:v>
                </c:pt>
                <c:pt idx="137">
                  <c:v>-5564561.1032365924</c:v>
                </c:pt>
                <c:pt idx="138">
                  <c:v>-5546077.4959879005</c:v>
                </c:pt>
                <c:pt idx="139">
                  <c:v>-5527379.1980368039</c:v>
                </c:pt>
                <c:pt idx="140">
                  <c:v>-5508484.5218595257</c:v>
                </c:pt>
                <c:pt idx="141">
                  <c:v>-5489410.778801606</c:v>
                </c:pt>
                <c:pt idx="142">
                  <c:v>-5470174.3344086595</c:v>
                </c:pt>
                <c:pt idx="143">
                  <c:v>-5450790.6604677457</c:v>
                </c:pt>
                <c:pt idx="144">
                  <c:v>-5431274.3839721922</c:v>
                </c:pt>
                <c:pt idx="145">
                  <c:v>-5411639.3332076296</c:v>
                </c:pt>
                <c:pt idx="146">
                  <c:v>-5391898.5811432255</c:v>
                </c:pt>
                <c:pt idx="147">
                  <c:v>-5372064.4862993406</c:v>
                </c:pt>
                <c:pt idx="148">
                  <c:v>-5352148.7312509753</c:v>
                </c:pt>
                <c:pt idx="149">
                  <c:v>-5332162.3589154612</c:v>
                </c:pt>
                <c:pt idx="150">
                  <c:v>-5312115.8067627335</c:v>
                </c:pt>
                <c:pt idx="151">
                  <c:v>-5292018.9390771287</c:v>
                </c:pt>
                <c:pt idx="152">
                  <c:v>-5271881.077390966</c:v>
                </c:pt>
                <c:pt idx="153">
                  <c:v>-5251711.029202153</c:v>
                </c:pt>
                <c:pt idx="154">
                  <c:v>-5231517.1150804926</c:v>
                </c:pt>
                <c:pt idx="155">
                  <c:v>-5211307.194260559</c:v>
                </c:pt>
                <c:pt idx="156">
                  <c:v>-5191088.6888124673</c:v>
                </c:pt>
                <c:pt idx="157">
                  <c:v>-5170868.60647594</c:v>
                </c:pt>
                <c:pt idx="158">
                  <c:v>-5150653.5622374918</c:v>
                </c:pt>
                <c:pt idx="159">
                  <c:v>-5130449.7987254104</c:v>
                </c:pt>
                <c:pt idx="160">
                  <c:v>-5110263.205492381</c:v>
                </c:pt>
                <c:pt idx="161">
                  <c:v>-5090099.3372511584</c:v>
                </c:pt>
                <c:pt idx="162">
                  <c:v>-5069963.4311245093</c:v>
                </c:pt>
                <c:pt idx="163">
                  <c:v>-5049860.422966769</c:v>
                </c:pt>
                <c:pt idx="164">
                  <c:v>-5029794.9628107883</c:v>
                </c:pt>
                <c:pt idx="165">
                  <c:v>-5009771.4294906212</c:v>
                </c:pt>
                <c:pt idx="166">
                  <c:v>-4989793.9444871964</c:v>
                </c:pt>
                <c:pt idx="167">
                  <c:v>-4969866.3850413198</c:v>
                </c:pt>
                <c:pt idx="168">
                  <c:v>-4949992.3965755524</c:v>
                </c:pt>
                <c:pt idx="169">
                  <c:v>-4930175.4044640288</c:v>
                </c:pt>
                <c:pt idx="170">
                  <c:v>-4910418.6251868634</c:v>
                </c:pt>
                <c:pt idx="171">
                  <c:v>-4890725.0769035714</c:v>
                </c:pt>
                <c:pt idx="172">
                  <c:v>-4871097.5894778604</c:v>
                </c:pt>
                <c:pt idx="173">
                  <c:v>-4851538.8139842153</c:v>
                </c:pt>
                <c:pt idx="174">
                  <c:v>-4832051.231724848</c:v>
                </c:pt>
                <c:pt idx="175">
                  <c:v>-4812637.1627839189</c:v>
                </c:pt>
                <c:pt idx="176">
                  <c:v>-4793298.7741443319</c:v>
                </c:pt>
                <c:pt idx="177">
                  <c:v>-4774038.087390909</c:v>
                </c:pt>
                <c:pt idx="178">
                  <c:v>-4754856.986022369</c:v>
                </c:pt>
                <c:pt idx="179">
                  <c:v>-4735757.2223932045</c:v>
                </c:pt>
                <c:pt idx="180">
                  <c:v>-4716740.4243053654</c:v>
                </c:pt>
                <c:pt idx="181">
                  <c:v>-4697808.10126846</c:v>
                </c:pt>
                <c:pt idx="182">
                  <c:v>-4678961.6504461551</c:v>
                </c:pt>
                <c:pt idx="183">
                  <c:v>-4660202.3623054</c:v>
                </c:pt>
                <c:pt idx="184">
                  <c:v>-4641531.4259841982</c:v>
                </c:pt>
                <c:pt idx="185">
                  <c:v>-4622949.9343927205</c:v>
                </c:pt>
                <c:pt idx="186">
                  <c:v>-4604458.8890617294</c:v>
                </c:pt>
                <c:pt idx="187">
                  <c:v>-4586059.2047515325</c:v>
                </c:pt>
                <c:pt idx="188">
                  <c:v>-4567751.7138338815</c:v>
                </c:pt>
                <c:pt idx="189">
                  <c:v>-4549537.1704585887</c:v>
                </c:pt>
                <c:pt idx="190">
                  <c:v>-4531416.2545159785</c:v>
                </c:pt>
                <c:pt idx="191">
                  <c:v>-4513389.5754056405</c:v>
                </c:pt>
                <c:pt idx="192">
                  <c:v>-4495457.6756214295</c:v>
                </c:pt>
                <c:pt idx="193">
                  <c:v>-4477621.0341620715</c:v>
                </c:pt>
                <c:pt idx="194">
                  <c:v>-4459880.0697762202</c:v>
                </c:pt>
                <c:pt idx="195">
                  <c:v>-4442235.1440503951</c:v>
                </c:pt>
                <c:pt idx="196">
                  <c:v>-4424686.5643476723</c:v>
                </c:pt>
                <c:pt idx="197">
                  <c:v>-4407234.5866046697</c:v>
                </c:pt>
                <c:pt idx="198">
                  <c:v>-4389879.4179939199</c:v>
                </c:pt>
                <c:pt idx="199">
                  <c:v>-4372621.2194583332</c:v>
                </c:pt>
                <c:pt idx="200">
                  <c:v>-4355460.1081241388</c:v>
                </c:pt>
                <c:pt idx="201">
                  <c:v>-4338396.1595983179</c:v>
                </c:pt>
                <c:pt idx="202">
                  <c:v>-4321429.4101562332</c:v>
                </c:pt>
                <c:pt idx="203">
                  <c:v>-4304559.858824891</c:v>
                </c:pt>
                <c:pt idx="204">
                  <c:v>-4287787.4693669109</c:v>
                </c:pt>
                <c:pt idx="205">
                  <c:v>-4271112.1721701268</c:v>
                </c:pt>
                <c:pt idx="206">
                  <c:v>-4254533.8660473786</c:v>
                </c:pt>
                <c:pt idx="207">
                  <c:v>-4238052.419950868</c:v>
                </c:pt>
                <c:pt idx="208">
                  <c:v>-4221667.6746052504</c:v>
                </c:pt>
                <c:pt idx="209">
                  <c:v>-4205379.444063358</c:v>
                </c:pt>
                <c:pt idx="210">
                  <c:v>-4189187.5171883185</c:v>
                </c:pt>
                <c:pt idx="211">
                  <c:v>-4173091.6590655721</c:v>
                </c:pt>
                <c:pt idx="212">
                  <c:v>-4157091.6123481775</c:v>
                </c:pt>
                <c:pt idx="213">
                  <c:v>-4141187.0985385836</c:v>
                </c:pt>
                <c:pt idx="214">
                  <c:v>-4125377.819209896</c:v>
                </c:pt>
                <c:pt idx="215">
                  <c:v>-4109663.4571695169</c:v>
                </c:pt>
                <c:pt idx="216">
                  <c:v>-4094043.6775678922</c:v>
                </c:pt>
                <c:pt idx="217">
                  <c:v>-4078518.1289549624</c:v>
                </c:pt>
                <c:pt idx="218">
                  <c:v>-4063086.4442867804</c:v>
                </c:pt>
                <c:pt idx="219">
                  <c:v>-4047748.2418846507</c:v>
                </c:pt>
                <c:pt idx="220">
                  <c:v>-4032503.1263490119</c:v>
                </c:pt>
                <c:pt idx="221">
                  <c:v>-4017350.6894301814</c:v>
                </c:pt>
                <c:pt idx="222">
                  <c:v>-4002290.5108579872</c:v>
                </c:pt>
                <c:pt idx="223">
                  <c:v>-3987322.1591321914</c:v>
                </c:pt>
                <c:pt idx="224">
                  <c:v>-3972445.1922755423</c:v>
                </c:pt>
                <c:pt idx="225">
                  <c:v>-3957659.1585511784</c:v>
                </c:pt>
                <c:pt idx="226">
                  <c:v>-3942963.5971460436</c:v>
                </c:pt>
                <c:pt idx="227">
                  <c:v>-3928358.0388218844</c:v>
                </c:pt>
                <c:pt idx="228">
                  <c:v>-3913842.0065353196</c:v>
                </c:pt>
                <c:pt idx="229">
                  <c:v>-3899415.0160284098</c:v>
                </c:pt>
                <c:pt idx="230">
                  <c:v>-3885076.5763910832</c:v>
                </c:pt>
                <c:pt idx="231">
                  <c:v>-3870826.1905967132</c:v>
                </c:pt>
                <c:pt idx="232">
                  <c:v>-3856663.3560120692</c:v>
                </c:pt>
                <c:pt idx="233">
                  <c:v>-3842587.5648828116</c:v>
                </c:pt>
                <c:pt idx="234">
                  <c:v>-3828598.3047956578</c:v>
                </c:pt>
                <c:pt idx="235">
                  <c:v>-3814695.0591182783</c:v>
                </c:pt>
                <c:pt idx="236">
                  <c:v>-3800877.3074179287</c:v>
                </c:pt>
                <c:pt idx="237">
                  <c:v>-3787144.5258597899</c:v>
                </c:pt>
                <c:pt idx="238">
                  <c:v>-3773496.1875859429</c:v>
                </c:pt>
                <c:pt idx="239">
                  <c:v>-3759931.7630758435</c:v>
                </c:pt>
                <c:pt idx="240">
                  <c:v>-3746450.7204891453</c:v>
                </c:pt>
                <c:pt idx="241">
                  <c:v>-3733052.5259916647</c:v>
                </c:pt>
                <c:pt idx="242">
                  <c:v>-3719736.6440652455</c:v>
                </c:pt>
                <c:pt idx="243">
                  <c:v>-3706502.5378022548</c:v>
                </c:pt>
                <c:pt idx="244">
                  <c:v>-3693349.6691854037</c:v>
                </c:pt>
                <c:pt idx="245">
                  <c:v>-3680277.499353549</c:v>
                </c:pt>
                <c:pt idx="246">
                  <c:v>-3667285.4888541098</c:v>
                </c:pt>
                <c:pt idx="247">
                  <c:v>-3654373.0978826964</c:v>
                </c:pt>
                <c:pt idx="248">
                  <c:v>-3641539.7865105364</c:v>
                </c:pt>
                <c:pt idx="249">
                  <c:v>-3628785.0149002336</c:v>
                </c:pt>
                <c:pt idx="250">
                  <c:v>-3616108.2435103916</c:v>
                </c:pt>
                <c:pt idx="251">
                  <c:v>-3603508.9332895945</c:v>
                </c:pt>
                <c:pt idx="252">
                  <c:v>-3590986.545860237</c:v>
                </c:pt>
                <c:pt idx="253">
                  <c:v>-3578540.5436926372</c:v>
                </c:pt>
                <c:pt idx="254">
                  <c:v>-3566170.3902698872</c:v>
                </c:pt>
                <c:pt idx="255">
                  <c:v>-3553875.5502438406</c:v>
                </c:pt>
                <c:pt idx="256">
                  <c:v>-3541655.489582655</c:v>
                </c:pt>
                <c:pt idx="257">
                  <c:v>-3529509.6757102446</c:v>
                </c:pt>
                <c:pt idx="258">
                  <c:v>-3517437.5776380193</c:v>
                </c:pt>
                <c:pt idx="259">
                  <c:v>-3505438.6660892549</c:v>
                </c:pt>
                <c:pt idx="260">
                  <c:v>-3493512.4136164295</c:v>
                </c:pt>
                <c:pt idx="261">
                  <c:v>-3481658.294711825</c:v>
                </c:pt>
                <c:pt idx="262">
                  <c:v>-3469875.7859117175</c:v>
                </c:pt>
                <c:pt idx="263">
                  <c:v>-3458164.3658944285</c:v>
                </c:pt>
                <c:pt idx="264">
                  <c:v>-3446523.5155725274</c:v>
                </c:pt>
                <c:pt idx="265">
                  <c:v>-3434952.7181794355</c:v>
                </c:pt>
                <c:pt idx="266">
                  <c:v>-3423451.4593506916</c:v>
                </c:pt>
                <c:pt idx="267">
                  <c:v>-3412019.2272001193</c:v>
                </c:pt>
                <c:pt idx="268">
                  <c:v>-3400655.5123911207</c:v>
                </c:pt>
                <c:pt idx="269">
                  <c:v>-3389359.8082033359</c:v>
                </c:pt>
                <c:pt idx="270">
                  <c:v>-3378131.6105948444</c:v>
                </c:pt>
                <c:pt idx="271">
                  <c:v>-3366970.4182601538</c:v>
                </c:pt>
                <c:pt idx="272">
                  <c:v>-3355875.7326841238</c:v>
                </c:pt>
                <c:pt idx="273">
                  <c:v>-3344847.0581920515</c:v>
                </c:pt>
                <c:pt idx="274">
                  <c:v>-3333883.9019960612</c:v>
                </c:pt>
                <c:pt idx="275">
                  <c:v>-3322985.7742379839</c:v>
                </c:pt>
                <c:pt idx="276">
                  <c:v>-3312152.188028892</c:v>
                </c:pt>
                <c:pt idx="277">
                  <c:v>-3301382.6594854267</c:v>
                </c:pt>
                <c:pt idx="278">
                  <c:v>-3290676.7077630828</c:v>
                </c:pt>
                <c:pt idx="279">
                  <c:v>-3280033.8550865827</c:v>
                </c:pt>
                <c:pt idx="280">
                  <c:v>-3269453.6267774743</c:v>
                </c:pt>
                <c:pt idx="281">
                  <c:v>-3258935.5512790941</c:v>
                </c:pt>
                <c:pt idx="282">
                  <c:v>-3248479.1601790003</c:v>
                </c:pt>
                <c:pt idx="283">
                  <c:v>-3238083.9882290056</c:v>
                </c:pt>
                <c:pt idx="284">
                  <c:v>-3227749.5733629321</c:v>
                </c:pt>
                <c:pt idx="285">
                  <c:v>-3217475.4567121733</c:v>
                </c:pt>
                <c:pt idx="286">
                  <c:v>-3207261.1826191884</c:v>
                </c:pt>
                <c:pt idx="287">
                  <c:v>-3197106.2986490158</c:v>
                </c:pt>
                <c:pt idx="288">
                  <c:v>-3187010.3555989065</c:v>
                </c:pt>
                <c:pt idx="289">
                  <c:v>-3176972.9075061693</c:v>
                </c:pt>
                <c:pt idx="290">
                  <c:v>-3166993.5116543053</c:v>
                </c:pt>
                <c:pt idx="291">
                  <c:v>-3157071.7285775333</c:v>
                </c:pt>
                <c:pt idx="292">
                  <c:v>-3147207.1220637606</c:v>
                </c:pt>
                <c:pt idx="293">
                  <c:v>-3137399.2591560995</c:v>
                </c:pt>
                <c:pt idx="294">
                  <c:v>-3127647.710152993</c:v>
                </c:pt>
                <c:pt idx="295">
                  <c:v>-3117952.0486070095</c:v>
                </c:pt>
                <c:pt idx="296">
                  <c:v>-3108311.8513223948</c:v>
                </c:pt>
                <c:pt idx="297">
                  <c:v>-3098726.6983514209</c:v>
                </c:pt>
                <c:pt idx="298">
                  <c:v>-3089196.1729896194</c:v>
                </c:pt>
                <c:pt idx="299">
                  <c:v>-3079719.8617699314</c:v>
                </c:pt>
                <c:pt idx="300">
                  <c:v>-3070297.3544558492</c:v>
                </c:pt>
              </c:numCache>
            </c:numRef>
          </c:yVal>
          <c:smooth val="1"/>
        </c:ser>
        <c:ser>
          <c:idx val="3"/>
          <c:order val="2"/>
          <c:marker>
            <c:symbol val="none"/>
          </c:marker>
          <c:xVal>
            <c:numRef>
              <c:f>NPV!$C$6:$C$306</c:f>
              <c:numCache>
                <c:formatCode>General</c:formatCode>
                <c:ptCount val="301"/>
                <c:pt idx="0">
                  <c:v>-0.99</c:v>
                </c:pt>
                <c:pt idx="1">
                  <c:v>-0.98</c:v>
                </c:pt>
                <c:pt idx="2">
                  <c:v>-0.97</c:v>
                </c:pt>
                <c:pt idx="3">
                  <c:v>-0.96</c:v>
                </c:pt>
                <c:pt idx="4">
                  <c:v>-0.95</c:v>
                </c:pt>
                <c:pt idx="5">
                  <c:v>-0.94</c:v>
                </c:pt>
                <c:pt idx="6">
                  <c:v>-0.93</c:v>
                </c:pt>
                <c:pt idx="7">
                  <c:v>-0.92</c:v>
                </c:pt>
                <c:pt idx="8">
                  <c:v>-0.91</c:v>
                </c:pt>
                <c:pt idx="9">
                  <c:v>-0.9</c:v>
                </c:pt>
                <c:pt idx="10">
                  <c:v>-0.89</c:v>
                </c:pt>
                <c:pt idx="11">
                  <c:v>-0.88</c:v>
                </c:pt>
                <c:pt idx="12">
                  <c:v>-0.87</c:v>
                </c:pt>
                <c:pt idx="13">
                  <c:v>-0.86</c:v>
                </c:pt>
                <c:pt idx="14">
                  <c:v>-0.85</c:v>
                </c:pt>
                <c:pt idx="15">
                  <c:v>-0.84</c:v>
                </c:pt>
                <c:pt idx="16">
                  <c:v>-0.83</c:v>
                </c:pt>
                <c:pt idx="17">
                  <c:v>-0.82</c:v>
                </c:pt>
                <c:pt idx="18">
                  <c:v>-0.81</c:v>
                </c:pt>
                <c:pt idx="19">
                  <c:v>-0.8</c:v>
                </c:pt>
                <c:pt idx="20">
                  <c:v>-0.79</c:v>
                </c:pt>
                <c:pt idx="21">
                  <c:v>-0.78</c:v>
                </c:pt>
                <c:pt idx="22">
                  <c:v>-0.77</c:v>
                </c:pt>
                <c:pt idx="23">
                  <c:v>-0.76</c:v>
                </c:pt>
                <c:pt idx="24">
                  <c:v>-0.75</c:v>
                </c:pt>
                <c:pt idx="25">
                  <c:v>-0.74</c:v>
                </c:pt>
                <c:pt idx="26">
                  <c:v>-0.73</c:v>
                </c:pt>
                <c:pt idx="27">
                  <c:v>-0.72</c:v>
                </c:pt>
                <c:pt idx="28">
                  <c:v>-0.71</c:v>
                </c:pt>
                <c:pt idx="29">
                  <c:v>-0.7</c:v>
                </c:pt>
                <c:pt idx="30">
                  <c:v>-0.69</c:v>
                </c:pt>
                <c:pt idx="31">
                  <c:v>-0.68</c:v>
                </c:pt>
                <c:pt idx="32">
                  <c:v>-0.67</c:v>
                </c:pt>
                <c:pt idx="33">
                  <c:v>-0.66</c:v>
                </c:pt>
                <c:pt idx="34">
                  <c:v>-0.65</c:v>
                </c:pt>
                <c:pt idx="35">
                  <c:v>-0.64</c:v>
                </c:pt>
                <c:pt idx="36">
                  <c:v>-0.63</c:v>
                </c:pt>
                <c:pt idx="37">
                  <c:v>-0.62</c:v>
                </c:pt>
                <c:pt idx="38">
                  <c:v>-0.61</c:v>
                </c:pt>
                <c:pt idx="39">
                  <c:v>-0.6</c:v>
                </c:pt>
                <c:pt idx="40">
                  <c:v>-0.59</c:v>
                </c:pt>
                <c:pt idx="41">
                  <c:v>-0.57999999999999996</c:v>
                </c:pt>
                <c:pt idx="42">
                  <c:v>-0.56999999999999995</c:v>
                </c:pt>
                <c:pt idx="43">
                  <c:v>-0.56000000000000005</c:v>
                </c:pt>
                <c:pt idx="44">
                  <c:v>-0.55000000000000004</c:v>
                </c:pt>
                <c:pt idx="45">
                  <c:v>-0.54</c:v>
                </c:pt>
                <c:pt idx="46">
                  <c:v>-0.53</c:v>
                </c:pt>
                <c:pt idx="47">
                  <c:v>-0.52</c:v>
                </c:pt>
                <c:pt idx="48">
                  <c:v>-0.51</c:v>
                </c:pt>
                <c:pt idx="49">
                  <c:v>-0.5</c:v>
                </c:pt>
                <c:pt idx="50">
                  <c:v>-0.49</c:v>
                </c:pt>
                <c:pt idx="51">
                  <c:v>-0.48</c:v>
                </c:pt>
                <c:pt idx="52">
                  <c:v>-0.47</c:v>
                </c:pt>
                <c:pt idx="53">
                  <c:v>-0.46</c:v>
                </c:pt>
                <c:pt idx="54">
                  <c:v>-0.45</c:v>
                </c:pt>
                <c:pt idx="55">
                  <c:v>-0.44</c:v>
                </c:pt>
                <c:pt idx="56">
                  <c:v>-0.42999999999999899</c:v>
                </c:pt>
                <c:pt idx="57">
                  <c:v>-0.41999999999999899</c:v>
                </c:pt>
                <c:pt idx="58">
                  <c:v>-0.40999999999999898</c:v>
                </c:pt>
                <c:pt idx="59">
                  <c:v>-0.39999999999999902</c:v>
                </c:pt>
                <c:pt idx="60">
                  <c:v>-0.38999999999999901</c:v>
                </c:pt>
                <c:pt idx="61">
                  <c:v>-0.37999999999999901</c:v>
                </c:pt>
                <c:pt idx="62">
                  <c:v>-0.369999999999999</c:v>
                </c:pt>
                <c:pt idx="63">
                  <c:v>-0.35999999999999899</c:v>
                </c:pt>
                <c:pt idx="64">
                  <c:v>-0.34999999999999898</c:v>
                </c:pt>
                <c:pt idx="65">
                  <c:v>-0.33999999999999903</c:v>
                </c:pt>
                <c:pt idx="66">
                  <c:v>-0.32999999999999902</c:v>
                </c:pt>
                <c:pt idx="67">
                  <c:v>-0.31999999999999901</c:v>
                </c:pt>
                <c:pt idx="68">
                  <c:v>-0.309999999999999</c:v>
                </c:pt>
                <c:pt idx="69">
                  <c:v>-0.29999999999999899</c:v>
                </c:pt>
                <c:pt idx="70">
                  <c:v>-0.28999999999999898</c:v>
                </c:pt>
                <c:pt idx="71">
                  <c:v>-0.27999999999999903</c:v>
                </c:pt>
                <c:pt idx="72">
                  <c:v>-0.26999999999999902</c:v>
                </c:pt>
                <c:pt idx="73">
                  <c:v>-0.25999999999999901</c:v>
                </c:pt>
                <c:pt idx="74">
                  <c:v>-0.249999999999999</c:v>
                </c:pt>
                <c:pt idx="75">
                  <c:v>-0.23999999999999899</c:v>
                </c:pt>
                <c:pt idx="76">
                  <c:v>-0.22999999999999901</c:v>
                </c:pt>
                <c:pt idx="77">
                  <c:v>-0.219999999999999</c:v>
                </c:pt>
                <c:pt idx="78">
                  <c:v>-0.20999999999999899</c:v>
                </c:pt>
                <c:pt idx="79">
                  <c:v>-0.19999999999999901</c:v>
                </c:pt>
                <c:pt idx="80">
                  <c:v>-0.189999999999999</c:v>
                </c:pt>
                <c:pt idx="81">
                  <c:v>-0.17999999999999899</c:v>
                </c:pt>
                <c:pt idx="82">
                  <c:v>-0.16999999999999901</c:v>
                </c:pt>
                <c:pt idx="83">
                  <c:v>-0.159999999999999</c:v>
                </c:pt>
                <c:pt idx="84">
                  <c:v>-0.149999999999999</c:v>
                </c:pt>
                <c:pt idx="85">
                  <c:v>-0.13999999999999899</c:v>
                </c:pt>
                <c:pt idx="86">
                  <c:v>-0.12999999999999901</c:v>
                </c:pt>
                <c:pt idx="87">
                  <c:v>-0.119999999999999</c:v>
                </c:pt>
                <c:pt idx="88">
                  <c:v>-0.109999999999999</c:v>
                </c:pt>
                <c:pt idx="89">
                  <c:v>-9.9999999999999006E-2</c:v>
                </c:pt>
                <c:pt idx="90">
                  <c:v>-8.9999999999998997E-2</c:v>
                </c:pt>
                <c:pt idx="91">
                  <c:v>-7.9999999999999002E-2</c:v>
                </c:pt>
                <c:pt idx="92">
                  <c:v>-6.9999999999998994E-2</c:v>
                </c:pt>
                <c:pt idx="93">
                  <c:v>-5.9999999999999103E-2</c:v>
                </c:pt>
                <c:pt idx="94">
                  <c:v>-4.9999999999998997E-2</c:v>
                </c:pt>
                <c:pt idx="95">
                  <c:v>-3.9999999999999002E-2</c:v>
                </c:pt>
                <c:pt idx="96">
                  <c:v>-2.9999999999999E-2</c:v>
                </c:pt>
                <c:pt idx="97">
                  <c:v>-1.9999999999999001E-2</c:v>
                </c:pt>
                <c:pt idx="98">
                  <c:v>-9.9999999999990097E-3</c:v>
                </c:pt>
                <c:pt idx="99">
                  <c:v>0</c:v>
                </c:pt>
                <c:pt idx="100">
                  <c:v>0.01</c:v>
                </c:pt>
                <c:pt idx="101">
                  <c:v>0.02</c:v>
                </c:pt>
                <c:pt idx="102">
                  <c:v>0.03</c:v>
                </c:pt>
                <c:pt idx="103">
                  <c:v>0.04</c:v>
                </c:pt>
                <c:pt idx="104">
                  <c:v>0.05</c:v>
                </c:pt>
                <c:pt idx="105">
                  <c:v>6.0000000000000102E-2</c:v>
                </c:pt>
                <c:pt idx="106">
                  <c:v>7.0000000000000104E-2</c:v>
                </c:pt>
                <c:pt idx="107">
                  <c:v>8.0000000000000099E-2</c:v>
                </c:pt>
                <c:pt idx="108">
                  <c:v>9.0000000000000094E-2</c:v>
                </c:pt>
                <c:pt idx="109">
                  <c:v>0.1</c:v>
                </c:pt>
                <c:pt idx="110">
                  <c:v>0.11</c:v>
                </c:pt>
                <c:pt idx="111">
                  <c:v>0.12</c:v>
                </c:pt>
                <c:pt idx="112">
                  <c:v>0.13</c:v>
                </c:pt>
                <c:pt idx="113">
                  <c:v>0.14000000000000001</c:v>
                </c:pt>
                <c:pt idx="114">
                  <c:v>0.15</c:v>
                </c:pt>
                <c:pt idx="115">
                  <c:v>0.16</c:v>
                </c:pt>
                <c:pt idx="116">
                  <c:v>0.17</c:v>
                </c:pt>
                <c:pt idx="117">
                  <c:v>0.18</c:v>
                </c:pt>
                <c:pt idx="118">
                  <c:v>0.19</c:v>
                </c:pt>
                <c:pt idx="119">
                  <c:v>0.2</c:v>
                </c:pt>
                <c:pt idx="120">
                  <c:v>0.21</c:v>
                </c:pt>
                <c:pt idx="121">
                  <c:v>0.22</c:v>
                </c:pt>
                <c:pt idx="122">
                  <c:v>0.23</c:v>
                </c:pt>
                <c:pt idx="123">
                  <c:v>0.24</c:v>
                </c:pt>
                <c:pt idx="124">
                  <c:v>0.25</c:v>
                </c:pt>
                <c:pt idx="125">
                  <c:v>0.26</c:v>
                </c:pt>
                <c:pt idx="126">
                  <c:v>0.27</c:v>
                </c:pt>
                <c:pt idx="127">
                  <c:v>0.28000000000000003</c:v>
                </c:pt>
                <c:pt idx="128">
                  <c:v>0.28999999999999998</c:v>
                </c:pt>
                <c:pt idx="129">
                  <c:v>0.3</c:v>
                </c:pt>
                <c:pt idx="130">
                  <c:v>0.31</c:v>
                </c:pt>
                <c:pt idx="131">
                  <c:v>0.32</c:v>
                </c:pt>
                <c:pt idx="132">
                  <c:v>0.33</c:v>
                </c:pt>
                <c:pt idx="133">
                  <c:v>0.34</c:v>
                </c:pt>
                <c:pt idx="134">
                  <c:v>0.35</c:v>
                </c:pt>
                <c:pt idx="135">
                  <c:v>0.36</c:v>
                </c:pt>
                <c:pt idx="136">
                  <c:v>0.37</c:v>
                </c:pt>
                <c:pt idx="137">
                  <c:v>0.38</c:v>
                </c:pt>
                <c:pt idx="138">
                  <c:v>0.39</c:v>
                </c:pt>
                <c:pt idx="139">
                  <c:v>0.4</c:v>
                </c:pt>
                <c:pt idx="140">
                  <c:v>0.41</c:v>
                </c:pt>
                <c:pt idx="141">
                  <c:v>0.42</c:v>
                </c:pt>
                <c:pt idx="142">
                  <c:v>0.43</c:v>
                </c:pt>
                <c:pt idx="143">
                  <c:v>0.44</c:v>
                </c:pt>
                <c:pt idx="144">
                  <c:v>0.45</c:v>
                </c:pt>
                <c:pt idx="145">
                  <c:v>0.46</c:v>
                </c:pt>
                <c:pt idx="146">
                  <c:v>0.47</c:v>
                </c:pt>
                <c:pt idx="147">
                  <c:v>0.48</c:v>
                </c:pt>
                <c:pt idx="148">
                  <c:v>0.49</c:v>
                </c:pt>
                <c:pt idx="149">
                  <c:v>0.5</c:v>
                </c:pt>
                <c:pt idx="150">
                  <c:v>0.51</c:v>
                </c:pt>
                <c:pt idx="151">
                  <c:v>0.52</c:v>
                </c:pt>
                <c:pt idx="152">
                  <c:v>0.53</c:v>
                </c:pt>
                <c:pt idx="153">
                  <c:v>0.54</c:v>
                </c:pt>
                <c:pt idx="154">
                  <c:v>0.55000000000000004</c:v>
                </c:pt>
                <c:pt idx="155">
                  <c:v>0.56000000000000005</c:v>
                </c:pt>
                <c:pt idx="156">
                  <c:v>0.56999999999999995</c:v>
                </c:pt>
                <c:pt idx="157">
                  <c:v>0.57999999999999996</c:v>
                </c:pt>
                <c:pt idx="158">
                  <c:v>0.59</c:v>
                </c:pt>
                <c:pt idx="159">
                  <c:v>0.6</c:v>
                </c:pt>
                <c:pt idx="160">
                  <c:v>0.61</c:v>
                </c:pt>
                <c:pt idx="161">
                  <c:v>0.62</c:v>
                </c:pt>
                <c:pt idx="162">
                  <c:v>0.63</c:v>
                </c:pt>
                <c:pt idx="163">
                  <c:v>0.64</c:v>
                </c:pt>
                <c:pt idx="164">
                  <c:v>0.65</c:v>
                </c:pt>
                <c:pt idx="165">
                  <c:v>0.66</c:v>
                </c:pt>
                <c:pt idx="166">
                  <c:v>0.67</c:v>
                </c:pt>
                <c:pt idx="167">
                  <c:v>0.68</c:v>
                </c:pt>
                <c:pt idx="168">
                  <c:v>0.69</c:v>
                </c:pt>
                <c:pt idx="169">
                  <c:v>0.7</c:v>
                </c:pt>
                <c:pt idx="170">
                  <c:v>0.71</c:v>
                </c:pt>
                <c:pt idx="171">
                  <c:v>0.72</c:v>
                </c:pt>
                <c:pt idx="172">
                  <c:v>0.73</c:v>
                </c:pt>
                <c:pt idx="173">
                  <c:v>0.74</c:v>
                </c:pt>
                <c:pt idx="174">
                  <c:v>0.75</c:v>
                </c:pt>
                <c:pt idx="175">
                  <c:v>0.76</c:v>
                </c:pt>
                <c:pt idx="176">
                  <c:v>0.77</c:v>
                </c:pt>
                <c:pt idx="177">
                  <c:v>0.78</c:v>
                </c:pt>
                <c:pt idx="178">
                  <c:v>0.79</c:v>
                </c:pt>
                <c:pt idx="179">
                  <c:v>0.8</c:v>
                </c:pt>
                <c:pt idx="180">
                  <c:v>0.81</c:v>
                </c:pt>
                <c:pt idx="181">
                  <c:v>0.82</c:v>
                </c:pt>
                <c:pt idx="182">
                  <c:v>0.83</c:v>
                </c:pt>
                <c:pt idx="183">
                  <c:v>0.84</c:v>
                </c:pt>
                <c:pt idx="184">
                  <c:v>0.85</c:v>
                </c:pt>
                <c:pt idx="185">
                  <c:v>0.86</c:v>
                </c:pt>
                <c:pt idx="186">
                  <c:v>0.87</c:v>
                </c:pt>
                <c:pt idx="187">
                  <c:v>0.88</c:v>
                </c:pt>
                <c:pt idx="188">
                  <c:v>0.89</c:v>
                </c:pt>
                <c:pt idx="189">
                  <c:v>0.9</c:v>
                </c:pt>
                <c:pt idx="190">
                  <c:v>0.91</c:v>
                </c:pt>
                <c:pt idx="191">
                  <c:v>0.92</c:v>
                </c:pt>
                <c:pt idx="192">
                  <c:v>0.93</c:v>
                </c:pt>
                <c:pt idx="193">
                  <c:v>0.94</c:v>
                </c:pt>
                <c:pt idx="194">
                  <c:v>0.95</c:v>
                </c:pt>
                <c:pt idx="195">
                  <c:v>0.96</c:v>
                </c:pt>
                <c:pt idx="196">
                  <c:v>0.97</c:v>
                </c:pt>
                <c:pt idx="197">
                  <c:v>0.98</c:v>
                </c:pt>
                <c:pt idx="198">
                  <c:v>0.99</c:v>
                </c:pt>
                <c:pt idx="199">
                  <c:v>1</c:v>
                </c:pt>
                <c:pt idx="200">
                  <c:v>1.01</c:v>
                </c:pt>
                <c:pt idx="201">
                  <c:v>1.02</c:v>
                </c:pt>
                <c:pt idx="202">
                  <c:v>1.03</c:v>
                </c:pt>
                <c:pt idx="203">
                  <c:v>1.04</c:v>
                </c:pt>
                <c:pt idx="204">
                  <c:v>1.05</c:v>
                </c:pt>
                <c:pt idx="205">
                  <c:v>1.06</c:v>
                </c:pt>
                <c:pt idx="206">
                  <c:v>1.07</c:v>
                </c:pt>
                <c:pt idx="207">
                  <c:v>1.08</c:v>
                </c:pt>
                <c:pt idx="208">
                  <c:v>1.0900000000000001</c:v>
                </c:pt>
                <c:pt idx="209">
                  <c:v>1.1000000000000001</c:v>
                </c:pt>
                <c:pt idx="210">
                  <c:v>1.1100000000000001</c:v>
                </c:pt>
                <c:pt idx="211">
                  <c:v>1.1200000000000001</c:v>
                </c:pt>
                <c:pt idx="212">
                  <c:v>1.1299999999999999</c:v>
                </c:pt>
                <c:pt idx="213">
                  <c:v>1.1399999999999999</c:v>
                </c:pt>
                <c:pt idx="214">
                  <c:v>1.1499999999999999</c:v>
                </c:pt>
                <c:pt idx="215">
                  <c:v>1.1599999999999999</c:v>
                </c:pt>
                <c:pt idx="216">
                  <c:v>1.17</c:v>
                </c:pt>
                <c:pt idx="217">
                  <c:v>1.18</c:v>
                </c:pt>
                <c:pt idx="218">
                  <c:v>1.19</c:v>
                </c:pt>
                <c:pt idx="219">
                  <c:v>1.2</c:v>
                </c:pt>
                <c:pt idx="220">
                  <c:v>1.21</c:v>
                </c:pt>
                <c:pt idx="221">
                  <c:v>1.22</c:v>
                </c:pt>
                <c:pt idx="222">
                  <c:v>1.23</c:v>
                </c:pt>
                <c:pt idx="223">
                  <c:v>1.24</c:v>
                </c:pt>
                <c:pt idx="224">
                  <c:v>1.25</c:v>
                </c:pt>
                <c:pt idx="225">
                  <c:v>1.26</c:v>
                </c:pt>
                <c:pt idx="226">
                  <c:v>1.27</c:v>
                </c:pt>
                <c:pt idx="227">
                  <c:v>1.28</c:v>
                </c:pt>
                <c:pt idx="228">
                  <c:v>1.29</c:v>
                </c:pt>
                <c:pt idx="229">
                  <c:v>1.3</c:v>
                </c:pt>
                <c:pt idx="230">
                  <c:v>1.31</c:v>
                </c:pt>
                <c:pt idx="231">
                  <c:v>1.32</c:v>
                </c:pt>
                <c:pt idx="232">
                  <c:v>1.33</c:v>
                </c:pt>
                <c:pt idx="233">
                  <c:v>1.34</c:v>
                </c:pt>
                <c:pt idx="234">
                  <c:v>1.35</c:v>
                </c:pt>
                <c:pt idx="235">
                  <c:v>1.36</c:v>
                </c:pt>
                <c:pt idx="236">
                  <c:v>1.37</c:v>
                </c:pt>
                <c:pt idx="237">
                  <c:v>1.38</c:v>
                </c:pt>
                <c:pt idx="238">
                  <c:v>1.39</c:v>
                </c:pt>
                <c:pt idx="239">
                  <c:v>1.4</c:v>
                </c:pt>
                <c:pt idx="240">
                  <c:v>1.41</c:v>
                </c:pt>
                <c:pt idx="241">
                  <c:v>1.42</c:v>
                </c:pt>
                <c:pt idx="242">
                  <c:v>1.43</c:v>
                </c:pt>
                <c:pt idx="243">
                  <c:v>1.44</c:v>
                </c:pt>
                <c:pt idx="244">
                  <c:v>1.45</c:v>
                </c:pt>
                <c:pt idx="245">
                  <c:v>1.46</c:v>
                </c:pt>
                <c:pt idx="246">
                  <c:v>1.47</c:v>
                </c:pt>
                <c:pt idx="247">
                  <c:v>1.48</c:v>
                </c:pt>
                <c:pt idx="248">
                  <c:v>1.49</c:v>
                </c:pt>
                <c:pt idx="249">
                  <c:v>1.5</c:v>
                </c:pt>
                <c:pt idx="250">
                  <c:v>1.51</c:v>
                </c:pt>
                <c:pt idx="251">
                  <c:v>1.52</c:v>
                </c:pt>
                <c:pt idx="252">
                  <c:v>1.53</c:v>
                </c:pt>
                <c:pt idx="253">
                  <c:v>1.54</c:v>
                </c:pt>
                <c:pt idx="254">
                  <c:v>1.55</c:v>
                </c:pt>
                <c:pt idx="255">
                  <c:v>1.56</c:v>
                </c:pt>
                <c:pt idx="256">
                  <c:v>1.57</c:v>
                </c:pt>
                <c:pt idx="257">
                  <c:v>1.58</c:v>
                </c:pt>
                <c:pt idx="258">
                  <c:v>1.59</c:v>
                </c:pt>
                <c:pt idx="259">
                  <c:v>1.6</c:v>
                </c:pt>
                <c:pt idx="260">
                  <c:v>1.61</c:v>
                </c:pt>
                <c:pt idx="261">
                  <c:v>1.62</c:v>
                </c:pt>
                <c:pt idx="262">
                  <c:v>1.63</c:v>
                </c:pt>
                <c:pt idx="263">
                  <c:v>1.64</c:v>
                </c:pt>
                <c:pt idx="264">
                  <c:v>1.65</c:v>
                </c:pt>
                <c:pt idx="265">
                  <c:v>1.66</c:v>
                </c:pt>
                <c:pt idx="266">
                  <c:v>1.67</c:v>
                </c:pt>
                <c:pt idx="267">
                  <c:v>1.68</c:v>
                </c:pt>
                <c:pt idx="268">
                  <c:v>1.69</c:v>
                </c:pt>
                <c:pt idx="269">
                  <c:v>1.7</c:v>
                </c:pt>
                <c:pt idx="270">
                  <c:v>1.71</c:v>
                </c:pt>
                <c:pt idx="271">
                  <c:v>1.72</c:v>
                </c:pt>
                <c:pt idx="272">
                  <c:v>1.73</c:v>
                </c:pt>
                <c:pt idx="273">
                  <c:v>1.74</c:v>
                </c:pt>
                <c:pt idx="274">
                  <c:v>1.75</c:v>
                </c:pt>
                <c:pt idx="275">
                  <c:v>1.76</c:v>
                </c:pt>
                <c:pt idx="276">
                  <c:v>1.77</c:v>
                </c:pt>
                <c:pt idx="277">
                  <c:v>1.78</c:v>
                </c:pt>
                <c:pt idx="278">
                  <c:v>1.79</c:v>
                </c:pt>
                <c:pt idx="279">
                  <c:v>1.8</c:v>
                </c:pt>
                <c:pt idx="280">
                  <c:v>1.81</c:v>
                </c:pt>
                <c:pt idx="281">
                  <c:v>1.82</c:v>
                </c:pt>
                <c:pt idx="282">
                  <c:v>1.83</c:v>
                </c:pt>
                <c:pt idx="283">
                  <c:v>1.84</c:v>
                </c:pt>
                <c:pt idx="284">
                  <c:v>1.85</c:v>
                </c:pt>
                <c:pt idx="285">
                  <c:v>1.86</c:v>
                </c:pt>
                <c:pt idx="286">
                  <c:v>1.87</c:v>
                </c:pt>
                <c:pt idx="287">
                  <c:v>1.88</c:v>
                </c:pt>
                <c:pt idx="288">
                  <c:v>1.89</c:v>
                </c:pt>
                <c:pt idx="289">
                  <c:v>1.9</c:v>
                </c:pt>
                <c:pt idx="290">
                  <c:v>1.91</c:v>
                </c:pt>
                <c:pt idx="291">
                  <c:v>1.92</c:v>
                </c:pt>
                <c:pt idx="292">
                  <c:v>1.93</c:v>
                </c:pt>
                <c:pt idx="293">
                  <c:v>1.94</c:v>
                </c:pt>
                <c:pt idx="294">
                  <c:v>1.95</c:v>
                </c:pt>
                <c:pt idx="295">
                  <c:v>1.96</c:v>
                </c:pt>
                <c:pt idx="296">
                  <c:v>1.97</c:v>
                </c:pt>
                <c:pt idx="297">
                  <c:v>1.98</c:v>
                </c:pt>
                <c:pt idx="298">
                  <c:v>1.99</c:v>
                </c:pt>
                <c:pt idx="299">
                  <c:v>2</c:v>
                </c:pt>
                <c:pt idx="300">
                  <c:v>2.0099999999999998</c:v>
                </c:pt>
              </c:numCache>
            </c:numRef>
          </c:xVal>
          <c:yVal>
            <c:numRef>
              <c:f>NPV!$F$6:$F$306</c:f>
              <c:numCache>
                <c:formatCode>"$"#,##0.00_);[Red]\("$"#,##0.00\)</c:formatCode>
                <c:ptCount val="301"/>
                <c:pt idx="0">
                  <c:v>283340717945938.31</c:v>
                </c:pt>
                <c:pt idx="1">
                  <c:v>17991536274599.793</c:v>
                </c:pt>
                <c:pt idx="2">
                  <c:v>3609387988570.8433</c:v>
                </c:pt>
                <c:pt idx="3">
                  <c:v>1159463192729.2729</c:v>
                </c:pt>
                <c:pt idx="4">
                  <c:v>481992560860.4704</c:v>
                </c:pt>
                <c:pt idx="5">
                  <c:v>235820266992.56882</c:v>
                </c:pt>
                <c:pt idx="6">
                  <c:v>129092062950.12581</c:v>
                </c:pt>
                <c:pt idx="7">
                  <c:v>76714013977.360641</c:v>
                </c:pt>
                <c:pt idx="8">
                  <c:v>48533616780.559875</c:v>
                </c:pt>
                <c:pt idx="9">
                  <c:v>32256973783.20351</c:v>
                </c:pt>
                <c:pt idx="10">
                  <c:v>22309743528.887718</c:v>
                </c:pt>
                <c:pt idx="11">
                  <c:v>15944494144.064135</c:v>
                </c:pt>
                <c:pt idx="12">
                  <c:v>11712765094.971191</c:v>
                </c:pt>
                <c:pt idx="13">
                  <c:v>8807294728.127615</c:v>
                </c:pt>
                <c:pt idx="14">
                  <c:v>6756693355.3971252</c:v>
                </c:pt>
                <c:pt idx="15">
                  <c:v>5274540767.7000389</c:v>
                </c:pt>
                <c:pt idx="16">
                  <c:v>4180738515.2430153</c:v>
                </c:pt>
                <c:pt idx="17">
                  <c:v>3358609527.9556899</c:v>
                </c:pt>
                <c:pt idx="18">
                  <c:v>2730553171.9984884</c:v>
                </c:pt>
                <c:pt idx="19">
                  <c:v>2243742870.2903533</c:v>
                </c:pt>
                <c:pt idx="20">
                  <c:v>1861462205.1142902</c:v>
                </c:pt>
                <c:pt idx="21">
                  <c:v>1557711456.1760337</c:v>
                </c:pt>
                <c:pt idx="22">
                  <c:v>1313766924.4060352</c:v>
                </c:pt>
                <c:pt idx="23">
                  <c:v>1115937064.4889073</c:v>
                </c:pt>
                <c:pt idx="24">
                  <c:v>954069583.55018497</c:v>
                </c:pt>
                <c:pt idx="25">
                  <c:v>820539931.95003164</c:v>
                </c:pt>
                <c:pt idx="26">
                  <c:v>709554455.64836419</c:v>
                </c:pt>
                <c:pt idx="27">
                  <c:v>616662931.76898229</c:v>
                </c:pt>
                <c:pt idx="28">
                  <c:v>538412738.17499423</c:v>
                </c:pt>
                <c:pt idx="29">
                  <c:v>472100290.68433398</c:v>
                </c:pt>
                <c:pt idx="30">
                  <c:v>415590221.65788686</c:v>
                </c:pt>
                <c:pt idx="31">
                  <c:v>367182354.11089689</c:v>
                </c:pt>
                <c:pt idx="32">
                  <c:v>325512808.99028134</c:v>
                </c:pt>
                <c:pt idx="33">
                  <c:v>289479765.46742082</c:v>
                </c:pt>
                <c:pt idx="34">
                  <c:v>258187216.15349746</c:v>
                </c:pt>
                <c:pt idx="35">
                  <c:v>230901987.96951589</c:v>
                </c:pt>
                <c:pt idx="36">
                  <c:v>207020633.64443871</c:v>
                </c:pt>
                <c:pt idx="37">
                  <c:v>186043732.22180143</c:v>
                </c:pt>
                <c:pt idx="38">
                  <c:v>167555796.90654171</c:v>
                </c:pt>
                <c:pt idx="39">
                  <c:v>151209459.87742627</c:v>
                </c:pt>
                <c:pt idx="40">
                  <c:v>136712943.44627959</c:v>
                </c:pt>
                <c:pt idx="41">
                  <c:v>123820074.06911565</c:v>
                </c:pt>
                <c:pt idx="42">
                  <c:v>112322276.98589274</c:v>
                </c:pt>
                <c:pt idx="43">
                  <c:v>102042123.30200776</c:v>
                </c:pt>
                <c:pt idx="44">
                  <c:v>92828101.190854028</c:v>
                </c:pt>
                <c:pt idx="45">
                  <c:v>84550357.843925014</c:v>
                </c:pt>
                <c:pt idx="46">
                  <c:v>77097215.429582939</c:v>
                </c:pt>
                <c:pt idx="47">
                  <c:v>70372307.400026143</c:v>
                </c:pt>
                <c:pt idx="48">
                  <c:v>64292214.458917692</c:v>
                </c:pt>
                <c:pt idx="49">
                  <c:v>58784504.891643405</c:v>
                </c:pt>
                <c:pt idx="50">
                  <c:v>53786103.622554913</c:v>
                </c:pt>
                <c:pt idx="51">
                  <c:v>49241929.674334131</c:v>
                </c:pt>
                <c:pt idx="52">
                  <c:v>45103753.68961338</c:v>
                </c:pt>
                <c:pt idx="53">
                  <c:v>41329236.603964143</c:v>
                </c:pt>
                <c:pt idx="54">
                  <c:v>37881118.01337228</c:v>
                </c:pt>
                <c:pt idx="55">
                  <c:v>34726528.699434973</c:v>
                </c:pt>
                <c:pt idx="56">
                  <c:v>31836406.49841506</c:v>
                </c:pt>
                <c:pt idx="57">
                  <c:v>29184998.48429611</c:v>
                </c:pt>
                <c:pt idx="58">
                  <c:v>26749435.480292089</c:v>
                </c:pt>
                <c:pt idx="59">
                  <c:v>24509367.372268561</c:v>
                </c:pt>
                <c:pt idx="60">
                  <c:v>22446649.691373192</c:v>
                </c:pt>
                <c:pt idx="61">
                  <c:v>20545073.555872954</c:v>
                </c:pt>
                <c:pt idx="62">
                  <c:v>18790132.387552723</c:v>
                </c:pt>
                <c:pt idx="63">
                  <c:v>17168819.904283699</c:v>
                </c:pt>
                <c:pt idx="64">
                  <c:v>15669454.783631397</c:v>
                </c:pt>
                <c:pt idx="65">
                  <c:v>14281528.129306538</c:v>
                </c:pt>
                <c:pt idx="66">
                  <c:v>12995570.48212917</c:v>
                </c:pt>
                <c:pt idx="67">
                  <c:v>11803035.623415172</c:v>
                </c:pt>
                <c:pt idx="68">
                  <c:v>10696198.840146434</c:v>
                </c:pt>
                <c:pt idx="69">
                  <c:v>9668067.673149433</c:v>
                </c:pt>
                <c:pt idx="70">
                  <c:v>8712303.4640818052</c:v>
                </c:pt>
                <c:pt idx="71">
                  <c:v>7823152.2642996134</c:v>
                </c:pt>
                <c:pt idx="72">
                  <c:v>6995383.8767833365</c:v>
                </c:pt>
                <c:pt idx="73">
                  <c:v>6224237.977884179</c:v>
                </c:pt>
                <c:pt idx="74">
                  <c:v>5505376.4141574381</c:v>
                </c:pt>
                <c:pt idx="75">
                  <c:v>4834840.8954532333</c:v>
                </c:pt>
                <c:pt idx="76">
                  <c:v>4209015.4124209387</c:v>
                </c:pt>
                <c:pt idx="77">
                  <c:v>3624592.7977010547</c:v>
                </c:pt>
                <c:pt idx="78">
                  <c:v>3078544.9278487288</c:v>
                </c:pt>
                <c:pt idx="79">
                  <c:v>2568096.1295540472</c:v>
                </c:pt>
                <c:pt idx="80">
                  <c:v>2090699.4107400479</c:v>
                </c:pt>
                <c:pt idx="81">
                  <c:v>1644015.1860872742</c:v>
                </c:pt>
                <c:pt idx="82">
                  <c:v>1225892.2086717344</c:v>
                </c:pt>
                <c:pt idx="83">
                  <c:v>834350.45573412173</c:v>
                </c:pt>
                <c:pt idx="84">
                  <c:v>467565.74797993031</c:v>
                </c:pt>
                <c:pt idx="85">
                  <c:v>123855.90896700863</c:v>
                </c:pt>
                <c:pt idx="86">
                  <c:v>-198331.70532088212</c:v>
                </c:pt>
                <c:pt idx="87">
                  <c:v>-500431.45617206884</c:v>
                </c:pt>
                <c:pt idx="88">
                  <c:v>-783769.58279056137</c:v>
                </c:pt>
                <c:pt idx="89">
                  <c:v>-1049573.390064619</c:v>
                </c:pt>
                <c:pt idx="90">
                  <c:v>-1298979.5661172504</c:v>
                </c:pt>
                <c:pt idx="91">
                  <c:v>-1533041.7204759673</c:v>
                </c:pt>
                <c:pt idx="92">
                  <c:v>-1752737.2233520022</c:v>
                </c:pt>
                <c:pt idx="93">
                  <c:v>-1958973.4174472736</c:v>
                </c:pt>
                <c:pt idx="94">
                  <c:v>-2152593.2657421967</c:v>
                </c:pt>
                <c:pt idx="95">
                  <c:v>-2334380.4917134787</c:v>
                </c:pt>
                <c:pt idx="96">
                  <c:v>-2505064.2622641032</c:v>
                </c:pt>
                <c:pt idx="97">
                  <c:v>-2665323.4582098573</c:v>
                </c:pt>
                <c:pt idx="98">
                  <c:v>-2815790.5723657343</c:v>
                </c:pt>
                <c:pt idx="99">
                  <c:v>-2957055.271030874</c:v>
                </c:pt>
                <c:pt idx="100">
                  <c:v>-3089667.6509134248</c:v>
                </c:pt>
                <c:pt idx="101">
                  <c:v>-3214141.2202059529</c:v>
                </c:pt>
                <c:pt idx="102">
                  <c:v>-3330955.6295671239</c:v>
                </c:pt>
                <c:pt idx="103">
                  <c:v>-3440559.1761387563</c:v>
                </c:pt>
                <c:pt idx="104">
                  <c:v>-3543371.1013916987</c:v>
                </c:pt>
                <c:pt idx="105">
                  <c:v>-3639783.7015133714</c:v>
                </c:pt>
                <c:pt idx="106">
                  <c:v>-3730164.2671948862</c:v>
                </c:pt>
                <c:pt idx="107">
                  <c:v>-3814856.8680198165</c:v>
                </c:pt>
                <c:pt idx="108">
                  <c:v>-3894183.9951771284</c:v>
                </c:pt>
                <c:pt idx="109">
                  <c:v>-3968448.0748972055</c:v>
                </c:pt>
                <c:pt idx="110">
                  <c:v>-4037932.8638246381</c:v>
                </c:pt>
                <c:pt idx="111">
                  <c:v>-4102904.7364789206</c:v>
                </c:pt>
                <c:pt idx="112">
                  <c:v>-4163613.8740008865</c:v>
                </c:pt>
                <c:pt idx="113">
                  <c:v>-4220295.3625262147</c:v>
                </c:pt>
                <c:pt idx="114">
                  <c:v>-4273170.2087574759</c:v>
                </c:pt>
                <c:pt idx="115">
                  <c:v>-4322446.2796132434</c:v>
                </c:pt>
                <c:pt idx="116">
                  <c:v>-4368319.172208474</c:v>
                </c:pt>
                <c:pt idx="117">
                  <c:v>-4410973.0198577028</c:v>
                </c:pt>
                <c:pt idx="118">
                  <c:v>-4450581.2392845554</c:v>
                </c:pt>
                <c:pt idx="119">
                  <c:v>-4487307.2237623557</c:v>
                </c:pt>
                <c:pt idx="120">
                  <c:v>-4521304.9864957891</c:v>
                </c:pt>
                <c:pt idx="121">
                  <c:v>-4552719.7581783151</c:v>
                </c:pt>
                <c:pt idx="122">
                  <c:v>-4581688.542320122</c:v>
                </c:pt>
                <c:pt idx="123">
                  <c:v>-4608340.6316333422</c:v>
                </c:pt>
                <c:pt idx="124">
                  <c:v>-4632798.0884818761</c:v>
                </c:pt>
                <c:pt idx="125">
                  <c:v>-4655176.1921494016</c:v>
                </c:pt>
                <c:pt idx="126">
                  <c:v>-4675583.8554487359</c:v>
                </c:pt>
                <c:pt idx="127">
                  <c:v>-4694124.0129861096</c:v>
                </c:pt>
                <c:pt idx="128">
                  <c:v>-4710893.9832032304</c:v>
                </c:pt>
                <c:pt idx="129">
                  <c:v>-4725985.8061463591</c:v>
                </c:pt>
                <c:pt idx="130">
                  <c:v>-4739486.5587533275</c:v>
                </c:pt>
                <c:pt idx="131">
                  <c:v>-4751478.6493051862</c:v>
                </c:pt>
                <c:pt idx="132">
                  <c:v>-4762040.0925573446</c:v>
                </c:pt>
                <c:pt idx="133">
                  <c:v>-4771244.7669448713</c:v>
                </c:pt>
                <c:pt idx="134">
                  <c:v>-4779162.6551466174</c:v>
                </c:pt>
                <c:pt idx="135">
                  <c:v>-4785860.0691923304</c:v>
                </c:pt>
                <c:pt idx="136">
                  <c:v>-4791399.8612048756</c:v>
                </c:pt>
                <c:pt idx="137">
                  <c:v>-4795841.6207854636</c:v>
                </c:pt>
                <c:pt idx="138">
                  <c:v>-4799241.8599725338</c:v>
                </c:pt>
                <c:pt idx="139">
                  <c:v>-4801654.1866341745</c:v>
                </c:pt>
                <c:pt idx="140">
                  <c:v>-4803129.4670889983</c:v>
                </c:pt>
                <c:pt idx="141">
                  <c:v>-4803715.9786907006</c:v>
                </c:pt>
                <c:pt idx="142">
                  <c:v>-4803459.5530568594</c:v>
                </c:pt>
                <c:pt idx="143">
                  <c:v>-4802403.7105720136</c:v>
                </c:pt>
                <c:pt idx="144">
                  <c:v>-4800589.7867488908</c:v>
                </c:pt>
                <c:pt idx="145">
                  <c:v>-4798057.0509889135</c:v>
                </c:pt>
                <c:pt idx="146">
                  <c:v>-4794842.8182439161</c:v>
                </c:pt>
                <c:pt idx="147">
                  <c:v>-4790982.5540448176</c:v>
                </c:pt>
                <c:pt idx="148">
                  <c:v>-4786509.9733296558</c:v>
                </c:pt>
                <c:pt idx="149">
                  <c:v>-4781457.1334726298</c:v>
                </c:pt>
                <c:pt idx="150">
                  <c:v>-4775854.5218874216</c:v>
                </c:pt>
                <c:pt idx="151">
                  <c:v>-4769731.1385518536</c:v>
                </c:pt>
                <c:pt idx="152">
                  <c:v>-4763114.5737767061</c:v>
                </c:pt>
                <c:pt idx="153">
                  <c:v>-4756031.0815191884</c:v>
                </c:pt>
                <c:pt idx="154">
                  <c:v>-4748505.6485207779</c:v>
                </c:pt>
                <c:pt idx="155">
                  <c:v>-4740562.0595300561</c:v>
                </c:pt>
                <c:pt idx="156">
                  <c:v>-4732222.9588533975</c:v>
                </c:pt>
                <c:pt idx="157">
                  <c:v>-4723509.9084599558</c:v>
                </c:pt>
                <c:pt idx="158">
                  <c:v>-4714443.442852159</c:v>
                </c:pt>
                <c:pt idx="159">
                  <c:v>-4705043.1208988205</c:v>
                </c:pt>
                <c:pt idx="160">
                  <c:v>-4695327.5748148868</c:v>
                </c:pt>
                <c:pt idx="161">
                  <c:v>-4685314.5564596765</c:v>
                </c:pt>
                <c:pt idx="162">
                  <c:v>-4675020.9811141975</c:v>
                </c:pt>
                <c:pt idx="163">
                  <c:v>-4664462.9688876485</c:v>
                </c:pt>
                <c:pt idx="164">
                  <c:v>-4653655.8838934796</c:v>
                </c:pt>
                <c:pt idx="165">
                  <c:v>-4642614.3713263189</c:v>
                </c:pt>
                <c:pt idx="166">
                  <c:v>-4631352.3925626623</c:v>
                </c:pt>
                <c:pt idx="167">
                  <c:v>-4619883.2584003918</c:v>
                </c:pt>
                <c:pt idx="168">
                  <c:v>-4608219.6605448909</c:v>
                </c:pt>
                <c:pt idx="169">
                  <c:v>-4596373.701442712</c:v>
                </c:pt>
                <c:pt idx="170">
                  <c:v>-4584356.9225574583</c:v>
                </c:pt>
                <c:pt idx="171">
                  <c:v>-4572180.3311766144</c:v>
                </c:pt>
                <c:pt idx="172">
                  <c:v>-4559854.4258325547</c:v>
                </c:pt>
                <c:pt idx="173">
                  <c:v>-4547389.22041588</c:v>
                </c:pt>
                <c:pt idx="174">
                  <c:v>-4534794.2670543315</c:v>
                </c:pt>
                <c:pt idx="175">
                  <c:v>-4522078.6778262043</c:v>
                </c:pt>
                <c:pt idx="176">
                  <c:v>-4509251.1453728778</c:v>
                </c:pt>
                <c:pt idx="177">
                  <c:v>-4496319.9624712542</c:v>
                </c:pt>
                <c:pt idx="178">
                  <c:v>-4483293.0406232346</c:v>
                </c:pt>
                <c:pt idx="179">
                  <c:v>-4470177.9277159134</c:v>
                </c:pt>
                <c:pt idx="180">
                  <c:v>-4456981.8248030506</c:v>
                </c:pt>
                <c:pt idx="181">
                  <c:v>-4443711.602055327</c:v>
                </c:pt>
                <c:pt idx="182">
                  <c:v>-4430373.8139241477</c:v>
                </c:pt>
                <c:pt idx="183">
                  <c:v>-4416974.7135610972</c:v>
                </c:pt>
                <c:pt idx="184">
                  <c:v>-4403520.2665327461</c:v>
                </c:pt>
                <c:pt idx="185">
                  <c:v>-4390016.1638681665</c:v>
                </c:pt>
                <c:pt idx="186">
                  <c:v>-4376467.834474395</c:v>
                </c:pt>
                <c:pt idx="187">
                  <c:v>-4362880.4569530459</c:v>
                </c:pt>
                <c:pt idx="188">
                  <c:v>-4349258.970849392</c:v>
                </c:pt>
                <c:pt idx="189">
                  <c:v>-4335608.0873634368</c:v>
                </c:pt>
                <c:pt idx="190">
                  <c:v>-4321932.2995508732</c:v>
                </c:pt>
                <c:pt idx="191">
                  <c:v>-4308235.892040194</c:v>
                </c:pt>
                <c:pt idx="192">
                  <c:v>-4294522.9502908327</c:v>
                </c:pt>
                <c:pt idx="193">
                  <c:v>-4280797.369415747</c:v>
                </c:pt>
                <c:pt idx="194">
                  <c:v>-4267062.8625906063</c:v>
                </c:pt>
                <c:pt idx="195">
                  <c:v>-4253322.9690705352</c:v>
                </c:pt>
                <c:pt idx="196">
                  <c:v>-4239581.0618341658</c:v>
                </c:pt>
                <c:pt idx="197">
                  <c:v>-4225840.354873714</c:v>
                </c:pt>
                <c:pt idx="198">
                  <c:v>-4212103.9101487789</c:v>
                </c:pt>
                <c:pt idx="199">
                  <c:v>-4198374.6442205627</c:v>
                </c:pt>
                <c:pt idx="200">
                  <c:v>-4184655.334582374</c:v>
                </c:pt>
                <c:pt idx="201">
                  <c:v>-4170948.6257013734</c:v>
                </c:pt>
                <c:pt idx="202">
                  <c:v>-4157257.0347857368</c:v>
                </c:pt>
                <c:pt idx="203">
                  <c:v>-4143582.9572906909</c:v>
                </c:pt>
                <c:pt idx="204">
                  <c:v>-4129928.6721761036</c:v>
                </c:pt>
                <c:pt idx="205">
                  <c:v>-4116296.346927701</c:v>
                </c:pt>
                <c:pt idx="206">
                  <c:v>-4102688.0423533288</c:v>
                </c:pt>
                <c:pt idx="207">
                  <c:v>-4089105.7171650454</c:v>
                </c:pt>
                <c:pt idx="208">
                  <c:v>-4075551.2323573483</c:v>
                </c:pt>
                <c:pt idx="209">
                  <c:v>-4062026.3553912342</c:v>
                </c:pt>
                <c:pt idx="210">
                  <c:v>-4048532.7641933234</c:v>
                </c:pt>
                <c:pt idx="211">
                  <c:v>-4035072.0509788063</c:v>
                </c:pt>
                <c:pt idx="212">
                  <c:v>-4021645.7259065174</c:v>
                </c:pt>
                <c:pt idx="213">
                  <c:v>-4008255.2205740088</c:v>
                </c:pt>
                <c:pt idx="214">
                  <c:v>-3994901.8913601339</c:v>
                </c:pt>
                <c:pt idx="215">
                  <c:v>-3981587.0226222123</c:v>
                </c:pt>
                <c:pt idx="216">
                  <c:v>-3968311.8297545556</c:v>
                </c:pt>
                <c:pt idx="217">
                  <c:v>-3955077.4621147565</c:v>
                </c:pt>
                <c:pt idx="218">
                  <c:v>-3941885.0058238241</c:v>
                </c:pt>
                <c:pt idx="219">
                  <c:v>-3928735.4864459708</c:v>
                </c:pt>
                <c:pt idx="220">
                  <c:v>-3915629.8715535509</c:v>
                </c:pt>
                <c:pt idx="221">
                  <c:v>-3902569.0731823742</c:v>
                </c:pt>
                <c:pt idx="222">
                  <c:v>-3889553.9501823913</c:v>
                </c:pt>
                <c:pt idx="223">
                  <c:v>-3876585.3104684604</c:v>
                </c:pt>
                <c:pt idx="224">
                  <c:v>-3863663.9131757235</c:v>
                </c:pt>
                <c:pt idx="225">
                  <c:v>-3850790.4707238595</c:v>
                </c:pt>
                <c:pt idx="226">
                  <c:v>-3837965.6507943012</c:v>
                </c:pt>
                <c:pt idx="227">
                  <c:v>-3825190.0782242995</c:v>
                </c:pt>
                <c:pt idx="228">
                  <c:v>-3812464.3368215263</c:v>
                </c:pt>
                <c:pt idx="229">
                  <c:v>-3799788.9711027443</c:v>
                </c:pt>
                <c:pt idx="230">
                  <c:v>-3787164.4879598808</c:v>
                </c:pt>
                <c:pt idx="231">
                  <c:v>-3774591.3582567321</c:v>
                </c:pt>
                <c:pt idx="232">
                  <c:v>-3762070.0183593049</c:v>
                </c:pt>
                <c:pt idx="233">
                  <c:v>-3749600.8716027117</c:v>
                </c:pt>
                <c:pt idx="234">
                  <c:v>-3737184.2896973975</c:v>
                </c:pt>
                <c:pt idx="235">
                  <c:v>-3724820.6140773096</c:v>
                </c:pt>
                <c:pt idx="236">
                  <c:v>-3712510.1571925492</c:v>
                </c:pt>
                <c:pt idx="237">
                  <c:v>-3700253.2037488688</c:v>
                </c:pt>
                <c:pt idx="238">
                  <c:v>-3688050.0118963416</c:v>
                </c:pt>
                <c:pt idx="239">
                  <c:v>-3675900.8143693567</c:v>
                </c:pt>
                <c:pt idx="240">
                  <c:v>-3663805.8195800204</c:v>
                </c:pt>
                <c:pt idx="241">
                  <c:v>-3651765.2126669739</c:v>
                </c:pt>
                <c:pt idx="242">
                  <c:v>-3639779.1565014957</c:v>
                </c:pt>
                <c:pt idx="243">
                  <c:v>-3627847.7926527136</c:v>
                </c:pt>
                <c:pt idx="244">
                  <c:v>-3615971.2423136532</c:v>
                </c:pt>
                <c:pt idx="245">
                  <c:v>-3604149.6071897722</c:v>
                </c:pt>
                <c:pt idx="246">
                  <c:v>-3592382.9703515535</c:v>
                </c:pt>
                <c:pt idx="247">
                  <c:v>-3580671.397052662</c:v>
                </c:pt>
                <c:pt idx="248">
                  <c:v>-3569014.9355151192</c:v>
                </c:pt>
                <c:pt idx="249">
                  <c:v>-3557413.617682843</c:v>
                </c:pt>
                <c:pt idx="250">
                  <c:v>-3545867.4599448927</c:v>
                </c:pt>
                <c:pt idx="251">
                  <c:v>-3534376.463829658</c:v>
                </c:pt>
                <c:pt idx="252">
                  <c:v>-3522940.6166712018</c:v>
                </c:pt>
                <c:pt idx="253">
                  <c:v>-3511559.8922489006</c:v>
                </c:pt>
                <c:pt idx="254">
                  <c:v>-3500234.2514014794</c:v>
                </c:pt>
                <c:pt idx="255">
                  <c:v>-3488963.6426164922</c:v>
                </c:pt>
                <c:pt idx="256">
                  <c:v>-3477748.0025962614</c:v>
                </c:pt>
                <c:pt idx="257">
                  <c:v>-3466587.2568012155</c:v>
                </c:pt>
                <c:pt idx="258">
                  <c:v>-3455481.3199715647</c:v>
                </c:pt>
                <c:pt idx="259">
                  <c:v>-3444430.0966281821</c:v>
                </c:pt>
                <c:pt idx="260">
                  <c:v>-3433433.4815535485</c:v>
                </c:pt>
                <c:pt idx="261">
                  <c:v>-3422491.3602535399</c:v>
                </c:pt>
                <c:pt idx="262">
                  <c:v>-3411603.6094008554</c:v>
                </c:pt>
                <c:pt idx="263">
                  <c:v>-3400770.0972608053</c:v>
                </c:pt>
                <c:pt idx="264">
                  <c:v>-3389990.6841001888</c:v>
                </c:pt>
                <c:pt idx="265">
                  <c:v>-3379265.2225799058</c:v>
                </c:pt>
                <c:pt idx="266">
                  <c:v>-3368593.5581319942</c:v>
                </c:pt>
                <c:pt idx="267">
                  <c:v>-3357975.5293216705</c:v>
                </c:pt>
                <c:pt idx="268">
                  <c:v>-3347410.9681949983</c:v>
                </c:pt>
                <c:pt idx="269">
                  <c:v>-3336899.7006127597</c:v>
                </c:pt>
                <c:pt idx="270">
                  <c:v>-3326441.5465710396</c:v>
                </c:pt>
                <c:pt idx="271">
                  <c:v>-3316036.3205090985</c:v>
                </c:pt>
                <c:pt idx="272">
                  <c:v>-3305683.8316049865</c:v>
                </c:pt>
                <c:pt idx="273">
                  <c:v>-3295383.884059424</c:v>
                </c:pt>
                <c:pt idx="274">
                  <c:v>-3285136.2773683784</c:v>
                </c:pt>
                <c:pt idx="275">
                  <c:v>-3274940.8065847885</c:v>
                </c:pt>
                <c:pt idx="276">
                  <c:v>-3264797.2625698838</c:v>
                </c:pt>
                <c:pt idx="277">
                  <c:v>-3254705.4322344665</c:v>
                </c:pt>
                <c:pt idx="278">
                  <c:v>-3244665.0987705784</c:v>
                </c:pt>
                <c:pt idx="279">
                  <c:v>-3234676.0418739184</c:v>
                </c:pt>
                <c:pt idx="280">
                  <c:v>-3224738.0379573605</c:v>
                </c:pt>
                <c:pt idx="281">
                  <c:v>-3214850.860355936</c:v>
                </c:pt>
                <c:pt idx="282">
                  <c:v>-3205014.2795235971</c:v>
                </c:pt>
                <c:pt idx="283">
                  <c:v>-3195228.0632220739</c:v>
                </c:pt>
                <c:pt idx="284">
                  <c:v>-3185491.9767021616</c:v>
                </c:pt>
                <c:pt idx="285">
                  <c:v>-3175805.7828776855</c:v>
                </c:pt>
                <c:pt idx="286">
                  <c:v>-3166169.2424924686</c:v>
                </c:pt>
                <c:pt idx="287">
                  <c:v>-3156582.1142805321</c:v>
                </c:pt>
                <c:pt idx="288">
                  <c:v>-3147044.1551198279</c:v>
                </c:pt>
                <c:pt idx="289">
                  <c:v>-3137555.1201797128</c:v>
                </c:pt>
                <c:pt idx="290">
                  <c:v>-3128114.7630624389</c:v>
                </c:pt>
                <c:pt idx="291">
                  <c:v>-3118722.8359388635</c:v>
                </c:pt>
                <c:pt idx="292">
                  <c:v>-3109379.0896786102</c:v>
                </c:pt>
                <c:pt idx="293">
                  <c:v>-3100083.2739748931</c:v>
                </c:pt>
                <c:pt idx="294">
                  <c:v>-3090835.1374642127</c:v>
                </c:pt>
                <c:pt idx="295">
                  <c:v>-3081634.4278411022</c:v>
                </c:pt>
                <c:pt idx="296">
                  <c:v>-3072480.891968132</c:v>
                </c:pt>
                <c:pt idx="297">
                  <c:v>-3063374.2759813387</c:v>
                </c:pt>
                <c:pt idx="298">
                  <c:v>-3054314.3253912628</c:v>
                </c:pt>
                <c:pt idx="299">
                  <c:v>-3045300.7851797543</c:v>
                </c:pt>
                <c:pt idx="300">
                  <c:v>-3036333.3998927088</c:v>
                </c:pt>
              </c:numCache>
            </c:numRef>
          </c:yVal>
          <c:smooth val="1"/>
        </c:ser>
        <c:ser>
          <c:idx val="4"/>
          <c:order val="3"/>
          <c:marker>
            <c:symbol val="none"/>
          </c:marker>
          <c:xVal>
            <c:numRef>
              <c:f>NPV!$C$6:$C$306</c:f>
              <c:numCache>
                <c:formatCode>General</c:formatCode>
                <c:ptCount val="301"/>
                <c:pt idx="0">
                  <c:v>-0.99</c:v>
                </c:pt>
                <c:pt idx="1">
                  <c:v>-0.98</c:v>
                </c:pt>
                <c:pt idx="2">
                  <c:v>-0.97</c:v>
                </c:pt>
                <c:pt idx="3">
                  <c:v>-0.96</c:v>
                </c:pt>
                <c:pt idx="4">
                  <c:v>-0.95</c:v>
                </c:pt>
                <c:pt idx="5">
                  <c:v>-0.94</c:v>
                </c:pt>
                <c:pt idx="6">
                  <c:v>-0.93</c:v>
                </c:pt>
                <c:pt idx="7">
                  <c:v>-0.92</c:v>
                </c:pt>
                <c:pt idx="8">
                  <c:v>-0.91</c:v>
                </c:pt>
                <c:pt idx="9">
                  <c:v>-0.9</c:v>
                </c:pt>
                <c:pt idx="10">
                  <c:v>-0.89</c:v>
                </c:pt>
                <c:pt idx="11">
                  <c:v>-0.88</c:v>
                </c:pt>
                <c:pt idx="12">
                  <c:v>-0.87</c:v>
                </c:pt>
                <c:pt idx="13">
                  <c:v>-0.86</c:v>
                </c:pt>
                <c:pt idx="14">
                  <c:v>-0.85</c:v>
                </c:pt>
                <c:pt idx="15">
                  <c:v>-0.84</c:v>
                </c:pt>
                <c:pt idx="16">
                  <c:v>-0.83</c:v>
                </c:pt>
                <c:pt idx="17">
                  <c:v>-0.82</c:v>
                </c:pt>
                <c:pt idx="18">
                  <c:v>-0.81</c:v>
                </c:pt>
                <c:pt idx="19">
                  <c:v>-0.8</c:v>
                </c:pt>
                <c:pt idx="20">
                  <c:v>-0.79</c:v>
                </c:pt>
                <c:pt idx="21">
                  <c:v>-0.78</c:v>
                </c:pt>
                <c:pt idx="22">
                  <c:v>-0.77</c:v>
                </c:pt>
                <c:pt idx="23">
                  <c:v>-0.76</c:v>
                </c:pt>
                <c:pt idx="24">
                  <c:v>-0.75</c:v>
                </c:pt>
                <c:pt idx="25">
                  <c:v>-0.74</c:v>
                </c:pt>
                <c:pt idx="26">
                  <c:v>-0.73</c:v>
                </c:pt>
                <c:pt idx="27">
                  <c:v>-0.72</c:v>
                </c:pt>
                <c:pt idx="28">
                  <c:v>-0.71</c:v>
                </c:pt>
                <c:pt idx="29">
                  <c:v>-0.7</c:v>
                </c:pt>
                <c:pt idx="30">
                  <c:v>-0.69</c:v>
                </c:pt>
                <c:pt idx="31">
                  <c:v>-0.68</c:v>
                </c:pt>
                <c:pt idx="32">
                  <c:v>-0.67</c:v>
                </c:pt>
                <c:pt idx="33">
                  <c:v>-0.66</c:v>
                </c:pt>
                <c:pt idx="34">
                  <c:v>-0.65</c:v>
                </c:pt>
                <c:pt idx="35">
                  <c:v>-0.64</c:v>
                </c:pt>
                <c:pt idx="36">
                  <c:v>-0.63</c:v>
                </c:pt>
                <c:pt idx="37">
                  <c:v>-0.62</c:v>
                </c:pt>
                <c:pt idx="38">
                  <c:v>-0.61</c:v>
                </c:pt>
                <c:pt idx="39">
                  <c:v>-0.6</c:v>
                </c:pt>
                <c:pt idx="40">
                  <c:v>-0.59</c:v>
                </c:pt>
                <c:pt idx="41">
                  <c:v>-0.57999999999999996</c:v>
                </c:pt>
                <c:pt idx="42">
                  <c:v>-0.56999999999999995</c:v>
                </c:pt>
                <c:pt idx="43">
                  <c:v>-0.56000000000000005</c:v>
                </c:pt>
                <c:pt idx="44">
                  <c:v>-0.55000000000000004</c:v>
                </c:pt>
                <c:pt idx="45">
                  <c:v>-0.54</c:v>
                </c:pt>
                <c:pt idx="46">
                  <c:v>-0.53</c:v>
                </c:pt>
                <c:pt idx="47">
                  <c:v>-0.52</c:v>
                </c:pt>
                <c:pt idx="48">
                  <c:v>-0.51</c:v>
                </c:pt>
                <c:pt idx="49">
                  <c:v>-0.5</c:v>
                </c:pt>
                <c:pt idx="50">
                  <c:v>-0.49</c:v>
                </c:pt>
                <c:pt idx="51">
                  <c:v>-0.48</c:v>
                </c:pt>
                <c:pt idx="52">
                  <c:v>-0.47</c:v>
                </c:pt>
                <c:pt idx="53">
                  <c:v>-0.46</c:v>
                </c:pt>
                <c:pt idx="54">
                  <c:v>-0.45</c:v>
                </c:pt>
                <c:pt idx="55">
                  <c:v>-0.44</c:v>
                </c:pt>
                <c:pt idx="56">
                  <c:v>-0.42999999999999899</c:v>
                </c:pt>
                <c:pt idx="57">
                  <c:v>-0.41999999999999899</c:v>
                </c:pt>
                <c:pt idx="58">
                  <c:v>-0.40999999999999898</c:v>
                </c:pt>
                <c:pt idx="59">
                  <c:v>-0.39999999999999902</c:v>
                </c:pt>
                <c:pt idx="60">
                  <c:v>-0.38999999999999901</c:v>
                </c:pt>
                <c:pt idx="61">
                  <c:v>-0.37999999999999901</c:v>
                </c:pt>
                <c:pt idx="62">
                  <c:v>-0.369999999999999</c:v>
                </c:pt>
                <c:pt idx="63">
                  <c:v>-0.35999999999999899</c:v>
                </c:pt>
                <c:pt idx="64">
                  <c:v>-0.34999999999999898</c:v>
                </c:pt>
                <c:pt idx="65">
                  <c:v>-0.33999999999999903</c:v>
                </c:pt>
                <c:pt idx="66">
                  <c:v>-0.32999999999999902</c:v>
                </c:pt>
                <c:pt idx="67">
                  <c:v>-0.31999999999999901</c:v>
                </c:pt>
                <c:pt idx="68">
                  <c:v>-0.309999999999999</c:v>
                </c:pt>
                <c:pt idx="69">
                  <c:v>-0.29999999999999899</c:v>
                </c:pt>
                <c:pt idx="70">
                  <c:v>-0.28999999999999898</c:v>
                </c:pt>
                <c:pt idx="71">
                  <c:v>-0.27999999999999903</c:v>
                </c:pt>
                <c:pt idx="72">
                  <c:v>-0.26999999999999902</c:v>
                </c:pt>
                <c:pt idx="73">
                  <c:v>-0.25999999999999901</c:v>
                </c:pt>
                <c:pt idx="74">
                  <c:v>-0.249999999999999</c:v>
                </c:pt>
                <c:pt idx="75">
                  <c:v>-0.23999999999999899</c:v>
                </c:pt>
                <c:pt idx="76">
                  <c:v>-0.22999999999999901</c:v>
                </c:pt>
                <c:pt idx="77">
                  <c:v>-0.219999999999999</c:v>
                </c:pt>
                <c:pt idx="78">
                  <c:v>-0.20999999999999899</c:v>
                </c:pt>
                <c:pt idx="79">
                  <c:v>-0.19999999999999901</c:v>
                </c:pt>
                <c:pt idx="80">
                  <c:v>-0.189999999999999</c:v>
                </c:pt>
                <c:pt idx="81">
                  <c:v>-0.17999999999999899</c:v>
                </c:pt>
                <c:pt idx="82">
                  <c:v>-0.16999999999999901</c:v>
                </c:pt>
                <c:pt idx="83">
                  <c:v>-0.159999999999999</c:v>
                </c:pt>
                <c:pt idx="84">
                  <c:v>-0.149999999999999</c:v>
                </c:pt>
                <c:pt idx="85">
                  <c:v>-0.13999999999999899</c:v>
                </c:pt>
                <c:pt idx="86">
                  <c:v>-0.12999999999999901</c:v>
                </c:pt>
                <c:pt idx="87">
                  <c:v>-0.119999999999999</c:v>
                </c:pt>
                <c:pt idx="88">
                  <c:v>-0.109999999999999</c:v>
                </c:pt>
                <c:pt idx="89">
                  <c:v>-9.9999999999999006E-2</c:v>
                </c:pt>
                <c:pt idx="90">
                  <c:v>-8.9999999999998997E-2</c:v>
                </c:pt>
                <c:pt idx="91">
                  <c:v>-7.9999999999999002E-2</c:v>
                </c:pt>
                <c:pt idx="92">
                  <c:v>-6.9999999999998994E-2</c:v>
                </c:pt>
                <c:pt idx="93">
                  <c:v>-5.9999999999999103E-2</c:v>
                </c:pt>
                <c:pt idx="94">
                  <c:v>-4.9999999999998997E-2</c:v>
                </c:pt>
                <c:pt idx="95">
                  <c:v>-3.9999999999999002E-2</c:v>
                </c:pt>
                <c:pt idx="96">
                  <c:v>-2.9999999999999E-2</c:v>
                </c:pt>
                <c:pt idx="97">
                  <c:v>-1.9999999999999001E-2</c:v>
                </c:pt>
                <c:pt idx="98">
                  <c:v>-9.9999999999990097E-3</c:v>
                </c:pt>
                <c:pt idx="99">
                  <c:v>0</c:v>
                </c:pt>
                <c:pt idx="100">
                  <c:v>0.01</c:v>
                </c:pt>
                <c:pt idx="101">
                  <c:v>0.02</c:v>
                </c:pt>
                <c:pt idx="102">
                  <c:v>0.03</c:v>
                </c:pt>
                <c:pt idx="103">
                  <c:v>0.04</c:v>
                </c:pt>
                <c:pt idx="104">
                  <c:v>0.05</c:v>
                </c:pt>
                <c:pt idx="105">
                  <c:v>6.0000000000000102E-2</c:v>
                </c:pt>
                <c:pt idx="106">
                  <c:v>7.0000000000000104E-2</c:v>
                </c:pt>
                <c:pt idx="107">
                  <c:v>8.0000000000000099E-2</c:v>
                </c:pt>
                <c:pt idx="108">
                  <c:v>9.0000000000000094E-2</c:v>
                </c:pt>
                <c:pt idx="109">
                  <c:v>0.1</c:v>
                </c:pt>
                <c:pt idx="110">
                  <c:v>0.11</c:v>
                </c:pt>
                <c:pt idx="111">
                  <c:v>0.12</c:v>
                </c:pt>
                <c:pt idx="112">
                  <c:v>0.13</c:v>
                </c:pt>
                <c:pt idx="113">
                  <c:v>0.14000000000000001</c:v>
                </c:pt>
                <c:pt idx="114">
                  <c:v>0.15</c:v>
                </c:pt>
                <c:pt idx="115">
                  <c:v>0.16</c:v>
                </c:pt>
                <c:pt idx="116">
                  <c:v>0.17</c:v>
                </c:pt>
                <c:pt idx="117">
                  <c:v>0.18</c:v>
                </c:pt>
                <c:pt idx="118">
                  <c:v>0.19</c:v>
                </c:pt>
                <c:pt idx="119">
                  <c:v>0.2</c:v>
                </c:pt>
                <c:pt idx="120">
                  <c:v>0.21</c:v>
                </c:pt>
                <c:pt idx="121">
                  <c:v>0.22</c:v>
                </c:pt>
                <c:pt idx="122">
                  <c:v>0.23</c:v>
                </c:pt>
                <c:pt idx="123">
                  <c:v>0.24</c:v>
                </c:pt>
                <c:pt idx="124">
                  <c:v>0.25</c:v>
                </c:pt>
                <c:pt idx="125">
                  <c:v>0.26</c:v>
                </c:pt>
                <c:pt idx="126">
                  <c:v>0.27</c:v>
                </c:pt>
                <c:pt idx="127">
                  <c:v>0.28000000000000003</c:v>
                </c:pt>
                <c:pt idx="128">
                  <c:v>0.28999999999999998</c:v>
                </c:pt>
                <c:pt idx="129">
                  <c:v>0.3</c:v>
                </c:pt>
                <c:pt idx="130">
                  <c:v>0.31</c:v>
                </c:pt>
                <c:pt idx="131">
                  <c:v>0.32</c:v>
                </c:pt>
                <c:pt idx="132">
                  <c:v>0.33</c:v>
                </c:pt>
                <c:pt idx="133">
                  <c:v>0.34</c:v>
                </c:pt>
                <c:pt idx="134">
                  <c:v>0.35</c:v>
                </c:pt>
                <c:pt idx="135">
                  <c:v>0.36</c:v>
                </c:pt>
                <c:pt idx="136">
                  <c:v>0.37</c:v>
                </c:pt>
                <c:pt idx="137">
                  <c:v>0.38</c:v>
                </c:pt>
                <c:pt idx="138">
                  <c:v>0.39</c:v>
                </c:pt>
                <c:pt idx="139">
                  <c:v>0.4</c:v>
                </c:pt>
                <c:pt idx="140">
                  <c:v>0.41</c:v>
                </c:pt>
                <c:pt idx="141">
                  <c:v>0.42</c:v>
                </c:pt>
                <c:pt idx="142">
                  <c:v>0.43</c:v>
                </c:pt>
                <c:pt idx="143">
                  <c:v>0.44</c:v>
                </c:pt>
                <c:pt idx="144">
                  <c:v>0.45</c:v>
                </c:pt>
                <c:pt idx="145">
                  <c:v>0.46</c:v>
                </c:pt>
                <c:pt idx="146">
                  <c:v>0.47</c:v>
                </c:pt>
                <c:pt idx="147">
                  <c:v>0.48</c:v>
                </c:pt>
                <c:pt idx="148">
                  <c:v>0.49</c:v>
                </c:pt>
                <c:pt idx="149">
                  <c:v>0.5</c:v>
                </c:pt>
                <c:pt idx="150">
                  <c:v>0.51</c:v>
                </c:pt>
                <c:pt idx="151">
                  <c:v>0.52</c:v>
                </c:pt>
                <c:pt idx="152">
                  <c:v>0.53</c:v>
                </c:pt>
                <c:pt idx="153">
                  <c:v>0.54</c:v>
                </c:pt>
                <c:pt idx="154">
                  <c:v>0.55000000000000004</c:v>
                </c:pt>
                <c:pt idx="155">
                  <c:v>0.56000000000000005</c:v>
                </c:pt>
                <c:pt idx="156">
                  <c:v>0.56999999999999995</c:v>
                </c:pt>
                <c:pt idx="157">
                  <c:v>0.57999999999999996</c:v>
                </c:pt>
                <c:pt idx="158">
                  <c:v>0.59</c:v>
                </c:pt>
                <c:pt idx="159">
                  <c:v>0.6</c:v>
                </c:pt>
                <c:pt idx="160">
                  <c:v>0.61</c:v>
                </c:pt>
                <c:pt idx="161">
                  <c:v>0.62</c:v>
                </c:pt>
                <c:pt idx="162">
                  <c:v>0.63</c:v>
                </c:pt>
                <c:pt idx="163">
                  <c:v>0.64</c:v>
                </c:pt>
                <c:pt idx="164">
                  <c:v>0.65</c:v>
                </c:pt>
                <c:pt idx="165">
                  <c:v>0.66</c:v>
                </c:pt>
                <c:pt idx="166">
                  <c:v>0.67</c:v>
                </c:pt>
                <c:pt idx="167">
                  <c:v>0.68</c:v>
                </c:pt>
                <c:pt idx="168">
                  <c:v>0.69</c:v>
                </c:pt>
                <c:pt idx="169">
                  <c:v>0.7</c:v>
                </c:pt>
                <c:pt idx="170">
                  <c:v>0.71</c:v>
                </c:pt>
                <c:pt idx="171">
                  <c:v>0.72</c:v>
                </c:pt>
                <c:pt idx="172">
                  <c:v>0.73</c:v>
                </c:pt>
                <c:pt idx="173">
                  <c:v>0.74</c:v>
                </c:pt>
                <c:pt idx="174">
                  <c:v>0.75</c:v>
                </c:pt>
                <c:pt idx="175">
                  <c:v>0.76</c:v>
                </c:pt>
                <c:pt idx="176">
                  <c:v>0.77</c:v>
                </c:pt>
                <c:pt idx="177">
                  <c:v>0.78</c:v>
                </c:pt>
                <c:pt idx="178">
                  <c:v>0.79</c:v>
                </c:pt>
                <c:pt idx="179">
                  <c:v>0.8</c:v>
                </c:pt>
                <c:pt idx="180">
                  <c:v>0.81</c:v>
                </c:pt>
                <c:pt idx="181">
                  <c:v>0.82</c:v>
                </c:pt>
                <c:pt idx="182">
                  <c:v>0.83</c:v>
                </c:pt>
                <c:pt idx="183">
                  <c:v>0.84</c:v>
                </c:pt>
                <c:pt idx="184">
                  <c:v>0.85</c:v>
                </c:pt>
                <c:pt idx="185">
                  <c:v>0.86</c:v>
                </c:pt>
                <c:pt idx="186">
                  <c:v>0.87</c:v>
                </c:pt>
                <c:pt idx="187">
                  <c:v>0.88</c:v>
                </c:pt>
                <c:pt idx="188">
                  <c:v>0.89</c:v>
                </c:pt>
                <c:pt idx="189">
                  <c:v>0.9</c:v>
                </c:pt>
                <c:pt idx="190">
                  <c:v>0.91</c:v>
                </c:pt>
                <c:pt idx="191">
                  <c:v>0.92</c:v>
                </c:pt>
                <c:pt idx="192">
                  <c:v>0.93</c:v>
                </c:pt>
                <c:pt idx="193">
                  <c:v>0.94</c:v>
                </c:pt>
                <c:pt idx="194">
                  <c:v>0.95</c:v>
                </c:pt>
                <c:pt idx="195">
                  <c:v>0.96</c:v>
                </c:pt>
                <c:pt idx="196">
                  <c:v>0.97</c:v>
                </c:pt>
                <c:pt idx="197">
                  <c:v>0.98</c:v>
                </c:pt>
                <c:pt idx="198">
                  <c:v>0.99</c:v>
                </c:pt>
                <c:pt idx="199">
                  <c:v>1</c:v>
                </c:pt>
                <c:pt idx="200">
                  <c:v>1.01</c:v>
                </c:pt>
                <c:pt idx="201">
                  <c:v>1.02</c:v>
                </c:pt>
                <c:pt idx="202">
                  <c:v>1.03</c:v>
                </c:pt>
                <c:pt idx="203">
                  <c:v>1.04</c:v>
                </c:pt>
                <c:pt idx="204">
                  <c:v>1.05</c:v>
                </c:pt>
                <c:pt idx="205">
                  <c:v>1.06</c:v>
                </c:pt>
                <c:pt idx="206">
                  <c:v>1.07</c:v>
                </c:pt>
                <c:pt idx="207">
                  <c:v>1.08</c:v>
                </c:pt>
                <c:pt idx="208">
                  <c:v>1.0900000000000001</c:v>
                </c:pt>
                <c:pt idx="209">
                  <c:v>1.1000000000000001</c:v>
                </c:pt>
                <c:pt idx="210">
                  <c:v>1.1100000000000001</c:v>
                </c:pt>
                <c:pt idx="211">
                  <c:v>1.1200000000000001</c:v>
                </c:pt>
                <c:pt idx="212">
                  <c:v>1.1299999999999999</c:v>
                </c:pt>
                <c:pt idx="213">
                  <c:v>1.1399999999999999</c:v>
                </c:pt>
                <c:pt idx="214">
                  <c:v>1.1499999999999999</c:v>
                </c:pt>
                <c:pt idx="215">
                  <c:v>1.1599999999999999</c:v>
                </c:pt>
                <c:pt idx="216">
                  <c:v>1.17</c:v>
                </c:pt>
                <c:pt idx="217">
                  <c:v>1.18</c:v>
                </c:pt>
                <c:pt idx="218">
                  <c:v>1.19</c:v>
                </c:pt>
                <c:pt idx="219">
                  <c:v>1.2</c:v>
                </c:pt>
                <c:pt idx="220">
                  <c:v>1.21</c:v>
                </c:pt>
                <c:pt idx="221">
                  <c:v>1.22</c:v>
                </c:pt>
                <c:pt idx="222">
                  <c:v>1.23</c:v>
                </c:pt>
                <c:pt idx="223">
                  <c:v>1.24</c:v>
                </c:pt>
                <c:pt idx="224">
                  <c:v>1.25</c:v>
                </c:pt>
                <c:pt idx="225">
                  <c:v>1.26</c:v>
                </c:pt>
                <c:pt idx="226">
                  <c:v>1.27</c:v>
                </c:pt>
                <c:pt idx="227">
                  <c:v>1.28</c:v>
                </c:pt>
                <c:pt idx="228">
                  <c:v>1.29</c:v>
                </c:pt>
                <c:pt idx="229">
                  <c:v>1.3</c:v>
                </c:pt>
                <c:pt idx="230">
                  <c:v>1.31</c:v>
                </c:pt>
                <c:pt idx="231">
                  <c:v>1.32</c:v>
                </c:pt>
                <c:pt idx="232">
                  <c:v>1.33</c:v>
                </c:pt>
                <c:pt idx="233">
                  <c:v>1.34</c:v>
                </c:pt>
                <c:pt idx="234">
                  <c:v>1.35</c:v>
                </c:pt>
                <c:pt idx="235">
                  <c:v>1.36</c:v>
                </c:pt>
                <c:pt idx="236">
                  <c:v>1.37</c:v>
                </c:pt>
                <c:pt idx="237">
                  <c:v>1.38</c:v>
                </c:pt>
                <c:pt idx="238">
                  <c:v>1.39</c:v>
                </c:pt>
                <c:pt idx="239">
                  <c:v>1.4</c:v>
                </c:pt>
                <c:pt idx="240">
                  <c:v>1.41</c:v>
                </c:pt>
                <c:pt idx="241">
                  <c:v>1.42</c:v>
                </c:pt>
                <c:pt idx="242">
                  <c:v>1.43</c:v>
                </c:pt>
                <c:pt idx="243">
                  <c:v>1.44</c:v>
                </c:pt>
                <c:pt idx="244">
                  <c:v>1.45</c:v>
                </c:pt>
                <c:pt idx="245">
                  <c:v>1.46</c:v>
                </c:pt>
                <c:pt idx="246">
                  <c:v>1.47</c:v>
                </c:pt>
                <c:pt idx="247">
                  <c:v>1.48</c:v>
                </c:pt>
                <c:pt idx="248">
                  <c:v>1.49</c:v>
                </c:pt>
                <c:pt idx="249">
                  <c:v>1.5</c:v>
                </c:pt>
                <c:pt idx="250">
                  <c:v>1.51</c:v>
                </c:pt>
                <c:pt idx="251">
                  <c:v>1.52</c:v>
                </c:pt>
                <c:pt idx="252">
                  <c:v>1.53</c:v>
                </c:pt>
                <c:pt idx="253">
                  <c:v>1.54</c:v>
                </c:pt>
                <c:pt idx="254">
                  <c:v>1.55</c:v>
                </c:pt>
                <c:pt idx="255">
                  <c:v>1.56</c:v>
                </c:pt>
                <c:pt idx="256">
                  <c:v>1.57</c:v>
                </c:pt>
                <c:pt idx="257">
                  <c:v>1.58</c:v>
                </c:pt>
                <c:pt idx="258">
                  <c:v>1.59</c:v>
                </c:pt>
                <c:pt idx="259">
                  <c:v>1.6</c:v>
                </c:pt>
                <c:pt idx="260">
                  <c:v>1.61</c:v>
                </c:pt>
                <c:pt idx="261">
                  <c:v>1.62</c:v>
                </c:pt>
                <c:pt idx="262">
                  <c:v>1.63</c:v>
                </c:pt>
                <c:pt idx="263">
                  <c:v>1.64</c:v>
                </c:pt>
                <c:pt idx="264">
                  <c:v>1.65</c:v>
                </c:pt>
                <c:pt idx="265">
                  <c:v>1.66</c:v>
                </c:pt>
                <c:pt idx="266">
                  <c:v>1.67</c:v>
                </c:pt>
                <c:pt idx="267">
                  <c:v>1.68</c:v>
                </c:pt>
                <c:pt idx="268">
                  <c:v>1.69</c:v>
                </c:pt>
                <c:pt idx="269">
                  <c:v>1.7</c:v>
                </c:pt>
                <c:pt idx="270">
                  <c:v>1.71</c:v>
                </c:pt>
                <c:pt idx="271">
                  <c:v>1.72</c:v>
                </c:pt>
                <c:pt idx="272">
                  <c:v>1.73</c:v>
                </c:pt>
                <c:pt idx="273">
                  <c:v>1.74</c:v>
                </c:pt>
                <c:pt idx="274">
                  <c:v>1.75</c:v>
                </c:pt>
                <c:pt idx="275">
                  <c:v>1.76</c:v>
                </c:pt>
                <c:pt idx="276">
                  <c:v>1.77</c:v>
                </c:pt>
                <c:pt idx="277">
                  <c:v>1.78</c:v>
                </c:pt>
                <c:pt idx="278">
                  <c:v>1.79</c:v>
                </c:pt>
                <c:pt idx="279">
                  <c:v>1.8</c:v>
                </c:pt>
                <c:pt idx="280">
                  <c:v>1.81</c:v>
                </c:pt>
                <c:pt idx="281">
                  <c:v>1.82</c:v>
                </c:pt>
                <c:pt idx="282">
                  <c:v>1.83</c:v>
                </c:pt>
                <c:pt idx="283">
                  <c:v>1.84</c:v>
                </c:pt>
                <c:pt idx="284">
                  <c:v>1.85</c:v>
                </c:pt>
                <c:pt idx="285">
                  <c:v>1.86</c:v>
                </c:pt>
                <c:pt idx="286">
                  <c:v>1.87</c:v>
                </c:pt>
                <c:pt idx="287">
                  <c:v>1.88</c:v>
                </c:pt>
                <c:pt idx="288">
                  <c:v>1.89</c:v>
                </c:pt>
                <c:pt idx="289">
                  <c:v>1.9</c:v>
                </c:pt>
                <c:pt idx="290">
                  <c:v>1.91</c:v>
                </c:pt>
                <c:pt idx="291">
                  <c:v>1.92</c:v>
                </c:pt>
                <c:pt idx="292">
                  <c:v>1.93</c:v>
                </c:pt>
                <c:pt idx="293">
                  <c:v>1.94</c:v>
                </c:pt>
                <c:pt idx="294">
                  <c:v>1.95</c:v>
                </c:pt>
                <c:pt idx="295">
                  <c:v>1.96</c:v>
                </c:pt>
                <c:pt idx="296">
                  <c:v>1.97</c:v>
                </c:pt>
                <c:pt idx="297">
                  <c:v>1.98</c:v>
                </c:pt>
                <c:pt idx="298">
                  <c:v>1.99</c:v>
                </c:pt>
                <c:pt idx="299">
                  <c:v>2</c:v>
                </c:pt>
                <c:pt idx="300">
                  <c:v>2.0099999999999998</c:v>
                </c:pt>
              </c:numCache>
            </c:numRef>
          </c:xVal>
          <c:yVal>
            <c:numRef>
              <c:f>NPV!$G$6:$G$306</c:f>
              <c:numCache>
                <c:formatCode>"$"#,##0.00_);[Red]\("$"#,##0.00\)</c:formatCode>
                <c:ptCount val="301"/>
                <c:pt idx="0">
                  <c:v>1.7306921373832476E+16</c:v>
                </c:pt>
                <c:pt idx="1">
                  <c:v>549978431771054.12</c:v>
                </c:pt>
                <c:pt idx="2">
                  <c:v>73665275461354.953</c:v>
                </c:pt>
                <c:pt idx="3">
                  <c:v>17784053676993.473</c:v>
                </c:pt>
                <c:pt idx="4">
                  <c:v>5929538370744.1631</c:v>
                </c:pt>
                <c:pt idx="5">
                  <c:v>2425066750517.0723</c:v>
                </c:pt>
                <c:pt idx="6">
                  <c:v>1141978399350.8325</c:v>
                </c:pt>
                <c:pt idx="7">
                  <c:v>596232466610.62036</c:v>
                </c:pt>
                <c:pt idx="8">
                  <c:v>336829450001.89545</c:v>
                </c:pt>
                <c:pt idx="9">
                  <c:v>202492780342.06982</c:v>
                </c:pt>
                <c:pt idx="10">
                  <c:v>128012785769.46135</c:v>
                </c:pt>
                <c:pt idx="11">
                  <c:v>84358446754.205185</c:v>
                </c:pt>
                <c:pt idx="12">
                  <c:v>57562217295.488327</c:v>
                </c:pt>
                <c:pt idx="13">
                  <c:v>40459992740.649567</c:v>
                </c:pt>
                <c:pt idx="14">
                  <c:v>29174577346.688126</c:v>
                </c:pt>
                <c:pt idx="15">
                  <c:v>21509492412.489349</c:v>
                </c:pt>
                <c:pt idx="16">
                  <c:v>16170383004.713854</c:v>
                </c:pt>
                <c:pt idx="17">
                  <c:v>12367854316.122398</c:v>
                </c:pt>
                <c:pt idx="18">
                  <c:v>9605714728.9017601</c:v>
                </c:pt>
                <c:pt idx="19">
                  <c:v>7563611825.2549257</c:v>
                </c:pt>
                <c:pt idx="20">
                  <c:v>6029718733.512248</c:v>
                </c:pt>
                <c:pt idx="21">
                  <c:v>4860931526.1939592</c:v>
                </c:pt>
                <c:pt idx="22">
                  <c:v>3958682003.650044</c:v>
                </c:pt>
                <c:pt idx="23">
                  <c:v>3253873083.5558147</c:v>
                </c:pt>
                <c:pt idx="24">
                  <c:v>2697284242.7129745</c:v>
                </c:pt>
                <c:pt idx="25">
                  <c:v>2253335313.2161922</c:v>
                </c:pt>
                <c:pt idx="26">
                  <c:v>1895957061.4974794</c:v>
                </c:pt>
                <c:pt idx="27">
                  <c:v>1605809744.6602933</c:v>
                </c:pt>
                <c:pt idx="28">
                  <c:v>1368379926.0632303</c:v>
                </c:pt>
                <c:pt idx="29">
                  <c:v>1172659165.4121776</c:v>
                </c:pt>
                <c:pt idx="30">
                  <c:v>1010214234.6398506</c:v>
                </c:pt>
                <c:pt idx="31">
                  <c:v>874524593.01056373</c:v>
                </c:pt>
                <c:pt idx="32">
                  <c:v>760504752.36712754</c:v>
                </c:pt>
                <c:pt idx="33">
                  <c:v>664156155.76338506</c:v>
                </c:pt>
                <c:pt idx="34">
                  <c:v>582310843.80172253</c:v>
                </c:pt>
                <c:pt idx="35">
                  <c:v>512440887.59972602</c:v>
                </c:pt>
                <c:pt idx="36">
                  <c:v>452515430.77415276</c:v>
                </c:pt>
                <c:pt idx="37">
                  <c:v>400892530.87502843</c:v>
                </c:pt>
                <c:pt idx="38">
                  <c:v>356236670.15969872</c:v>
                </c:pt>
                <c:pt idx="39">
                  <c:v>317455364.72006893</c:v>
                </c:pt>
                <c:pt idx="40">
                  <c:v>283650099.23897308</c:v>
                </c:pt>
                <c:pt idx="41">
                  <c:v>254078090.58155167</c:v>
                </c:pt>
                <c:pt idx="42">
                  <c:v>228122297.09689143</c:v>
                </c:pt>
                <c:pt idx="43">
                  <c:v>205267750.49006796</c:v>
                </c:pt>
                <c:pt idx="44">
                  <c:v>185082767.82168132</c:v>
                </c:pt>
                <c:pt idx="45">
                  <c:v>167203954.07030031</c:v>
                </c:pt>
                <c:pt idx="46">
                  <c:v>151324166.68772227</c:v>
                </c:pt>
                <c:pt idx="47">
                  <c:v>137182807.99586701</c:v>
                </c:pt>
                <c:pt idx="48">
                  <c:v>124557957.0900061</c:v>
                </c:pt>
                <c:pt idx="49">
                  <c:v>113259962.99048057</c:v>
                </c:pt>
                <c:pt idx="50">
                  <c:v>103126204.40227036</c:v>
                </c:pt>
                <c:pt idx="51">
                  <c:v>94016785.338901654</c:v>
                </c:pt>
                <c:pt idx="52">
                  <c:v>85810984.974591881</c:v>
                </c:pt>
                <c:pt idx="53">
                  <c:v>78404318.03674899</c:v>
                </c:pt>
                <c:pt idx="54">
                  <c:v>71706091.530355811</c:v>
                </c:pt>
                <c:pt idx="55">
                  <c:v>65637366.602288447</c:v>
                </c:pt>
                <c:pt idx="56">
                  <c:v>60129252.411596976</c:v>
                </c:pt>
                <c:pt idx="57">
                  <c:v>55121473.105803289</c:v>
                </c:pt>
                <c:pt idx="58">
                  <c:v>50561160.273669794</c:v>
                </c:pt>
                <c:pt idx="59">
                  <c:v>46401832.207513511</c:v>
                </c:pt>
                <c:pt idx="60">
                  <c:v>42602528.465327799</c:v>
                </c:pt>
                <c:pt idx="61">
                  <c:v>39127073.961559191</c:v>
                </c:pt>
                <c:pt idx="62">
                  <c:v>35943451.434457757</c:v>
                </c:pt>
                <c:pt idx="63">
                  <c:v>33023264.869898144</c:v>
                </c:pt>
                <c:pt idx="64">
                  <c:v>30341279.487796769</c:v>
                </c:pt>
                <c:pt idx="65">
                  <c:v>27875026.359832864</c:v>
                </c:pt>
                <c:pt idx="66">
                  <c:v>25604461.737927794</c:v>
                </c:pt>
                <c:pt idx="67">
                  <c:v>23511672.820163961</c:v>
                </c:pt>
                <c:pt idx="68">
                  <c:v>21580623.034566134</c:v>
                </c:pt>
                <c:pt idx="69">
                  <c:v>19796931.037156384</c:v>
                </c:pt>
                <c:pt idx="70">
                  <c:v>18147678.543448023</c:v>
                </c:pt>
                <c:pt idx="71">
                  <c:v>16621242.877743619</c:v>
                </c:pt>
                <c:pt idx="72">
                  <c:v>15207150.760941541</c:v>
                </c:pt>
                <c:pt idx="73">
                  <c:v>13895950.388187693</c:v>
                </c:pt>
                <c:pt idx="74">
                  <c:v>12679099.291370515</c:v>
                </c:pt>
                <c:pt idx="75">
                  <c:v>11548865.853366535</c:v>
                </c:pt>
                <c:pt idx="76">
                  <c:v>10498242.653485546</c:v>
                </c:pt>
                <c:pt idx="77">
                  <c:v>9520870.0868621729</c:v>
                </c:pt>
                <c:pt idx="78">
                  <c:v>8610968.922878176</c:v>
                </c:pt>
                <c:pt idx="79">
                  <c:v>7763280.6558866026</c:v>
                </c:pt>
                <c:pt idx="80">
                  <c:v>6973014.6611479018</c:v>
                </c:pt>
                <c:pt idx="81">
                  <c:v>6235801.3046089206</c:v>
                </c:pt>
                <c:pt idx="82">
                  <c:v>5547650.2707873983</c:v>
                </c:pt>
                <c:pt idx="83">
                  <c:v>4904913.4717477253</c:v>
                </c:pt>
                <c:pt idx="84">
                  <c:v>4304251.9846105808</c:v>
                </c:pt>
                <c:pt idx="85">
                  <c:v>3742606.5374356993</c:v>
                </c:pt>
                <c:pt idx="86">
                  <c:v>3217171.1254948876</c:v>
                </c:pt>
                <c:pt idx="87">
                  <c:v>2725369.393454792</c:v>
                </c:pt>
                <c:pt idx="88">
                  <c:v>2264833.4651112873</c:v>
                </c:pt>
                <c:pt idx="89">
                  <c:v>1833384.9421487153</c:v>
                </c:pt>
                <c:pt idx="90">
                  <c:v>1429017.8278565044</c:v>
                </c:pt>
                <c:pt idx="91">
                  <c:v>1049883.1615982444</c:v>
                </c:pt>
                <c:pt idx="92">
                  <c:v>694275.1757507174</c:v>
                </c:pt>
                <c:pt idx="93">
                  <c:v>360618.80936956772</c:v>
                </c:pt>
                <c:pt idx="94">
                  <c:v>47458.432466836697</c:v>
                </c:pt>
                <c:pt idx="95">
                  <c:v>-246552.34809346244</c:v>
                </c:pt>
                <c:pt idx="96">
                  <c:v>-522659.91511951439</c:v>
                </c:pt>
                <c:pt idx="97">
                  <c:v>-782019.00098835374</c:v>
                </c:pt>
                <c:pt idx="98">
                  <c:v>-1025700.270403414</c:v>
                </c:pt>
                <c:pt idx="99">
                  <c:v>-1254697.2054422125</c:v>
                </c:pt>
                <c:pt idx="100">
                  <c:v>-1469932.3634852145</c:v>
                </c:pt>
                <c:pt idx="101">
                  <c:v>-1672263.0708398456</c:v>
                </c:pt>
                <c:pt idx="102">
                  <c:v>-1862486.6080231119</c:v>
                </c:pt>
                <c:pt idx="103">
                  <c:v>-2041344.9366210215</c:v>
                </c:pt>
                <c:pt idx="104">
                  <c:v>-2209529.0123043535</c:v>
                </c:pt>
                <c:pt idx="105">
                  <c:v>-2367682.723857793</c:v>
                </c:pt>
                <c:pt idx="106">
                  <c:v>-2516406.4938976183</c:v>
                </c:pt>
                <c:pt idx="107">
                  <c:v>-2656260.5732452897</c:v>
                </c:pt>
                <c:pt idx="108">
                  <c:v>-2787768.0576329203</c:v>
                </c:pt>
                <c:pt idx="109">
                  <c:v>-2911417.6524914703</c:v>
                </c:pt>
                <c:pt idx="110">
                  <c:v>-3027666.2089698478</c:v>
                </c:pt>
                <c:pt idx="111">
                  <c:v>-3136941.0520147495</c:v>
                </c:pt>
                <c:pt idx="112">
                  <c:v>-3239642.1192738395</c:v>
                </c:pt>
                <c:pt idx="113">
                  <c:v>-3336143.9277392728</c:v>
                </c:pt>
                <c:pt idx="114">
                  <c:v>-3426797.3833993934</c:v>
                </c:pt>
                <c:pt idx="115">
                  <c:v>-3511931.4476911374</c:v>
                </c:pt>
                <c:pt idx="116">
                  <c:v>-3591854.673224288</c:v>
                </c:pt>
                <c:pt idx="117">
                  <c:v>-3666856.6200646432</c:v>
                </c:pt>
                <c:pt idx="118">
                  <c:v>-3737209.1628003023</c:v>
                </c:pt>
                <c:pt idx="119">
                  <c:v>-3803167.6976609449</c:v>
                </c:pt>
                <c:pt idx="120">
                  <c:v>-3864972.2581018419</c:v>
                </c:pt>
                <c:pt idx="121">
                  <c:v>-3922848.5464922283</c:v>
                </c:pt>
                <c:pt idx="122">
                  <c:v>-3977008.8888522475</c:v>
                </c:pt>
                <c:pt idx="123">
                  <c:v>-4027653.1189556429</c:v>
                </c:pt>
                <c:pt idx="124">
                  <c:v>-4074969.3975497833</c:v>
                </c:pt>
                <c:pt idx="125">
                  <c:v>-4119134.9719336154</c:v>
                </c:pt>
                <c:pt idx="126">
                  <c:v>-4160316.8806724395</c:v>
                </c:pt>
                <c:pt idx="127">
                  <c:v>-4198672.6078106537</c:v>
                </c:pt>
                <c:pt idx="128">
                  <c:v>-4234350.6905653747</c:v>
                </c:pt>
                <c:pt idx="129">
                  <c:v>-4267491.2841411876</c:v>
                </c:pt>
                <c:pt idx="130">
                  <c:v>-4298226.6869953992</c:v>
                </c:pt>
                <c:pt idx="131">
                  <c:v>-4326681.8296012348</c:v>
                </c:pt>
                <c:pt idx="132">
                  <c:v>-4352974.7295000907</c:v>
                </c:pt>
                <c:pt idx="133">
                  <c:v>-4377216.915201162</c:v>
                </c:pt>
                <c:pt idx="134">
                  <c:v>-4399513.8212749008</c:v>
                </c:pt>
                <c:pt idx="135">
                  <c:v>-4419965.1567939278</c:v>
                </c:pt>
                <c:pt idx="136">
                  <c:v>-4438665.2490992881</c:v>
                </c:pt>
                <c:pt idx="137">
                  <c:v>-4455703.3647098448</c:v>
                </c:pt>
                <c:pt idx="138">
                  <c:v>-4471164.0090464232</c:v>
                </c:pt>
                <c:pt idx="139">
                  <c:v>-4485127.206508955</c:v>
                </c:pt>
                <c:pt idx="140">
                  <c:v>-4497668.762322993</c:v>
                </c:pt>
                <c:pt idx="141">
                  <c:v>-4508860.5074605038</c:v>
                </c:pt>
                <c:pt idx="142">
                  <c:v>-4518770.5278380336</c:v>
                </c:pt>
                <c:pt idx="143">
                  <c:v>-4527463.3789018868</c:v>
                </c:pt>
                <c:pt idx="144">
                  <c:v>-4535000.2866246551</c:v>
                </c:pt>
                <c:pt idx="145">
                  <c:v>-4541439.3358589672</c:v>
                </c:pt>
                <c:pt idx="146">
                  <c:v>-4546835.6469225651</c:v>
                </c:pt>
                <c:pt idx="147">
                  <c:v>-4551241.5412228312</c:v>
                </c:pt>
                <c:pt idx="148">
                  <c:v>-4554706.696668392</c:v>
                </c:pt>
                <c:pt idx="149">
                  <c:v>-4557278.2935597198</c:v>
                </c:pt>
                <c:pt idx="150">
                  <c:v>-4559001.1515995786</c:v>
                </c:pt>
                <c:pt idx="151">
                  <c:v>-4559917.8586170617</c:v>
                </c:pt>
                <c:pt idx="152">
                  <c:v>-4560068.8915556548</c:v>
                </c:pt>
                <c:pt idx="153">
                  <c:v>-4559492.7302359184</c:v>
                </c:pt>
                <c:pt idx="154">
                  <c:v>-4558225.9643665496</c:v>
                </c:pt>
                <c:pt idx="155">
                  <c:v>-4556303.3942437703</c:v>
                </c:pt>
                <c:pt idx="156">
                  <c:v>-4553758.1255476661</c:v>
                </c:pt>
                <c:pt idx="157">
                  <c:v>-4550621.6586152846</c:v>
                </c:pt>
                <c:pt idx="158">
                  <c:v>-4546923.9725436056</c:v>
                </c:pt>
                <c:pt idx="159">
                  <c:v>-4542693.6044509271</c:v>
                </c:pt>
                <c:pt idx="160">
                  <c:v>-4537957.7242024029</c:v>
                </c:pt>
                <c:pt idx="161">
                  <c:v>-4532742.2048844304</c:v>
                </c:pt>
                <c:pt idx="162">
                  <c:v>-4527071.689293093</c:v>
                </c:pt>
                <c:pt idx="163">
                  <c:v>-4520969.6526838467</c:v>
                </c:pt>
                <c:pt idx="164">
                  <c:v>-4514458.4620128889</c:v>
                </c:pt>
                <c:pt idx="165">
                  <c:v>-4507559.4318852033</c:v>
                </c:pt>
                <c:pt idx="166">
                  <c:v>-4500292.8774098717</c:v>
                </c:pt>
                <c:pt idx="167">
                  <c:v>-4492678.1641499661</c:v>
                </c:pt>
                <c:pt idx="168">
                  <c:v>-4484733.7553419452</c:v>
                </c:pt>
                <c:pt idx="169">
                  <c:v>-4476477.2565480033</c:v>
                </c:pt>
                <c:pt idx="170">
                  <c:v>-4467925.4578941576</c:v>
                </c:pt>
                <c:pt idx="171">
                  <c:v>-4459094.3740369668</c:v>
                </c:pt>
                <c:pt idx="172">
                  <c:v>-4449999.2819925305</c:v>
                </c:pt>
                <c:pt idx="173">
                  <c:v>-4440654.7569528855</c:v>
                </c:pt>
                <c:pt idx="174">
                  <c:v>-4431074.7062068991</c:v>
                </c:pt>
                <c:pt idx="175">
                  <c:v>-4421272.4012753647</c:v>
                </c:pt>
                <c:pt idx="176">
                  <c:v>-4411260.5083630923</c:v>
                </c:pt>
                <c:pt idx="177">
                  <c:v>-4401051.1172243208</c:v>
                </c:pt>
                <c:pt idx="178">
                  <c:v>-4390655.7685317984</c:v>
                </c:pt>
                <c:pt idx="179">
                  <c:v>-4380085.4798342464</c:v>
                </c:pt>
                <c:pt idx="180">
                  <c:v>-4369350.7701817425</c:v>
                </c:pt>
                <c:pt idx="181">
                  <c:v>-4358461.6834936468</c:v>
                </c:pt>
                <c:pt idx="182">
                  <c:v>-4347427.8107391493</c:v>
                </c:pt>
                <c:pt idx="183">
                  <c:v>-4336258.3109962782</c:v>
                </c:pt>
                <c:pt idx="184">
                  <c:v>-4324961.9314512378</c:v>
                </c:pt>
                <c:pt idx="185">
                  <c:v>-4313547.0263962056</c:v>
                </c:pt>
                <c:pt idx="186">
                  <c:v>-4302021.5752802836</c:v>
                </c:pt>
                <c:pt idx="187">
                  <c:v>-4290393.1998650189</c:v>
                </c:pt>
                <c:pt idx="188">
                  <c:v>-4278669.1805329099</c:v>
                </c:pt>
                <c:pt idx="189">
                  <c:v>-4266856.4717944041</c:v>
                </c:pt>
                <c:pt idx="190">
                  <c:v>-4254961.7170363264</c:v>
                </c:pt>
                <c:pt idx="191">
                  <c:v>-4242991.2625520676</c:v>
                </c:pt>
                <c:pt idx="192">
                  <c:v>-4230951.170891651</c:v>
                </c:pt>
                <c:pt idx="193">
                  <c:v>-4218847.2335674781</c:v>
                </c:pt>
                <c:pt idx="194">
                  <c:v>-4206684.9831495965</c:v>
                </c:pt>
                <c:pt idx="195">
                  <c:v>-4194469.704782363</c:v>
                </c:pt>
                <c:pt idx="196">
                  <c:v>-4182206.447152569</c:v>
                </c:pt>
                <c:pt idx="197">
                  <c:v>-4169900.0329373912</c:v>
                </c:pt>
                <c:pt idx="198">
                  <c:v>-4157555.0687589785</c:v>
                </c:pt>
                <c:pt idx="199">
                  <c:v>-4145175.9546709168</c:v>
                </c:pt>
                <c:pt idx="200">
                  <c:v>-4132766.893200486</c:v>
                </c:pt>
                <c:pt idx="201">
                  <c:v>-4120331.8979692417</c:v>
                </c:pt>
                <c:pt idx="202">
                  <c:v>-4107874.8019132288</c:v>
                </c:pt>
                <c:pt idx="203">
                  <c:v>-4095399.2651230004</c:v>
                </c:pt>
                <c:pt idx="204">
                  <c:v>-4082908.7823224417</c:v>
                </c:pt>
                <c:pt idx="205">
                  <c:v>-4070406.6900044507</c:v>
                </c:pt>
                <c:pt idx="206">
                  <c:v>-4057896.1732404903</c:v>
                </c:pt>
                <c:pt idx="207">
                  <c:v>-4045380.2721801158</c:v>
                </c:pt>
                <c:pt idx="208">
                  <c:v>-4032861.8882557699</c:v>
                </c:pt>
                <c:pt idx="209">
                  <c:v>-4020343.7901072549</c:v>
                </c:pt>
                <c:pt idx="210">
                  <c:v>-4007828.6192395696</c:v>
                </c:pt>
                <c:pt idx="211">
                  <c:v>-3995318.8954270696</c:v>
                </c:pt>
                <c:pt idx="212">
                  <c:v>-3982817.0218762029</c:v>
                </c:pt>
                <c:pt idx="213">
                  <c:v>-3970325.2901584692</c:v>
                </c:pt>
                <c:pt idx="214">
                  <c:v>-3957845.8849246143</c:v>
                </c:pt>
                <c:pt idx="215">
                  <c:v>-3945380.8884105082</c:v>
                </c:pt>
                <c:pt idx="216">
                  <c:v>-3932932.2847446213</c:v>
                </c:pt>
                <c:pt idx="217">
                  <c:v>-3920501.9640665003</c:v>
                </c:pt>
                <c:pt idx="218">
                  <c:v>-3908091.7264651484</c:v>
                </c:pt>
                <c:pt idx="219">
                  <c:v>-3895703.2857457916</c:v>
                </c:pt>
                <c:pt idx="220">
                  <c:v>-3883338.2730330541</c:v>
                </c:pt>
                <c:pt idx="221">
                  <c:v>-3870998.2402181616</c:v>
                </c:pt>
                <c:pt idx="222">
                  <c:v>-3858684.6632574406</c:v>
                </c:pt>
                <c:pt idx="223">
                  <c:v>-3846398.9453289555</c:v>
                </c:pt>
                <c:pt idx="224">
                  <c:v>-3834142.4198538586</c:v>
                </c:pt>
                <c:pt idx="225">
                  <c:v>-3821916.3533886387</c:v>
                </c:pt>
                <c:pt idx="226">
                  <c:v>-3809721.9483941742</c:v>
                </c:pt>
                <c:pt idx="227">
                  <c:v>-3797560.3458872079</c:v>
                </c:pt>
                <c:pt idx="228">
                  <c:v>-3785432.6279795822</c:v>
                </c:pt>
                <c:pt idx="229">
                  <c:v>-3773339.8203103035</c:v>
                </c:pt>
                <c:pt idx="230">
                  <c:v>-3761282.8943752525</c:v>
                </c:pt>
                <c:pt idx="231">
                  <c:v>-3749262.7697591665</c:v>
                </c:pt>
                <c:pt idx="232">
                  <c:v>-3737280.3162742318</c:v>
                </c:pt>
                <c:pt idx="233">
                  <c:v>-3725336.3560094563</c:v>
                </c:pt>
                <c:pt idx="234">
                  <c:v>-3713431.6652947934</c:v>
                </c:pt>
                <c:pt idx="235">
                  <c:v>-3701566.976583777</c:v>
                </c:pt>
                <c:pt idx="236">
                  <c:v>-3689742.980258272</c:v>
                </c:pt>
                <c:pt idx="237">
                  <c:v>-3677960.3263587356</c:v>
                </c:pt>
                <c:pt idx="238">
                  <c:v>-3666219.6262432924</c:v>
                </c:pt>
                <c:pt idx="239">
                  <c:v>-3654521.4541786881</c:v>
                </c:pt>
                <c:pt idx="240">
                  <c:v>-3642866.3488661041</c:v>
                </c:pt>
                <c:pt idx="241">
                  <c:v>-3631254.8149046628</c:v>
                </c:pt>
                <c:pt idx="242">
                  <c:v>-3619687.3241952905</c:v>
                </c:pt>
                <c:pt idx="243">
                  <c:v>-3608164.3172875233</c:v>
                </c:pt>
                <c:pt idx="244">
                  <c:v>-3596686.2046717051</c:v>
                </c:pt>
                <c:pt idx="245">
                  <c:v>-3585253.368018901</c:v>
                </c:pt>
                <c:pt idx="246">
                  <c:v>-3573866.1613707663</c:v>
                </c:pt>
                <c:pt idx="247">
                  <c:v>-3562524.9122814839</c:v>
                </c:pt>
                <c:pt idx="248">
                  <c:v>-3551229.92291382</c:v>
                </c:pt>
                <c:pt idx="249">
                  <c:v>-3539981.4710912155</c:v>
                </c:pt>
                <c:pt idx="250">
                  <c:v>-3528779.8113077739</c:v>
                </c:pt>
                <c:pt idx="251">
                  <c:v>-3517625.1756979143</c:v>
                </c:pt>
                <c:pt idx="252">
                  <c:v>-3506517.7749673687</c:v>
                </c:pt>
                <c:pt idx="253">
                  <c:v>-3495457.7992871408</c:v>
                </c:pt>
                <c:pt idx="254">
                  <c:v>-3484445.4191519702</c:v>
                </c:pt>
                <c:pt idx="255">
                  <c:v>-3473480.7862047595</c:v>
                </c:pt>
                <c:pt idx="256">
                  <c:v>-3462564.034028396</c:v>
                </c:pt>
                <c:pt idx="257">
                  <c:v>-3451695.278906283</c:v>
                </c:pt>
                <c:pt idx="258">
                  <c:v>-3440874.6205528867</c:v>
                </c:pt>
                <c:pt idx="259">
                  <c:v>-3430102.1428155205</c:v>
                </c:pt>
                <c:pt idx="260">
                  <c:v>-3419377.9143485455</c:v>
                </c:pt>
                <c:pt idx="261">
                  <c:v>-3408701.9892611047</c:v>
                </c:pt>
                <c:pt idx="262">
                  <c:v>-3398074.4077394758</c:v>
                </c:pt>
                <c:pt idx="263">
                  <c:v>-3387495.1966450568</c:v>
                </c:pt>
                <c:pt idx="264">
                  <c:v>-3376964.3700889954</c:v>
                </c:pt>
                <c:pt idx="265">
                  <c:v>-3366481.9299843665</c:v>
                </c:pt>
                <c:pt idx="266">
                  <c:v>-3356047.8665768425</c:v>
                </c:pt>
                <c:pt idx="267">
                  <c:v>-3345662.15895468</c:v>
                </c:pt>
                <c:pt idx="268">
                  <c:v>-3335324.7755388711</c:v>
                </c:pt>
                <c:pt idx="269">
                  <c:v>-3325035.6745542679</c:v>
                </c:pt>
                <c:pt idx="270">
                  <c:v>-3314794.8044823813</c:v>
                </c:pt>
                <c:pt idx="271">
                  <c:v>-3304602.1044966481</c:v>
                </c:pt>
                <c:pt idx="272">
                  <c:v>-3294457.5048808143</c:v>
                </c:pt>
                <c:pt idx="273">
                  <c:v>-3284360.9274311247</c:v>
                </c:pt>
                <c:pt idx="274">
                  <c:v>-3274312.2858429435</c:v>
                </c:pt>
                <c:pt idx="275">
                  <c:v>-3264311.4860824258</c:v>
                </c:pt>
                <c:pt idx="276">
                  <c:v>-3254358.4267438306</c:v>
                </c:pt>
                <c:pt idx="277">
                  <c:v>-3244452.9993930254</c:v>
                </c:pt>
                <c:pt idx="278">
                  <c:v>-3234595.0888977274</c:v>
                </c:pt>
                <c:pt idx="279">
                  <c:v>-3224784.5737450053</c:v>
                </c:pt>
                <c:pt idx="280">
                  <c:v>-3215021.3263465189</c:v>
                </c:pt>
                <c:pt idx="281">
                  <c:v>-3205305.2133319983</c:v>
                </c:pt>
                <c:pt idx="282">
                  <c:v>-3195636.0958313919</c:v>
                </c:pt>
                <c:pt idx="283">
                  <c:v>-3186013.8297461304</c:v>
                </c:pt>
                <c:pt idx="284">
                  <c:v>-3176438.2660099431</c:v>
                </c:pt>
                <c:pt idx="285">
                  <c:v>-3166909.2508395975</c:v>
                </c:pt>
                <c:pt idx="286">
                  <c:v>-3157426.6259759762</c:v>
                </c:pt>
                <c:pt idx="287">
                  <c:v>-3147990.2289158409</c:v>
                </c:pt>
                <c:pt idx="288">
                  <c:v>-3138599.8931346624</c:v>
                </c:pt>
                <c:pt idx="289">
                  <c:v>-3129255.448300831</c:v>
                </c:pt>
                <c:pt idx="290">
                  <c:v>-3119956.7204815969</c:v>
                </c:pt>
                <c:pt idx="291">
                  <c:v>-3110703.5323410523</c:v>
                </c:pt>
                <c:pt idx="292">
                  <c:v>-3101495.7033304404</c:v>
                </c:pt>
                <c:pt idx="293">
                  <c:v>-3092333.0498711006</c:v>
                </c:pt>
                <c:pt idx="294">
                  <c:v>-3083215.3855303321</c:v>
                </c:pt>
                <c:pt idx="295">
                  <c:v>-3074142.5211904151</c:v>
                </c:pt>
                <c:pt idx="296">
                  <c:v>-3065114.2652110853</c:v>
                </c:pt>
                <c:pt idx="297">
                  <c:v>-3056130.4235856743</c:v>
                </c:pt>
                <c:pt idx="298">
                  <c:v>-3047190.8000911791</c:v>
                </c:pt>
                <c:pt idx="299">
                  <c:v>-3038295.1964324755</c:v>
                </c:pt>
                <c:pt idx="300">
                  <c:v>-3029443.4123808984</c:v>
                </c:pt>
              </c:numCache>
            </c:numRef>
          </c:yVal>
          <c:smooth val="1"/>
        </c:ser>
        <c:ser>
          <c:idx val="5"/>
          <c:order val="4"/>
          <c:marker>
            <c:symbol val="none"/>
          </c:marker>
          <c:xVal>
            <c:numRef>
              <c:f>NPV!$C$6:$C$306</c:f>
              <c:numCache>
                <c:formatCode>General</c:formatCode>
                <c:ptCount val="301"/>
                <c:pt idx="0">
                  <c:v>-0.99</c:v>
                </c:pt>
                <c:pt idx="1">
                  <c:v>-0.98</c:v>
                </c:pt>
                <c:pt idx="2">
                  <c:v>-0.97</c:v>
                </c:pt>
                <c:pt idx="3">
                  <c:v>-0.96</c:v>
                </c:pt>
                <c:pt idx="4">
                  <c:v>-0.95</c:v>
                </c:pt>
                <c:pt idx="5">
                  <c:v>-0.94</c:v>
                </c:pt>
                <c:pt idx="6">
                  <c:v>-0.93</c:v>
                </c:pt>
                <c:pt idx="7">
                  <c:v>-0.92</c:v>
                </c:pt>
                <c:pt idx="8">
                  <c:v>-0.91</c:v>
                </c:pt>
                <c:pt idx="9">
                  <c:v>-0.9</c:v>
                </c:pt>
                <c:pt idx="10">
                  <c:v>-0.89</c:v>
                </c:pt>
                <c:pt idx="11">
                  <c:v>-0.88</c:v>
                </c:pt>
                <c:pt idx="12">
                  <c:v>-0.87</c:v>
                </c:pt>
                <c:pt idx="13">
                  <c:v>-0.86</c:v>
                </c:pt>
                <c:pt idx="14">
                  <c:v>-0.85</c:v>
                </c:pt>
                <c:pt idx="15">
                  <c:v>-0.84</c:v>
                </c:pt>
                <c:pt idx="16">
                  <c:v>-0.83</c:v>
                </c:pt>
                <c:pt idx="17">
                  <c:v>-0.82</c:v>
                </c:pt>
                <c:pt idx="18">
                  <c:v>-0.81</c:v>
                </c:pt>
                <c:pt idx="19">
                  <c:v>-0.8</c:v>
                </c:pt>
                <c:pt idx="20">
                  <c:v>-0.79</c:v>
                </c:pt>
                <c:pt idx="21">
                  <c:v>-0.78</c:v>
                </c:pt>
                <c:pt idx="22">
                  <c:v>-0.77</c:v>
                </c:pt>
                <c:pt idx="23">
                  <c:v>-0.76</c:v>
                </c:pt>
                <c:pt idx="24">
                  <c:v>-0.75</c:v>
                </c:pt>
                <c:pt idx="25">
                  <c:v>-0.74</c:v>
                </c:pt>
                <c:pt idx="26">
                  <c:v>-0.73</c:v>
                </c:pt>
                <c:pt idx="27">
                  <c:v>-0.72</c:v>
                </c:pt>
                <c:pt idx="28">
                  <c:v>-0.71</c:v>
                </c:pt>
                <c:pt idx="29">
                  <c:v>-0.7</c:v>
                </c:pt>
                <c:pt idx="30">
                  <c:v>-0.69</c:v>
                </c:pt>
                <c:pt idx="31">
                  <c:v>-0.68</c:v>
                </c:pt>
                <c:pt idx="32">
                  <c:v>-0.67</c:v>
                </c:pt>
                <c:pt idx="33">
                  <c:v>-0.66</c:v>
                </c:pt>
                <c:pt idx="34">
                  <c:v>-0.65</c:v>
                </c:pt>
                <c:pt idx="35">
                  <c:v>-0.64</c:v>
                </c:pt>
                <c:pt idx="36">
                  <c:v>-0.63</c:v>
                </c:pt>
                <c:pt idx="37">
                  <c:v>-0.62</c:v>
                </c:pt>
                <c:pt idx="38">
                  <c:v>-0.61</c:v>
                </c:pt>
                <c:pt idx="39">
                  <c:v>-0.6</c:v>
                </c:pt>
                <c:pt idx="40">
                  <c:v>-0.59</c:v>
                </c:pt>
                <c:pt idx="41">
                  <c:v>-0.57999999999999996</c:v>
                </c:pt>
                <c:pt idx="42">
                  <c:v>-0.56999999999999995</c:v>
                </c:pt>
                <c:pt idx="43">
                  <c:v>-0.56000000000000005</c:v>
                </c:pt>
                <c:pt idx="44">
                  <c:v>-0.55000000000000004</c:v>
                </c:pt>
                <c:pt idx="45">
                  <c:v>-0.54</c:v>
                </c:pt>
                <c:pt idx="46">
                  <c:v>-0.53</c:v>
                </c:pt>
                <c:pt idx="47">
                  <c:v>-0.52</c:v>
                </c:pt>
                <c:pt idx="48">
                  <c:v>-0.51</c:v>
                </c:pt>
                <c:pt idx="49">
                  <c:v>-0.5</c:v>
                </c:pt>
                <c:pt idx="50">
                  <c:v>-0.49</c:v>
                </c:pt>
                <c:pt idx="51">
                  <c:v>-0.48</c:v>
                </c:pt>
                <c:pt idx="52">
                  <c:v>-0.47</c:v>
                </c:pt>
                <c:pt idx="53">
                  <c:v>-0.46</c:v>
                </c:pt>
                <c:pt idx="54">
                  <c:v>-0.45</c:v>
                </c:pt>
                <c:pt idx="55">
                  <c:v>-0.44</c:v>
                </c:pt>
                <c:pt idx="56">
                  <c:v>-0.42999999999999899</c:v>
                </c:pt>
                <c:pt idx="57">
                  <c:v>-0.41999999999999899</c:v>
                </c:pt>
                <c:pt idx="58">
                  <c:v>-0.40999999999999898</c:v>
                </c:pt>
                <c:pt idx="59">
                  <c:v>-0.39999999999999902</c:v>
                </c:pt>
                <c:pt idx="60">
                  <c:v>-0.38999999999999901</c:v>
                </c:pt>
                <c:pt idx="61">
                  <c:v>-0.37999999999999901</c:v>
                </c:pt>
                <c:pt idx="62">
                  <c:v>-0.369999999999999</c:v>
                </c:pt>
                <c:pt idx="63">
                  <c:v>-0.35999999999999899</c:v>
                </c:pt>
                <c:pt idx="64">
                  <c:v>-0.34999999999999898</c:v>
                </c:pt>
                <c:pt idx="65">
                  <c:v>-0.33999999999999903</c:v>
                </c:pt>
                <c:pt idx="66">
                  <c:v>-0.32999999999999902</c:v>
                </c:pt>
                <c:pt idx="67">
                  <c:v>-0.31999999999999901</c:v>
                </c:pt>
                <c:pt idx="68">
                  <c:v>-0.309999999999999</c:v>
                </c:pt>
                <c:pt idx="69">
                  <c:v>-0.29999999999999899</c:v>
                </c:pt>
                <c:pt idx="70">
                  <c:v>-0.28999999999999898</c:v>
                </c:pt>
                <c:pt idx="71">
                  <c:v>-0.27999999999999903</c:v>
                </c:pt>
                <c:pt idx="72">
                  <c:v>-0.26999999999999902</c:v>
                </c:pt>
                <c:pt idx="73">
                  <c:v>-0.25999999999999901</c:v>
                </c:pt>
                <c:pt idx="74">
                  <c:v>-0.249999999999999</c:v>
                </c:pt>
                <c:pt idx="75">
                  <c:v>-0.23999999999999899</c:v>
                </c:pt>
                <c:pt idx="76">
                  <c:v>-0.22999999999999901</c:v>
                </c:pt>
                <c:pt idx="77">
                  <c:v>-0.219999999999999</c:v>
                </c:pt>
                <c:pt idx="78">
                  <c:v>-0.20999999999999899</c:v>
                </c:pt>
                <c:pt idx="79">
                  <c:v>-0.19999999999999901</c:v>
                </c:pt>
                <c:pt idx="80">
                  <c:v>-0.189999999999999</c:v>
                </c:pt>
                <c:pt idx="81">
                  <c:v>-0.17999999999999899</c:v>
                </c:pt>
                <c:pt idx="82">
                  <c:v>-0.16999999999999901</c:v>
                </c:pt>
                <c:pt idx="83">
                  <c:v>-0.159999999999999</c:v>
                </c:pt>
                <c:pt idx="84">
                  <c:v>-0.149999999999999</c:v>
                </c:pt>
                <c:pt idx="85">
                  <c:v>-0.13999999999999899</c:v>
                </c:pt>
                <c:pt idx="86">
                  <c:v>-0.12999999999999901</c:v>
                </c:pt>
                <c:pt idx="87">
                  <c:v>-0.119999999999999</c:v>
                </c:pt>
                <c:pt idx="88">
                  <c:v>-0.109999999999999</c:v>
                </c:pt>
                <c:pt idx="89">
                  <c:v>-9.9999999999999006E-2</c:v>
                </c:pt>
                <c:pt idx="90">
                  <c:v>-8.9999999999998997E-2</c:v>
                </c:pt>
                <c:pt idx="91">
                  <c:v>-7.9999999999999002E-2</c:v>
                </c:pt>
                <c:pt idx="92">
                  <c:v>-6.9999999999998994E-2</c:v>
                </c:pt>
                <c:pt idx="93">
                  <c:v>-5.9999999999999103E-2</c:v>
                </c:pt>
                <c:pt idx="94">
                  <c:v>-4.9999999999998997E-2</c:v>
                </c:pt>
                <c:pt idx="95">
                  <c:v>-3.9999999999999002E-2</c:v>
                </c:pt>
                <c:pt idx="96">
                  <c:v>-2.9999999999999E-2</c:v>
                </c:pt>
                <c:pt idx="97">
                  <c:v>-1.9999999999999001E-2</c:v>
                </c:pt>
                <c:pt idx="98">
                  <c:v>-9.9999999999990097E-3</c:v>
                </c:pt>
                <c:pt idx="99">
                  <c:v>0</c:v>
                </c:pt>
                <c:pt idx="100">
                  <c:v>0.01</c:v>
                </c:pt>
                <c:pt idx="101">
                  <c:v>0.02</c:v>
                </c:pt>
                <c:pt idx="102">
                  <c:v>0.03</c:v>
                </c:pt>
                <c:pt idx="103">
                  <c:v>0.04</c:v>
                </c:pt>
                <c:pt idx="104">
                  <c:v>0.05</c:v>
                </c:pt>
                <c:pt idx="105">
                  <c:v>6.0000000000000102E-2</c:v>
                </c:pt>
                <c:pt idx="106">
                  <c:v>7.0000000000000104E-2</c:v>
                </c:pt>
                <c:pt idx="107">
                  <c:v>8.0000000000000099E-2</c:v>
                </c:pt>
                <c:pt idx="108">
                  <c:v>9.0000000000000094E-2</c:v>
                </c:pt>
                <c:pt idx="109">
                  <c:v>0.1</c:v>
                </c:pt>
                <c:pt idx="110">
                  <c:v>0.11</c:v>
                </c:pt>
                <c:pt idx="111">
                  <c:v>0.12</c:v>
                </c:pt>
                <c:pt idx="112">
                  <c:v>0.13</c:v>
                </c:pt>
                <c:pt idx="113">
                  <c:v>0.14000000000000001</c:v>
                </c:pt>
                <c:pt idx="114">
                  <c:v>0.15</c:v>
                </c:pt>
                <c:pt idx="115">
                  <c:v>0.16</c:v>
                </c:pt>
                <c:pt idx="116">
                  <c:v>0.17</c:v>
                </c:pt>
                <c:pt idx="117">
                  <c:v>0.18</c:v>
                </c:pt>
                <c:pt idx="118">
                  <c:v>0.19</c:v>
                </c:pt>
                <c:pt idx="119">
                  <c:v>0.2</c:v>
                </c:pt>
                <c:pt idx="120">
                  <c:v>0.21</c:v>
                </c:pt>
                <c:pt idx="121">
                  <c:v>0.22</c:v>
                </c:pt>
                <c:pt idx="122">
                  <c:v>0.23</c:v>
                </c:pt>
                <c:pt idx="123">
                  <c:v>0.24</c:v>
                </c:pt>
                <c:pt idx="124">
                  <c:v>0.25</c:v>
                </c:pt>
                <c:pt idx="125">
                  <c:v>0.26</c:v>
                </c:pt>
                <c:pt idx="126">
                  <c:v>0.27</c:v>
                </c:pt>
                <c:pt idx="127">
                  <c:v>0.28000000000000003</c:v>
                </c:pt>
                <c:pt idx="128">
                  <c:v>0.28999999999999998</c:v>
                </c:pt>
                <c:pt idx="129">
                  <c:v>0.3</c:v>
                </c:pt>
                <c:pt idx="130">
                  <c:v>0.31</c:v>
                </c:pt>
                <c:pt idx="131">
                  <c:v>0.32</c:v>
                </c:pt>
                <c:pt idx="132">
                  <c:v>0.33</c:v>
                </c:pt>
                <c:pt idx="133">
                  <c:v>0.34</c:v>
                </c:pt>
                <c:pt idx="134">
                  <c:v>0.35</c:v>
                </c:pt>
                <c:pt idx="135">
                  <c:v>0.36</c:v>
                </c:pt>
                <c:pt idx="136">
                  <c:v>0.37</c:v>
                </c:pt>
                <c:pt idx="137">
                  <c:v>0.38</c:v>
                </c:pt>
                <c:pt idx="138">
                  <c:v>0.39</c:v>
                </c:pt>
                <c:pt idx="139">
                  <c:v>0.4</c:v>
                </c:pt>
                <c:pt idx="140">
                  <c:v>0.41</c:v>
                </c:pt>
                <c:pt idx="141">
                  <c:v>0.42</c:v>
                </c:pt>
                <c:pt idx="142">
                  <c:v>0.43</c:v>
                </c:pt>
                <c:pt idx="143">
                  <c:v>0.44</c:v>
                </c:pt>
                <c:pt idx="144">
                  <c:v>0.45</c:v>
                </c:pt>
                <c:pt idx="145">
                  <c:v>0.46</c:v>
                </c:pt>
                <c:pt idx="146">
                  <c:v>0.47</c:v>
                </c:pt>
                <c:pt idx="147">
                  <c:v>0.48</c:v>
                </c:pt>
                <c:pt idx="148">
                  <c:v>0.49</c:v>
                </c:pt>
                <c:pt idx="149">
                  <c:v>0.5</c:v>
                </c:pt>
                <c:pt idx="150">
                  <c:v>0.51</c:v>
                </c:pt>
                <c:pt idx="151">
                  <c:v>0.52</c:v>
                </c:pt>
                <c:pt idx="152">
                  <c:v>0.53</c:v>
                </c:pt>
                <c:pt idx="153">
                  <c:v>0.54</c:v>
                </c:pt>
                <c:pt idx="154">
                  <c:v>0.55000000000000004</c:v>
                </c:pt>
                <c:pt idx="155">
                  <c:v>0.56000000000000005</c:v>
                </c:pt>
                <c:pt idx="156">
                  <c:v>0.56999999999999995</c:v>
                </c:pt>
                <c:pt idx="157">
                  <c:v>0.57999999999999996</c:v>
                </c:pt>
                <c:pt idx="158">
                  <c:v>0.59</c:v>
                </c:pt>
                <c:pt idx="159">
                  <c:v>0.6</c:v>
                </c:pt>
                <c:pt idx="160">
                  <c:v>0.61</c:v>
                </c:pt>
                <c:pt idx="161">
                  <c:v>0.62</c:v>
                </c:pt>
                <c:pt idx="162">
                  <c:v>0.63</c:v>
                </c:pt>
                <c:pt idx="163">
                  <c:v>0.64</c:v>
                </c:pt>
                <c:pt idx="164">
                  <c:v>0.65</c:v>
                </c:pt>
                <c:pt idx="165">
                  <c:v>0.66</c:v>
                </c:pt>
                <c:pt idx="166">
                  <c:v>0.67</c:v>
                </c:pt>
                <c:pt idx="167">
                  <c:v>0.68</c:v>
                </c:pt>
                <c:pt idx="168">
                  <c:v>0.69</c:v>
                </c:pt>
                <c:pt idx="169">
                  <c:v>0.7</c:v>
                </c:pt>
                <c:pt idx="170">
                  <c:v>0.71</c:v>
                </c:pt>
                <c:pt idx="171">
                  <c:v>0.72</c:v>
                </c:pt>
                <c:pt idx="172">
                  <c:v>0.73</c:v>
                </c:pt>
                <c:pt idx="173">
                  <c:v>0.74</c:v>
                </c:pt>
                <c:pt idx="174">
                  <c:v>0.75</c:v>
                </c:pt>
                <c:pt idx="175">
                  <c:v>0.76</c:v>
                </c:pt>
                <c:pt idx="176">
                  <c:v>0.77</c:v>
                </c:pt>
                <c:pt idx="177">
                  <c:v>0.78</c:v>
                </c:pt>
                <c:pt idx="178">
                  <c:v>0.79</c:v>
                </c:pt>
                <c:pt idx="179">
                  <c:v>0.8</c:v>
                </c:pt>
                <c:pt idx="180">
                  <c:v>0.81</c:v>
                </c:pt>
                <c:pt idx="181">
                  <c:v>0.82</c:v>
                </c:pt>
                <c:pt idx="182">
                  <c:v>0.83</c:v>
                </c:pt>
                <c:pt idx="183">
                  <c:v>0.84</c:v>
                </c:pt>
                <c:pt idx="184">
                  <c:v>0.85</c:v>
                </c:pt>
                <c:pt idx="185">
                  <c:v>0.86</c:v>
                </c:pt>
                <c:pt idx="186">
                  <c:v>0.87</c:v>
                </c:pt>
                <c:pt idx="187">
                  <c:v>0.88</c:v>
                </c:pt>
                <c:pt idx="188">
                  <c:v>0.89</c:v>
                </c:pt>
                <c:pt idx="189">
                  <c:v>0.9</c:v>
                </c:pt>
                <c:pt idx="190">
                  <c:v>0.91</c:v>
                </c:pt>
                <c:pt idx="191">
                  <c:v>0.92</c:v>
                </c:pt>
                <c:pt idx="192">
                  <c:v>0.93</c:v>
                </c:pt>
                <c:pt idx="193">
                  <c:v>0.94</c:v>
                </c:pt>
                <c:pt idx="194">
                  <c:v>0.95</c:v>
                </c:pt>
                <c:pt idx="195">
                  <c:v>0.96</c:v>
                </c:pt>
                <c:pt idx="196">
                  <c:v>0.97</c:v>
                </c:pt>
                <c:pt idx="197">
                  <c:v>0.98</c:v>
                </c:pt>
                <c:pt idx="198">
                  <c:v>0.99</c:v>
                </c:pt>
                <c:pt idx="199">
                  <c:v>1</c:v>
                </c:pt>
                <c:pt idx="200">
                  <c:v>1.01</c:v>
                </c:pt>
                <c:pt idx="201">
                  <c:v>1.02</c:v>
                </c:pt>
                <c:pt idx="202">
                  <c:v>1.03</c:v>
                </c:pt>
                <c:pt idx="203">
                  <c:v>1.04</c:v>
                </c:pt>
                <c:pt idx="204">
                  <c:v>1.05</c:v>
                </c:pt>
                <c:pt idx="205">
                  <c:v>1.06</c:v>
                </c:pt>
                <c:pt idx="206">
                  <c:v>1.07</c:v>
                </c:pt>
                <c:pt idx="207">
                  <c:v>1.08</c:v>
                </c:pt>
                <c:pt idx="208">
                  <c:v>1.0900000000000001</c:v>
                </c:pt>
                <c:pt idx="209">
                  <c:v>1.1000000000000001</c:v>
                </c:pt>
                <c:pt idx="210">
                  <c:v>1.1100000000000001</c:v>
                </c:pt>
                <c:pt idx="211">
                  <c:v>1.1200000000000001</c:v>
                </c:pt>
                <c:pt idx="212">
                  <c:v>1.1299999999999999</c:v>
                </c:pt>
                <c:pt idx="213">
                  <c:v>1.1399999999999999</c:v>
                </c:pt>
                <c:pt idx="214">
                  <c:v>1.1499999999999999</c:v>
                </c:pt>
                <c:pt idx="215">
                  <c:v>1.1599999999999999</c:v>
                </c:pt>
                <c:pt idx="216">
                  <c:v>1.17</c:v>
                </c:pt>
                <c:pt idx="217">
                  <c:v>1.18</c:v>
                </c:pt>
                <c:pt idx="218">
                  <c:v>1.19</c:v>
                </c:pt>
                <c:pt idx="219">
                  <c:v>1.2</c:v>
                </c:pt>
                <c:pt idx="220">
                  <c:v>1.21</c:v>
                </c:pt>
                <c:pt idx="221">
                  <c:v>1.22</c:v>
                </c:pt>
                <c:pt idx="222">
                  <c:v>1.23</c:v>
                </c:pt>
                <c:pt idx="223">
                  <c:v>1.24</c:v>
                </c:pt>
                <c:pt idx="224">
                  <c:v>1.25</c:v>
                </c:pt>
                <c:pt idx="225">
                  <c:v>1.26</c:v>
                </c:pt>
                <c:pt idx="226">
                  <c:v>1.27</c:v>
                </c:pt>
                <c:pt idx="227">
                  <c:v>1.28</c:v>
                </c:pt>
                <c:pt idx="228">
                  <c:v>1.29</c:v>
                </c:pt>
                <c:pt idx="229">
                  <c:v>1.3</c:v>
                </c:pt>
                <c:pt idx="230">
                  <c:v>1.31</c:v>
                </c:pt>
                <c:pt idx="231">
                  <c:v>1.32</c:v>
                </c:pt>
                <c:pt idx="232">
                  <c:v>1.33</c:v>
                </c:pt>
                <c:pt idx="233">
                  <c:v>1.34</c:v>
                </c:pt>
                <c:pt idx="234">
                  <c:v>1.35</c:v>
                </c:pt>
                <c:pt idx="235">
                  <c:v>1.36</c:v>
                </c:pt>
                <c:pt idx="236">
                  <c:v>1.37</c:v>
                </c:pt>
                <c:pt idx="237">
                  <c:v>1.38</c:v>
                </c:pt>
                <c:pt idx="238">
                  <c:v>1.39</c:v>
                </c:pt>
                <c:pt idx="239">
                  <c:v>1.4</c:v>
                </c:pt>
                <c:pt idx="240">
                  <c:v>1.41</c:v>
                </c:pt>
                <c:pt idx="241">
                  <c:v>1.42</c:v>
                </c:pt>
                <c:pt idx="242">
                  <c:v>1.43</c:v>
                </c:pt>
                <c:pt idx="243">
                  <c:v>1.44</c:v>
                </c:pt>
                <c:pt idx="244">
                  <c:v>1.45</c:v>
                </c:pt>
                <c:pt idx="245">
                  <c:v>1.46</c:v>
                </c:pt>
                <c:pt idx="246">
                  <c:v>1.47</c:v>
                </c:pt>
                <c:pt idx="247">
                  <c:v>1.48</c:v>
                </c:pt>
                <c:pt idx="248">
                  <c:v>1.49</c:v>
                </c:pt>
                <c:pt idx="249">
                  <c:v>1.5</c:v>
                </c:pt>
                <c:pt idx="250">
                  <c:v>1.51</c:v>
                </c:pt>
                <c:pt idx="251">
                  <c:v>1.52</c:v>
                </c:pt>
                <c:pt idx="252">
                  <c:v>1.53</c:v>
                </c:pt>
                <c:pt idx="253">
                  <c:v>1.54</c:v>
                </c:pt>
                <c:pt idx="254">
                  <c:v>1.55</c:v>
                </c:pt>
                <c:pt idx="255">
                  <c:v>1.56</c:v>
                </c:pt>
                <c:pt idx="256">
                  <c:v>1.57</c:v>
                </c:pt>
                <c:pt idx="257">
                  <c:v>1.58</c:v>
                </c:pt>
                <c:pt idx="258">
                  <c:v>1.59</c:v>
                </c:pt>
                <c:pt idx="259">
                  <c:v>1.6</c:v>
                </c:pt>
                <c:pt idx="260">
                  <c:v>1.61</c:v>
                </c:pt>
                <c:pt idx="261">
                  <c:v>1.62</c:v>
                </c:pt>
                <c:pt idx="262">
                  <c:v>1.63</c:v>
                </c:pt>
                <c:pt idx="263">
                  <c:v>1.64</c:v>
                </c:pt>
                <c:pt idx="264">
                  <c:v>1.65</c:v>
                </c:pt>
                <c:pt idx="265">
                  <c:v>1.66</c:v>
                </c:pt>
                <c:pt idx="266">
                  <c:v>1.67</c:v>
                </c:pt>
                <c:pt idx="267">
                  <c:v>1.68</c:v>
                </c:pt>
                <c:pt idx="268">
                  <c:v>1.69</c:v>
                </c:pt>
                <c:pt idx="269">
                  <c:v>1.7</c:v>
                </c:pt>
                <c:pt idx="270">
                  <c:v>1.71</c:v>
                </c:pt>
                <c:pt idx="271">
                  <c:v>1.72</c:v>
                </c:pt>
                <c:pt idx="272">
                  <c:v>1.73</c:v>
                </c:pt>
                <c:pt idx="273">
                  <c:v>1.74</c:v>
                </c:pt>
                <c:pt idx="274">
                  <c:v>1.75</c:v>
                </c:pt>
                <c:pt idx="275">
                  <c:v>1.76</c:v>
                </c:pt>
                <c:pt idx="276">
                  <c:v>1.77</c:v>
                </c:pt>
                <c:pt idx="277">
                  <c:v>1.78</c:v>
                </c:pt>
                <c:pt idx="278">
                  <c:v>1.79</c:v>
                </c:pt>
                <c:pt idx="279">
                  <c:v>1.8</c:v>
                </c:pt>
                <c:pt idx="280">
                  <c:v>1.81</c:v>
                </c:pt>
                <c:pt idx="281">
                  <c:v>1.82</c:v>
                </c:pt>
                <c:pt idx="282">
                  <c:v>1.83</c:v>
                </c:pt>
                <c:pt idx="283">
                  <c:v>1.84</c:v>
                </c:pt>
                <c:pt idx="284">
                  <c:v>1.85</c:v>
                </c:pt>
                <c:pt idx="285">
                  <c:v>1.86</c:v>
                </c:pt>
                <c:pt idx="286">
                  <c:v>1.87</c:v>
                </c:pt>
                <c:pt idx="287">
                  <c:v>1.88</c:v>
                </c:pt>
                <c:pt idx="288">
                  <c:v>1.89</c:v>
                </c:pt>
                <c:pt idx="289">
                  <c:v>1.9</c:v>
                </c:pt>
                <c:pt idx="290">
                  <c:v>1.91</c:v>
                </c:pt>
                <c:pt idx="291">
                  <c:v>1.92</c:v>
                </c:pt>
                <c:pt idx="292">
                  <c:v>1.93</c:v>
                </c:pt>
                <c:pt idx="293">
                  <c:v>1.94</c:v>
                </c:pt>
                <c:pt idx="294">
                  <c:v>1.95</c:v>
                </c:pt>
                <c:pt idx="295">
                  <c:v>1.96</c:v>
                </c:pt>
                <c:pt idx="296">
                  <c:v>1.97</c:v>
                </c:pt>
                <c:pt idx="297">
                  <c:v>1.98</c:v>
                </c:pt>
                <c:pt idx="298">
                  <c:v>1.99</c:v>
                </c:pt>
                <c:pt idx="299">
                  <c:v>2</c:v>
                </c:pt>
                <c:pt idx="300">
                  <c:v>2.0099999999999998</c:v>
                </c:pt>
              </c:numCache>
            </c:numRef>
          </c:xVal>
          <c:yVal>
            <c:numRef>
              <c:f>NPV!$H$6:$H$306</c:f>
              <c:numCache>
                <c:formatCode>"$"#,##0.00_);[Red]\("$"#,##0.00\)</c:formatCode>
                <c:ptCount val="301"/>
                <c:pt idx="0">
                  <c:v>1.6602920532887926E+18</c:v>
                </c:pt>
                <c:pt idx="1">
                  <c:v>2.6221621117942304E+16</c:v>
                </c:pt>
                <c:pt idx="2">
                  <c:v>2327417171092302</c:v>
                </c:pt>
                <c:pt idx="3">
                  <c:v>418903470648419.31</c:v>
                </c:pt>
                <c:pt idx="4">
                  <c:v>111080586813301.59</c:v>
                </c:pt>
                <c:pt idx="5">
                  <c:v>37639940119750.617</c:v>
                </c:pt>
                <c:pt idx="6">
                  <c:v>15107121595765.387</c:v>
                </c:pt>
                <c:pt idx="7">
                  <c:v>6863723356789.2012</c:v>
                </c:pt>
                <c:pt idx="8">
                  <c:v>3428395836326.9487</c:v>
                </c:pt>
                <c:pt idx="9">
                  <c:v>1845477912257.041</c:v>
                </c:pt>
                <c:pt idx="10">
                  <c:v>1055435060201.4286</c:v>
                </c:pt>
                <c:pt idx="11">
                  <c:v>634590843148.4823</c:v>
                </c:pt>
                <c:pt idx="12">
                  <c:v>397949651709.1908</c:v>
                </c:pt>
                <c:pt idx="13">
                  <c:v>258665355184.62592</c:v>
                </c:pt>
                <c:pt idx="14">
                  <c:v>173414698667.06937</c:v>
                </c:pt>
                <c:pt idx="15">
                  <c:v>119439037571.52927</c:v>
                </c:pt>
                <c:pt idx="16">
                  <c:v>84237930814.311707</c:v>
                </c:pt>
                <c:pt idx="17">
                  <c:v>60673579102.45118</c:v>
                </c:pt>
                <c:pt idx="18">
                  <c:v>44528753621.827827</c:v>
                </c:pt>
                <c:pt idx="19">
                  <c:v>33235254511.42635</c:v>
                </c:pt>
                <c:pt idx="20">
                  <c:v>25186293762.887432</c:v>
                </c:pt>
                <c:pt idx="21">
                  <c:v>19351904564.193447</c:v>
                </c:pt>
                <c:pt idx="22">
                  <c:v>15057241569.263014</c:v>
                </c:pt>
                <c:pt idx="23">
                  <c:v>11851254277.216394</c:v>
                </c:pt>
                <c:pt idx="24">
                  <c:v>9426951343.0366879</c:v>
                </c:pt>
                <c:pt idx="25">
                  <c:v>7571888975.9302921</c:v>
                </c:pt>
                <c:pt idx="26">
                  <c:v>6136788867.1559792</c:v>
                </c:pt>
                <c:pt idx="27">
                  <c:v>5015268532.8474245</c:v>
                </c:pt>
                <c:pt idx="28">
                  <c:v>4130519663.8812232</c:v>
                </c:pt>
                <c:pt idx="29">
                  <c:v>3426411061.0431347</c:v>
                </c:pt>
                <c:pt idx="30">
                  <c:v>2861457409.2751651</c:v>
                </c:pt>
                <c:pt idx="31">
                  <c:v>2404673736.1205654</c:v>
                </c:pt>
                <c:pt idx="32">
                  <c:v>2032688942.2600868</c:v>
                </c:pt>
                <c:pt idx="33">
                  <c:v>1727711590.2883532</c:v>
                </c:pt>
                <c:pt idx="34">
                  <c:v>1476080008.3722508</c:v>
                </c:pt>
                <c:pt idx="35">
                  <c:v>1267217837.3861144</c:v>
                </c:pt>
                <c:pt idx="36">
                  <c:v>1092874093.3937294</c:v>
                </c:pt>
                <c:pt idx="37">
                  <c:v>946565013.5769974</c:v>
                </c:pt>
                <c:pt idx="38">
                  <c:v>823160448.50496972</c:v>
                </c:pt>
                <c:pt idx="39">
                  <c:v>718574781.69149661</c:v>
                </c:pt>
                <c:pt idx="40">
                  <c:v>629534115.36934006</c:v>
                </c:pt>
                <c:pt idx="41">
                  <c:v>553399575.41553855</c:v>
                </c:pt>
                <c:pt idx="42">
                  <c:v>488032243.60358322</c:v>
                </c:pt>
                <c:pt idx="43">
                  <c:v>431689204.20881003</c:v>
                </c:pt>
                <c:pt idx="44">
                  <c:v>382943016.54648441</c:v>
                </c:pt>
                <c:pt idx="45">
                  <c:v>340618947.28300297</c:v>
                </c:pt>
                <c:pt idx="46">
                  <c:v>303745755.99346173</c:v>
                </c:pt>
                <c:pt idx="47">
                  <c:v>271516889.14681357</c:v>
                </c:pt>
                <c:pt idx="48">
                  <c:v>243259715.68051261</c:v>
                </c:pt>
                <c:pt idx="49">
                  <c:v>218411011.43303859</c:v>
                </c:pt>
                <c:pt idx="50">
                  <c:v>196497326.22613585</c:v>
                </c:pt>
                <c:pt idx="51">
                  <c:v>177119186.31880948</c:v>
                </c:pt>
                <c:pt idx="52">
                  <c:v>159938324.91245618</c:v>
                </c:pt>
                <c:pt idx="53">
                  <c:v>144667315.00016305</c:v>
                </c:pt>
                <c:pt idx="54">
                  <c:v>131061117.09400162</c:v>
                </c:pt>
                <c:pt idx="55">
                  <c:v>118910160.16771236</c:v>
                </c:pt>
                <c:pt idx="56">
                  <c:v>108034655.55689968</c:v>
                </c:pt>
                <c:pt idx="57">
                  <c:v>98279906.509209037</c:v>
                </c:pt>
                <c:pt idx="58">
                  <c:v>89512424.994463921</c:v>
                </c:pt>
                <c:pt idx="59">
                  <c:v>81616705.576746896</c:v>
                </c:pt>
                <c:pt idx="60">
                  <c:v>74492536.103910938</c:v>
                </c:pt>
                <c:pt idx="61">
                  <c:v>68052748.565235719</c:v>
                </c:pt>
                <c:pt idx="62">
                  <c:v>62221332.133188874</c:v>
                </c:pt>
                <c:pt idx="63">
                  <c:v>56931845.230991676</c:v>
                </c:pt>
                <c:pt idx="64">
                  <c:v>52126075.290273532</c:v>
                </c:pt>
                <c:pt idx="65">
                  <c:v>47752904.326910146</c:v>
                </c:pt>
                <c:pt idx="66">
                  <c:v>43767346.066827536</c:v>
                </c:pt>
                <c:pt idx="67">
                  <c:v>40129726.484616436</c:v>
                </c:pt>
                <c:pt idx="68">
                  <c:v>36804984.578616701</c:v>
                </c:pt>
                <c:pt idx="69">
                  <c:v>33762074.233570747</c:v>
                </c:pt>
                <c:pt idx="70">
                  <c:v>30973451.302298352</c:v>
                </c:pt>
                <c:pt idx="71">
                  <c:v>28414632.718155842</c:v>
                </c:pt>
                <c:pt idx="72">
                  <c:v>26063816.646802545</c:v>
                </c:pt>
                <c:pt idx="73">
                  <c:v>23901554.491618499</c:v>
                </c:pt>
                <c:pt idx="74">
                  <c:v>21910467.055874847</c:v>
                </c:pt>
                <c:pt idx="75">
                  <c:v>20074998.395584732</c:v>
                </c:pt>
                <c:pt idx="76">
                  <c:v>18381201.917329345</c:v>
                </c:pt>
                <c:pt idx="77">
                  <c:v>16816554.123506974</c:v>
                </c:pt>
                <c:pt idx="78">
                  <c:v>15369792.114283133</c:v>
                </c:pt>
                <c:pt idx="79">
                  <c:v>14030771.54606512</c:v>
                </c:pt>
                <c:pt idx="80">
                  <c:v>12790342.240926323</c:v>
                </c:pt>
                <c:pt idx="81">
                  <c:v>11640239.05664587</c:v>
                </c:pt>
                <c:pt idx="82">
                  <c:v>10572985.976453239</c:v>
                </c:pt>
                <c:pt idx="83">
                  <c:v>9581811.6722787395</c:v>
                </c:pt>
                <c:pt idx="84">
                  <c:v>8660575.044424817</c:v>
                </c:pt>
                <c:pt idx="85">
                  <c:v>7803699.4516027328</c:v>
                </c:pt>
                <c:pt idx="86">
                  <c:v>7006114.5244221529</c:v>
                </c:pt>
                <c:pt idx="87">
                  <c:v>6263204.6078101089</c:v>
                </c:pt>
                <c:pt idx="88">
                  <c:v>5570763.0077263825</c:v>
                </c:pt>
                <c:pt idx="89">
                  <c:v>4924951.3284737412</c:v>
                </c:pt>
                <c:pt idx="90">
                  <c:v>4322263.2818229655</c:v>
                </c:pt>
                <c:pt idx="91">
                  <c:v>3759492.4305467037</c:v>
                </c:pt>
                <c:pt idx="92">
                  <c:v>3233703.3988444125</c:v>
                </c:pt>
                <c:pt idx="93">
                  <c:v>2742206.142271732</c:v>
                </c:pt>
                <c:pt idx="94">
                  <c:v>2282532.9216140877</c:v>
                </c:pt>
                <c:pt idx="95">
                  <c:v>1852417.6698900647</c:v>
                </c:pt>
                <c:pt idx="96">
                  <c:v>1449777.4803665469</c:v>
                </c:pt>
                <c:pt idx="97">
                  <c:v>1072695.9769882988</c:v>
                </c:pt>
                <c:pt idx="98">
                  <c:v>719408.35770762933</c:v>
                </c:pt>
                <c:pt idx="99">
                  <c:v>388287.92647275655</c:v>
                </c:pt>
                <c:pt idx="100">
                  <c:v>77833.951628786541</c:v>
                </c:pt>
                <c:pt idx="101">
                  <c:v>-213339.29234194732</c:v>
                </c:pt>
                <c:pt idx="102">
                  <c:v>-486512.42607900832</c:v>
                </c:pt>
                <c:pt idx="103">
                  <c:v>-742869.92130996182</c:v>
                </c:pt>
                <c:pt idx="104">
                  <c:v>-983508.21042434336</c:v>
                </c:pt>
                <c:pt idx="105">
                  <c:v>-1209443.0373286637</c:v>
                </c:pt>
                <c:pt idx="106">
                  <c:v>-1421616.1273999321</c:v>
                </c:pt>
                <c:pt idx="107">
                  <c:v>-1620901.2456919453</c:v>
                </c:pt>
                <c:pt idx="108">
                  <c:v>-1808109.7049236861</c:v>
                </c:pt>
                <c:pt idx="109">
                  <c:v>-1983995.3780595046</c:v>
                </c:pt>
                <c:pt idx="110">
                  <c:v>-2149259.2643613759</c:v>
                </c:pt>
                <c:pt idx="111">
                  <c:v>-2304553.652555001</c:v>
                </c:pt>
                <c:pt idx="112">
                  <c:v>-2450485.9201178979</c:v>
                </c:pt>
                <c:pt idx="113">
                  <c:v>-2587622.003593911</c:v>
                </c:pt>
                <c:pt idx="114">
                  <c:v>-2716489.5712001631</c:v>
                </c:pt>
                <c:pt idx="115">
                  <c:v>-2837580.9257629155</c:v>
                </c:pt>
                <c:pt idx="116">
                  <c:v>-2951355.6631484702</c:v>
                </c:pt>
                <c:pt idx="117">
                  <c:v>-3058243.1088022292</c:v>
                </c:pt>
                <c:pt idx="118">
                  <c:v>-3158644.5527347857</c:v>
                </c:pt>
                <c:pt idx="119">
                  <c:v>-3252935.3012666679</c:v>
                </c:pt>
                <c:pt idx="120">
                  <c:v>-3341466.5620338167</c:v>
                </c:pt>
                <c:pt idx="121">
                  <c:v>-3424567.1771393619</c:v>
                </c:pt>
                <c:pt idx="122">
                  <c:v>-3502545.2178915245</c:v>
                </c:pt>
                <c:pt idx="123">
                  <c:v>-3575689.453273193</c:v>
                </c:pt>
                <c:pt idx="124">
                  <c:v>-3644270.7031290657</c:v>
                </c:pt>
                <c:pt idx="125">
                  <c:v>-3708543.0860159378</c:v>
                </c:pt>
                <c:pt idx="126">
                  <c:v>-3768745.1707278481</c:v>
                </c:pt>
                <c:pt idx="127">
                  <c:v>-3825101.0396685638</c:v>
                </c:pt>
                <c:pt idx="128">
                  <c:v>-3877821.2714889799</c:v>
                </c:pt>
                <c:pt idx="129">
                  <c:v>-3927103.8497274853</c:v>
                </c:pt>
                <c:pt idx="130">
                  <c:v>-3973135.0035789222</c:v>
                </c:pt>
                <c:pt idx="131">
                  <c:v>-4016089.9863656494</c:v>
                </c:pt>
                <c:pt idx="132">
                  <c:v>-4056133.7967856098</c:v>
                </c:pt>
                <c:pt idx="133">
                  <c:v>-4093421.8475621012</c:v>
                </c:pt>
                <c:pt idx="134">
                  <c:v>-4128100.585712757</c:v>
                </c:pt>
                <c:pt idx="135">
                  <c:v>-4160308.0682868552</c:v>
                </c:pt>
                <c:pt idx="136">
                  <c:v>-4190174.4970863969</c:v>
                </c:pt>
                <c:pt idx="137">
                  <c:v>-4217822.7155840518</c:v>
                </c:pt>
                <c:pt idx="138">
                  <c:v>-4243368.6709767878</c:v>
                </c:pt>
                <c:pt idx="139">
                  <c:v>-4266921.8440649789</c:v>
                </c:pt>
                <c:pt idx="140">
                  <c:v>-4288585.6494207438</c:v>
                </c:pt>
                <c:pt idx="141">
                  <c:v>-4308457.8081034655</c:v>
                </c:pt>
                <c:pt idx="142">
                  <c:v>-4326630.6949936086</c:v>
                </c:pt>
                <c:pt idx="143">
                  <c:v>-4343191.6626454443</c:v>
                </c:pt>
                <c:pt idx="144">
                  <c:v>-4358223.3434043033</c:v>
                </c:pt>
                <c:pt idx="145">
                  <c:v>-4371803.9313923884</c:v>
                </c:pt>
                <c:pt idx="146">
                  <c:v>-4384007.4458381934</c:v>
                </c:pt>
                <c:pt idx="147">
                  <c:v>-4394903.977106723</c:v>
                </c:pt>
                <c:pt idx="148">
                  <c:v>-4404559.9166800492</c:v>
                </c:pt>
                <c:pt idx="149">
                  <c:v>-4413038.172239338</c:v>
                </c:pt>
                <c:pt idx="150">
                  <c:v>-4420398.3689094642</c:v>
                </c:pt>
                <c:pt idx="151">
                  <c:v>-4426697.0376449013</c:v>
                </c:pt>
                <c:pt idx="152">
                  <c:v>-4431987.7916600918</c:v>
                </c:pt>
                <c:pt idx="153">
                  <c:v>-4436321.4917383576</c:v>
                </c:pt>
                <c:pt idx="154">
                  <c:v>-4439746.4011898898</c:v>
                </c:pt>
                <c:pt idx="155">
                  <c:v>-4442308.3311711941</c:v>
                </c:pt>
                <c:pt idx="156">
                  <c:v>-4444050.7770248856</c:v>
                </c:pt>
                <c:pt idx="157">
                  <c:v>-4445015.0462495815</c:v>
                </c:pt>
                <c:pt idx="158">
                  <c:v>-4445240.3786645057</c:v>
                </c:pt>
                <c:pt idx="159">
                  <c:v>-4444764.0592918871</c:v>
                </c:pt>
                <c:pt idx="160">
                  <c:v>-4443621.5244419891</c:v>
                </c:pt>
                <c:pt idx="161">
                  <c:v>-4441846.4614503914</c:v>
                </c:pt>
                <c:pt idx="162">
                  <c:v>-4439470.9024847429</c:v>
                </c:pt>
                <c:pt idx="163">
                  <c:v>-4436525.3128082687</c:v>
                </c:pt>
                <c:pt idx="164">
                  <c:v>-4433038.6738597387</c:v>
                </c:pt>
                <c:pt idx="165">
                  <c:v>-4429038.5614841748</c:v>
                </c:pt>
                <c:pt idx="166">
                  <c:v>-4424551.2196249906</c:v>
                </c:pt>
                <c:pt idx="167">
                  <c:v>-4419601.6297666682</c:v>
                </c:pt>
                <c:pt idx="168">
                  <c:v>-4414213.5763968695</c:v>
                </c:pt>
                <c:pt idx="169">
                  <c:v>-4408409.7087384053</c:v>
                </c:pt>
                <c:pt idx="170">
                  <c:v>-4402211.5989842759</c:v>
                </c:pt>
                <c:pt idx="171">
                  <c:v>-4395639.7972531067</c:v>
                </c:pt>
                <c:pt idx="172">
                  <c:v>-4388713.8834675504</c:v>
                </c:pt>
                <c:pt idx="173">
                  <c:v>-4381452.5163446469</c:v>
                </c:pt>
                <c:pt idx="174">
                  <c:v>-4373873.4796743859</c:v>
                </c:pt>
                <c:pt idx="175">
                  <c:v>-4365993.7260510623</c:v>
                </c:pt>
                <c:pt idx="176">
                  <c:v>-4357829.4182111109</c:v>
                </c:pt>
                <c:pt idx="177">
                  <c:v>-4349395.9681209596</c:v>
                </c:pt>
                <c:pt idx="178">
                  <c:v>-4340708.0739491172</c:v>
                </c:pt>
                <c:pt idx="179">
                  <c:v>-4331779.7550479174</c:v>
                </c:pt>
                <c:pt idx="180">
                  <c:v>-4322624.3850622987</c:v>
                </c:pt>
                <c:pt idx="181">
                  <c:v>-4313254.7232754203</c:v>
                </c:pt>
                <c:pt idx="182">
                  <c:v>-4303682.9442939041</c:v>
                </c:pt>
                <c:pt idx="183">
                  <c:v>-4293920.6661689579</c:v>
                </c:pt>
                <c:pt idx="184">
                  <c:v>-4283978.9770435849</c:v>
                </c:pt>
                <c:pt idx="185">
                  <c:v>-4273868.4604103668</c:v>
                </c:pt>
                <c:pt idx="186">
                  <c:v>-4263599.2190590762</c:v>
                </c:pt>
                <c:pt idx="187">
                  <c:v>-4253180.8977884222</c:v>
                </c:pt>
                <c:pt idx="188">
                  <c:v>-4242622.7049516598</c:v>
                </c:pt>
                <c:pt idx="189">
                  <c:v>-4231933.4329014774</c:v>
                </c:pt>
                <c:pt idx="190">
                  <c:v>-4221121.4773956481</c:v>
                </c:pt>
                <c:pt idx="191">
                  <c:v>-4210194.8560210755</c:v>
                </c:pt>
                <c:pt idx="192">
                  <c:v>-4199161.2256905371</c:v>
                </c:pt>
                <c:pt idx="193">
                  <c:v>-4188027.899263008</c:v>
                </c:pt>
                <c:pt idx="194">
                  <c:v>-4176801.8613354987</c:v>
                </c:pt>
                <c:pt idx="195">
                  <c:v>-4165489.7832514774</c:v>
                </c:pt>
                <c:pt idx="196">
                  <c:v>-4154098.037368245</c:v>
                </c:pt>
                <c:pt idx="197">
                  <c:v>-4142632.7106231563</c:v>
                </c:pt>
                <c:pt idx="198">
                  <c:v>-4131099.6174362679</c:v>
                </c:pt>
                <c:pt idx="199">
                  <c:v>-4119504.3119847453</c:v>
                </c:pt>
                <c:pt idx="200">
                  <c:v>-4107852.0998823792</c:v>
                </c:pt>
                <c:pt idx="201">
                  <c:v>-4096148.0492955856</c:v>
                </c:pt>
                <c:pt idx="202">
                  <c:v>-4084397.0015254826</c:v>
                </c:pt>
                <c:pt idx="203">
                  <c:v>-4072603.5810839701</c:v>
                </c:pt>
                <c:pt idx="204">
                  <c:v>-4060772.2052900982</c:v>
                </c:pt>
                <c:pt idx="205">
                  <c:v>-4048907.0934115741</c:v>
                </c:pt>
                <c:pt idx="206">
                  <c:v>-4037012.2753748517</c:v>
                </c:pt>
                <c:pt idx="207">
                  <c:v>-4025091.6000658805</c:v>
                </c:pt>
                <c:pt idx="208">
                  <c:v>-4013148.7432424594</c:v>
                </c:pt>
                <c:pt idx="209">
                  <c:v>-4001187.2150778794</c:v>
                </c:pt>
                <c:pt idx="210">
                  <c:v>-3989210.3673545276</c:v>
                </c:pt>
                <c:pt idx="211">
                  <c:v>-3977221.400325052</c:v>
                </c:pt>
                <c:pt idx="212">
                  <c:v>-3965223.3692577523</c:v>
                </c:pt>
                <c:pt idx="213">
                  <c:v>-3953219.1906819432</c:v>
                </c:pt>
                <c:pt idx="214">
                  <c:v>-3941211.6483481862</c:v>
                </c:pt>
                <c:pt idx="215">
                  <c:v>-3929203.3989174874</c:v>
                </c:pt>
                <c:pt idx="216">
                  <c:v>-3917196.9773927927</c:v>
                </c:pt>
                <c:pt idx="217">
                  <c:v>-3905194.8023054181</c:v>
                </c:pt>
                <c:pt idx="218">
                  <c:v>-3893199.1806683568</c:v>
                </c:pt>
                <c:pt idx="219">
                  <c:v>-3881212.3127077925</c:v>
                </c:pt>
                <c:pt idx="220">
                  <c:v>-3869236.2963835537</c:v>
                </c:pt>
                <c:pt idx="221">
                  <c:v>-3857273.1317086546</c:v>
                </c:pt>
                <c:pt idx="222">
                  <c:v>-3845324.7248775749</c:v>
                </c:pt>
                <c:pt idx="223">
                  <c:v>-3833392.892212397</c:v>
                </c:pt>
                <c:pt idx="224">
                  <c:v>-3821479.3639354715</c:v>
                </c:pt>
                <c:pt idx="225">
                  <c:v>-3809585.7877768273</c:v>
                </c:pt>
                <c:pt idx="226">
                  <c:v>-3797713.7324241074</c:v>
                </c:pt>
                <c:pt idx="227">
                  <c:v>-3785864.6908224369</c:v>
                </c:pt>
                <c:pt idx="228">
                  <c:v>-3774040.0833312422</c:v>
                </c:pt>
                <c:pt idx="229">
                  <c:v>-3762241.2607446909</c:v>
                </c:pt>
                <c:pt idx="230">
                  <c:v>-3750469.507182051</c:v>
                </c:pt>
                <c:pt idx="231">
                  <c:v>-3738726.0428540381</c:v>
                </c:pt>
                <c:pt idx="232">
                  <c:v>-3727012.0267108032</c:v>
                </c:pt>
                <c:pt idx="233">
                  <c:v>-3715328.5589770218</c:v>
                </c:pt>
                <c:pt idx="234">
                  <c:v>-3703676.683579226</c:v>
                </c:pt>
                <c:pt idx="235">
                  <c:v>-3692057.3904703017</c:v>
                </c:pt>
                <c:pt idx="236">
                  <c:v>-3680471.6178557957</c:v>
                </c:pt>
                <c:pt idx="237">
                  <c:v>-3668920.2543264618</c:v>
                </c:pt>
                <c:pt idx="238">
                  <c:v>-3657404.1409012941</c:v>
                </c:pt>
                <c:pt idx="239">
                  <c:v>-3645924.0729850275</c:v>
                </c:pt>
                <c:pt idx="240">
                  <c:v>-3634480.8022439401</c:v>
                </c:pt>
                <c:pt idx="241">
                  <c:v>-3623075.0384036</c:v>
                </c:pt>
                <c:pt idx="242">
                  <c:v>-3611707.4509720006</c:v>
                </c:pt>
                <c:pt idx="243">
                  <c:v>-3600378.6708913841</c:v>
                </c:pt>
                <c:pt idx="244">
                  <c:v>-3589089.2921219124</c:v>
                </c:pt>
                <c:pt idx="245">
                  <c:v>-3577839.8731601397</c:v>
                </c:pt>
                <c:pt idx="246">
                  <c:v>-3566630.9384951717</c:v>
                </c:pt>
                <c:pt idx="247">
                  <c:v>-3555462.9800051954</c:v>
                </c:pt>
                <c:pt idx="248">
                  <c:v>-3544336.4582969942</c:v>
                </c:pt>
                <c:pt idx="249">
                  <c:v>-3533251.8039908917</c:v>
                </c:pt>
                <c:pt idx="250">
                  <c:v>-3522209.4189534909</c:v>
                </c:pt>
                <c:pt idx="251">
                  <c:v>-3511209.6774804508</c:v>
                </c:pt>
                <c:pt idx="252">
                  <c:v>-3500252.9274314316</c:v>
                </c:pt>
                <c:pt idx="253">
                  <c:v>-3489339.4913192568</c:v>
                </c:pt>
                <c:pt idx="254">
                  <c:v>-3478469.6673552431</c:v>
                </c:pt>
                <c:pt idx="255">
                  <c:v>-3467643.7304525389</c:v>
                </c:pt>
                <c:pt idx="256">
                  <c:v>-3456861.9331892808</c:v>
                </c:pt>
                <c:pt idx="257">
                  <c:v>-3446124.506733214</c:v>
                </c:pt>
                <c:pt idx="258">
                  <c:v>-3435431.6617294415</c:v>
                </c:pt>
                <c:pt idx="259">
                  <c:v>-3424783.589152806</c:v>
                </c:pt>
                <c:pt idx="260">
                  <c:v>-3414180.461126423</c:v>
                </c:pt>
                <c:pt idx="261">
                  <c:v>-3403622.4317077226</c:v>
                </c:pt>
                <c:pt idx="262">
                  <c:v>-3393109.6376433964</c:v>
                </c:pt>
                <c:pt idx="263">
                  <c:v>-3382642.1990945009</c:v>
                </c:pt>
                <c:pt idx="264">
                  <c:v>-3372220.2203329722</c:v>
                </c:pt>
                <c:pt idx="265">
                  <c:v>-3361843.7904107026</c:v>
                </c:pt>
                <c:pt idx="266">
                  <c:v>-3351512.9838023363</c:v>
                </c:pt>
                <c:pt idx="267">
                  <c:v>-3341227.8610228198</c:v>
                </c:pt>
                <c:pt idx="268">
                  <c:v>-3330988.4692207635</c:v>
                </c:pt>
                <c:pt idx="269">
                  <c:v>-3320794.8427486094</c:v>
                </c:pt>
                <c:pt idx="270">
                  <c:v>-3310647.0037104851</c:v>
                </c:pt>
                <c:pt idx="271">
                  <c:v>-3300544.9624887253</c:v>
                </c:pt>
                <c:pt idx="272">
                  <c:v>-3290488.7182498588</c:v>
                </c:pt>
                <c:pt idx="273">
                  <c:v>-3280478.2594309235</c:v>
                </c:pt>
                <c:pt idx="274">
                  <c:v>-3270513.5642068703</c:v>
                </c:pt>
                <c:pt idx="275">
                  <c:v>-3260594.6009398354</c:v>
                </c:pt>
                <c:pt idx="276">
                  <c:v>-3250721.3286109939</c:v>
                </c:pt>
                <c:pt idx="277">
                  <c:v>-3240893.6972356876</c:v>
                </c:pt>
                <c:pt idx="278">
                  <c:v>-3231111.6482624826</c:v>
                </c:pt>
                <c:pt idx="279">
                  <c:v>-3221375.1149568185</c:v>
                </c:pt>
                <c:pt idx="280">
                  <c:v>-3211684.0227698209</c:v>
                </c:pt>
                <c:pt idx="281">
                  <c:v>-3202038.2896929006</c:v>
                </c:pt>
                <c:pt idx="282">
                  <c:v>-3192437.826598662</c:v>
                </c:pt>
                <c:pt idx="283">
                  <c:v>-3182882.5375686768</c:v>
                </c:pt>
                <c:pt idx="284">
                  <c:v>-3173372.3202086436</c:v>
                </c:pt>
                <c:pt idx="285">
                  <c:v>-3163907.0659514032</c:v>
                </c:pt>
                <c:pt idx="286">
                  <c:v>-3154486.6603483008</c:v>
                </c:pt>
                <c:pt idx="287">
                  <c:v>-3145110.983349334</c:v>
                </c:pt>
                <c:pt idx="288">
                  <c:v>-3135779.9095725399</c:v>
                </c:pt>
                <c:pt idx="289">
                  <c:v>-3126493.3085630126</c:v>
                </c:pt>
                <c:pt idx="290">
                  <c:v>-3117251.0450419728</c:v>
                </c:pt>
                <c:pt idx="291">
                  <c:v>-3108052.9791462626</c:v>
                </c:pt>
                <c:pt idx="292">
                  <c:v>-3098898.9666586285</c:v>
                </c:pt>
                <c:pt idx="293">
                  <c:v>-3089788.8592291572</c:v>
                </c:pt>
                <c:pt idx="294">
                  <c:v>-3080722.5045882012</c:v>
                </c:pt>
                <c:pt idx="295">
                  <c:v>-3071699.7467511008</c:v>
                </c:pt>
                <c:pt idx="296">
                  <c:v>-3062720.4262150484</c:v>
                </c:pt>
                <c:pt idx="297">
                  <c:v>-3053784.3801483563</c:v>
                </c:pt>
                <c:pt idx="298">
                  <c:v>-3044891.4425724517</c:v>
                </c:pt>
                <c:pt idx="299">
                  <c:v>-3036041.4445368447</c:v>
                </c:pt>
                <c:pt idx="300">
                  <c:v>-3027234.2142873602</c:v>
                </c:pt>
              </c:numCache>
            </c:numRef>
          </c:yVal>
          <c:smooth val="1"/>
        </c:ser>
        <c:ser>
          <c:idx val="6"/>
          <c:order val="5"/>
          <c:marker>
            <c:symbol val="none"/>
          </c:marker>
          <c:xVal>
            <c:numRef>
              <c:f>NPV!$C$6:$C$306</c:f>
              <c:numCache>
                <c:formatCode>General</c:formatCode>
                <c:ptCount val="301"/>
                <c:pt idx="0">
                  <c:v>-0.99</c:v>
                </c:pt>
                <c:pt idx="1">
                  <c:v>-0.98</c:v>
                </c:pt>
                <c:pt idx="2">
                  <c:v>-0.97</c:v>
                </c:pt>
                <c:pt idx="3">
                  <c:v>-0.96</c:v>
                </c:pt>
                <c:pt idx="4">
                  <c:v>-0.95</c:v>
                </c:pt>
                <c:pt idx="5">
                  <c:v>-0.94</c:v>
                </c:pt>
                <c:pt idx="6">
                  <c:v>-0.93</c:v>
                </c:pt>
                <c:pt idx="7">
                  <c:v>-0.92</c:v>
                </c:pt>
                <c:pt idx="8">
                  <c:v>-0.91</c:v>
                </c:pt>
                <c:pt idx="9">
                  <c:v>-0.9</c:v>
                </c:pt>
                <c:pt idx="10">
                  <c:v>-0.89</c:v>
                </c:pt>
                <c:pt idx="11">
                  <c:v>-0.88</c:v>
                </c:pt>
                <c:pt idx="12">
                  <c:v>-0.87</c:v>
                </c:pt>
                <c:pt idx="13">
                  <c:v>-0.86</c:v>
                </c:pt>
                <c:pt idx="14">
                  <c:v>-0.85</c:v>
                </c:pt>
                <c:pt idx="15">
                  <c:v>-0.84</c:v>
                </c:pt>
                <c:pt idx="16">
                  <c:v>-0.83</c:v>
                </c:pt>
                <c:pt idx="17">
                  <c:v>-0.82</c:v>
                </c:pt>
                <c:pt idx="18">
                  <c:v>-0.81</c:v>
                </c:pt>
                <c:pt idx="19">
                  <c:v>-0.8</c:v>
                </c:pt>
                <c:pt idx="20">
                  <c:v>-0.79</c:v>
                </c:pt>
                <c:pt idx="21">
                  <c:v>-0.78</c:v>
                </c:pt>
                <c:pt idx="22">
                  <c:v>-0.77</c:v>
                </c:pt>
                <c:pt idx="23">
                  <c:v>-0.76</c:v>
                </c:pt>
                <c:pt idx="24">
                  <c:v>-0.75</c:v>
                </c:pt>
                <c:pt idx="25">
                  <c:v>-0.74</c:v>
                </c:pt>
                <c:pt idx="26">
                  <c:v>-0.73</c:v>
                </c:pt>
                <c:pt idx="27">
                  <c:v>-0.72</c:v>
                </c:pt>
                <c:pt idx="28">
                  <c:v>-0.71</c:v>
                </c:pt>
                <c:pt idx="29">
                  <c:v>-0.7</c:v>
                </c:pt>
                <c:pt idx="30">
                  <c:v>-0.69</c:v>
                </c:pt>
                <c:pt idx="31">
                  <c:v>-0.68</c:v>
                </c:pt>
                <c:pt idx="32">
                  <c:v>-0.67</c:v>
                </c:pt>
                <c:pt idx="33">
                  <c:v>-0.66</c:v>
                </c:pt>
                <c:pt idx="34">
                  <c:v>-0.65</c:v>
                </c:pt>
                <c:pt idx="35">
                  <c:v>-0.64</c:v>
                </c:pt>
                <c:pt idx="36">
                  <c:v>-0.63</c:v>
                </c:pt>
                <c:pt idx="37">
                  <c:v>-0.62</c:v>
                </c:pt>
                <c:pt idx="38">
                  <c:v>-0.61</c:v>
                </c:pt>
                <c:pt idx="39">
                  <c:v>-0.6</c:v>
                </c:pt>
                <c:pt idx="40">
                  <c:v>-0.59</c:v>
                </c:pt>
                <c:pt idx="41">
                  <c:v>-0.57999999999999996</c:v>
                </c:pt>
                <c:pt idx="42">
                  <c:v>-0.56999999999999995</c:v>
                </c:pt>
                <c:pt idx="43">
                  <c:v>-0.56000000000000005</c:v>
                </c:pt>
                <c:pt idx="44">
                  <c:v>-0.55000000000000004</c:v>
                </c:pt>
                <c:pt idx="45">
                  <c:v>-0.54</c:v>
                </c:pt>
                <c:pt idx="46">
                  <c:v>-0.53</c:v>
                </c:pt>
                <c:pt idx="47">
                  <c:v>-0.52</c:v>
                </c:pt>
                <c:pt idx="48">
                  <c:v>-0.51</c:v>
                </c:pt>
                <c:pt idx="49">
                  <c:v>-0.5</c:v>
                </c:pt>
                <c:pt idx="50">
                  <c:v>-0.49</c:v>
                </c:pt>
                <c:pt idx="51">
                  <c:v>-0.48</c:v>
                </c:pt>
                <c:pt idx="52">
                  <c:v>-0.47</c:v>
                </c:pt>
                <c:pt idx="53">
                  <c:v>-0.46</c:v>
                </c:pt>
                <c:pt idx="54">
                  <c:v>-0.45</c:v>
                </c:pt>
                <c:pt idx="55">
                  <c:v>-0.44</c:v>
                </c:pt>
                <c:pt idx="56">
                  <c:v>-0.42999999999999899</c:v>
                </c:pt>
                <c:pt idx="57">
                  <c:v>-0.41999999999999899</c:v>
                </c:pt>
                <c:pt idx="58">
                  <c:v>-0.40999999999999898</c:v>
                </c:pt>
                <c:pt idx="59">
                  <c:v>-0.39999999999999902</c:v>
                </c:pt>
                <c:pt idx="60">
                  <c:v>-0.38999999999999901</c:v>
                </c:pt>
                <c:pt idx="61">
                  <c:v>-0.37999999999999901</c:v>
                </c:pt>
                <c:pt idx="62">
                  <c:v>-0.369999999999999</c:v>
                </c:pt>
                <c:pt idx="63">
                  <c:v>-0.35999999999999899</c:v>
                </c:pt>
                <c:pt idx="64">
                  <c:v>-0.34999999999999898</c:v>
                </c:pt>
                <c:pt idx="65">
                  <c:v>-0.33999999999999903</c:v>
                </c:pt>
                <c:pt idx="66">
                  <c:v>-0.32999999999999902</c:v>
                </c:pt>
                <c:pt idx="67">
                  <c:v>-0.31999999999999901</c:v>
                </c:pt>
                <c:pt idx="68">
                  <c:v>-0.309999999999999</c:v>
                </c:pt>
                <c:pt idx="69">
                  <c:v>-0.29999999999999899</c:v>
                </c:pt>
                <c:pt idx="70">
                  <c:v>-0.28999999999999898</c:v>
                </c:pt>
                <c:pt idx="71">
                  <c:v>-0.27999999999999903</c:v>
                </c:pt>
                <c:pt idx="72">
                  <c:v>-0.26999999999999902</c:v>
                </c:pt>
                <c:pt idx="73">
                  <c:v>-0.25999999999999901</c:v>
                </c:pt>
                <c:pt idx="74">
                  <c:v>-0.249999999999999</c:v>
                </c:pt>
                <c:pt idx="75">
                  <c:v>-0.23999999999999899</c:v>
                </c:pt>
                <c:pt idx="76">
                  <c:v>-0.22999999999999901</c:v>
                </c:pt>
                <c:pt idx="77">
                  <c:v>-0.219999999999999</c:v>
                </c:pt>
                <c:pt idx="78">
                  <c:v>-0.20999999999999899</c:v>
                </c:pt>
                <c:pt idx="79">
                  <c:v>-0.19999999999999901</c:v>
                </c:pt>
                <c:pt idx="80">
                  <c:v>-0.189999999999999</c:v>
                </c:pt>
                <c:pt idx="81">
                  <c:v>-0.17999999999999899</c:v>
                </c:pt>
                <c:pt idx="82">
                  <c:v>-0.16999999999999901</c:v>
                </c:pt>
                <c:pt idx="83">
                  <c:v>-0.159999999999999</c:v>
                </c:pt>
                <c:pt idx="84">
                  <c:v>-0.149999999999999</c:v>
                </c:pt>
                <c:pt idx="85">
                  <c:v>-0.13999999999999899</c:v>
                </c:pt>
                <c:pt idx="86">
                  <c:v>-0.12999999999999901</c:v>
                </c:pt>
                <c:pt idx="87">
                  <c:v>-0.119999999999999</c:v>
                </c:pt>
                <c:pt idx="88">
                  <c:v>-0.109999999999999</c:v>
                </c:pt>
                <c:pt idx="89">
                  <c:v>-9.9999999999999006E-2</c:v>
                </c:pt>
                <c:pt idx="90">
                  <c:v>-8.9999999999998997E-2</c:v>
                </c:pt>
                <c:pt idx="91">
                  <c:v>-7.9999999999999002E-2</c:v>
                </c:pt>
                <c:pt idx="92">
                  <c:v>-6.9999999999998994E-2</c:v>
                </c:pt>
                <c:pt idx="93">
                  <c:v>-5.9999999999999103E-2</c:v>
                </c:pt>
                <c:pt idx="94">
                  <c:v>-4.9999999999998997E-2</c:v>
                </c:pt>
                <c:pt idx="95">
                  <c:v>-3.9999999999999002E-2</c:v>
                </c:pt>
                <c:pt idx="96">
                  <c:v>-2.9999999999999E-2</c:v>
                </c:pt>
                <c:pt idx="97">
                  <c:v>-1.9999999999999001E-2</c:v>
                </c:pt>
                <c:pt idx="98">
                  <c:v>-9.9999999999990097E-3</c:v>
                </c:pt>
                <c:pt idx="99">
                  <c:v>0</c:v>
                </c:pt>
                <c:pt idx="100">
                  <c:v>0.01</c:v>
                </c:pt>
                <c:pt idx="101">
                  <c:v>0.02</c:v>
                </c:pt>
                <c:pt idx="102">
                  <c:v>0.03</c:v>
                </c:pt>
                <c:pt idx="103">
                  <c:v>0.04</c:v>
                </c:pt>
                <c:pt idx="104">
                  <c:v>0.05</c:v>
                </c:pt>
                <c:pt idx="105">
                  <c:v>6.0000000000000102E-2</c:v>
                </c:pt>
                <c:pt idx="106">
                  <c:v>7.0000000000000104E-2</c:v>
                </c:pt>
                <c:pt idx="107">
                  <c:v>8.0000000000000099E-2</c:v>
                </c:pt>
                <c:pt idx="108">
                  <c:v>9.0000000000000094E-2</c:v>
                </c:pt>
                <c:pt idx="109">
                  <c:v>0.1</c:v>
                </c:pt>
                <c:pt idx="110">
                  <c:v>0.11</c:v>
                </c:pt>
                <c:pt idx="111">
                  <c:v>0.12</c:v>
                </c:pt>
                <c:pt idx="112">
                  <c:v>0.13</c:v>
                </c:pt>
                <c:pt idx="113">
                  <c:v>0.14000000000000001</c:v>
                </c:pt>
                <c:pt idx="114">
                  <c:v>0.15</c:v>
                </c:pt>
                <c:pt idx="115">
                  <c:v>0.16</c:v>
                </c:pt>
                <c:pt idx="116">
                  <c:v>0.17</c:v>
                </c:pt>
                <c:pt idx="117">
                  <c:v>0.18</c:v>
                </c:pt>
                <c:pt idx="118">
                  <c:v>0.19</c:v>
                </c:pt>
                <c:pt idx="119">
                  <c:v>0.2</c:v>
                </c:pt>
                <c:pt idx="120">
                  <c:v>0.21</c:v>
                </c:pt>
                <c:pt idx="121">
                  <c:v>0.22</c:v>
                </c:pt>
                <c:pt idx="122">
                  <c:v>0.23</c:v>
                </c:pt>
                <c:pt idx="123">
                  <c:v>0.24</c:v>
                </c:pt>
                <c:pt idx="124">
                  <c:v>0.25</c:v>
                </c:pt>
                <c:pt idx="125">
                  <c:v>0.26</c:v>
                </c:pt>
                <c:pt idx="126">
                  <c:v>0.27</c:v>
                </c:pt>
                <c:pt idx="127">
                  <c:v>0.28000000000000003</c:v>
                </c:pt>
                <c:pt idx="128">
                  <c:v>0.28999999999999998</c:v>
                </c:pt>
                <c:pt idx="129">
                  <c:v>0.3</c:v>
                </c:pt>
                <c:pt idx="130">
                  <c:v>0.31</c:v>
                </c:pt>
                <c:pt idx="131">
                  <c:v>0.32</c:v>
                </c:pt>
                <c:pt idx="132">
                  <c:v>0.33</c:v>
                </c:pt>
                <c:pt idx="133">
                  <c:v>0.34</c:v>
                </c:pt>
                <c:pt idx="134">
                  <c:v>0.35</c:v>
                </c:pt>
                <c:pt idx="135">
                  <c:v>0.36</c:v>
                </c:pt>
                <c:pt idx="136">
                  <c:v>0.37</c:v>
                </c:pt>
                <c:pt idx="137">
                  <c:v>0.38</c:v>
                </c:pt>
                <c:pt idx="138">
                  <c:v>0.39</c:v>
                </c:pt>
                <c:pt idx="139">
                  <c:v>0.4</c:v>
                </c:pt>
                <c:pt idx="140">
                  <c:v>0.41</c:v>
                </c:pt>
                <c:pt idx="141">
                  <c:v>0.42</c:v>
                </c:pt>
                <c:pt idx="142">
                  <c:v>0.43</c:v>
                </c:pt>
                <c:pt idx="143">
                  <c:v>0.44</c:v>
                </c:pt>
                <c:pt idx="144">
                  <c:v>0.45</c:v>
                </c:pt>
                <c:pt idx="145">
                  <c:v>0.46</c:v>
                </c:pt>
                <c:pt idx="146">
                  <c:v>0.47</c:v>
                </c:pt>
                <c:pt idx="147">
                  <c:v>0.48</c:v>
                </c:pt>
                <c:pt idx="148">
                  <c:v>0.49</c:v>
                </c:pt>
                <c:pt idx="149">
                  <c:v>0.5</c:v>
                </c:pt>
                <c:pt idx="150">
                  <c:v>0.51</c:v>
                </c:pt>
                <c:pt idx="151">
                  <c:v>0.52</c:v>
                </c:pt>
                <c:pt idx="152">
                  <c:v>0.53</c:v>
                </c:pt>
                <c:pt idx="153">
                  <c:v>0.54</c:v>
                </c:pt>
                <c:pt idx="154">
                  <c:v>0.55000000000000004</c:v>
                </c:pt>
                <c:pt idx="155">
                  <c:v>0.56000000000000005</c:v>
                </c:pt>
                <c:pt idx="156">
                  <c:v>0.56999999999999995</c:v>
                </c:pt>
                <c:pt idx="157">
                  <c:v>0.57999999999999996</c:v>
                </c:pt>
                <c:pt idx="158">
                  <c:v>0.59</c:v>
                </c:pt>
                <c:pt idx="159">
                  <c:v>0.6</c:v>
                </c:pt>
                <c:pt idx="160">
                  <c:v>0.61</c:v>
                </c:pt>
                <c:pt idx="161">
                  <c:v>0.62</c:v>
                </c:pt>
                <c:pt idx="162">
                  <c:v>0.63</c:v>
                </c:pt>
                <c:pt idx="163">
                  <c:v>0.64</c:v>
                </c:pt>
                <c:pt idx="164">
                  <c:v>0.65</c:v>
                </c:pt>
                <c:pt idx="165">
                  <c:v>0.66</c:v>
                </c:pt>
                <c:pt idx="166">
                  <c:v>0.67</c:v>
                </c:pt>
                <c:pt idx="167">
                  <c:v>0.68</c:v>
                </c:pt>
                <c:pt idx="168">
                  <c:v>0.69</c:v>
                </c:pt>
                <c:pt idx="169">
                  <c:v>0.7</c:v>
                </c:pt>
                <c:pt idx="170">
                  <c:v>0.71</c:v>
                </c:pt>
                <c:pt idx="171">
                  <c:v>0.72</c:v>
                </c:pt>
                <c:pt idx="172">
                  <c:v>0.73</c:v>
                </c:pt>
                <c:pt idx="173">
                  <c:v>0.74</c:v>
                </c:pt>
                <c:pt idx="174">
                  <c:v>0.75</c:v>
                </c:pt>
                <c:pt idx="175">
                  <c:v>0.76</c:v>
                </c:pt>
                <c:pt idx="176">
                  <c:v>0.77</c:v>
                </c:pt>
                <c:pt idx="177">
                  <c:v>0.78</c:v>
                </c:pt>
                <c:pt idx="178">
                  <c:v>0.79</c:v>
                </c:pt>
                <c:pt idx="179">
                  <c:v>0.8</c:v>
                </c:pt>
                <c:pt idx="180">
                  <c:v>0.81</c:v>
                </c:pt>
                <c:pt idx="181">
                  <c:v>0.82</c:v>
                </c:pt>
                <c:pt idx="182">
                  <c:v>0.83</c:v>
                </c:pt>
                <c:pt idx="183">
                  <c:v>0.84</c:v>
                </c:pt>
                <c:pt idx="184">
                  <c:v>0.85</c:v>
                </c:pt>
                <c:pt idx="185">
                  <c:v>0.86</c:v>
                </c:pt>
                <c:pt idx="186">
                  <c:v>0.87</c:v>
                </c:pt>
                <c:pt idx="187">
                  <c:v>0.88</c:v>
                </c:pt>
                <c:pt idx="188">
                  <c:v>0.89</c:v>
                </c:pt>
                <c:pt idx="189">
                  <c:v>0.9</c:v>
                </c:pt>
                <c:pt idx="190">
                  <c:v>0.91</c:v>
                </c:pt>
                <c:pt idx="191">
                  <c:v>0.92</c:v>
                </c:pt>
                <c:pt idx="192">
                  <c:v>0.93</c:v>
                </c:pt>
                <c:pt idx="193">
                  <c:v>0.94</c:v>
                </c:pt>
                <c:pt idx="194">
                  <c:v>0.95</c:v>
                </c:pt>
                <c:pt idx="195">
                  <c:v>0.96</c:v>
                </c:pt>
                <c:pt idx="196">
                  <c:v>0.97</c:v>
                </c:pt>
                <c:pt idx="197">
                  <c:v>0.98</c:v>
                </c:pt>
                <c:pt idx="198">
                  <c:v>0.99</c:v>
                </c:pt>
                <c:pt idx="199">
                  <c:v>1</c:v>
                </c:pt>
                <c:pt idx="200">
                  <c:v>1.01</c:v>
                </c:pt>
                <c:pt idx="201">
                  <c:v>1.02</c:v>
                </c:pt>
                <c:pt idx="202">
                  <c:v>1.03</c:v>
                </c:pt>
                <c:pt idx="203">
                  <c:v>1.04</c:v>
                </c:pt>
                <c:pt idx="204">
                  <c:v>1.05</c:v>
                </c:pt>
                <c:pt idx="205">
                  <c:v>1.06</c:v>
                </c:pt>
                <c:pt idx="206">
                  <c:v>1.07</c:v>
                </c:pt>
                <c:pt idx="207">
                  <c:v>1.08</c:v>
                </c:pt>
                <c:pt idx="208">
                  <c:v>1.0900000000000001</c:v>
                </c:pt>
                <c:pt idx="209">
                  <c:v>1.1000000000000001</c:v>
                </c:pt>
                <c:pt idx="210">
                  <c:v>1.1100000000000001</c:v>
                </c:pt>
                <c:pt idx="211">
                  <c:v>1.1200000000000001</c:v>
                </c:pt>
                <c:pt idx="212">
                  <c:v>1.1299999999999999</c:v>
                </c:pt>
                <c:pt idx="213">
                  <c:v>1.1399999999999999</c:v>
                </c:pt>
                <c:pt idx="214">
                  <c:v>1.1499999999999999</c:v>
                </c:pt>
                <c:pt idx="215">
                  <c:v>1.1599999999999999</c:v>
                </c:pt>
                <c:pt idx="216">
                  <c:v>1.17</c:v>
                </c:pt>
                <c:pt idx="217">
                  <c:v>1.18</c:v>
                </c:pt>
                <c:pt idx="218">
                  <c:v>1.19</c:v>
                </c:pt>
                <c:pt idx="219">
                  <c:v>1.2</c:v>
                </c:pt>
                <c:pt idx="220">
                  <c:v>1.21</c:v>
                </c:pt>
                <c:pt idx="221">
                  <c:v>1.22</c:v>
                </c:pt>
                <c:pt idx="222">
                  <c:v>1.23</c:v>
                </c:pt>
                <c:pt idx="223">
                  <c:v>1.24</c:v>
                </c:pt>
                <c:pt idx="224">
                  <c:v>1.25</c:v>
                </c:pt>
                <c:pt idx="225">
                  <c:v>1.26</c:v>
                </c:pt>
                <c:pt idx="226">
                  <c:v>1.27</c:v>
                </c:pt>
                <c:pt idx="227">
                  <c:v>1.28</c:v>
                </c:pt>
                <c:pt idx="228">
                  <c:v>1.29</c:v>
                </c:pt>
                <c:pt idx="229">
                  <c:v>1.3</c:v>
                </c:pt>
                <c:pt idx="230">
                  <c:v>1.31</c:v>
                </c:pt>
                <c:pt idx="231">
                  <c:v>1.32</c:v>
                </c:pt>
                <c:pt idx="232">
                  <c:v>1.33</c:v>
                </c:pt>
                <c:pt idx="233">
                  <c:v>1.34</c:v>
                </c:pt>
                <c:pt idx="234">
                  <c:v>1.35</c:v>
                </c:pt>
                <c:pt idx="235">
                  <c:v>1.36</c:v>
                </c:pt>
                <c:pt idx="236">
                  <c:v>1.37</c:v>
                </c:pt>
                <c:pt idx="237">
                  <c:v>1.38</c:v>
                </c:pt>
                <c:pt idx="238">
                  <c:v>1.39</c:v>
                </c:pt>
                <c:pt idx="239">
                  <c:v>1.4</c:v>
                </c:pt>
                <c:pt idx="240">
                  <c:v>1.41</c:v>
                </c:pt>
                <c:pt idx="241">
                  <c:v>1.42</c:v>
                </c:pt>
                <c:pt idx="242">
                  <c:v>1.43</c:v>
                </c:pt>
                <c:pt idx="243">
                  <c:v>1.44</c:v>
                </c:pt>
                <c:pt idx="244">
                  <c:v>1.45</c:v>
                </c:pt>
                <c:pt idx="245">
                  <c:v>1.46</c:v>
                </c:pt>
                <c:pt idx="246">
                  <c:v>1.47</c:v>
                </c:pt>
                <c:pt idx="247">
                  <c:v>1.48</c:v>
                </c:pt>
                <c:pt idx="248">
                  <c:v>1.49</c:v>
                </c:pt>
                <c:pt idx="249">
                  <c:v>1.5</c:v>
                </c:pt>
                <c:pt idx="250">
                  <c:v>1.51</c:v>
                </c:pt>
                <c:pt idx="251">
                  <c:v>1.52</c:v>
                </c:pt>
                <c:pt idx="252">
                  <c:v>1.53</c:v>
                </c:pt>
                <c:pt idx="253">
                  <c:v>1.54</c:v>
                </c:pt>
                <c:pt idx="254">
                  <c:v>1.55</c:v>
                </c:pt>
                <c:pt idx="255">
                  <c:v>1.56</c:v>
                </c:pt>
                <c:pt idx="256">
                  <c:v>1.57</c:v>
                </c:pt>
                <c:pt idx="257">
                  <c:v>1.58</c:v>
                </c:pt>
                <c:pt idx="258">
                  <c:v>1.59</c:v>
                </c:pt>
                <c:pt idx="259">
                  <c:v>1.6</c:v>
                </c:pt>
                <c:pt idx="260">
                  <c:v>1.61</c:v>
                </c:pt>
                <c:pt idx="261">
                  <c:v>1.62</c:v>
                </c:pt>
                <c:pt idx="262">
                  <c:v>1.63</c:v>
                </c:pt>
                <c:pt idx="263">
                  <c:v>1.64</c:v>
                </c:pt>
                <c:pt idx="264">
                  <c:v>1.65</c:v>
                </c:pt>
                <c:pt idx="265">
                  <c:v>1.66</c:v>
                </c:pt>
                <c:pt idx="266">
                  <c:v>1.67</c:v>
                </c:pt>
                <c:pt idx="267">
                  <c:v>1.68</c:v>
                </c:pt>
                <c:pt idx="268">
                  <c:v>1.69</c:v>
                </c:pt>
                <c:pt idx="269">
                  <c:v>1.7</c:v>
                </c:pt>
                <c:pt idx="270">
                  <c:v>1.71</c:v>
                </c:pt>
                <c:pt idx="271">
                  <c:v>1.72</c:v>
                </c:pt>
                <c:pt idx="272">
                  <c:v>1.73</c:v>
                </c:pt>
                <c:pt idx="273">
                  <c:v>1.74</c:v>
                </c:pt>
                <c:pt idx="274">
                  <c:v>1.75</c:v>
                </c:pt>
                <c:pt idx="275">
                  <c:v>1.76</c:v>
                </c:pt>
                <c:pt idx="276">
                  <c:v>1.77</c:v>
                </c:pt>
                <c:pt idx="277">
                  <c:v>1.78</c:v>
                </c:pt>
                <c:pt idx="278">
                  <c:v>1.79</c:v>
                </c:pt>
                <c:pt idx="279">
                  <c:v>1.8</c:v>
                </c:pt>
                <c:pt idx="280">
                  <c:v>1.81</c:v>
                </c:pt>
                <c:pt idx="281">
                  <c:v>1.82</c:v>
                </c:pt>
                <c:pt idx="282">
                  <c:v>1.83</c:v>
                </c:pt>
                <c:pt idx="283">
                  <c:v>1.84</c:v>
                </c:pt>
                <c:pt idx="284">
                  <c:v>1.85</c:v>
                </c:pt>
                <c:pt idx="285">
                  <c:v>1.86</c:v>
                </c:pt>
                <c:pt idx="286">
                  <c:v>1.87</c:v>
                </c:pt>
                <c:pt idx="287">
                  <c:v>1.88</c:v>
                </c:pt>
                <c:pt idx="288">
                  <c:v>1.89</c:v>
                </c:pt>
                <c:pt idx="289">
                  <c:v>1.9</c:v>
                </c:pt>
                <c:pt idx="290">
                  <c:v>1.91</c:v>
                </c:pt>
                <c:pt idx="291">
                  <c:v>1.92</c:v>
                </c:pt>
                <c:pt idx="292">
                  <c:v>1.93</c:v>
                </c:pt>
                <c:pt idx="293">
                  <c:v>1.94</c:v>
                </c:pt>
                <c:pt idx="294">
                  <c:v>1.95</c:v>
                </c:pt>
                <c:pt idx="295">
                  <c:v>1.96</c:v>
                </c:pt>
                <c:pt idx="296">
                  <c:v>1.97</c:v>
                </c:pt>
                <c:pt idx="297">
                  <c:v>1.98</c:v>
                </c:pt>
                <c:pt idx="298">
                  <c:v>1.99</c:v>
                </c:pt>
                <c:pt idx="299">
                  <c:v>2</c:v>
                </c:pt>
                <c:pt idx="300">
                  <c:v>2.0099999999999998</c:v>
                </c:pt>
              </c:numCache>
            </c:numRef>
          </c:xVal>
          <c:yVal>
            <c:numRef>
              <c:f>NPV!$I$6:$I$306</c:f>
              <c:numCache>
                <c:formatCode>"$"#,##0.00_);[Red]\("$"#,##0.00\)</c:formatCode>
                <c:ptCount val="301"/>
                <c:pt idx="0">
                  <c:v>8.2446520652246761E+19</c:v>
                </c:pt>
                <c:pt idx="1">
                  <c:v>6.5736403204730138E+17</c:v>
                </c:pt>
                <c:pt idx="2">
                  <c:v>3.9266707797044744E+16</c:v>
                </c:pt>
                <c:pt idx="3">
                  <c:v>5349703556034037</c:v>
                </c:pt>
                <c:pt idx="4">
                  <c:v>1145144312879963.7</c:v>
                </c:pt>
                <c:pt idx="5">
                  <c:v>326228148135004</c:v>
                </c:pt>
                <c:pt idx="6">
                  <c:v>113203066311413.34</c:v>
                </c:pt>
                <c:pt idx="7">
                  <c:v>45385599023864.719</c:v>
                </c:pt>
                <c:pt idx="8">
                  <c:v>20318789355281.113</c:v>
                </c:pt>
                <c:pt idx="9">
                  <c:v>9924100772152.9023</c:v>
                </c:pt>
                <c:pt idx="10">
                  <c:v>5201045964881.1562</c:v>
                </c:pt>
                <c:pt idx="11">
                  <c:v>2889186218267.6636</c:v>
                </c:pt>
                <c:pt idx="12">
                  <c:v>1685410016692.1345</c:v>
                </c:pt>
                <c:pt idx="13">
                  <c:v>1025039923275.6216</c:v>
                </c:pt>
                <c:pt idx="14">
                  <c:v>646237618679.26306</c:v>
                </c:pt>
                <c:pt idx="15">
                  <c:v>420391191220.5553</c:v>
                </c:pt>
                <c:pt idx="16">
                  <c:v>281114886155.43884</c:v>
                </c:pt>
                <c:pt idx="17">
                  <c:v>192629778469.28003</c:v>
                </c:pt>
                <c:pt idx="18">
                  <c:v>134906628963.69344</c:v>
                </c:pt>
                <c:pt idx="19">
                  <c:v>96349495604.362778</c:v>
                </c:pt>
                <c:pt idx="20">
                  <c:v>70040406572.968643</c:v>
                </c:pt>
                <c:pt idx="21">
                  <c:v>51739489757.003822</c:v>
                </c:pt>
                <c:pt idx="22">
                  <c:v>38784222542.73391</c:v>
                </c:pt>
                <c:pt idx="23">
                  <c:v>29465280645.334999</c:v>
                </c:pt>
                <c:pt idx="24">
                  <c:v>22662967036.690048</c:v>
                </c:pt>
                <c:pt idx="25">
                  <c:v>17630173077.359543</c:v>
                </c:pt>
                <c:pt idx="26">
                  <c:v>13859876895.941584</c:v>
                </c:pt>
                <c:pt idx="27">
                  <c:v>11002569846.058327</c:v>
                </c:pt>
                <c:pt idx="28">
                  <c:v>8813812874.3263779</c:v>
                </c:pt>
                <c:pt idx="29">
                  <c:v>7120340123.6383982</c:v>
                </c:pt>
                <c:pt idx="30">
                  <c:v>5797791567.6006994</c:v>
                </c:pt>
                <c:pt idx="31">
                  <c:v>4755862436.5035868</c:v>
                </c:pt>
                <c:pt idx="32">
                  <c:v>3928258628.8991942</c:v>
                </c:pt>
                <c:pt idx="33">
                  <c:v>3265812803.8909116</c:v>
                </c:pt>
                <c:pt idx="34">
                  <c:v>2731708100.7325392</c:v>
                </c:pt>
                <c:pt idx="35">
                  <c:v>2298125644.939467</c:v>
                </c:pt>
                <c:pt idx="36">
                  <c:v>1943865678.5045624</c:v>
                </c:pt>
                <c:pt idx="37">
                  <c:v>1652642164.6853211</c:v>
                </c:pt>
                <c:pt idx="38">
                  <c:v>1411848315.4381862</c:v>
                </c:pt>
                <c:pt idx="39">
                  <c:v>1211654790.2300613</c:v>
                </c:pt>
                <c:pt idx="40">
                  <c:v>1044345184.6674699</c:v>
                </c:pt>
                <c:pt idx="41">
                  <c:v>903822331.74429739</c:v>
                </c:pt>
                <c:pt idx="42">
                  <c:v>785238635.28497303</c:v>
                </c:pt>
                <c:pt idx="43">
                  <c:v>684717213.52764106</c:v>
                </c:pt>
                <c:pt idx="44">
                  <c:v>599140053.58909726</c:v>
                </c:pt>
                <c:pt idx="45">
                  <c:v>525985986.13824433</c:v>
                </c:pt>
                <c:pt idx="46">
                  <c:v>463205964.84679723</c:v>
                </c:pt>
                <c:pt idx="47">
                  <c:v>409126470.14774019</c:v>
                </c:pt>
                <c:pt idx="48">
                  <c:v>362374254.58819258</c:v>
                </c:pt>
                <c:pt idx="49">
                  <c:v>321817384.03970546</c:v>
                </c:pt>
                <c:pt idx="50">
                  <c:v>286518796.43241268</c:v>
                </c:pt>
                <c:pt idx="51">
                  <c:v>255699530.86122549</c:v>
                </c:pt>
                <c:pt idx="52">
                  <c:v>228709468.60840183</c:v>
                </c:pt>
                <c:pt idx="53">
                  <c:v>205003940.22505057</c:v>
                </c:pt>
                <c:pt idx="54">
                  <c:v>184124936.67390206</c:v>
                </c:pt>
                <c:pt idx="55">
                  <c:v>165685951.67717254</c:v>
                </c:pt>
                <c:pt idx="56">
                  <c:v>149359701.43795335</c:v>
                </c:pt>
                <c:pt idx="57">
                  <c:v>134868134.7158114</c:v>
                </c:pt>
                <c:pt idx="58">
                  <c:v>121974273.94830936</c:v>
                </c:pt>
                <c:pt idx="59">
                  <c:v>110475526.3782721</c:v>
                </c:pt>
                <c:pt idx="60">
                  <c:v>100198180.12702812</c:v>
                </c:pt>
                <c:pt idx="61">
                  <c:v>90992859.177153721</c:v>
                </c:pt>
                <c:pt idx="62">
                  <c:v>82730757.286403641</c:v>
                </c:pt>
                <c:pt idx="63">
                  <c:v>75300506.952733815</c:v>
                </c:pt>
                <c:pt idx="64">
                  <c:v>68605567.962055027</c:v>
                </c:pt>
                <c:pt idx="65">
                  <c:v>62562042.503777996</c:v>
                </c:pt>
                <c:pt idx="66">
                  <c:v>57096841.65411216</c:v>
                </c:pt>
                <c:pt idx="67">
                  <c:v>52146142.215886295</c:v>
                </c:pt>
                <c:pt idx="68">
                  <c:v>47654084.24641306</c:v>
                </c:pt>
                <c:pt idx="69">
                  <c:v>43571668.705135398</c:v>
                </c:pt>
                <c:pt idx="70">
                  <c:v>39855821.979328461</c:v>
                </c:pt>
                <c:pt idx="71">
                  <c:v>36468599.964666329</c:v>
                </c:pt>
                <c:pt idx="72">
                  <c:v>33376509.174306389</c:v>
                </c:pt>
                <c:pt idx="73">
                  <c:v>30549926.25029682</c:v>
                </c:pt>
                <c:pt idx="74">
                  <c:v>27962600.432030875</c:v>
                </c:pt>
                <c:pt idx="75">
                  <c:v>25591226.138618462</c:v>
                </c:pt>
                <c:pt idx="76">
                  <c:v>23415074.956963811</c:v>
                </c:pt>
                <c:pt idx="77">
                  <c:v>21415678.083922684</c:v>
                </c:pt>
                <c:pt idx="78">
                  <c:v>19576551.720214587</c:v>
                </c:pt>
                <c:pt idx="79">
                  <c:v>17882959.112772629</c:v>
                </c:pt>
                <c:pt idx="80">
                  <c:v>16321703.93675876</c:v>
                </c:pt>
                <c:pt idx="81">
                  <c:v>14880950.535537485</c:v>
                </c:pt>
                <c:pt idx="82">
                  <c:v>13550067.226405161</c:v>
                </c:pt>
                <c:pt idx="83">
                  <c:v>12319489.456097146</c:v>
                </c:pt>
                <c:pt idx="84">
                  <c:v>11180600.072791228</c:v>
                </c:pt>
                <c:pt idx="85">
                  <c:v>10125624.386613576</c:v>
                </c:pt>
                <c:pt idx="86">
                  <c:v>9147538.0317130182</c:v>
                </c:pt>
                <c:pt idx="87">
                  <c:v>8239985.9306134591</c:v>
                </c:pt>
                <c:pt idx="88">
                  <c:v>7397210.9046702273</c:v>
                </c:pt>
                <c:pt idx="89">
                  <c:v>6613990.6803691406</c:v>
                </c:pt>
                <c:pt idx="90">
                  <c:v>5885582.2159684002</c:v>
                </c:pt>
                <c:pt idx="91">
                  <c:v>5207672.4216032652</c:v>
                </c:pt>
                <c:pt idx="92">
                  <c:v>4576334.4726100797</c:v>
                </c:pt>
                <c:pt idx="93">
                  <c:v>3987989.0239384058</c:v>
                </c:pt>
                <c:pt idx="94">
                  <c:v>3439369.7259899573</c:v>
                </c:pt>
                <c:pt idx="95">
                  <c:v>2927492.5214597965</c:v>
                </c:pt>
                <c:pt idx="96">
                  <c:v>2449628.2707733861</c:v>
                </c:pt>
                <c:pt idx="97">
                  <c:v>2003278.3122045421</c:v>
                </c:pt>
                <c:pt idx="98">
                  <c:v>1586152.6131438857</c:v>
                </c:pt>
                <c:pt idx="99">
                  <c:v>1196150.2124623414</c:v>
                </c:pt>
                <c:pt idx="100">
                  <c:v>831341.69148825167</c:v>
                </c:pt>
                <c:pt idx="101">
                  <c:v>489953.44364459033</c:v>
                </c:pt>
                <c:pt idx="102">
                  <c:v>170353.54099355984</c:v>
                </c:pt>
                <c:pt idx="103">
                  <c:v>-128960.97957233679</c:v>
                </c:pt>
                <c:pt idx="104">
                  <c:v>-409375.56645530462</c:v>
                </c:pt>
                <c:pt idx="105">
                  <c:v>-672168.47720408812</c:v>
                </c:pt>
                <c:pt idx="106">
                  <c:v>-918520.09732162266</c:v>
                </c:pt>
                <c:pt idx="107">
                  <c:v>-1149521.3611225113</c:v>
                </c:pt>
                <c:pt idx="108">
                  <c:v>-1366181.3693699776</c:v>
                </c:pt>
                <c:pt idx="109">
                  <c:v>-1569434.2875915323</c:v>
                </c:pt>
                <c:pt idx="110">
                  <c:v>-1760145.5994730208</c:v>
                </c:pt>
                <c:pt idx="111">
                  <c:v>-1939117.7813873433</c:v>
                </c:pt>
                <c:pt idx="112">
                  <c:v>-2107095.4567769351</c:v>
                </c:pt>
                <c:pt idx="113">
                  <c:v>-2264770.0826481758</c:v>
                </c:pt>
                <c:pt idx="114">
                  <c:v>-2412784.2147397357</c:v>
                </c:pt>
                <c:pt idx="115">
                  <c:v>-2551735.3928988311</c:v>
                </c:pt>
                <c:pt idx="116">
                  <c:v>-2682179.6837551384</c:v>
                </c:pt>
                <c:pt idx="117">
                  <c:v>-2804634.9138503084</c:v>
                </c:pt>
                <c:pt idx="118">
                  <c:v>-2919583.6228973302</c:v>
                </c:pt>
                <c:pt idx="119">
                  <c:v>-3027475.7637547497</c:v>
                </c:pt>
                <c:pt idx="120">
                  <c:v>-3128731.172957602</c:v>
                </c:pt>
                <c:pt idx="121">
                  <c:v>-3223741.8332087565</c:v>
                </c:pt>
                <c:pt idx="122">
                  <c:v>-3312873.947064762</c:v>
                </c:pt>
                <c:pt idx="123">
                  <c:v>-3396469.8391175815</c:v>
                </c:pt>
                <c:pt idx="124">
                  <c:v>-3474849.7022503028</c:v>
                </c:pt>
                <c:pt idx="125">
                  <c:v>-3548313.2020064457</c:v>
                </c:pt>
                <c:pt idx="126">
                  <c:v>-3617140.9517379552</c:v>
                </c:pt>
                <c:pt idx="127">
                  <c:v>-3681595.8699674518</c:v>
                </c:pt>
                <c:pt idx="128">
                  <c:v>-3741924.4302995009</c:v>
                </c:pt>
                <c:pt idx="129">
                  <c:v>-3798357.8132291911</c:v>
                </c:pt>
                <c:pt idx="130">
                  <c:v>-3851112.9683112954</c:v>
                </c:pt>
                <c:pt idx="131">
                  <c:v>-3900393.5943588684</c:v>
                </c:pt>
                <c:pt idx="132">
                  <c:v>-3946391.0446258979</c:v>
                </c:pt>
                <c:pt idx="133">
                  <c:v>-3989285.1632864387</c:v>
                </c:pt>
                <c:pt idx="134">
                  <c:v>-4029245.0589443017</c:v>
                </c:pt>
                <c:pt idx="135">
                  <c:v>-4066429.8203863082</c:v>
                </c:pt>
                <c:pt idx="136">
                  <c:v>-4100989.1793221137</c:v>
                </c:pt>
                <c:pt idx="137">
                  <c:v>-4133064.1244293922</c:v>
                </c:pt>
                <c:pt idx="138">
                  <c:v>-4162787.4706399678</c:v>
                </c:pt>
                <c:pt idx="139">
                  <c:v>-4190284.3872558796</c:v>
                </c:pt>
                <c:pt idx="140">
                  <c:v>-4215672.8881709334</c:v>
                </c:pt>
                <c:pt idx="141">
                  <c:v>-4239064.2871891679</c:v>
                </c:pt>
                <c:pt idx="142">
                  <c:v>-4260563.6211744817</c:v>
                </c:pt>
                <c:pt idx="143">
                  <c:v>-4280270.04353208</c:v>
                </c:pt>
                <c:pt idx="144">
                  <c:v>-4298277.1903106058</c:v>
                </c:pt>
                <c:pt idx="145">
                  <c:v>-4314673.5210212637</c:v>
                </c:pt>
                <c:pt idx="146">
                  <c:v>-4329542.6360953134</c:v>
                </c:pt>
                <c:pt idx="147">
                  <c:v>-4342963.5727420477</c:v>
                </c:pt>
                <c:pt idx="148">
                  <c:v>-4355011.0808245176</c:v>
                </c:pt>
                <c:pt idx="149">
                  <c:v>-4365755.8802381186</c:v>
                </c:pt>
                <c:pt idx="150">
                  <c:v>-4375264.9011568911</c:v>
                </c:pt>
                <c:pt idx="151">
                  <c:v>-4383601.5084024509</c:v>
                </c:pt>
                <c:pt idx="152">
                  <c:v>-4390825.711090235</c:v>
                </c:pt>
                <c:pt idx="153">
                  <c:v>-4396994.3586162133</c:v>
                </c:pt>
                <c:pt idx="154">
                  <c:v>-4402161.3239633227</c:v>
                </c:pt>
                <c:pt idx="155">
                  <c:v>-4406377.6752304453</c:v>
                </c:pt>
                <c:pt idx="156">
                  <c:v>-4409691.8362165289</c:v>
                </c:pt>
                <c:pt idx="157">
                  <c:v>-4412149.7368282415</c:v>
                </c:pt>
                <c:pt idx="158">
                  <c:v>-4413794.9540207256</c:v>
                </c:pt>
                <c:pt idx="159">
                  <c:v>-4414668.8439269848</c:v>
                </c:pt>
                <c:pt idx="160">
                  <c:v>-4414810.6657819422</c:v>
                </c:pt>
                <c:pt idx="161">
                  <c:v>-4414257.6982017001</c:v>
                </c:pt>
                <c:pt idx="162">
                  <c:v>-4413045.3483367432</c:v>
                </c:pt>
                <c:pt idx="163">
                  <c:v>-4411207.254379428</c:v>
                </c:pt>
                <c:pt idx="164">
                  <c:v>-4408775.3818707578</c:v>
                </c:pt>
                <c:pt idx="165">
                  <c:v>-4405780.1142189251</c:v>
                </c:pt>
                <c:pt idx="166">
                  <c:v>-4402250.3378121154</c:v>
                </c:pt>
                <c:pt idx="167">
                  <c:v>-4398213.5220805872</c:v>
                </c:pt>
                <c:pt idx="168">
                  <c:v>-4393695.794837459</c:v>
                </c:pt>
                <c:pt idx="169">
                  <c:v>-4388722.0132042933</c:v>
                </c:pt>
                <c:pt idx="170">
                  <c:v>-4383315.8304058341</c:v>
                </c:pt>
                <c:pt idx="171">
                  <c:v>-4377499.7586983349</c:v>
                </c:pt>
                <c:pt idx="172">
                  <c:v>-4371295.2286773548</c:v>
                </c:pt>
                <c:pt idx="173">
                  <c:v>-4364722.6451939372</c:v>
                </c:pt>
                <c:pt idx="174">
                  <c:v>-4357801.4400921743</c:v>
                </c:pt>
                <c:pt idx="175">
                  <c:v>-4350550.121966661</c:v>
                </c:pt>
                <c:pt idx="176">
                  <c:v>-4342986.3231247617</c:v>
                </c:pt>
                <c:pt idx="177">
                  <c:v>-4335126.8439260861</c:v>
                </c:pt>
                <c:pt idx="178">
                  <c:v>-4326987.694660007</c:v>
                </c:pt>
                <c:pt idx="179">
                  <c:v>-4318584.1351112342</c:v>
                </c:pt>
                <c:pt idx="180">
                  <c:v>-4309930.7119535366</c:v>
                </c:pt>
                <c:pt idx="181">
                  <c:v>-4301041.2941024089</c:v>
                </c:pt>
                <c:pt idx="182">
                  <c:v>-4291929.1061489033</c:v>
                </c:pt>
                <c:pt idx="183">
                  <c:v>-4282606.7599888286</c:v>
                </c:pt>
                <c:pt idx="184">
                  <c:v>-4273086.2847541654</c:v>
                </c:pt>
                <c:pt idx="185">
                  <c:v>-4263379.1551465727</c:v>
                </c:pt>
                <c:pt idx="186">
                  <c:v>-4253496.3182664914</c:v>
                </c:pt>
                <c:pt idx="187">
                  <c:v>-4243448.2190254014</c:v>
                </c:pt>
                <c:pt idx="188">
                  <c:v>-4233244.8242231663</c:v>
                </c:pt>
                <c:pt idx="189">
                  <c:v>-4222895.6453672908</c:v>
                </c:pt>
                <c:pt idx="190">
                  <c:v>-4212409.7603060864</c:v>
                </c:pt>
                <c:pt idx="191">
                  <c:v>-4201795.8337431867</c:v>
                </c:pt>
                <c:pt idx="192">
                  <c:v>-4191062.1366967885</c:v>
                </c:pt>
                <c:pt idx="193">
                  <c:v>-4180216.5649629543</c:v>
                </c:pt>
                <c:pt idx="194">
                  <c:v>-4169266.6566387536</c:v>
                </c:pt>
                <c:pt idx="195">
                  <c:v>-4158219.6087576007</c:v>
                </c:pt>
                <c:pt idx="196">
                  <c:v>-4147082.2930859523</c:v>
                </c:pt>
                <c:pt idx="197">
                  <c:v>-4135861.2711275602</c:v>
                </c:pt>
                <c:pt idx="198">
                  <c:v>-4124562.8083787411</c:v>
                </c:pt>
                <c:pt idx="199">
                  <c:v>-4113192.8878754517</c:v>
                </c:pt>
                <c:pt idx="200">
                  <c:v>-4101757.223070635</c:v>
                </c:pt>
                <c:pt idx="201">
                  <c:v>-4090261.2700779336</c:v>
                </c:pt>
                <c:pt idx="202">
                  <c:v>-4078710.2393158041</c:v>
                </c:pt>
                <c:pt idx="203">
                  <c:v>-4067109.1065840754</c:v>
                </c:pt>
                <c:pt idx="204">
                  <c:v>-4055462.6236030823</c:v>
                </c:pt>
                <c:pt idx="205">
                  <c:v>-4043775.3280438199</c:v>
                </c:pt>
                <c:pt idx="206">
                  <c:v>-4032051.553075905</c:v>
                </c:pt>
                <c:pt idx="207">
                  <c:v>-4020295.4364585555</c:v>
                </c:pt>
                <c:pt idx="208">
                  <c:v>-4008510.9291984471</c:v>
                </c:pt>
                <c:pt idx="209">
                  <c:v>-3996701.8037968711</c:v>
                </c:pt>
                <c:pt idx="210">
                  <c:v>-3984871.6621074034</c:v>
                </c:pt>
                <c:pt idx="211">
                  <c:v>-3973023.9428240787</c:v>
                </c:pt>
                <c:pt idx="212">
                  <c:v>-3961161.9286189638</c:v>
                </c:pt>
                <c:pt idx="213">
                  <c:v>-3949288.7529469561</c:v>
                </c:pt>
                <c:pt idx="214">
                  <c:v>-3937407.4065346643</c:v>
                </c:pt>
                <c:pt idx="215">
                  <c:v>-3925520.7435692889</c:v>
                </c:pt>
                <c:pt idx="216">
                  <c:v>-3913631.4876025501</c:v>
                </c:pt>
                <c:pt idx="217">
                  <c:v>-3901742.2371839052</c:v>
                </c:pt>
                <c:pt idx="218">
                  <c:v>-3889855.4712364851</c:v>
                </c:pt>
                <c:pt idx="219">
                  <c:v>-3877973.5541885113</c:v>
                </c:pt>
                <c:pt idx="220">
                  <c:v>-3866098.7408722243</c:v>
                </c:pt>
                <c:pt idx="221">
                  <c:v>-3854233.1812017141</c:v>
                </c:pt>
                <c:pt idx="222">
                  <c:v>-3842378.9246404804</c:v>
                </c:pt>
                <c:pt idx="223">
                  <c:v>-3830537.9244688996</c:v>
                </c:pt>
                <c:pt idx="224">
                  <c:v>-3818712.0418613264</c:v>
                </c:pt>
                <c:pt idx="225">
                  <c:v>-3806903.0497819767</c:v>
                </c:pt>
                <c:pt idx="226">
                  <c:v>-3795112.636708294</c:v>
                </c:pt>
                <c:pt idx="227">
                  <c:v>-3783342.4101900486</c:v>
                </c:pt>
                <c:pt idx="228">
                  <c:v>-3771593.9002519678</c:v>
                </c:pt>
                <c:pt idx="229">
                  <c:v>-3759868.5626473436</c:v>
                </c:pt>
                <c:pt idx="230">
                  <c:v>-3748167.7819695976</c:v>
                </c:pt>
                <c:pt idx="231">
                  <c:v>-3736492.8746285369</c:v>
                </c:pt>
                <c:pt idx="232">
                  <c:v>-3724845.091697583</c:v>
                </c:pt>
                <c:pt idx="233">
                  <c:v>-3713225.6216380112</c:v>
                </c:pt>
                <c:pt idx="234">
                  <c:v>-3701635.5929059032</c:v>
                </c:pt>
                <c:pt idx="235">
                  <c:v>-3690076.0764472401</c:v>
                </c:pt>
                <c:pt idx="236">
                  <c:v>-3678548.0880862791</c:v>
                </c:pt>
                <c:pt idx="237">
                  <c:v>-3667052.5908121066</c:v>
                </c:pt>
                <c:pt idx="238">
                  <c:v>-3655590.4969680286</c:v>
                </c:pt>
                <c:pt idx="239">
                  <c:v>-3644162.6703482154</c:v>
                </c:pt>
                <c:pt idx="240">
                  <c:v>-3632769.9282058007</c:v>
                </c:pt>
                <c:pt idx="241">
                  <c:v>-3621413.0431764424</c:v>
                </c:pt>
                <c:pt idx="242">
                  <c:v>-3610092.7451211396</c:v>
                </c:pt>
                <c:pt idx="243">
                  <c:v>-3598809.7228919263</c:v>
                </c:pt>
                <c:pt idx="244">
                  <c:v>-3587564.6260238946</c:v>
                </c:pt>
                <c:pt idx="245">
                  <c:v>-3576358.0663568052</c:v>
                </c:pt>
                <c:pt idx="246">
                  <c:v>-3565190.6195894377</c:v>
                </c:pt>
                <c:pt idx="247">
                  <c:v>-3554062.8267696043</c:v>
                </c:pt>
                <c:pt idx="248">
                  <c:v>-3542975.1957227131</c:v>
                </c:pt>
                <c:pt idx="249">
                  <c:v>-3531928.2024215264</c:v>
                </c:pt>
                <c:pt idx="250">
                  <c:v>-3520922.2922997116</c:v>
                </c:pt>
                <c:pt idx="251">
                  <c:v>-3509957.8815116268</c:v>
                </c:pt>
                <c:pt idx="252">
                  <c:v>-3499035.3581406674</c:v>
                </c:pt>
                <c:pt idx="253">
                  <c:v>-3488155.0833583977</c:v>
                </c:pt>
                <c:pt idx="254">
                  <c:v>-3477317.3925366029</c:v>
                </c:pt>
                <c:pt idx="255">
                  <c:v>-3466522.5963142491</c:v>
                </c:pt>
                <c:pt idx="256">
                  <c:v>-3455770.9816213376</c:v>
                </c:pt>
                <c:pt idx="257">
                  <c:v>-3445062.8126614215</c:v>
                </c:pt>
                <c:pt idx="258">
                  <c:v>-3434398.331854607</c:v>
                </c:pt>
                <c:pt idx="259">
                  <c:v>-3423777.7607426634</c:v>
                </c:pt>
                <c:pt idx="260">
                  <c:v>-3413201.3008578857</c:v>
                </c:pt>
                <c:pt idx="261">
                  <c:v>-3402669.1345571945</c:v>
                </c:pt>
                <c:pt idx="262">
                  <c:v>-3392181.4258229625</c:v>
                </c:pt>
                <c:pt idx="263">
                  <c:v>-3381738.3210319481</c:v>
                </c:pt>
                <c:pt idx="264">
                  <c:v>-3371339.9496936644</c:v>
                </c:pt>
                <c:pt idx="265">
                  <c:v>-3360986.4251594548</c:v>
                </c:pt>
                <c:pt idx="266">
                  <c:v>-3350677.8453035052</c:v>
                </c:pt>
                <c:pt idx="267">
                  <c:v>-3340414.293176916</c:v>
                </c:pt>
                <c:pt idx="268">
                  <c:v>-3330195.8376359809</c:v>
                </c:pt>
                <c:pt idx="269">
                  <c:v>-3320022.5339457309</c:v>
                </c:pt>
                <c:pt idx="270">
                  <c:v>-3309894.4243597058</c:v>
                </c:pt>
                <c:pt idx="271">
                  <c:v>-3299811.5386770023</c:v>
                </c:pt>
                <c:pt idx="272">
                  <c:v>-3289773.8947774558</c:v>
                </c:pt>
                <c:pt idx="273">
                  <c:v>-3279781.4991358896</c:v>
                </c:pt>
                <c:pt idx="274">
                  <c:v>-3269834.3473162474</c:v>
                </c:pt>
                <c:pt idx="275">
                  <c:v>-3259932.4244464394</c:v>
                </c:pt>
                <c:pt idx="276">
                  <c:v>-3250075.7056746813</c:v>
                </c:pt>
                <c:pt idx="277">
                  <c:v>-3240264.1566080563</c:v>
                </c:pt>
                <c:pt idx="278">
                  <c:v>-3230497.7337340112</c:v>
                </c:pt>
                <c:pt idx="279">
                  <c:v>-3220776.3848254969</c:v>
                </c:pt>
                <c:pt idx="280">
                  <c:v>-3211100.0493303565</c:v>
                </c:pt>
                <c:pt idx="281">
                  <c:v>-3201468.6587456367</c:v>
                </c:pt>
                <c:pt idx="282">
                  <c:v>-3191882.136977389</c:v>
                </c:pt>
                <c:pt idx="283">
                  <c:v>-3182340.4006865337</c:v>
                </c:pt>
                <c:pt idx="284">
                  <c:v>-3172843.3596213656</c:v>
                </c:pt>
                <c:pt idx="285">
                  <c:v>-3163390.9169371915</c:v>
                </c:pt>
                <c:pt idx="286">
                  <c:v>-3153982.969503623</c:v>
                </c:pt>
                <c:pt idx="287">
                  <c:v>-3144619.4082000107</c:v>
                </c:pt>
                <c:pt idx="288">
                  <c:v>-3135300.1181994732</c:v>
                </c:pt>
                <c:pt idx="289">
                  <c:v>-3126024.9792419681</c:v>
                </c:pt>
                <c:pt idx="290">
                  <c:v>-3116793.8658968392</c:v>
                </c:pt>
                <c:pt idx="291">
                  <c:v>-3107606.6478152382</c:v>
                </c:pt>
                <c:pt idx="292">
                  <c:v>-3098463.1899728114</c:v>
                </c:pt>
                <c:pt idx="293">
                  <c:v>-3089363.3529030406</c:v>
                </c:pt>
                <c:pt idx="294">
                  <c:v>-3080306.9929215922</c:v>
                </c:pt>
                <c:pt idx="295">
                  <c:v>-3071293.9623420015</c:v>
                </c:pt>
                <c:pt idx="296">
                  <c:v>-3062324.1096830708</c:v>
                </c:pt>
                <c:pt idx="297">
                  <c:v>-3053397.2798682349</c:v>
                </c:pt>
                <c:pt idx="298">
                  <c:v>-3044513.3144172723</c:v>
                </c:pt>
                <c:pt idx="299">
                  <c:v>-3035672.051630585</c:v>
                </c:pt>
                <c:pt idx="300">
                  <c:v>-3026873.3267663918</c:v>
                </c:pt>
              </c:numCache>
            </c:numRef>
          </c:yVal>
          <c:smooth val="1"/>
        </c:ser>
        <c:ser>
          <c:idx val="7"/>
          <c:order val="6"/>
          <c:marker>
            <c:symbol val="none"/>
          </c:marker>
          <c:xVal>
            <c:numRef>
              <c:f>NPV!$C$6:$C$306</c:f>
              <c:numCache>
                <c:formatCode>General</c:formatCode>
                <c:ptCount val="301"/>
                <c:pt idx="0">
                  <c:v>-0.99</c:v>
                </c:pt>
                <c:pt idx="1">
                  <c:v>-0.98</c:v>
                </c:pt>
                <c:pt idx="2">
                  <c:v>-0.97</c:v>
                </c:pt>
                <c:pt idx="3">
                  <c:v>-0.96</c:v>
                </c:pt>
                <c:pt idx="4">
                  <c:v>-0.95</c:v>
                </c:pt>
                <c:pt idx="5">
                  <c:v>-0.94</c:v>
                </c:pt>
                <c:pt idx="6">
                  <c:v>-0.93</c:v>
                </c:pt>
                <c:pt idx="7">
                  <c:v>-0.92</c:v>
                </c:pt>
                <c:pt idx="8">
                  <c:v>-0.91</c:v>
                </c:pt>
                <c:pt idx="9">
                  <c:v>-0.9</c:v>
                </c:pt>
                <c:pt idx="10">
                  <c:v>-0.89</c:v>
                </c:pt>
                <c:pt idx="11">
                  <c:v>-0.88</c:v>
                </c:pt>
                <c:pt idx="12">
                  <c:v>-0.87</c:v>
                </c:pt>
                <c:pt idx="13">
                  <c:v>-0.86</c:v>
                </c:pt>
                <c:pt idx="14">
                  <c:v>-0.85</c:v>
                </c:pt>
                <c:pt idx="15">
                  <c:v>-0.84</c:v>
                </c:pt>
                <c:pt idx="16">
                  <c:v>-0.83</c:v>
                </c:pt>
                <c:pt idx="17">
                  <c:v>-0.82</c:v>
                </c:pt>
                <c:pt idx="18">
                  <c:v>-0.81</c:v>
                </c:pt>
                <c:pt idx="19">
                  <c:v>-0.8</c:v>
                </c:pt>
                <c:pt idx="20">
                  <c:v>-0.79</c:v>
                </c:pt>
                <c:pt idx="21">
                  <c:v>-0.78</c:v>
                </c:pt>
                <c:pt idx="22">
                  <c:v>-0.77</c:v>
                </c:pt>
                <c:pt idx="23">
                  <c:v>-0.76</c:v>
                </c:pt>
                <c:pt idx="24">
                  <c:v>-0.75</c:v>
                </c:pt>
                <c:pt idx="25">
                  <c:v>-0.74</c:v>
                </c:pt>
                <c:pt idx="26">
                  <c:v>-0.73</c:v>
                </c:pt>
                <c:pt idx="27">
                  <c:v>-0.72</c:v>
                </c:pt>
                <c:pt idx="28">
                  <c:v>-0.71</c:v>
                </c:pt>
                <c:pt idx="29">
                  <c:v>-0.7</c:v>
                </c:pt>
                <c:pt idx="30">
                  <c:v>-0.69</c:v>
                </c:pt>
                <c:pt idx="31">
                  <c:v>-0.68</c:v>
                </c:pt>
                <c:pt idx="32">
                  <c:v>-0.67</c:v>
                </c:pt>
                <c:pt idx="33">
                  <c:v>-0.66</c:v>
                </c:pt>
                <c:pt idx="34">
                  <c:v>-0.65</c:v>
                </c:pt>
                <c:pt idx="35">
                  <c:v>-0.64</c:v>
                </c:pt>
                <c:pt idx="36">
                  <c:v>-0.63</c:v>
                </c:pt>
                <c:pt idx="37">
                  <c:v>-0.62</c:v>
                </c:pt>
                <c:pt idx="38">
                  <c:v>-0.61</c:v>
                </c:pt>
                <c:pt idx="39">
                  <c:v>-0.6</c:v>
                </c:pt>
                <c:pt idx="40">
                  <c:v>-0.59</c:v>
                </c:pt>
                <c:pt idx="41">
                  <c:v>-0.57999999999999996</c:v>
                </c:pt>
                <c:pt idx="42">
                  <c:v>-0.56999999999999995</c:v>
                </c:pt>
                <c:pt idx="43">
                  <c:v>-0.56000000000000005</c:v>
                </c:pt>
                <c:pt idx="44">
                  <c:v>-0.55000000000000004</c:v>
                </c:pt>
                <c:pt idx="45">
                  <c:v>-0.54</c:v>
                </c:pt>
                <c:pt idx="46">
                  <c:v>-0.53</c:v>
                </c:pt>
                <c:pt idx="47">
                  <c:v>-0.52</c:v>
                </c:pt>
                <c:pt idx="48">
                  <c:v>-0.51</c:v>
                </c:pt>
                <c:pt idx="49">
                  <c:v>-0.5</c:v>
                </c:pt>
                <c:pt idx="50">
                  <c:v>-0.49</c:v>
                </c:pt>
                <c:pt idx="51">
                  <c:v>-0.48</c:v>
                </c:pt>
                <c:pt idx="52">
                  <c:v>-0.47</c:v>
                </c:pt>
                <c:pt idx="53">
                  <c:v>-0.46</c:v>
                </c:pt>
                <c:pt idx="54">
                  <c:v>-0.45</c:v>
                </c:pt>
                <c:pt idx="55">
                  <c:v>-0.44</c:v>
                </c:pt>
                <c:pt idx="56">
                  <c:v>-0.42999999999999899</c:v>
                </c:pt>
                <c:pt idx="57">
                  <c:v>-0.41999999999999899</c:v>
                </c:pt>
                <c:pt idx="58">
                  <c:v>-0.40999999999999898</c:v>
                </c:pt>
                <c:pt idx="59">
                  <c:v>-0.39999999999999902</c:v>
                </c:pt>
                <c:pt idx="60">
                  <c:v>-0.38999999999999901</c:v>
                </c:pt>
                <c:pt idx="61">
                  <c:v>-0.37999999999999901</c:v>
                </c:pt>
                <c:pt idx="62">
                  <c:v>-0.369999999999999</c:v>
                </c:pt>
                <c:pt idx="63">
                  <c:v>-0.35999999999999899</c:v>
                </c:pt>
                <c:pt idx="64">
                  <c:v>-0.34999999999999898</c:v>
                </c:pt>
                <c:pt idx="65">
                  <c:v>-0.33999999999999903</c:v>
                </c:pt>
                <c:pt idx="66">
                  <c:v>-0.32999999999999902</c:v>
                </c:pt>
                <c:pt idx="67">
                  <c:v>-0.31999999999999901</c:v>
                </c:pt>
                <c:pt idx="68">
                  <c:v>-0.309999999999999</c:v>
                </c:pt>
                <c:pt idx="69">
                  <c:v>-0.29999999999999899</c:v>
                </c:pt>
                <c:pt idx="70">
                  <c:v>-0.28999999999999898</c:v>
                </c:pt>
                <c:pt idx="71">
                  <c:v>-0.27999999999999903</c:v>
                </c:pt>
                <c:pt idx="72">
                  <c:v>-0.26999999999999902</c:v>
                </c:pt>
                <c:pt idx="73">
                  <c:v>-0.25999999999999901</c:v>
                </c:pt>
                <c:pt idx="74">
                  <c:v>-0.249999999999999</c:v>
                </c:pt>
                <c:pt idx="75">
                  <c:v>-0.23999999999999899</c:v>
                </c:pt>
                <c:pt idx="76">
                  <c:v>-0.22999999999999901</c:v>
                </c:pt>
                <c:pt idx="77">
                  <c:v>-0.219999999999999</c:v>
                </c:pt>
                <c:pt idx="78">
                  <c:v>-0.20999999999999899</c:v>
                </c:pt>
                <c:pt idx="79">
                  <c:v>-0.19999999999999901</c:v>
                </c:pt>
                <c:pt idx="80">
                  <c:v>-0.189999999999999</c:v>
                </c:pt>
                <c:pt idx="81">
                  <c:v>-0.17999999999999899</c:v>
                </c:pt>
                <c:pt idx="82">
                  <c:v>-0.16999999999999901</c:v>
                </c:pt>
                <c:pt idx="83">
                  <c:v>-0.159999999999999</c:v>
                </c:pt>
                <c:pt idx="84">
                  <c:v>-0.149999999999999</c:v>
                </c:pt>
                <c:pt idx="85">
                  <c:v>-0.13999999999999899</c:v>
                </c:pt>
                <c:pt idx="86">
                  <c:v>-0.12999999999999901</c:v>
                </c:pt>
                <c:pt idx="87">
                  <c:v>-0.119999999999999</c:v>
                </c:pt>
                <c:pt idx="88">
                  <c:v>-0.109999999999999</c:v>
                </c:pt>
                <c:pt idx="89">
                  <c:v>-9.9999999999999006E-2</c:v>
                </c:pt>
                <c:pt idx="90">
                  <c:v>-8.9999999999998997E-2</c:v>
                </c:pt>
                <c:pt idx="91">
                  <c:v>-7.9999999999999002E-2</c:v>
                </c:pt>
                <c:pt idx="92">
                  <c:v>-6.9999999999998994E-2</c:v>
                </c:pt>
                <c:pt idx="93">
                  <c:v>-5.9999999999999103E-2</c:v>
                </c:pt>
                <c:pt idx="94">
                  <c:v>-4.9999999999998997E-2</c:v>
                </c:pt>
                <c:pt idx="95">
                  <c:v>-3.9999999999999002E-2</c:v>
                </c:pt>
                <c:pt idx="96">
                  <c:v>-2.9999999999999E-2</c:v>
                </c:pt>
                <c:pt idx="97">
                  <c:v>-1.9999999999999001E-2</c:v>
                </c:pt>
                <c:pt idx="98">
                  <c:v>-9.9999999999990097E-3</c:v>
                </c:pt>
                <c:pt idx="99">
                  <c:v>0</c:v>
                </c:pt>
                <c:pt idx="100">
                  <c:v>0.01</c:v>
                </c:pt>
                <c:pt idx="101">
                  <c:v>0.02</c:v>
                </c:pt>
                <c:pt idx="102">
                  <c:v>0.03</c:v>
                </c:pt>
                <c:pt idx="103">
                  <c:v>0.04</c:v>
                </c:pt>
                <c:pt idx="104">
                  <c:v>0.05</c:v>
                </c:pt>
                <c:pt idx="105">
                  <c:v>6.0000000000000102E-2</c:v>
                </c:pt>
                <c:pt idx="106">
                  <c:v>7.0000000000000104E-2</c:v>
                </c:pt>
                <c:pt idx="107">
                  <c:v>8.0000000000000099E-2</c:v>
                </c:pt>
                <c:pt idx="108">
                  <c:v>9.0000000000000094E-2</c:v>
                </c:pt>
                <c:pt idx="109">
                  <c:v>0.1</c:v>
                </c:pt>
                <c:pt idx="110">
                  <c:v>0.11</c:v>
                </c:pt>
                <c:pt idx="111">
                  <c:v>0.12</c:v>
                </c:pt>
                <c:pt idx="112">
                  <c:v>0.13</c:v>
                </c:pt>
                <c:pt idx="113">
                  <c:v>0.14000000000000001</c:v>
                </c:pt>
                <c:pt idx="114">
                  <c:v>0.15</c:v>
                </c:pt>
                <c:pt idx="115">
                  <c:v>0.16</c:v>
                </c:pt>
                <c:pt idx="116">
                  <c:v>0.17</c:v>
                </c:pt>
                <c:pt idx="117">
                  <c:v>0.18</c:v>
                </c:pt>
                <c:pt idx="118">
                  <c:v>0.19</c:v>
                </c:pt>
                <c:pt idx="119">
                  <c:v>0.2</c:v>
                </c:pt>
                <c:pt idx="120">
                  <c:v>0.21</c:v>
                </c:pt>
                <c:pt idx="121">
                  <c:v>0.22</c:v>
                </c:pt>
                <c:pt idx="122">
                  <c:v>0.23</c:v>
                </c:pt>
                <c:pt idx="123">
                  <c:v>0.24</c:v>
                </c:pt>
                <c:pt idx="124">
                  <c:v>0.25</c:v>
                </c:pt>
                <c:pt idx="125">
                  <c:v>0.26</c:v>
                </c:pt>
                <c:pt idx="126">
                  <c:v>0.27</c:v>
                </c:pt>
                <c:pt idx="127">
                  <c:v>0.28000000000000003</c:v>
                </c:pt>
                <c:pt idx="128">
                  <c:v>0.28999999999999998</c:v>
                </c:pt>
                <c:pt idx="129">
                  <c:v>0.3</c:v>
                </c:pt>
                <c:pt idx="130">
                  <c:v>0.31</c:v>
                </c:pt>
                <c:pt idx="131">
                  <c:v>0.32</c:v>
                </c:pt>
                <c:pt idx="132">
                  <c:v>0.33</c:v>
                </c:pt>
                <c:pt idx="133">
                  <c:v>0.34</c:v>
                </c:pt>
                <c:pt idx="134">
                  <c:v>0.35</c:v>
                </c:pt>
                <c:pt idx="135">
                  <c:v>0.36</c:v>
                </c:pt>
                <c:pt idx="136">
                  <c:v>0.37</c:v>
                </c:pt>
                <c:pt idx="137">
                  <c:v>0.38</c:v>
                </c:pt>
                <c:pt idx="138">
                  <c:v>0.39</c:v>
                </c:pt>
                <c:pt idx="139">
                  <c:v>0.4</c:v>
                </c:pt>
                <c:pt idx="140">
                  <c:v>0.41</c:v>
                </c:pt>
                <c:pt idx="141">
                  <c:v>0.42</c:v>
                </c:pt>
                <c:pt idx="142">
                  <c:v>0.43</c:v>
                </c:pt>
                <c:pt idx="143">
                  <c:v>0.44</c:v>
                </c:pt>
                <c:pt idx="144">
                  <c:v>0.45</c:v>
                </c:pt>
                <c:pt idx="145">
                  <c:v>0.46</c:v>
                </c:pt>
                <c:pt idx="146">
                  <c:v>0.47</c:v>
                </c:pt>
                <c:pt idx="147">
                  <c:v>0.48</c:v>
                </c:pt>
                <c:pt idx="148">
                  <c:v>0.49</c:v>
                </c:pt>
                <c:pt idx="149">
                  <c:v>0.5</c:v>
                </c:pt>
                <c:pt idx="150">
                  <c:v>0.51</c:v>
                </c:pt>
                <c:pt idx="151">
                  <c:v>0.52</c:v>
                </c:pt>
                <c:pt idx="152">
                  <c:v>0.53</c:v>
                </c:pt>
                <c:pt idx="153">
                  <c:v>0.54</c:v>
                </c:pt>
                <c:pt idx="154">
                  <c:v>0.55000000000000004</c:v>
                </c:pt>
                <c:pt idx="155">
                  <c:v>0.56000000000000005</c:v>
                </c:pt>
                <c:pt idx="156">
                  <c:v>0.56999999999999995</c:v>
                </c:pt>
                <c:pt idx="157">
                  <c:v>0.57999999999999996</c:v>
                </c:pt>
                <c:pt idx="158">
                  <c:v>0.59</c:v>
                </c:pt>
                <c:pt idx="159">
                  <c:v>0.6</c:v>
                </c:pt>
                <c:pt idx="160">
                  <c:v>0.61</c:v>
                </c:pt>
                <c:pt idx="161">
                  <c:v>0.62</c:v>
                </c:pt>
                <c:pt idx="162">
                  <c:v>0.63</c:v>
                </c:pt>
                <c:pt idx="163">
                  <c:v>0.64</c:v>
                </c:pt>
                <c:pt idx="164">
                  <c:v>0.65</c:v>
                </c:pt>
                <c:pt idx="165">
                  <c:v>0.66</c:v>
                </c:pt>
                <c:pt idx="166">
                  <c:v>0.67</c:v>
                </c:pt>
                <c:pt idx="167">
                  <c:v>0.68</c:v>
                </c:pt>
                <c:pt idx="168">
                  <c:v>0.69</c:v>
                </c:pt>
                <c:pt idx="169">
                  <c:v>0.7</c:v>
                </c:pt>
                <c:pt idx="170">
                  <c:v>0.71</c:v>
                </c:pt>
                <c:pt idx="171">
                  <c:v>0.72</c:v>
                </c:pt>
                <c:pt idx="172">
                  <c:v>0.73</c:v>
                </c:pt>
                <c:pt idx="173">
                  <c:v>0.74</c:v>
                </c:pt>
                <c:pt idx="174">
                  <c:v>0.75</c:v>
                </c:pt>
                <c:pt idx="175">
                  <c:v>0.76</c:v>
                </c:pt>
                <c:pt idx="176">
                  <c:v>0.77</c:v>
                </c:pt>
                <c:pt idx="177">
                  <c:v>0.78</c:v>
                </c:pt>
                <c:pt idx="178">
                  <c:v>0.79</c:v>
                </c:pt>
                <c:pt idx="179">
                  <c:v>0.8</c:v>
                </c:pt>
                <c:pt idx="180">
                  <c:v>0.81</c:v>
                </c:pt>
                <c:pt idx="181">
                  <c:v>0.82</c:v>
                </c:pt>
                <c:pt idx="182">
                  <c:v>0.83</c:v>
                </c:pt>
                <c:pt idx="183">
                  <c:v>0.84</c:v>
                </c:pt>
                <c:pt idx="184">
                  <c:v>0.85</c:v>
                </c:pt>
                <c:pt idx="185">
                  <c:v>0.86</c:v>
                </c:pt>
                <c:pt idx="186">
                  <c:v>0.87</c:v>
                </c:pt>
                <c:pt idx="187">
                  <c:v>0.88</c:v>
                </c:pt>
                <c:pt idx="188">
                  <c:v>0.89</c:v>
                </c:pt>
                <c:pt idx="189">
                  <c:v>0.9</c:v>
                </c:pt>
                <c:pt idx="190">
                  <c:v>0.91</c:v>
                </c:pt>
                <c:pt idx="191">
                  <c:v>0.92</c:v>
                </c:pt>
                <c:pt idx="192">
                  <c:v>0.93</c:v>
                </c:pt>
                <c:pt idx="193">
                  <c:v>0.94</c:v>
                </c:pt>
                <c:pt idx="194">
                  <c:v>0.95</c:v>
                </c:pt>
                <c:pt idx="195">
                  <c:v>0.96</c:v>
                </c:pt>
                <c:pt idx="196">
                  <c:v>0.97</c:v>
                </c:pt>
                <c:pt idx="197">
                  <c:v>0.98</c:v>
                </c:pt>
                <c:pt idx="198">
                  <c:v>0.99</c:v>
                </c:pt>
                <c:pt idx="199">
                  <c:v>1</c:v>
                </c:pt>
                <c:pt idx="200">
                  <c:v>1.01</c:v>
                </c:pt>
                <c:pt idx="201">
                  <c:v>1.02</c:v>
                </c:pt>
                <c:pt idx="202">
                  <c:v>1.03</c:v>
                </c:pt>
                <c:pt idx="203">
                  <c:v>1.04</c:v>
                </c:pt>
                <c:pt idx="204">
                  <c:v>1.05</c:v>
                </c:pt>
                <c:pt idx="205">
                  <c:v>1.06</c:v>
                </c:pt>
                <c:pt idx="206">
                  <c:v>1.07</c:v>
                </c:pt>
                <c:pt idx="207">
                  <c:v>1.08</c:v>
                </c:pt>
                <c:pt idx="208">
                  <c:v>1.0900000000000001</c:v>
                </c:pt>
                <c:pt idx="209">
                  <c:v>1.1000000000000001</c:v>
                </c:pt>
                <c:pt idx="210">
                  <c:v>1.1100000000000001</c:v>
                </c:pt>
                <c:pt idx="211">
                  <c:v>1.1200000000000001</c:v>
                </c:pt>
                <c:pt idx="212">
                  <c:v>1.1299999999999999</c:v>
                </c:pt>
                <c:pt idx="213">
                  <c:v>1.1399999999999999</c:v>
                </c:pt>
                <c:pt idx="214">
                  <c:v>1.1499999999999999</c:v>
                </c:pt>
                <c:pt idx="215">
                  <c:v>1.1599999999999999</c:v>
                </c:pt>
                <c:pt idx="216">
                  <c:v>1.17</c:v>
                </c:pt>
                <c:pt idx="217">
                  <c:v>1.18</c:v>
                </c:pt>
                <c:pt idx="218">
                  <c:v>1.19</c:v>
                </c:pt>
                <c:pt idx="219">
                  <c:v>1.2</c:v>
                </c:pt>
                <c:pt idx="220">
                  <c:v>1.21</c:v>
                </c:pt>
                <c:pt idx="221">
                  <c:v>1.22</c:v>
                </c:pt>
                <c:pt idx="222">
                  <c:v>1.23</c:v>
                </c:pt>
                <c:pt idx="223">
                  <c:v>1.24</c:v>
                </c:pt>
                <c:pt idx="224">
                  <c:v>1.25</c:v>
                </c:pt>
                <c:pt idx="225">
                  <c:v>1.26</c:v>
                </c:pt>
                <c:pt idx="226">
                  <c:v>1.27</c:v>
                </c:pt>
                <c:pt idx="227">
                  <c:v>1.28</c:v>
                </c:pt>
                <c:pt idx="228">
                  <c:v>1.29</c:v>
                </c:pt>
                <c:pt idx="229">
                  <c:v>1.3</c:v>
                </c:pt>
                <c:pt idx="230">
                  <c:v>1.31</c:v>
                </c:pt>
                <c:pt idx="231">
                  <c:v>1.32</c:v>
                </c:pt>
                <c:pt idx="232">
                  <c:v>1.33</c:v>
                </c:pt>
                <c:pt idx="233">
                  <c:v>1.34</c:v>
                </c:pt>
                <c:pt idx="234">
                  <c:v>1.35</c:v>
                </c:pt>
                <c:pt idx="235">
                  <c:v>1.36</c:v>
                </c:pt>
                <c:pt idx="236">
                  <c:v>1.37</c:v>
                </c:pt>
                <c:pt idx="237">
                  <c:v>1.38</c:v>
                </c:pt>
                <c:pt idx="238">
                  <c:v>1.39</c:v>
                </c:pt>
                <c:pt idx="239">
                  <c:v>1.4</c:v>
                </c:pt>
                <c:pt idx="240">
                  <c:v>1.41</c:v>
                </c:pt>
                <c:pt idx="241">
                  <c:v>1.42</c:v>
                </c:pt>
                <c:pt idx="242">
                  <c:v>1.43</c:v>
                </c:pt>
                <c:pt idx="243">
                  <c:v>1.44</c:v>
                </c:pt>
                <c:pt idx="244">
                  <c:v>1.45</c:v>
                </c:pt>
                <c:pt idx="245">
                  <c:v>1.46</c:v>
                </c:pt>
                <c:pt idx="246">
                  <c:v>1.47</c:v>
                </c:pt>
                <c:pt idx="247">
                  <c:v>1.48</c:v>
                </c:pt>
                <c:pt idx="248">
                  <c:v>1.49</c:v>
                </c:pt>
                <c:pt idx="249">
                  <c:v>1.5</c:v>
                </c:pt>
                <c:pt idx="250">
                  <c:v>1.51</c:v>
                </c:pt>
                <c:pt idx="251">
                  <c:v>1.52</c:v>
                </c:pt>
                <c:pt idx="252">
                  <c:v>1.53</c:v>
                </c:pt>
                <c:pt idx="253">
                  <c:v>1.54</c:v>
                </c:pt>
                <c:pt idx="254">
                  <c:v>1.55</c:v>
                </c:pt>
                <c:pt idx="255">
                  <c:v>1.56</c:v>
                </c:pt>
                <c:pt idx="256">
                  <c:v>1.57</c:v>
                </c:pt>
                <c:pt idx="257">
                  <c:v>1.58</c:v>
                </c:pt>
                <c:pt idx="258">
                  <c:v>1.59</c:v>
                </c:pt>
                <c:pt idx="259">
                  <c:v>1.6</c:v>
                </c:pt>
                <c:pt idx="260">
                  <c:v>1.61</c:v>
                </c:pt>
                <c:pt idx="261">
                  <c:v>1.62</c:v>
                </c:pt>
                <c:pt idx="262">
                  <c:v>1.63</c:v>
                </c:pt>
                <c:pt idx="263">
                  <c:v>1.64</c:v>
                </c:pt>
                <c:pt idx="264">
                  <c:v>1.65</c:v>
                </c:pt>
                <c:pt idx="265">
                  <c:v>1.66</c:v>
                </c:pt>
                <c:pt idx="266">
                  <c:v>1.67</c:v>
                </c:pt>
                <c:pt idx="267">
                  <c:v>1.68</c:v>
                </c:pt>
                <c:pt idx="268">
                  <c:v>1.69</c:v>
                </c:pt>
                <c:pt idx="269">
                  <c:v>1.7</c:v>
                </c:pt>
                <c:pt idx="270">
                  <c:v>1.71</c:v>
                </c:pt>
                <c:pt idx="271">
                  <c:v>1.72</c:v>
                </c:pt>
                <c:pt idx="272">
                  <c:v>1.73</c:v>
                </c:pt>
                <c:pt idx="273">
                  <c:v>1.74</c:v>
                </c:pt>
                <c:pt idx="274">
                  <c:v>1.75</c:v>
                </c:pt>
                <c:pt idx="275">
                  <c:v>1.76</c:v>
                </c:pt>
                <c:pt idx="276">
                  <c:v>1.77</c:v>
                </c:pt>
                <c:pt idx="277">
                  <c:v>1.78</c:v>
                </c:pt>
                <c:pt idx="278">
                  <c:v>1.79</c:v>
                </c:pt>
                <c:pt idx="279">
                  <c:v>1.8</c:v>
                </c:pt>
                <c:pt idx="280">
                  <c:v>1.81</c:v>
                </c:pt>
                <c:pt idx="281">
                  <c:v>1.82</c:v>
                </c:pt>
                <c:pt idx="282">
                  <c:v>1.83</c:v>
                </c:pt>
                <c:pt idx="283">
                  <c:v>1.84</c:v>
                </c:pt>
                <c:pt idx="284">
                  <c:v>1.85</c:v>
                </c:pt>
                <c:pt idx="285">
                  <c:v>1.86</c:v>
                </c:pt>
                <c:pt idx="286">
                  <c:v>1.87</c:v>
                </c:pt>
                <c:pt idx="287">
                  <c:v>1.88</c:v>
                </c:pt>
                <c:pt idx="288">
                  <c:v>1.89</c:v>
                </c:pt>
                <c:pt idx="289">
                  <c:v>1.9</c:v>
                </c:pt>
                <c:pt idx="290">
                  <c:v>1.91</c:v>
                </c:pt>
                <c:pt idx="291">
                  <c:v>1.92</c:v>
                </c:pt>
                <c:pt idx="292">
                  <c:v>1.93</c:v>
                </c:pt>
                <c:pt idx="293">
                  <c:v>1.94</c:v>
                </c:pt>
                <c:pt idx="294">
                  <c:v>1.95</c:v>
                </c:pt>
                <c:pt idx="295">
                  <c:v>1.96</c:v>
                </c:pt>
                <c:pt idx="296">
                  <c:v>1.97</c:v>
                </c:pt>
                <c:pt idx="297">
                  <c:v>1.98</c:v>
                </c:pt>
                <c:pt idx="298">
                  <c:v>1.99</c:v>
                </c:pt>
                <c:pt idx="299">
                  <c:v>2</c:v>
                </c:pt>
                <c:pt idx="300">
                  <c:v>2.0099999999999998</c:v>
                </c:pt>
              </c:numCache>
            </c:numRef>
          </c:xVal>
          <c:yVal>
            <c:numRef>
              <c:f>NPV!$J$6:$J$306</c:f>
              <c:numCache>
                <c:formatCode>"$"#,##0.00_);[Red]\("$"#,##0.00\)</c:formatCode>
                <c:ptCount val="301"/>
                <c:pt idx="0">
                  <c:v>-2.8486647898682629E+20</c:v>
                </c:pt>
                <c:pt idx="1">
                  <c:v>-7.7745237279282765E+17</c:v>
                </c:pt>
                <c:pt idx="2">
                  <c:v>-1.6717593321545886E+16</c:v>
                </c:pt>
                <c:pt idx="3">
                  <c:v>-255048025372716.97</c:v>
                </c:pt>
                <c:pt idx="4">
                  <c:v>204823033803936.53</c:v>
                </c:pt>
                <c:pt idx="5">
                  <c:v>107539471890509.37</c:v>
                </c:pt>
                <c:pt idx="6">
                  <c:v>49486556471944.875</c:v>
                </c:pt>
                <c:pt idx="7">
                  <c:v>23492038158994.344</c:v>
                </c:pt>
                <c:pt idx="8">
                  <c:v>11785897857248.621</c:v>
                </c:pt>
                <c:pt idx="9">
                  <c:v>6250970775762.1387</c:v>
                </c:pt>
                <c:pt idx="10">
                  <c:v>3487503713095.1147</c:v>
                </c:pt>
                <c:pt idx="11">
                  <c:v>2034933576687.6003</c:v>
                </c:pt>
                <c:pt idx="12">
                  <c:v>1235122942559.6458</c:v>
                </c:pt>
                <c:pt idx="13">
                  <c:v>776147306715.19946</c:v>
                </c:pt>
                <c:pt idx="14">
                  <c:v>502917807815.67029</c:v>
                </c:pt>
                <c:pt idx="15">
                  <c:v>334869469092.15588</c:v>
                </c:pt>
                <c:pt idx="16">
                  <c:v>228459242270.77713</c:v>
                </c:pt>
                <c:pt idx="17">
                  <c:v>159298171055.09076</c:v>
                </c:pt>
                <c:pt idx="18">
                  <c:v>113279070673.8136</c:v>
                </c:pt>
                <c:pt idx="19">
                  <c:v>82001331555.961365</c:v>
                </c:pt>
                <c:pt idx="20">
                  <c:v>60329004372.16568</c:v>
                </c:pt>
                <c:pt idx="21">
                  <c:v>45045965335.9646</c:v>
                </c:pt>
                <c:pt idx="22">
                  <c:v>34093782263.875683</c:v>
                </c:pt>
                <c:pt idx="23">
                  <c:v>26128356264.162876</c:v>
                </c:pt>
                <c:pt idx="24">
                  <c:v>20255744562.255402</c:v>
                </c:pt>
                <c:pt idx="25">
                  <c:v>15871239194.029509</c:v>
                </c:pt>
                <c:pt idx="26">
                  <c:v>12559329494.930691</c:v>
                </c:pt>
                <c:pt idx="27">
                  <c:v>10030333062.619177</c:v>
                </c:pt>
                <c:pt idx="28">
                  <c:v>8079548739.4474907</c:v>
                </c:pt>
                <c:pt idx="29">
                  <c:v>6560497112.4524889</c:v>
                </c:pt>
                <c:pt idx="30">
                  <c:v>5367123424.1750689</c:v>
                </c:pt>
                <c:pt idx="31">
                  <c:v>4421793209.4395256</c:v>
                </c:pt>
                <c:pt idx="32">
                  <c:v>3667087732.4221263</c:v>
                </c:pt>
                <c:pt idx="33">
                  <c:v>3060126694.9664512</c:v>
                </c:pt>
                <c:pt idx="34">
                  <c:v>2568593835.5435009</c:v>
                </c:pt>
                <c:pt idx="35">
                  <c:v>2167924053.4777899</c:v>
                </c:pt>
                <c:pt idx="36">
                  <c:v>1839291970.8266306</c:v>
                </c:pt>
                <c:pt idx="37">
                  <c:v>1568159515.115478</c:v>
                </c:pt>
                <c:pt idx="38">
                  <c:v>1343217455.1832724</c:v>
                </c:pt>
                <c:pt idx="39">
                  <c:v>1155607274.4159935</c:v>
                </c:pt>
                <c:pt idx="40">
                  <c:v>998344378.26048112</c:v>
                </c:pt>
                <c:pt idx="41">
                  <c:v>865887166.89741087</c:v>
                </c:pt>
                <c:pt idx="42">
                  <c:v>753812667.99187446</c:v>
                </c:pt>
                <c:pt idx="43">
                  <c:v>658570633.7579565</c:v>
                </c:pt>
                <c:pt idx="44">
                  <c:v>577295851.3541342</c:v>
                </c:pt>
                <c:pt idx="45">
                  <c:v>507663953.79895443</c:v>
                </c:pt>
                <c:pt idx="46">
                  <c:v>447779961.00010252</c:v>
                </c:pt>
                <c:pt idx="47">
                  <c:v>396091609.28378659</c:v>
                </c:pt>
                <c:pt idx="48">
                  <c:v>351321573.00569421</c:v>
                </c:pt>
                <c:pt idx="49">
                  <c:v>312414171.24894512</c:v>
                </c:pt>
                <c:pt idx="50">
                  <c:v>278493244.85724699</c:v>
                </c:pt>
                <c:pt idx="51">
                  <c:v>248828695.37946752</c:v>
                </c:pt>
                <c:pt idx="52">
                  <c:v>222809776.5731191</c:v>
                </c:pt>
                <c:pt idx="53">
                  <c:v>199923676.93985176</c:v>
                </c:pt>
                <c:pt idx="54">
                  <c:v>179738268.50932983</c:v>
                </c:pt>
                <c:pt idx="55">
                  <c:v>161888151.74186334</c:v>
                </c:pt>
                <c:pt idx="56">
                  <c:v>146063320.0494639</c:v>
                </c:pt>
                <c:pt idx="57">
                  <c:v>131999915.43894078</c:v>
                </c:pt>
                <c:pt idx="58">
                  <c:v>119472660.48428831</c:v>
                </c:pt>
                <c:pt idx="59">
                  <c:v>108288639.61582716</c:v>
                </c:pt>
                <c:pt idx="60">
                  <c:v>98282170.800642759</c:v>
                </c:pt>
                <c:pt idx="61">
                  <c:v>89310561.741897374</c:v>
                </c:pt>
                <c:pt idx="62">
                  <c:v>81250586.245281428</c:v>
                </c:pt>
                <c:pt idx="63">
                  <c:v>73995549.03451483</c:v>
                </c:pt>
                <c:pt idx="64">
                  <c:v>67452833.052275881</c:v>
                </c:pt>
                <c:pt idx="65">
                  <c:v>61541843.689414471</c:v>
                </c:pt>
                <c:pt idx="66">
                  <c:v>56192280.616776615</c:v>
                </c:pt>
                <c:pt idx="67">
                  <c:v>51342680.852900125</c:v>
                </c:pt>
                <c:pt idx="68">
                  <c:v>46939187.084569104</c:v>
                </c:pt>
                <c:pt idx="69">
                  <c:v>42934503.606740721</c:v>
                </c:pt>
                <c:pt idx="70">
                  <c:v>39287008.985103764</c:v>
                </c:pt>
                <c:pt idx="71">
                  <c:v>35959999.998019159</c:v>
                </c:pt>
                <c:pt idx="72">
                  <c:v>32921045.843472019</c:v>
                </c:pt>
                <c:pt idx="73">
                  <c:v>30141435.204679906</c:v>
                </c:pt>
                <c:pt idx="74">
                  <c:v>27595701.716220077</c:v>
                </c:pt>
                <c:pt idx="75">
                  <c:v>25261215.788736265</c:v>
                </c:pt>
                <c:pt idx="76">
                  <c:v>23117832.736150634</c:v>
                </c:pt>
                <c:pt idx="77">
                  <c:v>21147588.786051933</c:v>
                </c:pt>
                <c:pt idx="78">
                  <c:v>19334437.90659716</c:v>
                </c:pt>
                <c:pt idx="79">
                  <c:v>17664023.504123926</c:v>
                </c:pt>
                <c:pt idx="80">
                  <c:v>16123479.976842456</c:v>
                </c:pt>
                <c:pt idx="81">
                  <c:v>14701259.885510188</c:v>
                </c:pt>
                <c:pt idx="82">
                  <c:v>13386983.149482235</c:v>
                </c:pt>
                <c:pt idx="83">
                  <c:v>12171305.218413997</c:v>
                </c:pt>
                <c:pt idx="84">
                  <c:v>11045801.624446496</c:v>
                </c:pt>
                <c:pt idx="85">
                  <c:v>10002866.70187491</c:v>
                </c:pt>
                <c:pt idx="86">
                  <c:v>9035624.5833242238</c:v>
                </c:pt>
                <c:pt idx="87">
                  <c:v>8137850.8533881307</c:v>
                </c:pt>
                <c:pt idx="88">
                  <c:v>7303903.4708059067</c:v>
                </c:pt>
                <c:pt idx="89">
                  <c:v>6528661.7653888166</c:v>
                </c:pt>
                <c:pt idx="90">
                  <c:v>5807472.4817152172</c:v>
                </c:pt>
                <c:pt idx="91">
                  <c:v>5136101.982777915</c:v>
                </c:pt>
                <c:pt idx="92">
                  <c:v>4510693.8471832192</c:v>
                </c:pt>
                <c:pt idx="93">
                  <c:v>3927731.1964122555</c:v>
                </c:pt>
                <c:pt idx="94">
                  <c:v>3384003.1767678652</c:v>
                </c:pt>
                <c:pt idx="95">
                  <c:v>2876575.0962099782</c:v>
                </c:pt>
                <c:pt idx="96">
                  <c:v>2402761.7812247402</c:v>
                </c:pt>
                <c:pt idx="97">
                  <c:v>1960103.7747729083</c:v>
                </c:pt>
                <c:pt idx="98">
                  <c:v>1546346.0445602757</c:v>
                </c:pt>
                <c:pt idx="99">
                  <c:v>1159418.9124984338</c:v>
                </c:pt>
                <c:pt idx="100">
                  <c:v>797420.95223161776</c:v>
                </c:pt>
                <c:pt idx="101">
                  <c:v>458603.63280409953</c:v>
                </c:pt>
                <c:pt idx="102">
                  <c:v>141357.51361369609</c:v>
                </c:pt>
                <c:pt idx="103">
                  <c:v>-155800.18067295378</c:v>
                </c:pt>
                <c:pt idx="104">
                  <c:v>-434236.75608936016</c:v>
                </c:pt>
                <c:pt idx="105">
                  <c:v>-695214.14921691129</c:v>
                </c:pt>
                <c:pt idx="106">
                  <c:v>-939898.04832312628</c:v>
                </c:pt>
                <c:pt idx="107">
                  <c:v>-1169366.1395803192</c:v>
                </c:pt>
                <c:pt idx="108">
                  <c:v>-1384615.5702304083</c:v>
                </c:pt>
                <c:pt idx="109">
                  <c:v>-1586569.7101093929</c:v>
                </c:pt>
                <c:pt idx="110">
                  <c:v>-1776084.2837708308</c:v>
                </c:pt>
                <c:pt idx="111">
                  <c:v>-1953952.9373846448</c:v>
                </c:pt>
                <c:pt idx="112">
                  <c:v>-2120912.2974922373</c:v>
                </c:pt>
                <c:pt idx="113">
                  <c:v>-2277646.5724469628</c:v>
                </c:pt>
                <c:pt idx="114">
                  <c:v>-2424791.7418536129</c:v>
                </c:pt>
                <c:pt idx="115">
                  <c:v>-2562939.3744491069</c:v>
                </c:pt>
                <c:pt idx="116">
                  <c:v>-2692640.1105582044</c:v>
                </c:pt>
                <c:pt idx="117">
                  <c:v>-2814406.8414441408</c:v>
                </c:pt>
                <c:pt idx="118">
                  <c:v>-2928717.6144929919</c:v>
                </c:pt>
                <c:pt idx="119">
                  <c:v>-3036018.2901705503</c:v>
                </c:pt>
                <c:pt idx="120">
                  <c:v>-3136724.9740251959</c:v>
                </c:pt>
                <c:pt idx="121">
                  <c:v>-3231226.2446399494</c:v>
                </c:pt>
                <c:pt idx="122">
                  <c:v>-3319885.1963266106</c:v>
                </c:pt>
                <c:pt idx="123">
                  <c:v>-3403041.3134740517</c:v>
                </c:pt>
                <c:pt idx="124">
                  <c:v>-3481012.191784855</c:v>
                </c:pt>
                <c:pt idx="125">
                  <c:v>-3554095.1201358298</c:v>
                </c:pt>
                <c:pt idx="126">
                  <c:v>-3622568.5354583296</c:v>
                </c:pt>
                <c:pt idx="127">
                  <c:v>-3686693.3618354946</c:v>
                </c:pt>
                <c:pt idx="128">
                  <c:v>-3746714.2439396624</c:v>
                </c:pt>
                <c:pt idx="129">
                  <c:v>-3802860.6839705156</c:v>
                </c:pt>
                <c:pt idx="130">
                  <c:v>-3855348.0903904256</c:v>
                </c:pt>
                <c:pt idx="131">
                  <c:v>-3904378.7459774758</c:v>
                </c:pt>
                <c:pt idx="132">
                  <c:v>-3950142.7020187341</c:v>
                </c:pt>
                <c:pt idx="133">
                  <c:v>-3992818.604838531</c:v>
                </c:pt>
                <c:pt idx="134">
                  <c:v>-4032574.4602908897</c:v>
                </c:pt>
                <c:pt idx="135">
                  <c:v>-4069568.3413354731</c:v>
                </c:pt>
                <c:pt idx="136">
                  <c:v>-4103949.0433563869</c:v>
                </c:pt>
                <c:pt idx="137">
                  <c:v>-4135856.6914678453</c:v>
                </c:pt>
                <c:pt idx="138">
                  <c:v>-4165423.3036753563</c:v>
                </c:pt>
                <c:pt idx="139">
                  <c:v>-4192773.3134214836</c:v>
                </c:pt>
                <c:pt idx="140">
                  <c:v>-4218024.0547380261</c:v>
                </c:pt>
                <c:pt idx="141">
                  <c:v>-4241286.2129478576</c:v>
                </c:pt>
                <c:pt idx="142">
                  <c:v>-4262664.24360744</c:v>
                </c:pt>
                <c:pt idx="143">
                  <c:v>-4282256.7621517964</c:v>
                </c:pt>
                <c:pt idx="144">
                  <c:v>-4300156.9064958962</c:v>
                </c:pt>
                <c:pt idx="145">
                  <c:v>-4316452.6746573355</c:v>
                </c:pt>
                <c:pt idx="146">
                  <c:v>-4331227.2392933769</c:v>
                </c:pt>
                <c:pt idx="147">
                  <c:v>-4344559.2408889895</c:v>
                </c:pt>
                <c:pt idx="148">
                  <c:v>-4356523.0611901423</c:v>
                </c:pt>
                <c:pt idx="149">
                  <c:v>-4367189.0783467544</c:v>
                </c:pt>
                <c:pt idx="150">
                  <c:v>-4376623.9051113836</c:v>
                </c:pt>
                <c:pt idx="151">
                  <c:v>-4384890.611331678</c:v>
                </c:pt>
                <c:pt idx="152">
                  <c:v>-4392048.9318759637</c:v>
                </c:pt>
                <c:pt idx="153">
                  <c:v>-4398155.4610412642</c:v>
                </c:pt>
                <c:pt idx="154">
                  <c:v>-4403263.8344104923</c:v>
                </c:pt>
                <c:pt idx="155">
                  <c:v>-4407424.8990502534</c:v>
                </c:pt>
                <c:pt idx="156">
                  <c:v>-4410686.8728715871</c:v>
                </c:pt>
                <c:pt idx="157">
                  <c:v>-4413095.4939126847</c:v>
                </c:pt>
                <c:pt idx="158">
                  <c:v>-4414694.1602446679</c:v>
                </c:pt>
                <c:pt idx="159">
                  <c:v>-4415524.0611482691</c:v>
                </c:pt>
                <c:pt idx="160">
                  <c:v>-4415624.3001604499</c:v>
                </c:pt>
                <c:pt idx="161">
                  <c:v>-4415032.0105451234</c:v>
                </c:pt>
                <c:pt idx="162">
                  <c:v>-4413782.4637009203</c:v>
                </c:pt>
                <c:pt idx="163">
                  <c:v>-4411909.170981097</c:v>
                </c:pt>
                <c:pt idx="164">
                  <c:v>-4409443.97936574</c:v>
                </c:pt>
                <c:pt idx="165">
                  <c:v>-4406417.1613944052</c:v>
                </c:pt>
                <c:pt idx="166">
                  <c:v>-4402857.4997376828</c:v>
                </c:pt>
                <c:pt idx="167">
                  <c:v>-4398792.3667590367</c:v>
                </c:pt>
                <c:pt idx="168">
                  <c:v>-4394247.799393056</c:v>
                </c:pt>
                <c:pt idx="169">
                  <c:v>-4389248.5696431389</c:v>
                </c:pt>
                <c:pt idx="170">
                  <c:v>-4383818.2509802105</c:v>
                </c:pt>
                <c:pt idx="171">
                  <c:v>-4377979.2809043452</c:v>
                </c:pt>
                <c:pt idx="172">
                  <c:v>-4371753.0199128669</c:v>
                </c:pt>
                <c:pt idx="173">
                  <c:v>-4365159.807101706</c:v>
                </c:pt>
                <c:pt idx="174">
                  <c:v>-4358219.0126110585</c:v>
                </c:pt>
                <c:pt idx="175">
                  <c:v>-4350949.0871120729</c:v>
                </c:pt>
                <c:pt idx="176">
                  <c:v>-4343367.6085178452</c:v>
                </c:pt>
                <c:pt idx="177">
                  <c:v>-4335491.3260896187</c:v>
                </c:pt>
                <c:pt idx="178">
                  <c:v>-4327336.202097632</c:v>
                </c:pt>
                <c:pt idx="179">
                  <c:v>-4318917.4511853764</c:v>
                </c:pt>
                <c:pt idx="180">
                  <c:v>-4310249.5775761763</c:v>
                </c:pt>
                <c:pt idx="181">
                  <c:v>-4301346.4102518354</c:v>
                </c:pt>
                <c:pt idx="182">
                  <c:v>-4292221.1362245604</c:v>
                </c:pt>
                <c:pt idx="183">
                  <c:v>-4282886.3320154902</c:v>
                </c:pt>
                <c:pt idx="184">
                  <c:v>-4273353.9934458211</c:v>
                </c:pt>
                <c:pt idx="185">
                  <c:v>-4263635.5638396461</c:v>
                </c:pt>
                <c:pt idx="186">
                  <c:v>-4253741.9607313108</c:v>
                </c:pt>
                <c:pt idx="187">
                  <c:v>-4243683.6011641752</c:v>
                </c:pt>
                <c:pt idx="188">
                  <c:v>-4233470.4256621422</c:v>
                </c:pt>
                <c:pt idx="189">
                  <c:v>-4223111.9209501902</c:v>
                </c:pt>
                <c:pt idx="190">
                  <c:v>-4212617.1414954178</c:v>
                </c:pt>
                <c:pt idx="191">
                  <c:v>-4201994.7299355688</c:v>
                </c:pt>
                <c:pt idx="192">
                  <c:v>-4191252.9364579581</c:v>
                </c:pt>
                <c:pt idx="193">
                  <c:v>-4180399.6371877538</c:v>
                </c:pt>
                <c:pt idx="194">
                  <c:v>-4169442.3516410058</c:v>
                </c:pt>
                <c:pt idx="195">
                  <c:v>-4158388.2592944428</c:v>
                </c:pt>
                <c:pt idx="196">
                  <c:v>-4147244.2153208712</c:v>
                </c:pt>
                <c:pt idx="197">
                  <c:v>-4136016.7655360899</c:v>
                </c:pt>
                <c:pt idx="198">
                  <c:v>-4124712.1606004974</c:v>
                </c:pt>
                <c:pt idx="199">
                  <c:v>-4113336.3695159359</c:v>
                </c:pt>
                <c:pt idx="200">
                  <c:v>-4101895.0924559929</c:v>
                </c:pt>
                <c:pt idx="201">
                  <c:v>-4090393.7729656547</c:v>
                </c:pt>
                <c:pt idx="202">
                  <c:v>-4078837.6095641227</c:v>
                </c:pt>
                <c:pt idx="203">
                  <c:v>-4067231.566782671</c:v>
                </c:pt>
                <c:pt idx="204">
                  <c:v>-4055580.3856674838</c:v>
                </c:pt>
                <c:pt idx="205">
                  <c:v>-4043888.593775772</c:v>
                </c:pt>
                <c:pt idx="206">
                  <c:v>-4032160.5146917934</c:v>
                </c:pt>
                <c:pt idx="207">
                  <c:v>-4020400.2770878547</c:v>
                </c:pt>
                <c:pt idx="208">
                  <c:v>-4008611.8233540286</c:v>
                </c:pt>
                <c:pt idx="209">
                  <c:v>-3996798.9178188792</c:v>
                </c:pt>
                <c:pt idx="210">
                  <c:v>-3984965.1545823049</c:v>
                </c:pt>
                <c:pt idx="211">
                  <c:v>-3973113.9649803783</c:v>
                </c:pt>
                <c:pt idx="212">
                  <c:v>-3961248.624700997</c:v>
                </c:pt>
                <c:pt idx="213">
                  <c:v>-3949372.2605680558</c:v>
                </c:pt>
                <c:pt idx="214">
                  <c:v>-3937487.857010935</c:v>
                </c:pt>
                <c:pt idx="215">
                  <c:v>-3925598.26223514</c:v>
                </c:pt>
                <c:pt idx="216">
                  <c:v>-3913706.1941090585</c:v>
                </c:pt>
                <c:pt idx="217">
                  <c:v>-3901814.2457810161</c:v>
                </c:pt>
                <c:pt idx="218">
                  <c:v>-3889924.8910399964</c:v>
                </c:pt>
                <c:pt idx="219">
                  <c:v>-3878040.4894327219</c:v>
                </c:pt>
                <c:pt idx="220">
                  <c:v>-3866163.2911490849</c:v>
                </c:pt>
                <c:pt idx="221">
                  <c:v>-3854295.4416872528</c:v>
                </c:pt>
                <c:pt idx="222">
                  <c:v>-3842438.9863092275</c:v>
                </c:pt>
                <c:pt idx="223">
                  <c:v>-3830595.874297014</c:v>
                </c:pt>
                <c:pt idx="224">
                  <c:v>-3818767.9630190483</c:v>
                </c:pt>
                <c:pt idx="225">
                  <c:v>-3806957.0218160208</c:v>
                </c:pt>
                <c:pt idx="226">
                  <c:v>-3795164.7357147522</c:v>
                </c:pt>
                <c:pt idx="227">
                  <c:v>-3783392.7089783251</c:v>
                </c:pt>
                <c:pt idx="228">
                  <c:v>-3771642.4685002603</c:v>
                </c:pt>
                <c:pt idx="229">
                  <c:v>-3759915.4670501319</c:v>
                </c:pt>
                <c:pt idx="230">
                  <c:v>-3748213.0863775867</c:v>
                </c:pt>
                <c:pt idx="231">
                  <c:v>-3736536.6401814674</c:v>
                </c:pt>
                <c:pt idx="232">
                  <c:v>-3724887.376950311</c:v>
                </c:pt>
                <c:pt idx="233">
                  <c:v>-3713266.4826802108</c:v>
                </c:pt>
                <c:pt idx="234">
                  <c:v>-3701675.0834757509</c:v>
                </c:pt>
                <c:pt idx="235">
                  <c:v>-3690114.2480394039</c:v>
                </c:pt>
                <c:pt idx="236">
                  <c:v>-3678584.990054518</c:v>
                </c:pt>
                <c:pt idx="237">
                  <c:v>-3667088.270466777</c:v>
                </c:pt>
                <c:pt idx="238">
                  <c:v>-3655624.9996687616</c:v>
                </c:pt>
                <c:pt idx="239">
                  <c:v>-3644196.0395920272</c:v>
                </c:pt>
                <c:pt idx="240">
                  <c:v>-3632802.2057108851</c:v>
                </c:pt>
                <c:pt idx="241">
                  <c:v>-3621444.2689618627</c:v>
                </c:pt>
                <c:pt idx="242">
                  <c:v>-3610122.9575826419</c:v>
                </c:pt>
                <c:pt idx="243">
                  <c:v>-3598838.9588740794</c:v>
                </c:pt>
                <c:pt idx="244">
                  <c:v>-3587592.9208887457</c:v>
                </c:pt>
                <c:pt idx="245">
                  <c:v>-3576385.4540492338</c:v>
                </c:pt>
                <c:pt idx="246">
                  <c:v>-3565217.1326993806</c:v>
                </c:pt>
                <c:pt idx="247">
                  <c:v>-3554088.4965913091</c:v>
                </c:pt>
                <c:pt idx="248">
                  <c:v>-3543000.0523111792</c:v>
                </c:pt>
                <c:pt idx="249">
                  <c:v>-3531952.274646271</c:v>
                </c:pt>
                <c:pt idx="250">
                  <c:v>-3520945.6078960048</c:v>
                </c:pt>
                <c:pt idx="251">
                  <c:v>-3509980.4671293199</c:v>
                </c:pt>
                <c:pt idx="252">
                  <c:v>-3499057.2393907327</c:v>
                </c:pt>
                <c:pt idx="253">
                  <c:v>-3488176.2848573052</c:v>
                </c:pt>
                <c:pt idx="254">
                  <c:v>-3477337.9379486353</c:v>
                </c:pt>
                <c:pt idx="255">
                  <c:v>-3466542.5083918585</c:v>
                </c:pt>
                <c:pt idx="256">
                  <c:v>-3455790.2822436462</c:v>
                </c:pt>
                <c:pt idx="257">
                  <c:v>-3445081.5228709532</c:v>
                </c:pt>
                <c:pt idx="258">
                  <c:v>-3434416.4718923424</c:v>
                </c:pt>
                <c:pt idx="259">
                  <c:v>-3423795.3500814964</c:v>
                </c:pt>
                <c:pt idx="260">
                  <c:v>-3413218.3582345648</c:v>
                </c:pt>
                <c:pt idx="261">
                  <c:v>-3402685.6780028162</c:v>
                </c:pt>
                <c:pt idx="262">
                  <c:v>-3392197.4726920975</c:v>
                </c:pt>
                <c:pt idx="263">
                  <c:v>-3381753.8880304578</c:v>
                </c:pt>
                <c:pt idx="264">
                  <c:v>-3371355.0529052746</c:v>
                </c:pt>
                <c:pt idx="265">
                  <c:v>-3361001.0800711457</c:v>
                </c:pt>
                <c:pt idx="266">
                  <c:v>-3350692.0668297759</c:v>
                </c:pt>
                <c:pt idx="267">
                  <c:v>-3340428.0956829791</c:v>
                </c:pt>
                <c:pt idx="268">
                  <c:v>-3330209.2349599302</c:v>
                </c:pt>
                <c:pt idx="269">
                  <c:v>-3320035.5394197414</c:v>
                </c:pt>
                <c:pt idx="270">
                  <c:v>-3309907.0508303051</c:v>
                </c:pt>
                <c:pt idx="271">
                  <c:v>-3299823.7985244598</c:v>
                </c:pt>
                <c:pt idx="272">
                  <c:v>-3289785.7999343304</c:v>
                </c:pt>
                <c:pt idx="273">
                  <c:v>-3279793.0611047735</c:v>
                </c:pt>
                <c:pt idx="274">
                  <c:v>-3269845.5771867489</c:v>
                </c:pt>
                <c:pt idx="275">
                  <c:v>-3259943.3329114337</c:v>
                </c:pt>
                <c:pt idx="276">
                  <c:v>-3250086.303045867</c:v>
                </c:pt>
                <c:pt idx="277">
                  <c:v>-3240274.4528308506</c:v>
                </c:pt>
                <c:pt idx="278">
                  <c:v>-3230507.7384018102</c:v>
                </c:pt>
                <c:pt idx="279">
                  <c:v>-3220786.1071933317</c:v>
                </c:pt>
                <c:pt idx="280">
                  <c:v>-3211109.4983279756</c:v>
                </c:pt>
                <c:pt idx="281">
                  <c:v>-3201477.8429900394</c:v>
                </c:pt>
                <c:pt idx="282">
                  <c:v>-3191891.06478483</c:v>
                </c:pt>
                <c:pt idx="283">
                  <c:v>-3182349.0800840282</c:v>
                </c:pt>
                <c:pt idx="284">
                  <c:v>-3172851.7983577205</c:v>
                </c:pt>
                <c:pt idx="285">
                  <c:v>-3163399.1224935697</c:v>
                </c:pt>
                <c:pt idx="286">
                  <c:v>-3153990.9491036832</c:v>
                </c:pt>
                <c:pt idx="287">
                  <c:v>-3144627.1688196189</c:v>
                </c:pt>
                <c:pt idx="288">
                  <c:v>-3135307.6665760232</c:v>
                </c:pt>
                <c:pt idx="289">
                  <c:v>-3126032.3218833166</c:v>
                </c:pt>
                <c:pt idx="290">
                  <c:v>-3116801.0090898811</c:v>
                </c:pt>
                <c:pt idx="291">
                  <c:v>-3107613.5976341292</c:v>
                </c:pt>
                <c:pt idx="292">
                  <c:v>-3098469.9522868604</c:v>
                </c:pt>
                <c:pt idx="293">
                  <c:v>-3089369.933384283</c:v>
                </c:pt>
                <c:pt idx="294">
                  <c:v>-3080313.3970520599</c:v>
                </c:pt>
                <c:pt idx="295">
                  <c:v>-3071300.1954207001</c:v>
                </c:pt>
                <c:pt idx="296">
                  <c:v>-3062330.1768326797</c:v>
                </c:pt>
                <c:pt idx="297">
                  <c:v>-3053403.1860415381</c:v>
                </c:pt>
                <c:pt idx="298">
                  <c:v>-3044519.0644033374</c:v>
                </c:pt>
                <c:pt idx="299">
                  <c:v>-3035677.650060697</c:v>
                </c:pt>
                <c:pt idx="300">
                  <c:v>-3026878.7781197499</c:v>
                </c:pt>
              </c:numCache>
            </c:numRef>
          </c:yVal>
          <c:smooth val="1"/>
        </c:ser>
        <c:ser>
          <c:idx val="8"/>
          <c:order val="7"/>
          <c:marker>
            <c:symbol val="none"/>
          </c:marker>
          <c:xVal>
            <c:numRef>
              <c:f>NPV!$C$6:$C$306</c:f>
              <c:numCache>
                <c:formatCode>General</c:formatCode>
                <c:ptCount val="301"/>
                <c:pt idx="0">
                  <c:v>-0.99</c:v>
                </c:pt>
                <c:pt idx="1">
                  <c:v>-0.98</c:v>
                </c:pt>
                <c:pt idx="2">
                  <c:v>-0.97</c:v>
                </c:pt>
                <c:pt idx="3">
                  <c:v>-0.96</c:v>
                </c:pt>
                <c:pt idx="4">
                  <c:v>-0.95</c:v>
                </c:pt>
                <c:pt idx="5">
                  <c:v>-0.94</c:v>
                </c:pt>
                <c:pt idx="6">
                  <c:v>-0.93</c:v>
                </c:pt>
                <c:pt idx="7">
                  <c:v>-0.92</c:v>
                </c:pt>
                <c:pt idx="8">
                  <c:v>-0.91</c:v>
                </c:pt>
                <c:pt idx="9">
                  <c:v>-0.9</c:v>
                </c:pt>
                <c:pt idx="10">
                  <c:v>-0.89</c:v>
                </c:pt>
                <c:pt idx="11">
                  <c:v>-0.88</c:v>
                </c:pt>
                <c:pt idx="12">
                  <c:v>-0.87</c:v>
                </c:pt>
                <c:pt idx="13">
                  <c:v>-0.86</c:v>
                </c:pt>
                <c:pt idx="14">
                  <c:v>-0.85</c:v>
                </c:pt>
                <c:pt idx="15">
                  <c:v>-0.84</c:v>
                </c:pt>
                <c:pt idx="16">
                  <c:v>-0.83</c:v>
                </c:pt>
                <c:pt idx="17">
                  <c:v>-0.82</c:v>
                </c:pt>
                <c:pt idx="18">
                  <c:v>-0.81</c:v>
                </c:pt>
                <c:pt idx="19">
                  <c:v>-0.8</c:v>
                </c:pt>
                <c:pt idx="20">
                  <c:v>-0.79</c:v>
                </c:pt>
                <c:pt idx="21">
                  <c:v>-0.78</c:v>
                </c:pt>
                <c:pt idx="22">
                  <c:v>-0.77</c:v>
                </c:pt>
                <c:pt idx="23">
                  <c:v>-0.76</c:v>
                </c:pt>
                <c:pt idx="24">
                  <c:v>-0.75</c:v>
                </c:pt>
                <c:pt idx="25">
                  <c:v>-0.74</c:v>
                </c:pt>
                <c:pt idx="26">
                  <c:v>-0.73</c:v>
                </c:pt>
                <c:pt idx="27">
                  <c:v>-0.72</c:v>
                </c:pt>
                <c:pt idx="28">
                  <c:v>-0.71</c:v>
                </c:pt>
                <c:pt idx="29">
                  <c:v>-0.7</c:v>
                </c:pt>
                <c:pt idx="30">
                  <c:v>-0.69</c:v>
                </c:pt>
                <c:pt idx="31">
                  <c:v>-0.68</c:v>
                </c:pt>
                <c:pt idx="32">
                  <c:v>-0.67</c:v>
                </c:pt>
                <c:pt idx="33">
                  <c:v>-0.66</c:v>
                </c:pt>
                <c:pt idx="34">
                  <c:v>-0.65</c:v>
                </c:pt>
                <c:pt idx="35">
                  <c:v>-0.64</c:v>
                </c:pt>
                <c:pt idx="36">
                  <c:v>-0.63</c:v>
                </c:pt>
                <c:pt idx="37">
                  <c:v>-0.62</c:v>
                </c:pt>
                <c:pt idx="38">
                  <c:v>-0.61</c:v>
                </c:pt>
                <c:pt idx="39">
                  <c:v>-0.6</c:v>
                </c:pt>
                <c:pt idx="40">
                  <c:v>-0.59</c:v>
                </c:pt>
                <c:pt idx="41">
                  <c:v>-0.57999999999999996</c:v>
                </c:pt>
                <c:pt idx="42">
                  <c:v>-0.56999999999999995</c:v>
                </c:pt>
                <c:pt idx="43">
                  <c:v>-0.56000000000000005</c:v>
                </c:pt>
                <c:pt idx="44">
                  <c:v>-0.55000000000000004</c:v>
                </c:pt>
                <c:pt idx="45">
                  <c:v>-0.54</c:v>
                </c:pt>
                <c:pt idx="46">
                  <c:v>-0.53</c:v>
                </c:pt>
                <c:pt idx="47">
                  <c:v>-0.52</c:v>
                </c:pt>
                <c:pt idx="48">
                  <c:v>-0.51</c:v>
                </c:pt>
                <c:pt idx="49">
                  <c:v>-0.5</c:v>
                </c:pt>
                <c:pt idx="50">
                  <c:v>-0.49</c:v>
                </c:pt>
                <c:pt idx="51">
                  <c:v>-0.48</c:v>
                </c:pt>
                <c:pt idx="52">
                  <c:v>-0.47</c:v>
                </c:pt>
                <c:pt idx="53">
                  <c:v>-0.46</c:v>
                </c:pt>
                <c:pt idx="54">
                  <c:v>-0.45</c:v>
                </c:pt>
                <c:pt idx="55">
                  <c:v>-0.44</c:v>
                </c:pt>
                <c:pt idx="56">
                  <c:v>-0.42999999999999899</c:v>
                </c:pt>
                <c:pt idx="57">
                  <c:v>-0.41999999999999899</c:v>
                </c:pt>
                <c:pt idx="58">
                  <c:v>-0.40999999999999898</c:v>
                </c:pt>
                <c:pt idx="59">
                  <c:v>-0.39999999999999902</c:v>
                </c:pt>
                <c:pt idx="60">
                  <c:v>-0.38999999999999901</c:v>
                </c:pt>
                <c:pt idx="61">
                  <c:v>-0.37999999999999901</c:v>
                </c:pt>
                <c:pt idx="62">
                  <c:v>-0.369999999999999</c:v>
                </c:pt>
                <c:pt idx="63">
                  <c:v>-0.35999999999999899</c:v>
                </c:pt>
                <c:pt idx="64">
                  <c:v>-0.34999999999999898</c:v>
                </c:pt>
                <c:pt idx="65">
                  <c:v>-0.33999999999999903</c:v>
                </c:pt>
                <c:pt idx="66">
                  <c:v>-0.32999999999999902</c:v>
                </c:pt>
                <c:pt idx="67">
                  <c:v>-0.31999999999999901</c:v>
                </c:pt>
                <c:pt idx="68">
                  <c:v>-0.309999999999999</c:v>
                </c:pt>
                <c:pt idx="69">
                  <c:v>-0.29999999999999899</c:v>
                </c:pt>
                <c:pt idx="70">
                  <c:v>-0.28999999999999898</c:v>
                </c:pt>
                <c:pt idx="71">
                  <c:v>-0.27999999999999903</c:v>
                </c:pt>
                <c:pt idx="72">
                  <c:v>-0.26999999999999902</c:v>
                </c:pt>
                <c:pt idx="73">
                  <c:v>-0.25999999999999901</c:v>
                </c:pt>
                <c:pt idx="74">
                  <c:v>-0.249999999999999</c:v>
                </c:pt>
                <c:pt idx="75">
                  <c:v>-0.23999999999999899</c:v>
                </c:pt>
                <c:pt idx="76">
                  <c:v>-0.22999999999999901</c:v>
                </c:pt>
                <c:pt idx="77">
                  <c:v>-0.219999999999999</c:v>
                </c:pt>
                <c:pt idx="78">
                  <c:v>-0.20999999999999899</c:v>
                </c:pt>
                <c:pt idx="79">
                  <c:v>-0.19999999999999901</c:v>
                </c:pt>
                <c:pt idx="80">
                  <c:v>-0.189999999999999</c:v>
                </c:pt>
                <c:pt idx="81">
                  <c:v>-0.17999999999999899</c:v>
                </c:pt>
                <c:pt idx="82">
                  <c:v>-0.16999999999999901</c:v>
                </c:pt>
                <c:pt idx="83">
                  <c:v>-0.159999999999999</c:v>
                </c:pt>
                <c:pt idx="84">
                  <c:v>-0.149999999999999</c:v>
                </c:pt>
                <c:pt idx="85">
                  <c:v>-0.13999999999999899</c:v>
                </c:pt>
                <c:pt idx="86">
                  <c:v>-0.12999999999999901</c:v>
                </c:pt>
                <c:pt idx="87">
                  <c:v>-0.119999999999999</c:v>
                </c:pt>
                <c:pt idx="88">
                  <c:v>-0.109999999999999</c:v>
                </c:pt>
                <c:pt idx="89">
                  <c:v>-9.9999999999999006E-2</c:v>
                </c:pt>
                <c:pt idx="90">
                  <c:v>-8.9999999999998997E-2</c:v>
                </c:pt>
                <c:pt idx="91">
                  <c:v>-7.9999999999999002E-2</c:v>
                </c:pt>
                <c:pt idx="92">
                  <c:v>-6.9999999999998994E-2</c:v>
                </c:pt>
                <c:pt idx="93">
                  <c:v>-5.9999999999999103E-2</c:v>
                </c:pt>
                <c:pt idx="94">
                  <c:v>-4.9999999999998997E-2</c:v>
                </c:pt>
                <c:pt idx="95">
                  <c:v>-3.9999999999999002E-2</c:v>
                </c:pt>
                <c:pt idx="96">
                  <c:v>-2.9999999999999E-2</c:v>
                </c:pt>
                <c:pt idx="97">
                  <c:v>-1.9999999999999001E-2</c:v>
                </c:pt>
                <c:pt idx="98">
                  <c:v>-9.9999999999990097E-3</c:v>
                </c:pt>
                <c:pt idx="99">
                  <c:v>0</c:v>
                </c:pt>
                <c:pt idx="100">
                  <c:v>0.01</c:v>
                </c:pt>
                <c:pt idx="101">
                  <c:v>0.02</c:v>
                </c:pt>
                <c:pt idx="102">
                  <c:v>0.03</c:v>
                </c:pt>
                <c:pt idx="103">
                  <c:v>0.04</c:v>
                </c:pt>
                <c:pt idx="104">
                  <c:v>0.05</c:v>
                </c:pt>
                <c:pt idx="105">
                  <c:v>6.0000000000000102E-2</c:v>
                </c:pt>
                <c:pt idx="106">
                  <c:v>7.0000000000000104E-2</c:v>
                </c:pt>
                <c:pt idx="107">
                  <c:v>8.0000000000000099E-2</c:v>
                </c:pt>
                <c:pt idx="108">
                  <c:v>9.0000000000000094E-2</c:v>
                </c:pt>
                <c:pt idx="109">
                  <c:v>0.1</c:v>
                </c:pt>
                <c:pt idx="110">
                  <c:v>0.11</c:v>
                </c:pt>
                <c:pt idx="111">
                  <c:v>0.12</c:v>
                </c:pt>
                <c:pt idx="112">
                  <c:v>0.13</c:v>
                </c:pt>
                <c:pt idx="113">
                  <c:v>0.14000000000000001</c:v>
                </c:pt>
                <c:pt idx="114">
                  <c:v>0.15</c:v>
                </c:pt>
                <c:pt idx="115">
                  <c:v>0.16</c:v>
                </c:pt>
                <c:pt idx="116">
                  <c:v>0.17</c:v>
                </c:pt>
                <c:pt idx="117">
                  <c:v>0.18</c:v>
                </c:pt>
                <c:pt idx="118">
                  <c:v>0.19</c:v>
                </c:pt>
                <c:pt idx="119">
                  <c:v>0.2</c:v>
                </c:pt>
                <c:pt idx="120">
                  <c:v>0.21</c:v>
                </c:pt>
                <c:pt idx="121">
                  <c:v>0.22</c:v>
                </c:pt>
                <c:pt idx="122">
                  <c:v>0.23</c:v>
                </c:pt>
                <c:pt idx="123">
                  <c:v>0.24</c:v>
                </c:pt>
                <c:pt idx="124">
                  <c:v>0.25</c:v>
                </c:pt>
                <c:pt idx="125">
                  <c:v>0.26</c:v>
                </c:pt>
                <c:pt idx="126">
                  <c:v>0.27</c:v>
                </c:pt>
                <c:pt idx="127">
                  <c:v>0.28000000000000003</c:v>
                </c:pt>
                <c:pt idx="128">
                  <c:v>0.28999999999999998</c:v>
                </c:pt>
                <c:pt idx="129">
                  <c:v>0.3</c:v>
                </c:pt>
                <c:pt idx="130">
                  <c:v>0.31</c:v>
                </c:pt>
                <c:pt idx="131">
                  <c:v>0.32</c:v>
                </c:pt>
                <c:pt idx="132">
                  <c:v>0.33</c:v>
                </c:pt>
                <c:pt idx="133">
                  <c:v>0.34</c:v>
                </c:pt>
                <c:pt idx="134">
                  <c:v>0.35</c:v>
                </c:pt>
                <c:pt idx="135">
                  <c:v>0.36</c:v>
                </c:pt>
                <c:pt idx="136">
                  <c:v>0.37</c:v>
                </c:pt>
                <c:pt idx="137">
                  <c:v>0.38</c:v>
                </c:pt>
                <c:pt idx="138">
                  <c:v>0.39</c:v>
                </c:pt>
                <c:pt idx="139">
                  <c:v>0.4</c:v>
                </c:pt>
                <c:pt idx="140">
                  <c:v>0.41</c:v>
                </c:pt>
                <c:pt idx="141">
                  <c:v>0.42</c:v>
                </c:pt>
                <c:pt idx="142">
                  <c:v>0.43</c:v>
                </c:pt>
                <c:pt idx="143">
                  <c:v>0.44</c:v>
                </c:pt>
                <c:pt idx="144">
                  <c:v>0.45</c:v>
                </c:pt>
                <c:pt idx="145">
                  <c:v>0.46</c:v>
                </c:pt>
                <c:pt idx="146">
                  <c:v>0.47</c:v>
                </c:pt>
                <c:pt idx="147">
                  <c:v>0.48</c:v>
                </c:pt>
                <c:pt idx="148">
                  <c:v>0.49</c:v>
                </c:pt>
                <c:pt idx="149">
                  <c:v>0.5</c:v>
                </c:pt>
                <c:pt idx="150">
                  <c:v>0.51</c:v>
                </c:pt>
                <c:pt idx="151">
                  <c:v>0.52</c:v>
                </c:pt>
                <c:pt idx="152">
                  <c:v>0.53</c:v>
                </c:pt>
                <c:pt idx="153">
                  <c:v>0.54</c:v>
                </c:pt>
                <c:pt idx="154">
                  <c:v>0.55000000000000004</c:v>
                </c:pt>
                <c:pt idx="155">
                  <c:v>0.56000000000000005</c:v>
                </c:pt>
                <c:pt idx="156">
                  <c:v>0.56999999999999995</c:v>
                </c:pt>
                <c:pt idx="157">
                  <c:v>0.57999999999999996</c:v>
                </c:pt>
                <c:pt idx="158">
                  <c:v>0.59</c:v>
                </c:pt>
                <c:pt idx="159">
                  <c:v>0.6</c:v>
                </c:pt>
                <c:pt idx="160">
                  <c:v>0.61</c:v>
                </c:pt>
                <c:pt idx="161">
                  <c:v>0.62</c:v>
                </c:pt>
                <c:pt idx="162">
                  <c:v>0.63</c:v>
                </c:pt>
                <c:pt idx="163">
                  <c:v>0.64</c:v>
                </c:pt>
                <c:pt idx="164">
                  <c:v>0.65</c:v>
                </c:pt>
                <c:pt idx="165">
                  <c:v>0.66</c:v>
                </c:pt>
                <c:pt idx="166">
                  <c:v>0.67</c:v>
                </c:pt>
                <c:pt idx="167">
                  <c:v>0.68</c:v>
                </c:pt>
                <c:pt idx="168">
                  <c:v>0.69</c:v>
                </c:pt>
                <c:pt idx="169">
                  <c:v>0.7</c:v>
                </c:pt>
                <c:pt idx="170">
                  <c:v>0.71</c:v>
                </c:pt>
                <c:pt idx="171">
                  <c:v>0.72</c:v>
                </c:pt>
                <c:pt idx="172">
                  <c:v>0.73</c:v>
                </c:pt>
                <c:pt idx="173">
                  <c:v>0.74</c:v>
                </c:pt>
                <c:pt idx="174">
                  <c:v>0.75</c:v>
                </c:pt>
                <c:pt idx="175">
                  <c:v>0.76</c:v>
                </c:pt>
                <c:pt idx="176">
                  <c:v>0.77</c:v>
                </c:pt>
                <c:pt idx="177">
                  <c:v>0.78</c:v>
                </c:pt>
                <c:pt idx="178">
                  <c:v>0.79</c:v>
                </c:pt>
                <c:pt idx="179">
                  <c:v>0.8</c:v>
                </c:pt>
                <c:pt idx="180">
                  <c:v>0.81</c:v>
                </c:pt>
                <c:pt idx="181">
                  <c:v>0.82</c:v>
                </c:pt>
                <c:pt idx="182">
                  <c:v>0.83</c:v>
                </c:pt>
                <c:pt idx="183">
                  <c:v>0.84</c:v>
                </c:pt>
                <c:pt idx="184">
                  <c:v>0.85</c:v>
                </c:pt>
                <c:pt idx="185">
                  <c:v>0.86</c:v>
                </c:pt>
                <c:pt idx="186">
                  <c:v>0.87</c:v>
                </c:pt>
                <c:pt idx="187">
                  <c:v>0.88</c:v>
                </c:pt>
                <c:pt idx="188">
                  <c:v>0.89</c:v>
                </c:pt>
                <c:pt idx="189">
                  <c:v>0.9</c:v>
                </c:pt>
                <c:pt idx="190">
                  <c:v>0.91</c:v>
                </c:pt>
                <c:pt idx="191">
                  <c:v>0.92</c:v>
                </c:pt>
                <c:pt idx="192">
                  <c:v>0.93</c:v>
                </c:pt>
                <c:pt idx="193">
                  <c:v>0.94</c:v>
                </c:pt>
                <c:pt idx="194">
                  <c:v>0.95</c:v>
                </c:pt>
                <c:pt idx="195">
                  <c:v>0.96</c:v>
                </c:pt>
                <c:pt idx="196">
                  <c:v>0.97</c:v>
                </c:pt>
                <c:pt idx="197">
                  <c:v>0.98</c:v>
                </c:pt>
                <c:pt idx="198">
                  <c:v>0.99</c:v>
                </c:pt>
                <c:pt idx="199">
                  <c:v>1</c:v>
                </c:pt>
                <c:pt idx="200">
                  <c:v>1.01</c:v>
                </c:pt>
                <c:pt idx="201">
                  <c:v>1.02</c:v>
                </c:pt>
                <c:pt idx="202">
                  <c:v>1.03</c:v>
                </c:pt>
                <c:pt idx="203">
                  <c:v>1.04</c:v>
                </c:pt>
                <c:pt idx="204">
                  <c:v>1.05</c:v>
                </c:pt>
                <c:pt idx="205">
                  <c:v>1.06</c:v>
                </c:pt>
                <c:pt idx="206">
                  <c:v>1.07</c:v>
                </c:pt>
                <c:pt idx="207">
                  <c:v>1.08</c:v>
                </c:pt>
                <c:pt idx="208">
                  <c:v>1.0900000000000001</c:v>
                </c:pt>
                <c:pt idx="209">
                  <c:v>1.1000000000000001</c:v>
                </c:pt>
                <c:pt idx="210">
                  <c:v>1.1100000000000001</c:v>
                </c:pt>
                <c:pt idx="211">
                  <c:v>1.1200000000000001</c:v>
                </c:pt>
                <c:pt idx="212">
                  <c:v>1.1299999999999999</c:v>
                </c:pt>
                <c:pt idx="213">
                  <c:v>1.1399999999999999</c:v>
                </c:pt>
                <c:pt idx="214">
                  <c:v>1.1499999999999999</c:v>
                </c:pt>
                <c:pt idx="215">
                  <c:v>1.1599999999999999</c:v>
                </c:pt>
                <c:pt idx="216">
                  <c:v>1.17</c:v>
                </c:pt>
                <c:pt idx="217">
                  <c:v>1.18</c:v>
                </c:pt>
                <c:pt idx="218">
                  <c:v>1.19</c:v>
                </c:pt>
                <c:pt idx="219">
                  <c:v>1.2</c:v>
                </c:pt>
                <c:pt idx="220">
                  <c:v>1.21</c:v>
                </c:pt>
                <c:pt idx="221">
                  <c:v>1.22</c:v>
                </c:pt>
                <c:pt idx="222">
                  <c:v>1.23</c:v>
                </c:pt>
                <c:pt idx="223">
                  <c:v>1.24</c:v>
                </c:pt>
                <c:pt idx="224">
                  <c:v>1.25</c:v>
                </c:pt>
                <c:pt idx="225">
                  <c:v>1.26</c:v>
                </c:pt>
                <c:pt idx="226">
                  <c:v>1.27</c:v>
                </c:pt>
                <c:pt idx="227">
                  <c:v>1.28</c:v>
                </c:pt>
                <c:pt idx="228">
                  <c:v>1.29</c:v>
                </c:pt>
                <c:pt idx="229">
                  <c:v>1.3</c:v>
                </c:pt>
                <c:pt idx="230">
                  <c:v>1.31</c:v>
                </c:pt>
                <c:pt idx="231">
                  <c:v>1.32</c:v>
                </c:pt>
                <c:pt idx="232">
                  <c:v>1.33</c:v>
                </c:pt>
                <c:pt idx="233">
                  <c:v>1.34</c:v>
                </c:pt>
                <c:pt idx="234">
                  <c:v>1.35</c:v>
                </c:pt>
                <c:pt idx="235">
                  <c:v>1.36</c:v>
                </c:pt>
                <c:pt idx="236">
                  <c:v>1.37</c:v>
                </c:pt>
                <c:pt idx="237">
                  <c:v>1.38</c:v>
                </c:pt>
                <c:pt idx="238">
                  <c:v>1.39</c:v>
                </c:pt>
                <c:pt idx="239">
                  <c:v>1.4</c:v>
                </c:pt>
                <c:pt idx="240">
                  <c:v>1.41</c:v>
                </c:pt>
                <c:pt idx="241">
                  <c:v>1.42</c:v>
                </c:pt>
                <c:pt idx="242">
                  <c:v>1.43</c:v>
                </c:pt>
                <c:pt idx="243">
                  <c:v>1.44</c:v>
                </c:pt>
                <c:pt idx="244">
                  <c:v>1.45</c:v>
                </c:pt>
                <c:pt idx="245">
                  <c:v>1.46</c:v>
                </c:pt>
                <c:pt idx="246">
                  <c:v>1.47</c:v>
                </c:pt>
                <c:pt idx="247">
                  <c:v>1.48</c:v>
                </c:pt>
                <c:pt idx="248">
                  <c:v>1.49</c:v>
                </c:pt>
                <c:pt idx="249">
                  <c:v>1.5</c:v>
                </c:pt>
                <c:pt idx="250">
                  <c:v>1.51</c:v>
                </c:pt>
                <c:pt idx="251">
                  <c:v>1.52</c:v>
                </c:pt>
                <c:pt idx="252">
                  <c:v>1.53</c:v>
                </c:pt>
                <c:pt idx="253">
                  <c:v>1.54</c:v>
                </c:pt>
                <c:pt idx="254">
                  <c:v>1.55</c:v>
                </c:pt>
                <c:pt idx="255">
                  <c:v>1.56</c:v>
                </c:pt>
                <c:pt idx="256">
                  <c:v>1.57</c:v>
                </c:pt>
                <c:pt idx="257">
                  <c:v>1.58</c:v>
                </c:pt>
                <c:pt idx="258">
                  <c:v>1.59</c:v>
                </c:pt>
                <c:pt idx="259">
                  <c:v>1.6</c:v>
                </c:pt>
                <c:pt idx="260">
                  <c:v>1.61</c:v>
                </c:pt>
                <c:pt idx="261">
                  <c:v>1.62</c:v>
                </c:pt>
                <c:pt idx="262">
                  <c:v>1.63</c:v>
                </c:pt>
                <c:pt idx="263">
                  <c:v>1.64</c:v>
                </c:pt>
                <c:pt idx="264">
                  <c:v>1.65</c:v>
                </c:pt>
                <c:pt idx="265">
                  <c:v>1.66</c:v>
                </c:pt>
                <c:pt idx="266">
                  <c:v>1.67</c:v>
                </c:pt>
                <c:pt idx="267">
                  <c:v>1.68</c:v>
                </c:pt>
                <c:pt idx="268">
                  <c:v>1.69</c:v>
                </c:pt>
                <c:pt idx="269">
                  <c:v>1.7</c:v>
                </c:pt>
                <c:pt idx="270">
                  <c:v>1.71</c:v>
                </c:pt>
                <c:pt idx="271">
                  <c:v>1.72</c:v>
                </c:pt>
                <c:pt idx="272">
                  <c:v>1.73</c:v>
                </c:pt>
                <c:pt idx="273">
                  <c:v>1.74</c:v>
                </c:pt>
                <c:pt idx="274">
                  <c:v>1.75</c:v>
                </c:pt>
                <c:pt idx="275">
                  <c:v>1.76</c:v>
                </c:pt>
                <c:pt idx="276">
                  <c:v>1.77</c:v>
                </c:pt>
                <c:pt idx="277">
                  <c:v>1.78</c:v>
                </c:pt>
                <c:pt idx="278">
                  <c:v>1.79</c:v>
                </c:pt>
                <c:pt idx="279">
                  <c:v>1.8</c:v>
                </c:pt>
                <c:pt idx="280">
                  <c:v>1.81</c:v>
                </c:pt>
                <c:pt idx="281">
                  <c:v>1.82</c:v>
                </c:pt>
                <c:pt idx="282">
                  <c:v>1.83</c:v>
                </c:pt>
                <c:pt idx="283">
                  <c:v>1.84</c:v>
                </c:pt>
                <c:pt idx="284">
                  <c:v>1.85</c:v>
                </c:pt>
                <c:pt idx="285">
                  <c:v>1.86</c:v>
                </c:pt>
                <c:pt idx="286">
                  <c:v>1.87</c:v>
                </c:pt>
                <c:pt idx="287">
                  <c:v>1.88</c:v>
                </c:pt>
                <c:pt idx="288">
                  <c:v>1.89</c:v>
                </c:pt>
                <c:pt idx="289">
                  <c:v>1.9</c:v>
                </c:pt>
                <c:pt idx="290">
                  <c:v>1.91</c:v>
                </c:pt>
                <c:pt idx="291">
                  <c:v>1.92</c:v>
                </c:pt>
                <c:pt idx="292">
                  <c:v>1.93</c:v>
                </c:pt>
                <c:pt idx="293">
                  <c:v>1.94</c:v>
                </c:pt>
                <c:pt idx="294">
                  <c:v>1.95</c:v>
                </c:pt>
                <c:pt idx="295">
                  <c:v>1.96</c:v>
                </c:pt>
                <c:pt idx="296">
                  <c:v>1.97</c:v>
                </c:pt>
                <c:pt idx="297">
                  <c:v>1.98</c:v>
                </c:pt>
                <c:pt idx="298">
                  <c:v>1.99</c:v>
                </c:pt>
                <c:pt idx="299">
                  <c:v>2</c:v>
                </c:pt>
                <c:pt idx="300">
                  <c:v>2.0099999999999998</c:v>
                </c:pt>
              </c:numCache>
            </c:numRef>
          </c:xVal>
          <c:yVal>
            <c:numRef>
              <c:f>NPV!$K$6:$K$306</c:f>
              <c:numCache>
                <c:formatCode>"$"#,##0.00_);[Red]\("$"#,##0.00\)</c:formatCode>
                <c:ptCount val="301"/>
                <c:pt idx="0">
                  <c:v>-1.191340942466252E+23</c:v>
                </c:pt>
                <c:pt idx="1">
                  <c:v>-2.329048503564615E+20</c:v>
                </c:pt>
                <c:pt idx="2">
                  <c:v>-6.0548839179488061E+18</c:v>
                </c:pt>
                <c:pt idx="3">
                  <c:v>-4.536288722122256E+17</c:v>
                </c:pt>
                <c:pt idx="4">
                  <c:v>-6.0645981583226904E+16</c:v>
                </c:pt>
                <c:pt idx="5">
                  <c:v>-1.1685754130897108E+16</c:v>
                </c:pt>
                <c:pt idx="6">
                  <c:v>-2895708101533225.5</c:v>
                </c:pt>
                <c:pt idx="7">
                  <c:v>-862003712205963.75</c:v>
                </c:pt>
                <c:pt idx="8">
                  <c:v>-294984732871163.06</c:v>
                </c:pt>
                <c:pt idx="9">
                  <c:v>-112598256991877.45</c:v>
                </c:pt>
                <c:pt idx="10">
                  <c:v>-46916170728569.789</c:v>
                </c:pt>
                <c:pt idx="11">
                  <c:v>-20998842991257.152</c:v>
                </c:pt>
                <c:pt idx="12">
                  <c:v>-9972311146242.3203</c:v>
                </c:pt>
                <c:pt idx="13">
                  <c:v>-4976186009701.1094</c:v>
                </c:pt>
                <c:pt idx="14">
                  <c:v>-2588623350393.5078</c:v>
                </c:pt>
                <c:pt idx="15">
                  <c:v>-1394614418339.3921</c:v>
                </c:pt>
                <c:pt idx="16">
                  <c:v>-773744619357.90881</c:v>
                </c:pt>
                <c:pt idx="17">
                  <c:v>-439863217086.33514</c:v>
                </c:pt>
                <c:pt idx="18">
                  <c:v>-255031306776.75845</c:v>
                </c:pt>
                <c:pt idx="19">
                  <c:v>-150126066427.70969</c:v>
                </c:pt>
                <c:pt idx="20">
                  <c:v>-89302386066.545731</c:v>
                </c:pt>
                <c:pt idx="21">
                  <c:v>-53398711307.912163</c:v>
                </c:pt>
                <c:pt idx="22">
                  <c:v>-31891311787.565376</c:v>
                </c:pt>
                <c:pt idx="23">
                  <c:v>-18859488595.104225</c:v>
                </c:pt>
                <c:pt idx="24">
                  <c:v>-10899867401.664642</c:v>
                </c:pt>
                <c:pt idx="25">
                  <c:v>-6018280510.6618309</c:v>
                </c:pt>
                <c:pt idx="26">
                  <c:v>-3026233210.3688364</c:v>
                </c:pt>
                <c:pt idx="27">
                  <c:v>-1204692946.0064256</c:v>
                </c:pt>
                <c:pt idx="28">
                  <c:v>-112912270.13575125</c:v>
                </c:pt>
                <c:pt idx="29">
                  <c:v>522330787.82518697</c:v>
                </c:pt>
                <c:pt idx="30">
                  <c:v>872005186.65245867</c:v>
                </c:pt>
                <c:pt idx="31">
                  <c:v>1043894991.7997727</c:v>
                </c:pt>
                <c:pt idx="32">
                  <c:v>1106315774.8107412</c:v>
                </c:pt>
                <c:pt idx="33">
                  <c:v>1102697277.7229183</c:v>
                </c:pt>
                <c:pt idx="34">
                  <c:v>1060654170.6448618</c:v>
                </c:pt>
                <c:pt idx="35">
                  <c:v>997686967.26406431</c:v>
                </c:pt>
                <c:pt idx="36">
                  <c:v>924797997.79241145</c:v>
                </c:pt>
                <c:pt idx="37">
                  <c:v>848803309.15733147</c:v>
                </c:pt>
                <c:pt idx="38">
                  <c:v>773820813.98010373</c:v>
                </c:pt>
                <c:pt idx="39">
                  <c:v>702233450.22913718</c:v>
                </c:pt>
                <c:pt idx="40">
                  <c:v>635315098.75045216</c:v>
                </c:pt>
                <c:pt idx="41">
                  <c:v>573638357.44680333</c:v>
                </c:pt>
                <c:pt idx="42">
                  <c:v>517340374.23962545</c:v>
                </c:pt>
                <c:pt idx="43">
                  <c:v>466295874.68788475</c:v>
                </c:pt>
                <c:pt idx="44">
                  <c:v>420229288.4211877</c:v>
                </c:pt>
                <c:pt idx="45">
                  <c:v>378786816.97973359</c:v>
                </c:pt>
                <c:pt idx="46">
                  <c:v>341582130.96681583</c:v>
                </c:pt>
                <c:pt idx="47">
                  <c:v>308224724.7930305</c:v>
                </c:pt>
                <c:pt idx="48">
                  <c:v>278336903.80362874</c:v>
                </c:pt>
                <c:pt idx="49">
                  <c:v>251563366.63191378</c:v>
                </c:pt>
                <c:pt idx="50">
                  <c:v>227576013.66135779</c:v>
                </c:pt>
                <c:pt idx="51">
                  <c:v>206075727.20624226</c:v>
                </c:pt>
                <c:pt idx="52">
                  <c:v>186792278.81573251</c:v>
                </c:pt>
                <c:pt idx="53">
                  <c:v>169483124.78106362</c:v>
                </c:pt>
                <c:pt idx="54">
                  <c:v>153931587.19519743</c:v>
                </c:pt>
                <c:pt idx="55">
                  <c:v>139944741.56876647</c:v>
                </c:pt>
                <c:pt idx="56">
                  <c:v>127351214.30081958</c:v>
                </c:pt>
                <c:pt idx="57">
                  <c:v>115999015.02959873</c:v>
                </c:pt>
                <c:pt idx="58">
                  <c:v>105753477.16069636</c:v>
                </c:pt>
                <c:pt idx="59">
                  <c:v>96495346.013039634</c:v>
                </c:pt>
                <c:pt idx="60">
                  <c:v>88119032.18204236</c:v>
                </c:pt>
                <c:pt idx="61">
                  <c:v>80531033.934236154</c:v>
                </c:pt>
                <c:pt idx="62">
                  <c:v>73648524.037350267</c:v>
                </c:pt>
                <c:pt idx="63">
                  <c:v>67398091.578187287</c:v>
                </c:pt>
                <c:pt idx="64">
                  <c:v>61714626.79880935</c:v>
                </c:pt>
                <c:pt idx="65">
                  <c:v>56540335.959704809</c:v>
                </c:pt>
                <c:pt idx="66">
                  <c:v>51823873.158610128</c:v>
                </c:pt>
                <c:pt idx="67">
                  <c:v>47519576.5223464</c:v>
                </c:pt>
                <c:pt idx="68">
                  <c:v>43586796.999143101</c:v>
                </c:pt>
                <c:pt idx="69">
                  <c:v>39989308.94873561</c:v>
                </c:pt>
                <c:pt idx="70">
                  <c:v>36694792.7532693</c:v>
                </c:pt>
                <c:pt idx="71">
                  <c:v>33674380.689008005</c:v>
                </c:pt>
                <c:pt idx="72">
                  <c:v>30902258.268464349</c:v>
                </c:pt>
                <c:pt idx="73">
                  <c:v>28355314.163597468</c:v>
                </c:pt>
                <c:pt idx="74">
                  <c:v>26012832.643216997</c:v>
                </c:pt>
                <c:pt idx="75">
                  <c:v>23856223.198974278</c:v>
                </c:pt>
                <c:pt idx="76">
                  <c:v>21868782.696047299</c:v>
                </c:pt>
                <c:pt idx="77">
                  <c:v>20035485.971202005</c:v>
                </c:pt>
                <c:pt idx="78">
                  <c:v>18342801.318087533</c:v>
                </c:pt>
                <c:pt idx="79">
                  <c:v>16778527.753758982</c:v>
                </c:pt>
                <c:pt idx="80">
                  <c:v>15331651.357968332</c:v>
                </c:pt>
                <c:pt idx="81">
                  <c:v>13992218.32396717</c:v>
                </c:pt>
                <c:pt idx="82">
                  <c:v>12751222.662274458</c:v>
                </c:pt>
                <c:pt idx="83">
                  <c:v>11600506.762455786</c:v>
                </c:pt>
                <c:pt idx="84">
                  <c:v>10532673.247292612</c:v>
                </c:pt>
                <c:pt idx="85">
                  <c:v>9541006.7531400528</c:v>
                </c:pt>
                <c:pt idx="86">
                  <c:v>8619404.4436309263</c:v>
                </c:pt>
                <c:pt idx="87">
                  <c:v>7762314.2145794006</c:v>
                </c:pt>
                <c:pt idx="88">
                  <c:v>6964679.6789471861</c:v>
                </c:pt>
                <c:pt idx="89">
                  <c:v>6221891.1346604088</c:v>
                </c:pt>
                <c:pt idx="90">
                  <c:v>5529741.8171725944</c:v>
                </c:pt>
                <c:pt idx="91">
                  <c:v>4884388.8249278776</c:v>
                </c:pt>
                <c:pt idx="92">
                  <c:v>4282318.1809980562</c:v>
                </c:pt>
                <c:pt idx="93">
                  <c:v>3720313.5596284941</c:v>
                </c:pt>
                <c:pt idx="94">
                  <c:v>3195428.2635131744</c:v>
                </c:pt>
                <c:pt idx="95">
                  <c:v>2704960.0874389717</c:v>
                </c:pt>
                <c:pt idx="96">
                  <c:v>2246428.7474521212</c:v>
                </c:pt>
                <c:pt idx="97">
                  <c:v>1817555.5927376254</c:v>
                </c:pt>
                <c:pt idx="98">
                  <c:v>1416245.3506817329</c:v>
                </c:pt>
                <c:pt idx="99">
                  <c:v>1040569.6847307945</c:v>
                </c:pt>
                <c:pt idx="100">
                  <c:v>688752.37020350504</c:v>
                </c:pt>
                <c:pt idx="101">
                  <c:v>359155.91562462837</c:v>
                </c:pt>
                <c:pt idx="102">
                  <c:v>50269.476826458536</c:v>
                </c:pt>
                <c:pt idx="103">
                  <c:v>-239302.07163628438</c:v>
                </c:pt>
                <c:pt idx="104">
                  <c:v>-510848.02799398021</c:v>
                </c:pt>
                <c:pt idx="105">
                  <c:v>-765560.82452430693</c:v>
                </c:pt>
                <c:pt idx="106">
                  <c:v>-1004544.1535860141</c:v>
                </c:pt>
                <c:pt idx="107">
                  <c:v>-1228820.3430154524</c:v>
                </c:pt>
                <c:pt idx="108">
                  <c:v>-1439337.0562686895</c:v>
                </c:pt>
                <c:pt idx="109">
                  <c:v>-1636973.3845510578</c:v>
                </c:pt>
                <c:pt idx="110">
                  <c:v>-1822545.3909716753</c:v>
                </c:pt>
                <c:pt idx="111">
                  <c:v>-1996811.1603789744</c:v>
                </c:pt>
                <c:pt idx="112">
                  <c:v>-2160475.4028753089</c:v>
                </c:pt>
                <c:pt idx="113">
                  <c:v>-2314193.6539872843</c:v>
                </c:pt>
                <c:pt idx="114">
                  <c:v>-2458576.1100079506</c:v>
                </c:pt>
                <c:pt idx="115">
                  <c:v>-2594191.1330611035</c:v>
                </c:pt>
                <c:pt idx="116">
                  <c:v>-2721568.4569080072</c:v>
                </c:pt>
                <c:pt idx="117">
                  <c:v>-2841202.1213730318</c:v>
                </c:pt>
                <c:pt idx="118">
                  <c:v>-2953553.1604611301</c:v>
                </c:pt>
                <c:pt idx="119">
                  <c:v>-3059052.0667384951</c:v>
                </c:pt>
                <c:pt idx="120">
                  <c:v>-3158101.0523131285</c:v>
                </c:pt>
                <c:pt idx="121">
                  <c:v>-3251076.1247544033</c:v>
                </c:pt>
                <c:pt idx="122">
                  <c:v>-3338328.9945032112</c:v>
                </c:pt>
                <c:pt idx="123">
                  <c:v>-3420188.8287233901</c:v>
                </c:pt>
                <c:pt idx="124">
                  <c:v>-3496963.8651103815</c:v>
                </c:pt>
                <c:pt idx="125">
                  <c:v>-3568942.8978856956</c:v>
                </c:pt>
                <c:pt idx="126">
                  <c:v>-3636396.6470500967</c:v>
                </c:pt>
                <c:pt idx="127">
                  <c:v>-3699579.0209298842</c:v>
                </c:pt>
                <c:pt idx="128">
                  <c:v>-3758728.281116528</c:v>
                </c:pt>
                <c:pt idx="129">
                  <c:v>-3814068.1180593176</c:v>
                </c:pt>
                <c:pt idx="130">
                  <c:v>-3865808.6448132875</c:v>
                </c:pt>
                <c:pt idx="131">
                  <c:v>-3914147.3157620654</c:v>
                </c:pt>
                <c:pt idx="132">
                  <c:v>-3959269.7765191761</c:v>
                </c:pt>
                <c:pt idx="133">
                  <c:v>-4001350.6506552626</c:v>
                </c:pt>
                <c:pt idx="134">
                  <c:v>-4040554.2683960027</c:v>
                </c:pt>
                <c:pt idx="135">
                  <c:v>-4077035.3419810859</c:v>
                </c:pt>
                <c:pt idx="136">
                  <c:v>-4110939.5919631892</c:v>
                </c:pt>
                <c:pt idx="137">
                  <c:v>-4142404.3283534427</c:v>
                </c:pt>
                <c:pt idx="138">
                  <c:v>-4171558.9901822335</c:v>
                </c:pt>
                <c:pt idx="139">
                  <c:v>-4198525.6467378996</c:v>
                </c:pt>
                <c:pt idx="140">
                  <c:v>-4223419.4634680608</c:v>
                </c:pt>
                <c:pt idx="141">
                  <c:v>-4246349.1352756592</c:v>
                </c:pt>
                <c:pt idx="142">
                  <c:v>-4267417.2897125678</c:v>
                </c:pt>
                <c:pt idx="143">
                  <c:v>-4286720.8623647084</c:v>
                </c:pt>
                <c:pt idx="144">
                  <c:v>-4304351.4465328027</c:v>
                </c:pt>
                <c:pt idx="145">
                  <c:v>-4320395.6191397728</c:v>
                </c:pt>
                <c:pt idx="146">
                  <c:v>-4334935.2446381962</c:v>
                </c:pt>
                <c:pt idx="147">
                  <c:v>-4348047.7585473536</c:v>
                </c:pt>
                <c:pt idx="148">
                  <c:v>-4359806.4321182352</c:v>
                </c:pt>
                <c:pt idx="149">
                  <c:v>-4370280.619504964</c:v>
                </c:pt>
                <c:pt idx="150">
                  <c:v>-4379535.9887116523</c:v>
                </c:pt>
                <c:pt idx="151">
                  <c:v>-4387634.7374835573</c:v>
                </c:pt>
                <c:pt idx="152">
                  <c:v>-4394635.7952197576</c:v>
                </c:pt>
                <c:pt idx="153">
                  <c:v>-4400595.0119008413</c:v>
                </c:pt>
                <c:pt idx="154">
                  <c:v>-4405565.3349481039</c:v>
                </c:pt>
                <c:pt idx="155">
                  <c:v>-4409596.9748605071</c:v>
                </c:pt>
                <c:pt idx="156">
                  <c:v>-4412737.5604110099</c:v>
                </c:pt>
                <c:pt idx="157">
                  <c:v>-4415032.2841246184</c:v>
                </c:pt>
                <c:pt idx="158">
                  <c:v>-4416524.0387061518</c:v>
                </c:pt>
                <c:pt idx="159">
                  <c:v>-4417253.5450357003</c:v>
                </c:pt>
                <c:pt idx="160">
                  <c:v>-4417259.4723038338</c:v>
                </c:pt>
                <c:pt idx="161">
                  <c:v>-4416578.5508163618</c:v>
                </c:pt>
                <c:pt idx="162">
                  <c:v>-4415245.6779595595</c:v>
                </c:pt>
                <c:pt idx="163">
                  <c:v>-4413294.0177809857</c:v>
                </c:pt>
                <c:pt idx="164">
                  <c:v>-4410755.0946080368</c:v>
                </c:pt>
                <c:pt idx="165">
                  <c:v>-4407658.8810959831</c:v>
                </c:pt>
                <c:pt idx="166">
                  <c:v>-4404033.8810691768</c:v>
                </c:pt>
                <c:pt idx="167">
                  <c:v>-4399907.2074933304</c:v>
                </c:pt>
                <c:pt idx="168">
                  <c:v>-4395304.6558927922</c:v>
                </c:pt>
                <c:pt idx="169">
                  <c:v>-4390250.7735047685</c:v>
                </c:pt>
                <c:pt idx="170">
                  <c:v>-4384768.9244420128</c:v>
                </c:pt>
                <c:pt idx="171">
                  <c:v>-4378881.3511167178</c:v>
                </c:pt>
                <c:pt idx="172">
                  <c:v>-4372609.2321608365</c:v>
                </c:pt>
                <c:pt idx="173">
                  <c:v>-4365972.7370620444</c:v>
                </c:pt>
                <c:pt idx="174">
                  <c:v>-4358991.0777194863</c:v>
                </c:pt>
                <c:pt idx="175">
                  <c:v>-4351682.5571097462</c:v>
                </c:pt>
                <c:pt idx="176">
                  <c:v>-4344064.6152405795</c:v>
                </c:pt>
                <c:pt idx="177">
                  <c:v>-4336153.8725580927</c:v>
                </c:pt>
                <c:pt idx="178">
                  <c:v>-4327966.1709620189</c:v>
                </c:pt>
                <c:pt idx="179">
                  <c:v>-4319516.6125735175</c:v>
                </c:pt>
                <c:pt idx="180">
                  <c:v>-4310819.5963904206</c:v>
                </c:pt>
                <c:pt idx="181">
                  <c:v>-4301888.8529560203</c:v>
                </c:pt>
                <c:pt idx="182">
                  <c:v>-4292737.4771593064</c:v>
                </c:pt>
                <c:pt idx="183">
                  <c:v>-4283377.9592769155</c:v>
                </c:pt>
                <c:pt idx="184">
                  <c:v>-4273822.2143600145</c:v>
                </c:pt>
                <c:pt idx="185">
                  <c:v>-4264081.6100626644</c:v>
                </c:pt>
                <c:pt idx="186">
                  <c:v>-4254166.9930021502</c:v>
                </c:pt>
                <c:pt idx="187">
                  <c:v>-4244088.7137360191</c:v>
                </c:pt>
                <c:pt idx="188">
                  <c:v>-4233856.6504351916</c:v>
                </c:pt>
                <c:pt idx="189">
                  <c:v>-4223480.2313276408</c:v>
                </c:pt>
                <c:pt idx="190">
                  <c:v>-4212968.4559824262</c:v>
                </c:pt>
                <c:pt idx="191">
                  <c:v>-4202329.9154995745</c:v>
                </c:pt>
                <c:pt idx="192">
                  <c:v>-4191572.8116673157</c:v>
                </c:pt>
                <c:pt idx="193">
                  <c:v>-4180704.9751443411</c:v>
                </c:pt>
                <c:pt idx="194">
                  <c:v>-4169733.8827213021</c:v>
                </c:pt>
                <c:pt idx="195">
                  <c:v>-4158666.6737124803</c:v>
                </c:pt>
                <c:pt idx="196">
                  <c:v>-4147510.1655254643</c:v>
                </c:pt>
                <c:pt idx="197">
                  <c:v>-4136270.8684538212</c:v>
                </c:pt>
                <c:pt idx="198">
                  <c:v>-4124954.9997350997</c:v>
                </c:pt>
                <c:pt idx="199">
                  <c:v>-4113568.4969139197</c:v>
                </c:pt>
                <c:pt idx="200">
                  <c:v>-4102117.0305476543</c:v>
                </c:pt>
                <c:pt idx="201">
                  <c:v>-4090606.0162899285</c:v>
                </c:pt>
                <c:pt idx="202">
                  <c:v>-4079040.626385137</c:v>
                </c:pt>
                <c:pt idx="203">
                  <c:v>-4067425.8006052873</c:v>
                </c:pt>
                <c:pt idx="204">
                  <c:v>-4055766.2566585932</c:v>
                </c:pt>
                <c:pt idx="205">
                  <c:v>-4044066.5000976222</c:v>
                </c:pt>
                <c:pt idx="206">
                  <c:v>-4032330.8337531877</c:v>
                </c:pt>
                <c:pt idx="207">
                  <c:v>-4020563.3667186424</c:v>
                </c:pt>
                <c:pt idx="208">
                  <c:v>-4008768.0229079272</c:v>
                </c:pt>
                <c:pt idx="209">
                  <c:v>-3996948.5492093177</c:v>
                </c:pt>
                <c:pt idx="210">
                  <c:v>-3985108.5232556476</c:v>
                </c:pt>
                <c:pt idx="211">
                  <c:v>-3973251.3608305878</c:v>
                </c:pt>
                <c:pt idx="212">
                  <c:v>-3961380.3229295104</c:v>
                </c:pt>
                <c:pt idx="213">
                  <c:v>-3949498.5224923971</c:v>
                </c:pt>
                <c:pt idx="214">
                  <c:v>-3937608.9308253359</c:v>
                </c:pt>
                <c:pt idx="215">
                  <c:v>-3925714.3837262243</c:v>
                </c:pt>
                <c:pt idx="216">
                  <c:v>-3913817.5873294347</c:v>
                </c:pt>
                <c:pt idx="217">
                  <c:v>-3901921.1236834344</c:v>
                </c:pt>
                <c:pt idx="218">
                  <c:v>-3890027.4560745442</c:v>
                </c:pt>
                <c:pt idx="219">
                  <c:v>-3878138.9341093656</c:v>
                </c:pt>
                <c:pt idx="220">
                  <c:v>-3866257.798567717</c:v>
                </c:pt>
                <c:pt idx="221">
                  <c:v>-3854386.1860372541</c:v>
                </c:pt>
                <c:pt idx="222">
                  <c:v>-3842526.1333404277</c:v>
                </c:pt>
                <c:pt idx="223">
                  <c:v>-3830679.5817637998</c:v>
                </c:pt>
                <c:pt idx="224">
                  <c:v>-3818848.3810992697</c:v>
                </c:pt>
                <c:pt idx="225">
                  <c:v>-3807034.2935062223</c:v>
                </c:pt>
                <c:pt idx="226">
                  <c:v>-3795238.9972031633</c:v>
                </c:pt>
                <c:pt idx="227">
                  <c:v>-3783464.0899969586</c:v>
                </c:pt>
                <c:pt idx="228">
                  <c:v>-3771711.0926573658</c:v>
                </c:pt>
                <c:pt idx="229">
                  <c:v>-3759981.4521441832</c:v>
                </c:pt>
                <c:pt idx="230">
                  <c:v>-3748276.5446939059</c:v>
                </c:pt>
                <c:pt idx="231">
                  <c:v>-3736597.6787725068</c:v>
                </c:pt>
                <c:pt idx="232">
                  <c:v>-3724946.097900568</c:v>
                </c:pt>
                <c:pt idx="233">
                  <c:v>-3713322.9833566751</c:v>
                </c:pt>
                <c:pt idx="234">
                  <c:v>-3701729.4567647283</c:v>
                </c:pt>
                <c:pt idx="235">
                  <c:v>-3690166.5825705151</c:v>
                </c:pt>
                <c:pt idx="236">
                  <c:v>-3678635.3704126198</c:v>
                </c:pt>
                <c:pt idx="237">
                  <c:v>-3667136.7773924964</c:v>
                </c:pt>
                <c:pt idx="238">
                  <c:v>-3655671.7102483069</c:v>
                </c:pt>
                <c:pt idx="239">
                  <c:v>-3644241.027436886</c:v>
                </c:pt>
                <c:pt idx="240">
                  <c:v>-3632845.5411279914</c:v>
                </c:pt>
                <c:pt idx="241">
                  <c:v>-3621486.0191147691</c:v>
                </c:pt>
                <c:pt idx="242">
                  <c:v>-3610163.1866442114</c:v>
                </c:pt>
                <c:pt idx="243">
                  <c:v>-3598877.7281711781</c:v>
                </c:pt>
                <c:pt idx="244">
                  <c:v>-3587630.2890393776</c:v>
                </c:pt>
                <c:pt idx="245">
                  <c:v>-3576421.4770925473</c:v>
                </c:pt>
                <c:pt idx="246">
                  <c:v>-3565251.8642189461</c:v>
                </c:pt>
                <c:pt idx="247">
                  <c:v>-3554121.9878320303</c:v>
                </c:pt>
                <c:pt idx="248">
                  <c:v>-3543032.3522902071</c:v>
                </c:pt>
                <c:pt idx="249">
                  <c:v>-3531983.4302582345</c:v>
                </c:pt>
                <c:pt idx="250">
                  <c:v>-3520975.6640128824</c:v>
                </c:pt>
                <c:pt idx="251">
                  <c:v>-3510009.4666952379</c:v>
                </c:pt>
                <c:pt idx="252">
                  <c:v>-3499085.2235119678</c:v>
                </c:pt>
                <c:pt idx="253">
                  <c:v>-3488203.2928877585</c:v>
                </c:pt>
                <c:pt idx="254">
                  <c:v>-3477364.0075710076</c:v>
                </c:pt>
                <c:pt idx="255">
                  <c:v>-3466567.6756947772</c:v>
                </c:pt>
                <c:pt idx="256">
                  <c:v>-3455814.5817949446</c:v>
                </c:pt>
                <c:pt idx="257">
                  <c:v>-3445104.9877873142</c:v>
                </c:pt>
                <c:pt idx="258">
                  <c:v>-3434439.1339055058</c:v>
                </c:pt>
                <c:pt idx="259">
                  <c:v>-3423817.2396012009</c:v>
                </c:pt>
                <c:pt idx="260">
                  <c:v>-3413239.5044084047</c:v>
                </c:pt>
                <c:pt idx="261">
                  <c:v>-3402706.1087731733</c:v>
                </c:pt>
                <c:pt idx="262">
                  <c:v>-3392217.2148503009</c:v>
                </c:pt>
                <c:pt idx="263">
                  <c:v>-3381772.9672683179</c:v>
                </c:pt>
                <c:pt idx="264">
                  <c:v>-3371373.4938641265</c:v>
                </c:pt>
                <c:pt idx="265">
                  <c:v>-3361018.9063885296</c:v>
                </c:pt>
                <c:pt idx="266">
                  <c:v>-3350709.3011838812</c:v>
                </c:pt>
                <c:pt idx="267">
                  <c:v>-3340444.7598349648</c:v>
                </c:pt>
                <c:pt idx="268">
                  <c:v>-3330225.3497942272</c:v>
                </c:pt>
                <c:pt idx="269">
                  <c:v>-3320051.1249824464</c:v>
                </c:pt>
                <c:pt idx="270">
                  <c:v>-3309922.1263657575</c:v>
                </c:pt>
                <c:pt idx="271">
                  <c:v>-3299838.3825100963</c:v>
                </c:pt>
                <c:pt idx="272">
                  <c:v>-3289799.9101139037</c:v>
                </c:pt>
                <c:pt idx="273">
                  <c:v>-3279806.7145200213</c:v>
                </c:pt>
                <c:pt idx="274">
                  <c:v>-3269858.7902075816</c:v>
                </c:pt>
                <c:pt idx="275">
                  <c:v>-3259956.1212647255</c:v>
                </c:pt>
                <c:pt idx="276">
                  <c:v>-3250098.6818429139</c:v>
                </c:pt>
                <c:pt idx="277">
                  <c:v>-3240286.4365935596</c:v>
                </c:pt>
                <c:pt idx="278">
                  <c:v>-3230519.3410876906</c:v>
                </c:pt>
                <c:pt idx="279">
                  <c:v>-3220797.3422193401</c:v>
                </c:pt>
                <c:pt idx="280">
                  <c:v>-3211120.3785932739</c:v>
                </c:pt>
                <c:pt idx="281">
                  <c:v>-3201488.3808977152</c:v>
                </c:pt>
                <c:pt idx="282">
                  <c:v>-3191901.2722626398</c:v>
                </c:pt>
                <c:pt idx="283">
                  <c:v>-3182358.9686042001</c:v>
                </c:pt>
                <c:pt idx="284">
                  <c:v>-3172861.3789558639</c:v>
                </c:pt>
                <c:pt idx="285">
                  <c:v>-3163408.4057867439</c:v>
                </c:pt>
                <c:pt idx="286">
                  <c:v>-3153999.9453076534</c:v>
                </c:pt>
                <c:pt idx="287">
                  <c:v>-3144635.887765347</c:v>
                </c:pt>
                <c:pt idx="288">
                  <c:v>-3135316.1177254259</c:v>
                </c:pt>
                <c:pt idx="289">
                  <c:v>-3126040.5143443267</c:v>
                </c:pt>
                <c:pt idx="290">
                  <c:v>-3116808.9516308438</c:v>
                </c:pt>
                <c:pt idx="291">
                  <c:v>-3107621.2986975717</c:v>
                </c:pt>
                <c:pt idx="292">
                  <c:v>-3098477.4200026509</c:v>
                </c:pt>
                <c:pt idx="293">
                  <c:v>-3089377.1755822226</c:v>
                </c:pt>
                <c:pt idx="294">
                  <c:v>-3080320.4212739216</c:v>
                </c:pt>
                <c:pt idx="295">
                  <c:v>-3071307.0089317518</c:v>
                </c:pt>
                <c:pt idx="296">
                  <c:v>-3062336.7866327041</c:v>
                </c:pt>
                <c:pt idx="297">
                  <c:v>-3053409.598875382</c:v>
                </c:pt>
                <c:pt idx="298">
                  <c:v>-3044525.2867710073</c:v>
                </c:pt>
                <c:pt idx="299">
                  <c:v>-3035683.6882270221</c:v>
                </c:pt>
                <c:pt idx="300">
                  <c:v>-3026884.6381236338</c:v>
                </c:pt>
              </c:numCache>
            </c:numRef>
          </c:yVal>
          <c:smooth val="1"/>
        </c:ser>
        <c:ser>
          <c:idx val="9"/>
          <c:order val="8"/>
          <c:marker>
            <c:symbol val="none"/>
          </c:marker>
          <c:xVal>
            <c:numRef>
              <c:f>NPV!$C$6:$C$306</c:f>
              <c:numCache>
                <c:formatCode>General</c:formatCode>
                <c:ptCount val="301"/>
                <c:pt idx="0">
                  <c:v>-0.99</c:v>
                </c:pt>
                <c:pt idx="1">
                  <c:v>-0.98</c:v>
                </c:pt>
                <c:pt idx="2">
                  <c:v>-0.97</c:v>
                </c:pt>
                <c:pt idx="3">
                  <c:v>-0.96</c:v>
                </c:pt>
                <c:pt idx="4">
                  <c:v>-0.95</c:v>
                </c:pt>
                <c:pt idx="5">
                  <c:v>-0.94</c:v>
                </c:pt>
                <c:pt idx="6">
                  <c:v>-0.93</c:v>
                </c:pt>
                <c:pt idx="7">
                  <c:v>-0.92</c:v>
                </c:pt>
                <c:pt idx="8">
                  <c:v>-0.91</c:v>
                </c:pt>
                <c:pt idx="9">
                  <c:v>-0.9</c:v>
                </c:pt>
                <c:pt idx="10">
                  <c:v>-0.89</c:v>
                </c:pt>
                <c:pt idx="11">
                  <c:v>-0.88</c:v>
                </c:pt>
                <c:pt idx="12">
                  <c:v>-0.87</c:v>
                </c:pt>
                <c:pt idx="13">
                  <c:v>-0.86</c:v>
                </c:pt>
                <c:pt idx="14">
                  <c:v>-0.85</c:v>
                </c:pt>
                <c:pt idx="15">
                  <c:v>-0.84</c:v>
                </c:pt>
                <c:pt idx="16">
                  <c:v>-0.83</c:v>
                </c:pt>
                <c:pt idx="17">
                  <c:v>-0.82</c:v>
                </c:pt>
                <c:pt idx="18">
                  <c:v>-0.81</c:v>
                </c:pt>
                <c:pt idx="19">
                  <c:v>-0.8</c:v>
                </c:pt>
                <c:pt idx="20">
                  <c:v>-0.79</c:v>
                </c:pt>
                <c:pt idx="21">
                  <c:v>-0.78</c:v>
                </c:pt>
                <c:pt idx="22">
                  <c:v>-0.77</c:v>
                </c:pt>
                <c:pt idx="23">
                  <c:v>-0.76</c:v>
                </c:pt>
                <c:pt idx="24">
                  <c:v>-0.75</c:v>
                </c:pt>
                <c:pt idx="25">
                  <c:v>-0.74</c:v>
                </c:pt>
                <c:pt idx="26">
                  <c:v>-0.73</c:v>
                </c:pt>
                <c:pt idx="27">
                  <c:v>-0.72</c:v>
                </c:pt>
                <c:pt idx="28">
                  <c:v>-0.71</c:v>
                </c:pt>
                <c:pt idx="29">
                  <c:v>-0.7</c:v>
                </c:pt>
                <c:pt idx="30">
                  <c:v>-0.69</c:v>
                </c:pt>
                <c:pt idx="31">
                  <c:v>-0.68</c:v>
                </c:pt>
                <c:pt idx="32">
                  <c:v>-0.67</c:v>
                </c:pt>
                <c:pt idx="33">
                  <c:v>-0.66</c:v>
                </c:pt>
                <c:pt idx="34">
                  <c:v>-0.65</c:v>
                </c:pt>
                <c:pt idx="35">
                  <c:v>-0.64</c:v>
                </c:pt>
                <c:pt idx="36">
                  <c:v>-0.63</c:v>
                </c:pt>
                <c:pt idx="37">
                  <c:v>-0.62</c:v>
                </c:pt>
                <c:pt idx="38">
                  <c:v>-0.61</c:v>
                </c:pt>
                <c:pt idx="39">
                  <c:v>-0.6</c:v>
                </c:pt>
                <c:pt idx="40">
                  <c:v>-0.59</c:v>
                </c:pt>
                <c:pt idx="41">
                  <c:v>-0.57999999999999996</c:v>
                </c:pt>
                <c:pt idx="42">
                  <c:v>-0.56999999999999995</c:v>
                </c:pt>
                <c:pt idx="43">
                  <c:v>-0.56000000000000005</c:v>
                </c:pt>
                <c:pt idx="44">
                  <c:v>-0.55000000000000004</c:v>
                </c:pt>
                <c:pt idx="45">
                  <c:v>-0.54</c:v>
                </c:pt>
                <c:pt idx="46">
                  <c:v>-0.53</c:v>
                </c:pt>
                <c:pt idx="47">
                  <c:v>-0.52</c:v>
                </c:pt>
                <c:pt idx="48">
                  <c:v>-0.51</c:v>
                </c:pt>
                <c:pt idx="49">
                  <c:v>-0.5</c:v>
                </c:pt>
                <c:pt idx="50">
                  <c:v>-0.49</c:v>
                </c:pt>
                <c:pt idx="51">
                  <c:v>-0.48</c:v>
                </c:pt>
                <c:pt idx="52">
                  <c:v>-0.47</c:v>
                </c:pt>
                <c:pt idx="53">
                  <c:v>-0.46</c:v>
                </c:pt>
                <c:pt idx="54">
                  <c:v>-0.45</c:v>
                </c:pt>
                <c:pt idx="55">
                  <c:v>-0.44</c:v>
                </c:pt>
                <c:pt idx="56">
                  <c:v>-0.42999999999999899</c:v>
                </c:pt>
                <c:pt idx="57">
                  <c:v>-0.41999999999999899</c:v>
                </c:pt>
                <c:pt idx="58">
                  <c:v>-0.40999999999999898</c:v>
                </c:pt>
                <c:pt idx="59">
                  <c:v>-0.39999999999999902</c:v>
                </c:pt>
                <c:pt idx="60">
                  <c:v>-0.38999999999999901</c:v>
                </c:pt>
                <c:pt idx="61">
                  <c:v>-0.37999999999999901</c:v>
                </c:pt>
                <c:pt idx="62">
                  <c:v>-0.369999999999999</c:v>
                </c:pt>
                <c:pt idx="63">
                  <c:v>-0.35999999999999899</c:v>
                </c:pt>
                <c:pt idx="64">
                  <c:v>-0.34999999999999898</c:v>
                </c:pt>
                <c:pt idx="65">
                  <c:v>-0.33999999999999903</c:v>
                </c:pt>
                <c:pt idx="66">
                  <c:v>-0.32999999999999902</c:v>
                </c:pt>
                <c:pt idx="67">
                  <c:v>-0.31999999999999901</c:v>
                </c:pt>
                <c:pt idx="68">
                  <c:v>-0.309999999999999</c:v>
                </c:pt>
                <c:pt idx="69">
                  <c:v>-0.29999999999999899</c:v>
                </c:pt>
                <c:pt idx="70">
                  <c:v>-0.28999999999999898</c:v>
                </c:pt>
                <c:pt idx="71">
                  <c:v>-0.27999999999999903</c:v>
                </c:pt>
                <c:pt idx="72">
                  <c:v>-0.26999999999999902</c:v>
                </c:pt>
                <c:pt idx="73">
                  <c:v>-0.25999999999999901</c:v>
                </c:pt>
                <c:pt idx="74">
                  <c:v>-0.249999999999999</c:v>
                </c:pt>
                <c:pt idx="75">
                  <c:v>-0.23999999999999899</c:v>
                </c:pt>
                <c:pt idx="76">
                  <c:v>-0.22999999999999901</c:v>
                </c:pt>
                <c:pt idx="77">
                  <c:v>-0.219999999999999</c:v>
                </c:pt>
                <c:pt idx="78">
                  <c:v>-0.20999999999999899</c:v>
                </c:pt>
                <c:pt idx="79">
                  <c:v>-0.19999999999999901</c:v>
                </c:pt>
                <c:pt idx="80">
                  <c:v>-0.189999999999999</c:v>
                </c:pt>
                <c:pt idx="81">
                  <c:v>-0.17999999999999899</c:v>
                </c:pt>
                <c:pt idx="82">
                  <c:v>-0.16999999999999901</c:v>
                </c:pt>
                <c:pt idx="83">
                  <c:v>-0.159999999999999</c:v>
                </c:pt>
                <c:pt idx="84">
                  <c:v>-0.149999999999999</c:v>
                </c:pt>
                <c:pt idx="85">
                  <c:v>-0.13999999999999899</c:v>
                </c:pt>
                <c:pt idx="86">
                  <c:v>-0.12999999999999901</c:v>
                </c:pt>
                <c:pt idx="87">
                  <c:v>-0.119999999999999</c:v>
                </c:pt>
                <c:pt idx="88">
                  <c:v>-0.109999999999999</c:v>
                </c:pt>
                <c:pt idx="89">
                  <c:v>-9.9999999999999006E-2</c:v>
                </c:pt>
                <c:pt idx="90">
                  <c:v>-8.9999999999998997E-2</c:v>
                </c:pt>
                <c:pt idx="91">
                  <c:v>-7.9999999999999002E-2</c:v>
                </c:pt>
                <c:pt idx="92">
                  <c:v>-6.9999999999998994E-2</c:v>
                </c:pt>
                <c:pt idx="93">
                  <c:v>-5.9999999999999103E-2</c:v>
                </c:pt>
                <c:pt idx="94">
                  <c:v>-4.9999999999998997E-2</c:v>
                </c:pt>
                <c:pt idx="95">
                  <c:v>-3.9999999999999002E-2</c:v>
                </c:pt>
                <c:pt idx="96">
                  <c:v>-2.9999999999999E-2</c:v>
                </c:pt>
                <c:pt idx="97">
                  <c:v>-1.9999999999999001E-2</c:v>
                </c:pt>
                <c:pt idx="98">
                  <c:v>-9.9999999999990097E-3</c:v>
                </c:pt>
                <c:pt idx="99">
                  <c:v>0</c:v>
                </c:pt>
                <c:pt idx="100">
                  <c:v>0.01</c:v>
                </c:pt>
                <c:pt idx="101">
                  <c:v>0.02</c:v>
                </c:pt>
                <c:pt idx="102">
                  <c:v>0.03</c:v>
                </c:pt>
                <c:pt idx="103">
                  <c:v>0.04</c:v>
                </c:pt>
                <c:pt idx="104">
                  <c:v>0.05</c:v>
                </c:pt>
                <c:pt idx="105">
                  <c:v>6.0000000000000102E-2</c:v>
                </c:pt>
                <c:pt idx="106">
                  <c:v>7.0000000000000104E-2</c:v>
                </c:pt>
                <c:pt idx="107">
                  <c:v>8.0000000000000099E-2</c:v>
                </c:pt>
                <c:pt idx="108">
                  <c:v>9.0000000000000094E-2</c:v>
                </c:pt>
                <c:pt idx="109">
                  <c:v>0.1</c:v>
                </c:pt>
                <c:pt idx="110">
                  <c:v>0.11</c:v>
                </c:pt>
                <c:pt idx="111">
                  <c:v>0.12</c:v>
                </c:pt>
                <c:pt idx="112">
                  <c:v>0.13</c:v>
                </c:pt>
                <c:pt idx="113">
                  <c:v>0.14000000000000001</c:v>
                </c:pt>
                <c:pt idx="114">
                  <c:v>0.15</c:v>
                </c:pt>
                <c:pt idx="115">
                  <c:v>0.16</c:v>
                </c:pt>
                <c:pt idx="116">
                  <c:v>0.17</c:v>
                </c:pt>
                <c:pt idx="117">
                  <c:v>0.18</c:v>
                </c:pt>
                <c:pt idx="118">
                  <c:v>0.19</c:v>
                </c:pt>
                <c:pt idx="119">
                  <c:v>0.2</c:v>
                </c:pt>
                <c:pt idx="120">
                  <c:v>0.21</c:v>
                </c:pt>
                <c:pt idx="121">
                  <c:v>0.22</c:v>
                </c:pt>
                <c:pt idx="122">
                  <c:v>0.23</c:v>
                </c:pt>
                <c:pt idx="123">
                  <c:v>0.24</c:v>
                </c:pt>
                <c:pt idx="124">
                  <c:v>0.25</c:v>
                </c:pt>
                <c:pt idx="125">
                  <c:v>0.26</c:v>
                </c:pt>
                <c:pt idx="126">
                  <c:v>0.27</c:v>
                </c:pt>
                <c:pt idx="127">
                  <c:v>0.28000000000000003</c:v>
                </c:pt>
                <c:pt idx="128">
                  <c:v>0.28999999999999998</c:v>
                </c:pt>
                <c:pt idx="129">
                  <c:v>0.3</c:v>
                </c:pt>
                <c:pt idx="130">
                  <c:v>0.31</c:v>
                </c:pt>
                <c:pt idx="131">
                  <c:v>0.32</c:v>
                </c:pt>
                <c:pt idx="132">
                  <c:v>0.33</c:v>
                </c:pt>
                <c:pt idx="133">
                  <c:v>0.34</c:v>
                </c:pt>
                <c:pt idx="134">
                  <c:v>0.35</c:v>
                </c:pt>
                <c:pt idx="135">
                  <c:v>0.36</c:v>
                </c:pt>
                <c:pt idx="136">
                  <c:v>0.37</c:v>
                </c:pt>
                <c:pt idx="137">
                  <c:v>0.38</c:v>
                </c:pt>
                <c:pt idx="138">
                  <c:v>0.39</c:v>
                </c:pt>
                <c:pt idx="139">
                  <c:v>0.4</c:v>
                </c:pt>
                <c:pt idx="140">
                  <c:v>0.41</c:v>
                </c:pt>
                <c:pt idx="141">
                  <c:v>0.42</c:v>
                </c:pt>
                <c:pt idx="142">
                  <c:v>0.43</c:v>
                </c:pt>
                <c:pt idx="143">
                  <c:v>0.44</c:v>
                </c:pt>
                <c:pt idx="144">
                  <c:v>0.45</c:v>
                </c:pt>
                <c:pt idx="145">
                  <c:v>0.46</c:v>
                </c:pt>
                <c:pt idx="146">
                  <c:v>0.47</c:v>
                </c:pt>
                <c:pt idx="147">
                  <c:v>0.48</c:v>
                </c:pt>
                <c:pt idx="148">
                  <c:v>0.49</c:v>
                </c:pt>
                <c:pt idx="149">
                  <c:v>0.5</c:v>
                </c:pt>
                <c:pt idx="150">
                  <c:v>0.51</c:v>
                </c:pt>
                <c:pt idx="151">
                  <c:v>0.52</c:v>
                </c:pt>
                <c:pt idx="152">
                  <c:v>0.53</c:v>
                </c:pt>
                <c:pt idx="153">
                  <c:v>0.54</c:v>
                </c:pt>
                <c:pt idx="154">
                  <c:v>0.55000000000000004</c:v>
                </c:pt>
                <c:pt idx="155">
                  <c:v>0.56000000000000005</c:v>
                </c:pt>
                <c:pt idx="156">
                  <c:v>0.56999999999999995</c:v>
                </c:pt>
                <c:pt idx="157">
                  <c:v>0.57999999999999996</c:v>
                </c:pt>
                <c:pt idx="158">
                  <c:v>0.59</c:v>
                </c:pt>
                <c:pt idx="159">
                  <c:v>0.6</c:v>
                </c:pt>
                <c:pt idx="160">
                  <c:v>0.61</c:v>
                </c:pt>
                <c:pt idx="161">
                  <c:v>0.62</c:v>
                </c:pt>
                <c:pt idx="162">
                  <c:v>0.63</c:v>
                </c:pt>
                <c:pt idx="163">
                  <c:v>0.64</c:v>
                </c:pt>
                <c:pt idx="164">
                  <c:v>0.65</c:v>
                </c:pt>
                <c:pt idx="165">
                  <c:v>0.66</c:v>
                </c:pt>
                <c:pt idx="166">
                  <c:v>0.67</c:v>
                </c:pt>
                <c:pt idx="167">
                  <c:v>0.68</c:v>
                </c:pt>
                <c:pt idx="168">
                  <c:v>0.69</c:v>
                </c:pt>
                <c:pt idx="169">
                  <c:v>0.7</c:v>
                </c:pt>
                <c:pt idx="170">
                  <c:v>0.71</c:v>
                </c:pt>
                <c:pt idx="171">
                  <c:v>0.72</c:v>
                </c:pt>
                <c:pt idx="172">
                  <c:v>0.73</c:v>
                </c:pt>
                <c:pt idx="173">
                  <c:v>0.74</c:v>
                </c:pt>
                <c:pt idx="174">
                  <c:v>0.75</c:v>
                </c:pt>
                <c:pt idx="175">
                  <c:v>0.76</c:v>
                </c:pt>
                <c:pt idx="176">
                  <c:v>0.77</c:v>
                </c:pt>
                <c:pt idx="177">
                  <c:v>0.78</c:v>
                </c:pt>
                <c:pt idx="178">
                  <c:v>0.79</c:v>
                </c:pt>
                <c:pt idx="179">
                  <c:v>0.8</c:v>
                </c:pt>
                <c:pt idx="180">
                  <c:v>0.81</c:v>
                </c:pt>
                <c:pt idx="181">
                  <c:v>0.82</c:v>
                </c:pt>
                <c:pt idx="182">
                  <c:v>0.83</c:v>
                </c:pt>
                <c:pt idx="183">
                  <c:v>0.84</c:v>
                </c:pt>
                <c:pt idx="184">
                  <c:v>0.85</c:v>
                </c:pt>
                <c:pt idx="185">
                  <c:v>0.86</c:v>
                </c:pt>
                <c:pt idx="186">
                  <c:v>0.87</c:v>
                </c:pt>
                <c:pt idx="187">
                  <c:v>0.88</c:v>
                </c:pt>
                <c:pt idx="188">
                  <c:v>0.89</c:v>
                </c:pt>
                <c:pt idx="189">
                  <c:v>0.9</c:v>
                </c:pt>
                <c:pt idx="190">
                  <c:v>0.91</c:v>
                </c:pt>
                <c:pt idx="191">
                  <c:v>0.92</c:v>
                </c:pt>
                <c:pt idx="192">
                  <c:v>0.93</c:v>
                </c:pt>
                <c:pt idx="193">
                  <c:v>0.94</c:v>
                </c:pt>
                <c:pt idx="194">
                  <c:v>0.95</c:v>
                </c:pt>
                <c:pt idx="195">
                  <c:v>0.96</c:v>
                </c:pt>
                <c:pt idx="196">
                  <c:v>0.97</c:v>
                </c:pt>
                <c:pt idx="197">
                  <c:v>0.98</c:v>
                </c:pt>
                <c:pt idx="198">
                  <c:v>0.99</c:v>
                </c:pt>
                <c:pt idx="199">
                  <c:v>1</c:v>
                </c:pt>
                <c:pt idx="200">
                  <c:v>1.01</c:v>
                </c:pt>
                <c:pt idx="201">
                  <c:v>1.02</c:v>
                </c:pt>
                <c:pt idx="202">
                  <c:v>1.03</c:v>
                </c:pt>
                <c:pt idx="203">
                  <c:v>1.04</c:v>
                </c:pt>
                <c:pt idx="204">
                  <c:v>1.05</c:v>
                </c:pt>
                <c:pt idx="205">
                  <c:v>1.06</c:v>
                </c:pt>
                <c:pt idx="206">
                  <c:v>1.07</c:v>
                </c:pt>
                <c:pt idx="207">
                  <c:v>1.08</c:v>
                </c:pt>
                <c:pt idx="208">
                  <c:v>1.0900000000000001</c:v>
                </c:pt>
                <c:pt idx="209">
                  <c:v>1.1000000000000001</c:v>
                </c:pt>
                <c:pt idx="210">
                  <c:v>1.1100000000000001</c:v>
                </c:pt>
                <c:pt idx="211">
                  <c:v>1.1200000000000001</c:v>
                </c:pt>
                <c:pt idx="212">
                  <c:v>1.1299999999999999</c:v>
                </c:pt>
                <c:pt idx="213">
                  <c:v>1.1399999999999999</c:v>
                </c:pt>
                <c:pt idx="214">
                  <c:v>1.1499999999999999</c:v>
                </c:pt>
                <c:pt idx="215">
                  <c:v>1.1599999999999999</c:v>
                </c:pt>
                <c:pt idx="216">
                  <c:v>1.17</c:v>
                </c:pt>
                <c:pt idx="217">
                  <c:v>1.18</c:v>
                </c:pt>
                <c:pt idx="218">
                  <c:v>1.19</c:v>
                </c:pt>
                <c:pt idx="219">
                  <c:v>1.2</c:v>
                </c:pt>
                <c:pt idx="220">
                  <c:v>1.21</c:v>
                </c:pt>
                <c:pt idx="221">
                  <c:v>1.22</c:v>
                </c:pt>
                <c:pt idx="222">
                  <c:v>1.23</c:v>
                </c:pt>
                <c:pt idx="223">
                  <c:v>1.24</c:v>
                </c:pt>
                <c:pt idx="224">
                  <c:v>1.25</c:v>
                </c:pt>
                <c:pt idx="225">
                  <c:v>1.26</c:v>
                </c:pt>
                <c:pt idx="226">
                  <c:v>1.27</c:v>
                </c:pt>
                <c:pt idx="227">
                  <c:v>1.28</c:v>
                </c:pt>
                <c:pt idx="228">
                  <c:v>1.29</c:v>
                </c:pt>
                <c:pt idx="229">
                  <c:v>1.3</c:v>
                </c:pt>
                <c:pt idx="230">
                  <c:v>1.31</c:v>
                </c:pt>
                <c:pt idx="231">
                  <c:v>1.32</c:v>
                </c:pt>
                <c:pt idx="232">
                  <c:v>1.33</c:v>
                </c:pt>
                <c:pt idx="233">
                  <c:v>1.34</c:v>
                </c:pt>
                <c:pt idx="234">
                  <c:v>1.35</c:v>
                </c:pt>
                <c:pt idx="235">
                  <c:v>1.36</c:v>
                </c:pt>
                <c:pt idx="236">
                  <c:v>1.37</c:v>
                </c:pt>
                <c:pt idx="237">
                  <c:v>1.38</c:v>
                </c:pt>
                <c:pt idx="238">
                  <c:v>1.39</c:v>
                </c:pt>
                <c:pt idx="239">
                  <c:v>1.4</c:v>
                </c:pt>
                <c:pt idx="240">
                  <c:v>1.41</c:v>
                </c:pt>
                <c:pt idx="241">
                  <c:v>1.42</c:v>
                </c:pt>
                <c:pt idx="242">
                  <c:v>1.43</c:v>
                </c:pt>
                <c:pt idx="243">
                  <c:v>1.44</c:v>
                </c:pt>
                <c:pt idx="244">
                  <c:v>1.45</c:v>
                </c:pt>
                <c:pt idx="245">
                  <c:v>1.46</c:v>
                </c:pt>
                <c:pt idx="246">
                  <c:v>1.47</c:v>
                </c:pt>
                <c:pt idx="247">
                  <c:v>1.48</c:v>
                </c:pt>
                <c:pt idx="248">
                  <c:v>1.49</c:v>
                </c:pt>
                <c:pt idx="249">
                  <c:v>1.5</c:v>
                </c:pt>
                <c:pt idx="250">
                  <c:v>1.51</c:v>
                </c:pt>
                <c:pt idx="251">
                  <c:v>1.52</c:v>
                </c:pt>
                <c:pt idx="252">
                  <c:v>1.53</c:v>
                </c:pt>
                <c:pt idx="253">
                  <c:v>1.54</c:v>
                </c:pt>
                <c:pt idx="254">
                  <c:v>1.55</c:v>
                </c:pt>
                <c:pt idx="255">
                  <c:v>1.56</c:v>
                </c:pt>
                <c:pt idx="256">
                  <c:v>1.57</c:v>
                </c:pt>
                <c:pt idx="257">
                  <c:v>1.58</c:v>
                </c:pt>
                <c:pt idx="258">
                  <c:v>1.59</c:v>
                </c:pt>
                <c:pt idx="259">
                  <c:v>1.6</c:v>
                </c:pt>
                <c:pt idx="260">
                  <c:v>1.61</c:v>
                </c:pt>
                <c:pt idx="261">
                  <c:v>1.62</c:v>
                </c:pt>
                <c:pt idx="262">
                  <c:v>1.63</c:v>
                </c:pt>
                <c:pt idx="263">
                  <c:v>1.64</c:v>
                </c:pt>
                <c:pt idx="264">
                  <c:v>1.65</c:v>
                </c:pt>
                <c:pt idx="265">
                  <c:v>1.66</c:v>
                </c:pt>
                <c:pt idx="266">
                  <c:v>1.67</c:v>
                </c:pt>
                <c:pt idx="267">
                  <c:v>1.68</c:v>
                </c:pt>
                <c:pt idx="268">
                  <c:v>1.69</c:v>
                </c:pt>
                <c:pt idx="269">
                  <c:v>1.7</c:v>
                </c:pt>
                <c:pt idx="270">
                  <c:v>1.71</c:v>
                </c:pt>
                <c:pt idx="271">
                  <c:v>1.72</c:v>
                </c:pt>
                <c:pt idx="272">
                  <c:v>1.73</c:v>
                </c:pt>
                <c:pt idx="273">
                  <c:v>1.74</c:v>
                </c:pt>
                <c:pt idx="274">
                  <c:v>1.75</c:v>
                </c:pt>
                <c:pt idx="275">
                  <c:v>1.76</c:v>
                </c:pt>
                <c:pt idx="276">
                  <c:v>1.77</c:v>
                </c:pt>
                <c:pt idx="277">
                  <c:v>1.78</c:v>
                </c:pt>
                <c:pt idx="278">
                  <c:v>1.79</c:v>
                </c:pt>
                <c:pt idx="279">
                  <c:v>1.8</c:v>
                </c:pt>
                <c:pt idx="280">
                  <c:v>1.81</c:v>
                </c:pt>
                <c:pt idx="281">
                  <c:v>1.82</c:v>
                </c:pt>
                <c:pt idx="282">
                  <c:v>1.83</c:v>
                </c:pt>
                <c:pt idx="283">
                  <c:v>1.84</c:v>
                </c:pt>
                <c:pt idx="284">
                  <c:v>1.85</c:v>
                </c:pt>
                <c:pt idx="285">
                  <c:v>1.86</c:v>
                </c:pt>
                <c:pt idx="286">
                  <c:v>1.87</c:v>
                </c:pt>
                <c:pt idx="287">
                  <c:v>1.88</c:v>
                </c:pt>
                <c:pt idx="288">
                  <c:v>1.89</c:v>
                </c:pt>
                <c:pt idx="289">
                  <c:v>1.9</c:v>
                </c:pt>
                <c:pt idx="290">
                  <c:v>1.91</c:v>
                </c:pt>
                <c:pt idx="291">
                  <c:v>1.92</c:v>
                </c:pt>
                <c:pt idx="292">
                  <c:v>1.93</c:v>
                </c:pt>
                <c:pt idx="293">
                  <c:v>1.94</c:v>
                </c:pt>
                <c:pt idx="294">
                  <c:v>1.95</c:v>
                </c:pt>
                <c:pt idx="295">
                  <c:v>1.96</c:v>
                </c:pt>
                <c:pt idx="296">
                  <c:v>1.97</c:v>
                </c:pt>
                <c:pt idx="297">
                  <c:v>1.98</c:v>
                </c:pt>
                <c:pt idx="298">
                  <c:v>1.99</c:v>
                </c:pt>
                <c:pt idx="299">
                  <c:v>2</c:v>
                </c:pt>
                <c:pt idx="300">
                  <c:v>2.0099999999999998</c:v>
                </c:pt>
              </c:numCache>
            </c:numRef>
          </c:xVal>
          <c:yVal>
            <c:numRef>
              <c:f>NPV!$L$6:$L$306</c:f>
              <c:numCache>
                <c:formatCode>"$"#,##0.00_);[Red]\("$"#,##0.00\)</c:formatCode>
                <c:ptCount val="301"/>
                <c:pt idx="0">
                  <c:v>-1.9961039637066838E+25</c:v>
                </c:pt>
                <c:pt idx="1">
                  <c:v>-1.9609765732016825E+22</c:v>
                </c:pt>
                <c:pt idx="2">
                  <c:v>-3.4207929657218872E+20</c:v>
                </c:pt>
                <c:pt idx="3">
                  <c:v>-1.9376344576958673E+19</c:v>
                </c:pt>
                <c:pt idx="4">
                  <c:v>-2.0924571091680166E+18</c:v>
                </c:pt>
                <c:pt idx="5">
                  <c:v>-3.3983459461355328E+17</c:v>
                </c:pt>
                <c:pt idx="6">
                  <c:v>-7.3138696161773952E+16</c:v>
                </c:pt>
                <c:pt idx="7">
                  <c:v>-1.9341218267622672E+16</c:v>
                </c:pt>
                <c:pt idx="8">
                  <c:v>-5985587666946999</c:v>
                </c:pt>
                <c:pt idx="9">
                  <c:v>-2096788811273920.7</c:v>
                </c:pt>
                <c:pt idx="10">
                  <c:v>-811907523881474</c:v>
                </c:pt>
                <c:pt idx="11">
                  <c:v>-341456695025104</c:v>
                </c:pt>
                <c:pt idx="12">
                  <c:v>-153901823769619.44</c:v>
                </c:pt>
                <c:pt idx="13">
                  <c:v>-73572854037279.422</c:v>
                </c:pt>
                <c:pt idx="14">
                  <c:v>-36997523206187.93</c:v>
                </c:pt>
                <c:pt idx="15">
                  <c:v>-19440722382613.398</c:v>
                </c:pt>
                <c:pt idx="16">
                  <c:v>-10615989448769.932</c:v>
                </c:pt>
                <c:pt idx="17">
                  <c:v>-5997092644894.7344</c:v>
                </c:pt>
                <c:pt idx="18">
                  <c:v>-3491320837586.207</c:v>
                </c:pt>
                <c:pt idx="19">
                  <c:v>-2087812154593.7676</c:v>
                </c:pt>
                <c:pt idx="20">
                  <c:v>-1278873556793.2366</c:v>
                </c:pt>
                <c:pt idx="21">
                  <c:v>-800460579621.29517</c:v>
                </c:pt>
                <c:pt idx="22">
                  <c:v>-510857678047.31921</c:v>
                </c:pt>
                <c:pt idx="23">
                  <c:v>-331806609721.90778</c:v>
                </c:pt>
                <c:pt idx="24">
                  <c:v>-218957326866.34897</c:v>
                </c:pt>
                <c:pt idx="25">
                  <c:v>-146574445181.92856</c:v>
                </c:pt>
                <c:pt idx="26">
                  <c:v>-99397093581.85376</c:v>
                </c:pt>
                <c:pt idx="27">
                  <c:v>-68193626566.688354</c:v>
                </c:pt>
                <c:pt idx="28">
                  <c:v>-47276126905.577789</c:v>
                </c:pt>
                <c:pt idx="29">
                  <c:v>-33080110477.599049</c:v>
                </c:pt>
                <c:pt idx="30">
                  <c:v>-23336414481.134258</c:v>
                </c:pt>
                <c:pt idx="31">
                  <c:v>-16579257317.061623</c:v>
                </c:pt>
                <c:pt idx="32">
                  <c:v>-11848879963.523592</c:v>
                </c:pt>
                <c:pt idx="33">
                  <c:v>-8508869938.4997892</c:v>
                </c:pt>
                <c:pt idx="34">
                  <c:v>-6132227806.7237425</c:v>
                </c:pt>
                <c:pt idx="35">
                  <c:v>-4429294895.8300934</c:v>
                </c:pt>
                <c:pt idx="36">
                  <c:v>-3201552712.9560618</c:v>
                </c:pt>
                <c:pt idx="37">
                  <c:v>-2311635685.7737622</c:v>
                </c:pt>
                <c:pt idx="38">
                  <c:v>-1663638120.5213645</c:v>
                </c:pt>
                <c:pt idx="39">
                  <c:v>-1190038120.2455237</c:v>
                </c:pt>
                <c:pt idx="40">
                  <c:v>-842924427.73538339</c:v>
                </c:pt>
                <c:pt idx="41">
                  <c:v>-588052238.96597779</c:v>
                </c:pt>
                <c:pt idx="42">
                  <c:v>-400778302.45215571</c:v>
                </c:pt>
                <c:pt idx="43">
                  <c:v>-263256731.08690336</c:v>
                </c:pt>
                <c:pt idx="44">
                  <c:v>-162488452.02817661</c:v>
                </c:pt>
                <c:pt idx="45">
                  <c:v>-88953775.070807278</c:v>
                </c:pt>
                <c:pt idx="46">
                  <c:v>-35646631.170523673</c:v>
                </c:pt>
                <c:pt idx="47">
                  <c:v>2612301.8176364405</c:v>
                </c:pt>
                <c:pt idx="48">
                  <c:v>29667371.485629953</c:v>
                </c:pt>
                <c:pt idx="49">
                  <c:v>48382253.873432994</c:v>
                </c:pt>
                <c:pt idx="50">
                  <c:v>60896733.243195884</c:v>
                </c:pt>
                <c:pt idx="51">
                  <c:v>68813847.644458339</c:v>
                </c:pt>
                <c:pt idx="52">
                  <c:v>73337006.683595225</c:v>
                </c:pt>
                <c:pt idx="53">
                  <c:v>75370956.449535355</c:v>
                </c:pt>
                <c:pt idx="54">
                  <c:v>75596472.632340223</c:v>
                </c:pt>
                <c:pt idx="55">
                  <c:v>74525861.079819262</c:v>
                </c:pt>
                <c:pt idx="56">
                  <c:v>72544366.923058957</c:v>
                </c:pt>
                <c:pt idx="57">
                  <c:v>69941188.237175584</c:v>
                </c:pt>
                <c:pt idx="58">
                  <c:v>66932786.164584644</c:v>
                </c:pt>
                <c:pt idx="59">
                  <c:v>63680461.964774251</c:v>
                </c:pt>
                <c:pt idx="60">
                  <c:v>60303650.241025575</c:v>
                </c:pt>
                <c:pt idx="61">
                  <c:v>56889999.102413543</c:v>
                </c:pt>
                <c:pt idx="62">
                  <c:v>53503031.806716889</c:v>
                </c:pt>
                <c:pt idx="63">
                  <c:v>50187981.901565135</c:v>
                </c:pt>
                <c:pt idx="64">
                  <c:v>46976244.706175752</c:v>
                </c:pt>
                <c:pt idx="65">
                  <c:v>43888777.621487901</c:v>
                </c:pt>
                <c:pt idx="66">
                  <c:v>40938699.780444846</c:v>
                </c:pt>
                <c:pt idx="67">
                  <c:v>38133280.412754066</c:v>
                </c:pt>
                <c:pt idx="68">
                  <c:v>35475459.529249519</c:v>
                </c:pt>
                <c:pt idx="69">
                  <c:v>32965010.142711692</c:v>
                </c:pt>
                <c:pt idx="70">
                  <c:v>30599425.315504316</c:v>
                </c:pt>
                <c:pt idx="71">
                  <c:v>28374593.713330191</c:v>
                </c:pt>
                <c:pt idx="72">
                  <c:v>26285312.464183208</c:v>
                </c:pt>
                <c:pt idx="73">
                  <c:v>24325674.797632217</c:v>
                </c:pt>
                <c:pt idx="74">
                  <c:v>22489361.297983691</c:v>
                </c:pt>
                <c:pt idx="75">
                  <c:v>20769856.992986921</c:v>
                </c:pt>
                <c:pt idx="76">
                  <c:v>19160611.428436901</c:v>
                </c:pt>
                <c:pt idx="77">
                  <c:v>17655154.980477948</c:v>
                </c:pt>
                <c:pt idx="78">
                  <c:v>16247181.654099528</c:v>
                </c:pt>
                <c:pt idx="79">
                  <c:v>14930606.298217341</c:v>
                </c:pt>
                <c:pt idx="80">
                  <c:v>13699602.375403279</c:v>
                </c:pt>
                <c:pt idx="81">
                  <c:v>12548625.036383361</c:v>
                </c:pt>
                <c:pt idx="82">
                  <c:v>11472423.173189489</c:v>
                </c:pt>
                <c:pt idx="83">
                  <c:v>10466043.289396441</c:v>
                </c:pt>
                <c:pt idx="84">
                  <c:v>9524827.3767608311</c:v>
                </c:pt>
                <c:pt idx="85">
                  <c:v>8644406.4829332437</c:v>
                </c:pt>
                <c:pt idx="86">
                  <c:v>7820691.2624518797</c:v>
                </c:pt>
                <c:pt idx="87">
                  <c:v>7049860.4980024686</c:v>
                </c:pt>
                <c:pt idx="88">
                  <c:v>6328348.3416320905</c:v>
                </c:pt>
                <c:pt idx="89">
                  <c:v>5652830.8412528336</c:v>
                </c:pt>
                <c:pt idx="90">
                  <c:v>5020212.1747246087</c:v>
                </c:pt>
                <c:pt idx="91">
                  <c:v>4427610.9030035269</c:v>
                </c:pt>
                <c:pt idx="92">
                  <c:v>3872346.468220761</c:v>
                </c:pt>
                <c:pt idx="93">
                  <c:v>3351926.0966037526</c:v>
                </c:pt>
                <c:pt idx="94">
                  <c:v>2864032.2155582914</c:v>
                </c:pt>
                <c:pt idx="95">
                  <c:v>2406510.4556270665</c:v>
                </c:pt>
                <c:pt idx="96">
                  <c:v>1977358.2787875209</c:v>
                </c:pt>
                <c:pt idx="97">
                  <c:v>1574714.2525833321</c:v>
                </c:pt>
                <c:pt idx="98">
                  <c:v>1196847.9732776415</c:v>
                </c:pt>
                <c:pt idx="99">
                  <c:v>842150.62930259062</c:v>
                </c:pt>
                <c:pt idx="100">
                  <c:v>509126.18776184809</c:v>
                </c:pt>
                <c:pt idx="101">
                  <c:v>196383.18084126714</c:v>
                </c:pt>
                <c:pt idx="102">
                  <c:v>-97372.934917223945</c:v>
                </c:pt>
                <c:pt idx="103">
                  <c:v>-373346.87589583895</c:v>
                </c:pt>
                <c:pt idx="104">
                  <c:v>-632660.11587639316</c:v>
                </c:pt>
                <c:pt idx="105">
                  <c:v>-876356.98871584737</c:v>
                </c:pt>
                <c:pt idx="106">
                  <c:v>-1105410.3399589807</c:v>
                </c:pt>
                <c:pt idx="107">
                  <c:v>-1320726.7574017104</c:v>
                </c:pt>
                <c:pt idx="108">
                  <c:v>-1523151.4095755976</c:v>
                </c:pt>
                <c:pt idx="109">
                  <c:v>-1713472.519866348</c:v>
                </c:pt>
                <c:pt idx="110">
                  <c:v>-1892425.5025865794</c:v>
                </c:pt>
                <c:pt idx="111">
                  <c:v>-2060696.7858564619</c:v>
                </c:pt>
                <c:pt idx="112">
                  <c:v>-2218927.3446506499</c:v>
                </c:pt>
                <c:pt idx="113">
                  <c:v>-2367715.9658796298</c:v>
                </c:pt>
                <c:pt idx="114">
                  <c:v>-2507622.2659129496</c:v>
                </c:pt>
                <c:pt idx="115">
                  <c:v>-2639169.4795380803</c:v>
                </c:pt>
                <c:pt idx="116">
                  <c:v>-2762847.0379932323</c:v>
                </c:pt>
                <c:pt idx="117">
                  <c:v>-2879112.9524239227</c:v>
                </c:pt>
                <c:pt idx="118">
                  <c:v>-2988396.017894675</c:v>
                </c:pt>
                <c:pt idx="119">
                  <c:v>-3091097.8519418798</c:v>
                </c:pt>
                <c:pt idx="120">
                  <c:v>-3187594.7805811004</c:v>
                </c:pt>
                <c:pt idx="121">
                  <c:v>-3278239.5836811783</c:v>
                </c:pt>
                <c:pt idx="122">
                  <c:v>-3363363.1106861415</c:v>
                </c:pt>
                <c:pt idx="123">
                  <c:v>-3443275.7768013426</c:v>
                </c:pt>
                <c:pt idx="124">
                  <c:v>-3518268.9489595653</c:v>
                </c:pt>
                <c:pt idx="125">
                  <c:v>-3588616.2301421734</c:v>
                </c:pt>
                <c:pt idx="126">
                  <c:v>-3654574.6499466188</c:v>
                </c:pt>
                <c:pt idx="127">
                  <c:v>-3716385.7686609612</c:v>
                </c:pt>
                <c:pt idx="128">
                  <c:v>-3774276.701524863</c:v>
                </c:pt>
                <c:pt idx="129">
                  <c:v>-3828461.0693216552</c:v>
                </c:pt>
                <c:pt idx="130">
                  <c:v>-3879139.8809538023</c:v>
                </c:pt>
                <c:pt idx="131">
                  <c:v>-3926502.3532017306</c:v>
                </c:pt>
                <c:pt idx="132">
                  <c:v>-3970726.6724499394</c:v>
                </c:pt>
                <c:pt idx="133">
                  <c:v>-4011980.7027823776</c:v>
                </c:pt>
                <c:pt idx="134">
                  <c:v>-4050422.6444980423</c:v>
                </c:pt>
                <c:pt idx="135">
                  <c:v>-4086201.6467756093</c:v>
                </c:pt>
                <c:pt idx="136">
                  <c:v>-4119458.3779198923</c:v>
                </c:pt>
                <c:pt idx="137">
                  <c:v>-4150325.556351386</c:v>
                </c:pt>
                <c:pt idx="138">
                  <c:v>-4178928.4452506988</c:v>
                </c:pt>
                <c:pt idx="139">
                  <c:v>-4205385.313540658</c:v>
                </c:pt>
                <c:pt idx="140">
                  <c:v>-4229807.865678723</c:v>
                </c:pt>
                <c:pt idx="141">
                  <c:v>-4252301.6425391017</c:v>
                </c:pt>
                <c:pt idx="142">
                  <c:v>-4272966.3954868475</c:v>
                </c:pt>
                <c:pt idx="143">
                  <c:v>-4291896.4355831435</c:v>
                </c:pt>
                <c:pt idx="144">
                  <c:v>-4309180.9597114716</c:v>
                </c:pt>
                <c:pt idx="145">
                  <c:v>-4324904.3552767662</c:v>
                </c:pt>
                <c:pt idx="146">
                  <c:v>-4339146.4850032823</c:v>
                </c:pt>
                <c:pt idx="147">
                  <c:v>-4351982.9532406786</c:v>
                </c:pt>
                <c:pt idx="148">
                  <c:v>-4363485.3550809566</c:v>
                </c:pt>
                <c:pt idx="149">
                  <c:v>-4373721.509490543</c:v>
                </c:pt>
                <c:pt idx="150">
                  <c:v>-4382755.6775713861</c:v>
                </c:pt>
                <c:pt idx="151">
                  <c:v>-4390648.7669815915</c:v>
                </c:pt>
                <c:pt idx="152">
                  <c:v>-4397458.5234694853</c:v>
                </c:pt>
                <c:pt idx="153">
                  <c:v>-4403239.7104043672</c:v>
                </c:pt>
                <c:pt idx="154">
                  <c:v>-4408044.2771220859</c:v>
                </c:pt>
                <c:pt idx="155">
                  <c:v>-4411921.5168436365</c:v>
                </c:pt>
                <c:pt idx="156">
                  <c:v>-4414918.2148696706</c:v>
                </c:pt>
                <c:pt idx="157">
                  <c:v>-4417078.7877027318</c:v>
                </c:pt>
                <c:pt idx="158">
                  <c:v>-4418445.413702039</c:v>
                </c:pt>
                <c:pt idx="159">
                  <c:v>-4419058.1558321277</c:v>
                </c:pt>
                <c:pt idx="160">
                  <c:v>-4418955.0770265674</c:v>
                </c:pt>
                <c:pt idx="161">
                  <c:v>-4418172.3486508979</c:v>
                </c:pt>
                <c:pt idx="162">
                  <c:v>-4416744.3525146795</c:v>
                </c:pt>
                <c:pt idx="163">
                  <c:v>-4414703.7768508913</c:v>
                </c:pt>
                <c:pt idx="164">
                  <c:v>-4412081.706651642</c:v>
                </c:pt>
                <c:pt idx="165">
                  <c:v>-4408907.7087220419</c:v>
                </c:pt>
                <c:pt idx="166">
                  <c:v>-4405209.911789028</c:v>
                </c:pt>
                <c:pt idx="167">
                  <c:v>-4401015.0819787392</c:v>
                </c:pt>
                <c:pt idx="168">
                  <c:v>-4396348.6939545246</c:v>
                </c:pt>
                <c:pt idx="169">
                  <c:v>-4391234.9979877099</c:v>
                </c:pt>
                <c:pt idx="170">
                  <c:v>-4385697.0832148585</c:v>
                </c:pt>
                <c:pt idx="171">
                  <c:v>-4379756.9373180922</c:v>
                </c:pt>
                <c:pt idx="172">
                  <c:v>-4373435.5028491262</c:v>
                </c:pt>
                <c:pt idx="173">
                  <c:v>-4366752.7304030396</c:v>
                </c:pt>
                <c:pt idx="174">
                  <c:v>-4359727.6288339691</c:v>
                </c:pt>
                <c:pt idx="175">
                  <c:v>-4352378.3126923405</c:v>
                </c:pt>
                <c:pt idx="176">
                  <c:v>-4344722.0470513832</c:v>
                </c:pt>
                <c:pt idx="177">
                  <c:v>-4336775.2898796899</c:v>
                </c:pt>
                <c:pt idx="178">
                  <c:v>-4328553.7321064314</c:v>
                </c:pt>
                <c:pt idx="179">
                  <c:v>-4320072.3355162982</c:v>
                </c:pt>
                <c:pt idx="180">
                  <c:v>-4311345.3686024426</c:v>
                </c:pt>
                <c:pt idx="181">
                  <c:v>-4302386.4404974738</c:v>
                </c:pt>
                <c:pt idx="182">
                  <c:v>-4293208.5330949025</c:v>
                </c:pt>
                <c:pt idx="183">
                  <c:v>-4283824.031466295</c:v>
                </c:pt>
                <c:pt idx="184">
                  <c:v>-4274244.7526727961</c:v>
                </c:pt>
                <c:pt idx="185">
                  <c:v>-4264481.9730634233</c:v>
                </c:pt>
                <c:pt idx="186">
                  <c:v>-4254546.4541468406</c:v>
                </c:pt>
                <c:pt idx="187">
                  <c:v>-4244448.4671178795</c:v>
                </c:pt>
                <c:pt idx="188">
                  <c:v>-4234197.8161150608</c:v>
                </c:pt>
                <c:pt idx="189">
                  <c:v>-4223803.8602807214</c:v>
                </c:pt>
                <c:pt idx="190">
                  <c:v>-4213275.5346909054</c:v>
                </c:pt>
                <c:pt idx="191">
                  <c:v>-4202621.3702181401</c:v>
                </c:pt>
                <c:pt idx="192">
                  <c:v>-4191849.5123863951</c:v>
                </c:pt>
                <c:pt idx="193">
                  <c:v>-4180967.7392738964</c:v>
                </c:pt>
                <c:pt idx="194">
                  <c:v>-4169983.478516195</c:v>
                </c:pt>
                <c:pt idx="195">
                  <c:v>-4158903.8234587251</c:v>
                </c:pt>
                <c:pt idx="196">
                  <c:v>-4147735.5485051656</c:v>
                </c:pt>
                <c:pt idx="197">
                  <c:v>-4136485.1237051929</c:v>
                </c:pt>
                <c:pt idx="198">
                  <c:v>-4125158.7286226489</c:v>
                </c:pt>
                <c:pt idx="199">
                  <c:v>-4113762.2655227361</c:v>
                </c:pt>
                <c:pt idx="200">
                  <c:v>-4102301.3719146233</c:v>
                </c:pt>
                <c:pt idx="201">
                  <c:v>-4090781.4324837192</c:v>
                </c:pt>
                <c:pt idx="202">
                  <c:v>-4079207.5904458901</c:v>
                </c:pt>
                <c:pt idx="203">
                  <c:v>-4067584.758354099</c:v>
                </c:pt>
                <c:pt idx="204">
                  <c:v>-4055917.6283861054</c:v>
                </c:pt>
                <c:pt idx="205">
                  <c:v>-4044210.6821403406</c:v>
                </c:pt>
                <c:pt idx="206">
                  <c:v>-4032468.199965484</c:v>
                </c:pt>
                <c:pt idx="207">
                  <c:v>-4020694.2698478024</c:v>
                </c:pt>
                <c:pt idx="208">
                  <c:v>-4008892.795879053</c:v>
                </c:pt>
                <c:pt idx="209">
                  <c:v>-3997067.5063263909</c:v>
                </c:pt>
                <c:pt idx="210">
                  <c:v>-3985221.9613245819</c:v>
                </c:pt>
                <c:pt idx="211">
                  <c:v>-3973359.5602096813</c:v>
                </c:pt>
                <c:pt idx="212">
                  <c:v>-3961483.5485122935</c:v>
                </c:pt>
                <c:pt idx="213">
                  <c:v>-3949597.0246275268</c:v>
                </c:pt>
                <c:pt idx="214">
                  <c:v>-3937702.9461778286</c:v>
                </c:pt>
                <c:pt idx="215">
                  <c:v>-3925804.1360840234</c:v>
                </c:pt>
                <c:pt idx="216">
                  <c:v>-3913903.2883590064</c:v>
                </c:pt>
                <c:pt idx="217">
                  <c:v>-3902002.9736378356</c:v>
                </c:pt>
                <c:pt idx="218">
                  <c:v>-3890105.6444571461</c:v>
                </c:pt>
                <c:pt idx="219">
                  <c:v>-3878213.6402961975</c:v>
                </c:pt>
                <c:pt idx="220">
                  <c:v>-3866329.1923911762</c:v>
                </c:pt>
                <c:pt idx="221">
                  <c:v>-3854454.4283337533</c:v>
                </c:pt>
                <c:pt idx="222">
                  <c:v>-3842591.3764643404</c:v>
                </c:pt>
                <c:pt idx="223">
                  <c:v>-3830741.97006993</c:v>
                </c:pt>
                <c:pt idx="224">
                  <c:v>-3818908.0513958912</c:v>
                </c:pt>
                <c:pt idx="225">
                  <c:v>-3807091.3754806123</c:v>
                </c:pt>
                <c:pt idx="226">
                  <c:v>-3795293.6138214027</c:v>
                </c:pt>
                <c:pt idx="227">
                  <c:v>-3783516.3578796661</c:v>
                </c:pt>
                <c:pt idx="228">
                  <c:v>-3771761.1224329099</c:v>
                </c:pt>
                <c:pt idx="229">
                  <c:v>-3760029.3487808085</c:v>
                </c:pt>
                <c:pt idx="230">
                  <c:v>-3748322.4078121227</c:v>
                </c:pt>
                <c:pt idx="231">
                  <c:v>-3736641.6029389878</c:v>
                </c:pt>
                <c:pt idx="232">
                  <c:v>-3724988.172904728</c:v>
                </c:pt>
                <c:pt idx="233">
                  <c:v>-3713363.2944710166</c:v>
                </c:pt>
                <c:pt idx="234">
                  <c:v>-3701768.0849899705</c:v>
                </c:pt>
                <c:pt idx="235">
                  <c:v>-3690203.6048664628</c:v>
                </c:pt>
                <c:pt idx="236">
                  <c:v>-3678670.8599156425</c:v>
                </c:pt>
                <c:pt idx="237">
                  <c:v>-3667170.803620459</c:v>
                </c:pt>
                <c:pt idx="238">
                  <c:v>-3655704.3392937197</c:v>
                </c:pt>
                <c:pt idx="239">
                  <c:v>-3644272.3221489992</c:v>
                </c:pt>
                <c:pt idx="240">
                  <c:v>-3632875.5612845011</c:v>
                </c:pt>
                <c:pt idx="241">
                  <c:v>-3621514.8215837809</c:v>
                </c:pt>
                <c:pt idx="242">
                  <c:v>-3610190.8255370385</c:v>
                </c:pt>
                <c:pt idx="243">
                  <c:v>-3598904.2549865358</c:v>
                </c:pt>
                <c:pt idx="244">
                  <c:v>-3587655.7527994872</c:v>
                </c:pt>
                <c:pt idx="245">
                  <c:v>-3576445.9244716321</c:v>
                </c:pt>
                <c:pt idx="246">
                  <c:v>-3565275.3396645817</c:v>
                </c:pt>
                <c:pt idx="247">
                  <c:v>-3554144.5336797629</c:v>
                </c:pt>
                <c:pt idx="248">
                  <c:v>-3543054.008871844</c:v>
                </c:pt>
                <c:pt idx="249">
                  <c:v>-3532004.2360041812</c:v>
                </c:pt>
                <c:pt idx="250">
                  <c:v>-3520995.6555488687</c:v>
                </c:pt>
                <c:pt idx="251">
                  <c:v>-3510028.6789337699</c:v>
                </c:pt>
                <c:pt idx="252">
                  <c:v>-3499103.6897388049</c:v>
                </c:pt>
                <c:pt idx="253">
                  <c:v>-3488221.0448437119</c:v>
                </c:pt>
                <c:pt idx="254">
                  <c:v>-3477381.075529322</c:v>
                </c:pt>
                <c:pt idx="255">
                  <c:v>-3466584.0885343584</c:v>
                </c:pt>
                <c:pt idx="256">
                  <c:v>-3455830.3670696635</c:v>
                </c:pt>
                <c:pt idx="257">
                  <c:v>-3445120.1717916196</c:v>
                </c:pt>
                <c:pt idx="258">
                  <c:v>-3434453.7417365471</c:v>
                </c:pt>
                <c:pt idx="259">
                  <c:v>-3423831.2952176682</c:v>
                </c:pt>
                <c:pt idx="260">
                  <c:v>-3413253.0306862621</c:v>
                </c:pt>
                <c:pt idx="261">
                  <c:v>-3402719.1275584665</c:v>
                </c:pt>
                <c:pt idx="262">
                  <c:v>-3392229.7470092047</c:v>
                </c:pt>
                <c:pt idx="263">
                  <c:v>-3381785.0327345682</c:v>
                </c:pt>
                <c:pt idx="264">
                  <c:v>-3371385.1116839931</c:v>
                </c:pt>
                <c:pt idx="265">
                  <c:v>-3361030.094763462</c:v>
                </c:pt>
                <c:pt idx="266">
                  <c:v>-3350720.0775109539</c:v>
                </c:pt>
                <c:pt idx="267">
                  <c:v>-3340455.1407452454</c:v>
                </c:pt>
                <c:pt idx="268">
                  <c:v>-3330235.3511891803</c:v>
                </c:pt>
                <c:pt idx="269">
                  <c:v>-3320060.7620684835</c:v>
                </c:pt>
                <c:pt idx="270">
                  <c:v>-3309931.413687028</c:v>
                </c:pt>
                <c:pt idx="271">
                  <c:v>-3299847.333979622</c:v>
                </c:pt>
                <c:pt idx="272">
                  <c:v>-3289808.5390431397</c:v>
                </c:pt>
                <c:pt idx="273">
                  <c:v>-3279815.0336469323</c:v>
                </c:pt>
                <c:pt idx="274">
                  <c:v>-3269866.8117233128</c:v>
                </c:pt>
                <c:pt idx="275">
                  <c:v>-3259963.856838942</c:v>
                </c:pt>
                <c:pt idx="276">
                  <c:v>-3250106.1426478797</c:v>
                </c:pt>
                <c:pt idx="277">
                  <c:v>-3240293.633327025</c:v>
                </c:pt>
                <c:pt idx="278">
                  <c:v>-3230526.2839946453</c:v>
                </c:pt>
                <c:pt idx="279">
                  <c:v>-3220804.0411127023</c:v>
                </c:pt>
                <c:pt idx="280">
                  <c:v>-3211126.8428735593</c:v>
                </c:pt>
                <c:pt idx="281">
                  <c:v>-3201494.6195717487</c:v>
                </c:pt>
                <c:pt idx="282">
                  <c:v>-3191907.2939613555</c:v>
                </c:pt>
                <c:pt idx="283">
                  <c:v>-3182364.7815995747</c:v>
                </c:pt>
                <c:pt idx="284">
                  <c:v>-3172866.991177035</c:v>
                </c:pt>
                <c:pt idx="285">
                  <c:v>-3163413.8248353517</c:v>
                </c:pt>
                <c:pt idx="286">
                  <c:v>-3154005.1784724412</c:v>
                </c:pt>
                <c:pt idx="287">
                  <c:v>-3144640.9420360681</c:v>
                </c:pt>
                <c:pt idx="288">
                  <c:v>-3135320.9998060847</c:v>
                </c:pt>
                <c:pt idx="289">
                  <c:v>-3126045.2306657904</c:v>
                </c:pt>
                <c:pt idx="290">
                  <c:v>-3116813.5083628572</c:v>
                </c:pt>
                <c:pt idx="291">
                  <c:v>-3107625.7017602054</c:v>
                </c:pt>
                <c:pt idx="292">
                  <c:v>-3098481.6750772092</c:v>
                </c:pt>
                <c:pt idx="293">
                  <c:v>-3089381.2881216411</c:v>
                </c:pt>
                <c:pt idx="294">
                  <c:v>-3080324.3965126793</c:v>
                </c:pt>
                <c:pt idx="295">
                  <c:v>-3071310.8518953198</c:v>
                </c:pt>
                <c:pt idx="296">
                  <c:v>-3062340.5021465551</c:v>
                </c:pt>
                <c:pt idx="297">
                  <c:v>-3053413.1915735882</c:v>
                </c:pt>
                <c:pt idx="298">
                  <c:v>-3044528.7611044329</c:v>
                </c:pt>
                <c:pt idx="299">
                  <c:v>-3035687.0484711486</c:v>
                </c:pt>
                <c:pt idx="300">
                  <c:v>-3026887.8883860195</c:v>
                </c:pt>
              </c:numCache>
            </c:numRef>
          </c:yVal>
          <c:smooth val="1"/>
        </c:ser>
        <c:ser>
          <c:idx val="10"/>
          <c:order val="9"/>
          <c:marker>
            <c:symbol val="none"/>
          </c:marker>
          <c:xVal>
            <c:numRef>
              <c:f>NPV!$C$6:$C$306</c:f>
              <c:numCache>
                <c:formatCode>General</c:formatCode>
                <c:ptCount val="301"/>
                <c:pt idx="0">
                  <c:v>-0.99</c:v>
                </c:pt>
                <c:pt idx="1">
                  <c:v>-0.98</c:v>
                </c:pt>
                <c:pt idx="2">
                  <c:v>-0.97</c:v>
                </c:pt>
                <c:pt idx="3">
                  <c:v>-0.96</c:v>
                </c:pt>
                <c:pt idx="4">
                  <c:v>-0.95</c:v>
                </c:pt>
                <c:pt idx="5">
                  <c:v>-0.94</c:v>
                </c:pt>
                <c:pt idx="6">
                  <c:v>-0.93</c:v>
                </c:pt>
                <c:pt idx="7">
                  <c:v>-0.92</c:v>
                </c:pt>
                <c:pt idx="8">
                  <c:v>-0.91</c:v>
                </c:pt>
                <c:pt idx="9">
                  <c:v>-0.9</c:v>
                </c:pt>
                <c:pt idx="10">
                  <c:v>-0.89</c:v>
                </c:pt>
                <c:pt idx="11">
                  <c:v>-0.88</c:v>
                </c:pt>
                <c:pt idx="12">
                  <c:v>-0.87</c:v>
                </c:pt>
                <c:pt idx="13">
                  <c:v>-0.86</c:v>
                </c:pt>
                <c:pt idx="14">
                  <c:v>-0.85</c:v>
                </c:pt>
                <c:pt idx="15">
                  <c:v>-0.84</c:v>
                </c:pt>
                <c:pt idx="16">
                  <c:v>-0.83</c:v>
                </c:pt>
                <c:pt idx="17">
                  <c:v>-0.82</c:v>
                </c:pt>
                <c:pt idx="18">
                  <c:v>-0.81</c:v>
                </c:pt>
                <c:pt idx="19">
                  <c:v>-0.8</c:v>
                </c:pt>
                <c:pt idx="20">
                  <c:v>-0.79</c:v>
                </c:pt>
                <c:pt idx="21">
                  <c:v>-0.78</c:v>
                </c:pt>
                <c:pt idx="22">
                  <c:v>-0.77</c:v>
                </c:pt>
                <c:pt idx="23">
                  <c:v>-0.76</c:v>
                </c:pt>
                <c:pt idx="24">
                  <c:v>-0.75</c:v>
                </c:pt>
                <c:pt idx="25">
                  <c:v>-0.74</c:v>
                </c:pt>
                <c:pt idx="26">
                  <c:v>-0.73</c:v>
                </c:pt>
                <c:pt idx="27">
                  <c:v>-0.72</c:v>
                </c:pt>
                <c:pt idx="28">
                  <c:v>-0.71</c:v>
                </c:pt>
                <c:pt idx="29">
                  <c:v>-0.7</c:v>
                </c:pt>
                <c:pt idx="30">
                  <c:v>-0.69</c:v>
                </c:pt>
                <c:pt idx="31">
                  <c:v>-0.68</c:v>
                </c:pt>
                <c:pt idx="32">
                  <c:v>-0.67</c:v>
                </c:pt>
                <c:pt idx="33">
                  <c:v>-0.66</c:v>
                </c:pt>
                <c:pt idx="34">
                  <c:v>-0.65</c:v>
                </c:pt>
                <c:pt idx="35">
                  <c:v>-0.64</c:v>
                </c:pt>
                <c:pt idx="36">
                  <c:v>-0.63</c:v>
                </c:pt>
                <c:pt idx="37">
                  <c:v>-0.62</c:v>
                </c:pt>
                <c:pt idx="38">
                  <c:v>-0.61</c:v>
                </c:pt>
                <c:pt idx="39">
                  <c:v>-0.6</c:v>
                </c:pt>
                <c:pt idx="40">
                  <c:v>-0.59</c:v>
                </c:pt>
                <c:pt idx="41">
                  <c:v>-0.57999999999999996</c:v>
                </c:pt>
                <c:pt idx="42">
                  <c:v>-0.56999999999999995</c:v>
                </c:pt>
                <c:pt idx="43">
                  <c:v>-0.56000000000000005</c:v>
                </c:pt>
                <c:pt idx="44">
                  <c:v>-0.55000000000000004</c:v>
                </c:pt>
                <c:pt idx="45">
                  <c:v>-0.54</c:v>
                </c:pt>
                <c:pt idx="46">
                  <c:v>-0.53</c:v>
                </c:pt>
                <c:pt idx="47">
                  <c:v>-0.52</c:v>
                </c:pt>
                <c:pt idx="48">
                  <c:v>-0.51</c:v>
                </c:pt>
                <c:pt idx="49">
                  <c:v>-0.5</c:v>
                </c:pt>
                <c:pt idx="50">
                  <c:v>-0.49</c:v>
                </c:pt>
                <c:pt idx="51">
                  <c:v>-0.48</c:v>
                </c:pt>
                <c:pt idx="52">
                  <c:v>-0.47</c:v>
                </c:pt>
                <c:pt idx="53">
                  <c:v>-0.46</c:v>
                </c:pt>
                <c:pt idx="54">
                  <c:v>-0.45</c:v>
                </c:pt>
                <c:pt idx="55">
                  <c:v>-0.44</c:v>
                </c:pt>
                <c:pt idx="56">
                  <c:v>-0.42999999999999899</c:v>
                </c:pt>
                <c:pt idx="57">
                  <c:v>-0.41999999999999899</c:v>
                </c:pt>
                <c:pt idx="58">
                  <c:v>-0.40999999999999898</c:v>
                </c:pt>
                <c:pt idx="59">
                  <c:v>-0.39999999999999902</c:v>
                </c:pt>
                <c:pt idx="60">
                  <c:v>-0.38999999999999901</c:v>
                </c:pt>
                <c:pt idx="61">
                  <c:v>-0.37999999999999901</c:v>
                </c:pt>
                <c:pt idx="62">
                  <c:v>-0.369999999999999</c:v>
                </c:pt>
                <c:pt idx="63">
                  <c:v>-0.35999999999999899</c:v>
                </c:pt>
                <c:pt idx="64">
                  <c:v>-0.34999999999999898</c:v>
                </c:pt>
                <c:pt idx="65">
                  <c:v>-0.33999999999999903</c:v>
                </c:pt>
                <c:pt idx="66">
                  <c:v>-0.32999999999999902</c:v>
                </c:pt>
                <c:pt idx="67">
                  <c:v>-0.31999999999999901</c:v>
                </c:pt>
                <c:pt idx="68">
                  <c:v>-0.309999999999999</c:v>
                </c:pt>
                <c:pt idx="69">
                  <c:v>-0.29999999999999899</c:v>
                </c:pt>
                <c:pt idx="70">
                  <c:v>-0.28999999999999898</c:v>
                </c:pt>
                <c:pt idx="71">
                  <c:v>-0.27999999999999903</c:v>
                </c:pt>
                <c:pt idx="72">
                  <c:v>-0.26999999999999902</c:v>
                </c:pt>
                <c:pt idx="73">
                  <c:v>-0.25999999999999901</c:v>
                </c:pt>
                <c:pt idx="74">
                  <c:v>-0.249999999999999</c:v>
                </c:pt>
                <c:pt idx="75">
                  <c:v>-0.23999999999999899</c:v>
                </c:pt>
                <c:pt idx="76">
                  <c:v>-0.22999999999999901</c:v>
                </c:pt>
                <c:pt idx="77">
                  <c:v>-0.219999999999999</c:v>
                </c:pt>
                <c:pt idx="78">
                  <c:v>-0.20999999999999899</c:v>
                </c:pt>
                <c:pt idx="79">
                  <c:v>-0.19999999999999901</c:v>
                </c:pt>
                <c:pt idx="80">
                  <c:v>-0.189999999999999</c:v>
                </c:pt>
                <c:pt idx="81">
                  <c:v>-0.17999999999999899</c:v>
                </c:pt>
                <c:pt idx="82">
                  <c:v>-0.16999999999999901</c:v>
                </c:pt>
                <c:pt idx="83">
                  <c:v>-0.159999999999999</c:v>
                </c:pt>
                <c:pt idx="84">
                  <c:v>-0.149999999999999</c:v>
                </c:pt>
                <c:pt idx="85">
                  <c:v>-0.13999999999999899</c:v>
                </c:pt>
                <c:pt idx="86">
                  <c:v>-0.12999999999999901</c:v>
                </c:pt>
                <c:pt idx="87">
                  <c:v>-0.119999999999999</c:v>
                </c:pt>
                <c:pt idx="88">
                  <c:v>-0.109999999999999</c:v>
                </c:pt>
                <c:pt idx="89">
                  <c:v>-9.9999999999999006E-2</c:v>
                </c:pt>
                <c:pt idx="90">
                  <c:v>-8.9999999999998997E-2</c:v>
                </c:pt>
                <c:pt idx="91">
                  <c:v>-7.9999999999999002E-2</c:v>
                </c:pt>
                <c:pt idx="92">
                  <c:v>-6.9999999999998994E-2</c:v>
                </c:pt>
                <c:pt idx="93">
                  <c:v>-5.9999999999999103E-2</c:v>
                </c:pt>
                <c:pt idx="94">
                  <c:v>-4.9999999999998997E-2</c:v>
                </c:pt>
                <c:pt idx="95">
                  <c:v>-3.9999999999999002E-2</c:v>
                </c:pt>
                <c:pt idx="96">
                  <c:v>-2.9999999999999E-2</c:v>
                </c:pt>
                <c:pt idx="97">
                  <c:v>-1.9999999999999001E-2</c:v>
                </c:pt>
                <c:pt idx="98">
                  <c:v>-9.9999999999990097E-3</c:v>
                </c:pt>
                <c:pt idx="99">
                  <c:v>0</c:v>
                </c:pt>
                <c:pt idx="100">
                  <c:v>0.01</c:v>
                </c:pt>
                <c:pt idx="101">
                  <c:v>0.02</c:v>
                </c:pt>
                <c:pt idx="102">
                  <c:v>0.03</c:v>
                </c:pt>
                <c:pt idx="103">
                  <c:v>0.04</c:v>
                </c:pt>
                <c:pt idx="104">
                  <c:v>0.05</c:v>
                </c:pt>
                <c:pt idx="105">
                  <c:v>6.0000000000000102E-2</c:v>
                </c:pt>
                <c:pt idx="106">
                  <c:v>7.0000000000000104E-2</c:v>
                </c:pt>
                <c:pt idx="107">
                  <c:v>8.0000000000000099E-2</c:v>
                </c:pt>
                <c:pt idx="108">
                  <c:v>9.0000000000000094E-2</c:v>
                </c:pt>
                <c:pt idx="109">
                  <c:v>0.1</c:v>
                </c:pt>
                <c:pt idx="110">
                  <c:v>0.11</c:v>
                </c:pt>
                <c:pt idx="111">
                  <c:v>0.12</c:v>
                </c:pt>
                <c:pt idx="112">
                  <c:v>0.13</c:v>
                </c:pt>
                <c:pt idx="113">
                  <c:v>0.14000000000000001</c:v>
                </c:pt>
                <c:pt idx="114">
                  <c:v>0.15</c:v>
                </c:pt>
                <c:pt idx="115">
                  <c:v>0.16</c:v>
                </c:pt>
                <c:pt idx="116">
                  <c:v>0.17</c:v>
                </c:pt>
                <c:pt idx="117">
                  <c:v>0.18</c:v>
                </c:pt>
                <c:pt idx="118">
                  <c:v>0.19</c:v>
                </c:pt>
                <c:pt idx="119">
                  <c:v>0.2</c:v>
                </c:pt>
                <c:pt idx="120">
                  <c:v>0.21</c:v>
                </c:pt>
                <c:pt idx="121">
                  <c:v>0.22</c:v>
                </c:pt>
                <c:pt idx="122">
                  <c:v>0.23</c:v>
                </c:pt>
                <c:pt idx="123">
                  <c:v>0.24</c:v>
                </c:pt>
                <c:pt idx="124">
                  <c:v>0.25</c:v>
                </c:pt>
                <c:pt idx="125">
                  <c:v>0.26</c:v>
                </c:pt>
                <c:pt idx="126">
                  <c:v>0.27</c:v>
                </c:pt>
                <c:pt idx="127">
                  <c:v>0.28000000000000003</c:v>
                </c:pt>
                <c:pt idx="128">
                  <c:v>0.28999999999999998</c:v>
                </c:pt>
                <c:pt idx="129">
                  <c:v>0.3</c:v>
                </c:pt>
                <c:pt idx="130">
                  <c:v>0.31</c:v>
                </c:pt>
                <c:pt idx="131">
                  <c:v>0.32</c:v>
                </c:pt>
                <c:pt idx="132">
                  <c:v>0.33</c:v>
                </c:pt>
                <c:pt idx="133">
                  <c:v>0.34</c:v>
                </c:pt>
                <c:pt idx="134">
                  <c:v>0.35</c:v>
                </c:pt>
                <c:pt idx="135">
                  <c:v>0.36</c:v>
                </c:pt>
                <c:pt idx="136">
                  <c:v>0.37</c:v>
                </c:pt>
                <c:pt idx="137">
                  <c:v>0.38</c:v>
                </c:pt>
                <c:pt idx="138">
                  <c:v>0.39</c:v>
                </c:pt>
                <c:pt idx="139">
                  <c:v>0.4</c:v>
                </c:pt>
                <c:pt idx="140">
                  <c:v>0.41</c:v>
                </c:pt>
                <c:pt idx="141">
                  <c:v>0.42</c:v>
                </c:pt>
                <c:pt idx="142">
                  <c:v>0.43</c:v>
                </c:pt>
                <c:pt idx="143">
                  <c:v>0.44</c:v>
                </c:pt>
                <c:pt idx="144">
                  <c:v>0.45</c:v>
                </c:pt>
                <c:pt idx="145">
                  <c:v>0.46</c:v>
                </c:pt>
                <c:pt idx="146">
                  <c:v>0.47</c:v>
                </c:pt>
                <c:pt idx="147">
                  <c:v>0.48</c:v>
                </c:pt>
                <c:pt idx="148">
                  <c:v>0.49</c:v>
                </c:pt>
                <c:pt idx="149">
                  <c:v>0.5</c:v>
                </c:pt>
                <c:pt idx="150">
                  <c:v>0.51</c:v>
                </c:pt>
                <c:pt idx="151">
                  <c:v>0.52</c:v>
                </c:pt>
                <c:pt idx="152">
                  <c:v>0.53</c:v>
                </c:pt>
                <c:pt idx="153">
                  <c:v>0.54</c:v>
                </c:pt>
                <c:pt idx="154">
                  <c:v>0.55000000000000004</c:v>
                </c:pt>
                <c:pt idx="155">
                  <c:v>0.56000000000000005</c:v>
                </c:pt>
                <c:pt idx="156">
                  <c:v>0.56999999999999995</c:v>
                </c:pt>
                <c:pt idx="157">
                  <c:v>0.57999999999999996</c:v>
                </c:pt>
                <c:pt idx="158">
                  <c:v>0.59</c:v>
                </c:pt>
                <c:pt idx="159">
                  <c:v>0.6</c:v>
                </c:pt>
                <c:pt idx="160">
                  <c:v>0.61</c:v>
                </c:pt>
                <c:pt idx="161">
                  <c:v>0.62</c:v>
                </c:pt>
                <c:pt idx="162">
                  <c:v>0.63</c:v>
                </c:pt>
                <c:pt idx="163">
                  <c:v>0.64</c:v>
                </c:pt>
                <c:pt idx="164">
                  <c:v>0.65</c:v>
                </c:pt>
                <c:pt idx="165">
                  <c:v>0.66</c:v>
                </c:pt>
                <c:pt idx="166">
                  <c:v>0.67</c:v>
                </c:pt>
                <c:pt idx="167">
                  <c:v>0.68</c:v>
                </c:pt>
                <c:pt idx="168">
                  <c:v>0.69</c:v>
                </c:pt>
                <c:pt idx="169">
                  <c:v>0.7</c:v>
                </c:pt>
                <c:pt idx="170">
                  <c:v>0.71</c:v>
                </c:pt>
                <c:pt idx="171">
                  <c:v>0.72</c:v>
                </c:pt>
                <c:pt idx="172">
                  <c:v>0.73</c:v>
                </c:pt>
                <c:pt idx="173">
                  <c:v>0.74</c:v>
                </c:pt>
                <c:pt idx="174">
                  <c:v>0.75</c:v>
                </c:pt>
                <c:pt idx="175">
                  <c:v>0.76</c:v>
                </c:pt>
                <c:pt idx="176">
                  <c:v>0.77</c:v>
                </c:pt>
                <c:pt idx="177">
                  <c:v>0.78</c:v>
                </c:pt>
                <c:pt idx="178">
                  <c:v>0.79</c:v>
                </c:pt>
                <c:pt idx="179">
                  <c:v>0.8</c:v>
                </c:pt>
                <c:pt idx="180">
                  <c:v>0.81</c:v>
                </c:pt>
                <c:pt idx="181">
                  <c:v>0.82</c:v>
                </c:pt>
                <c:pt idx="182">
                  <c:v>0.83</c:v>
                </c:pt>
                <c:pt idx="183">
                  <c:v>0.84</c:v>
                </c:pt>
                <c:pt idx="184">
                  <c:v>0.85</c:v>
                </c:pt>
                <c:pt idx="185">
                  <c:v>0.86</c:v>
                </c:pt>
                <c:pt idx="186">
                  <c:v>0.87</c:v>
                </c:pt>
                <c:pt idx="187">
                  <c:v>0.88</c:v>
                </c:pt>
                <c:pt idx="188">
                  <c:v>0.89</c:v>
                </c:pt>
                <c:pt idx="189">
                  <c:v>0.9</c:v>
                </c:pt>
                <c:pt idx="190">
                  <c:v>0.91</c:v>
                </c:pt>
                <c:pt idx="191">
                  <c:v>0.92</c:v>
                </c:pt>
                <c:pt idx="192">
                  <c:v>0.93</c:v>
                </c:pt>
                <c:pt idx="193">
                  <c:v>0.94</c:v>
                </c:pt>
                <c:pt idx="194">
                  <c:v>0.95</c:v>
                </c:pt>
                <c:pt idx="195">
                  <c:v>0.96</c:v>
                </c:pt>
                <c:pt idx="196">
                  <c:v>0.97</c:v>
                </c:pt>
                <c:pt idx="197">
                  <c:v>0.98</c:v>
                </c:pt>
                <c:pt idx="198">
                  <c:v>0.99</c:v>
                </c:pt>
                <c:pt idx="199">
                  <c:v>1</c:v>
                </c:pt>
                <c:pt idx="200">
                  <c:v>1.01</c:v>
                </c:pt>
                <c:pt idx="201">
                  <c:v>1.02</c:v>
                </c:pt>
                <c:pt idx="202">
                  <c:v>1.03</c:v>
                </c:pt>
                <c:pt idx="203">
                  <c:v>1.04</c:v>
                </c:pt>
                <c:pt idx="204">
                  <c:v>1.05</c:v>
                </c:pt>
                <c:pt idx="205">
                  <c:v>1.06</c:v>
                </c:pt>
                <c:pt idx="206">
                  <c:v>1.07</c:v>
                </c:pt>
                <c:pt idx="207">
                  <c:v>1.08</c:v>
                </c:pt>
                <c:pt idx="208">
                  <c:v>1.0900000000000001</c:v>
                </c:pt>
                <c:pt idx="209">
                  <c:v>1.1000000000000001</c:v>
                </c:pt>
                <c:pt idx="210">
                  <c:v>1.1100000000000001</c:v>
                </c:pt>
                <c:pt idx="211">
                  <c:v>1.1200000000000001</c:v>
                </c:pt>
                <c:pt idx="212">
                  <c:v>1.1299999999999999</c:v>
                </c:pt>
                <c:pt idx="213">
                  <c:v>1.1399999999999999</c:v>
                </c:pt>
                <c:pt idx="214">
                  <c:v>1.1499999999999999</c:v>
                </c:pt>
                <c:pt idx="215">
                  <c:v>1.1599999999999999</c:v>
                </c:pt>
                <c:pt idx="216">
                  <c:v>1.17</c:v>
                </c:pt>
                <c:pt idx="217">
                  <c:v>1.18</c:v>
                </c:pt>
                <c:pt idx="218">
                  <c:v>1.19</c:v>
                </c:pt>
                <c:pt idx="219">
                  <c:v>1.2</c:v>
                </c:pt>
                <c:pt idx="220">
                  <c:v>1.21</c:v>
                </c:pt>
                <c:pt idx="221">
                  <c:v>1.22</c:v>
                </c:pt>
                <c:pt idx="222">
                  <c:v>1.23</c:v>
                </c:pt>
                <c:pt idx="223">
                  <c:v>1.24</c:v>
                </c:pt>
                <c:pt idx="224">
                  <c:v>1.25</c:v>
                </c:pt>
                <c:pt idx="225">
                  <c:v>1.26</c:v>
                </c:pt>
                <c:pt idx="226">
                  <c:v>1.27</c:v>
                </c:pt>
                <c:pt idx="227">
                  <c:v>1.28</c:v>
                </c:pt>
                <c:pt idx="228">
                  <c:v>1.29</c:v>
                </c:pt>
                <c:pt idx="229">
                  <c:v>1.3</c:v>
                </c:pt>
                <c:pt idx="230">
                  <c:v>1.31</c:v>
                </c:pt>
                <c:pt idx="231">
                  <c:v>1.32</c:v>
                </c:pt>
                <c:pt idx="232">
                  <c:v>1.33</c:v>
                </c:pt>
                <c:pt idx="233">
                  <c:v>1.34</c:v>
                </c:pt>
                <c:pt idx="234">
                  <c:v>1.35</c:v>
                </c:pt>
                <c:pt idx="235">
                  <c:v>1.36</c:v>
                </c:pt>
                <c:pt idx="236">
                  <c:v>1.37</c:v>
                </c:pt>
                <c:pt idx="237">
                  <c:v>1.38</c:v>
                </c:pt>
                <c:pt idx="238">
                  <c:v>1.39</c:v>
                </c:pt>
                <c:pt idx="239">
                  <c:v>1.4</c:v>
                </c:pt>
                <c:pt idx="240">
                  <c:v>1.41</c:v>
                </c:pt>
                <c:pt idx="241">
                  <c:v>1.42</c:v>
                </c:pt>
                <c:pt idx="242">
                  <c:v>1.43</c:v>
                </c:pt>
                <c:pt idx="243">
                  <c:v>1.44</c:v>
                </c:pt>
                <c:pt idx="244">
                  <c:v>1.45</c:v>
                </c:pt>
                <c:pt idx="245">
                  <c:v>1.46</c:v>
                </c:pt>
                <c:pt idx="246">
                  <c:v>1.47</c:v>
                </c:pt>
                <c:pt idx="247">
                  <c:v>1.48</c:v>
                </c:pt>
                <c:pt idx="248">
                  <c:v>1.49</c:v>
                </c:pt>
                <c:pt idx="249">
                  <c:v>1.5</c:v>
                </c:pt>
                <c:pt idx="250">
                  <c:v>1.51</c:v>
                </c:pt>
                <c:pt idx="251">
                  <c:v>1.52</c:v>
                </c:pt>
                <c:pt idx="252">
                  <c:v>1.53</c:v>
                </c:pt>
                <c:pt idx="253">
                  <c:v>1.54</c:v>
                </c:pt>
                <c:pt idx="254">
                  <c:v>1.55</c:v>
                </c:pt>
                <c:pt idx="255">
                  <c:v>1.56</c:v>
                </c:pt>
                <c:pt idx="256">
                  <c:v>1.57</c:v>
                </c:pt>
                <c:pt idx="257">
                  <c:v>1.58</c:v>
                </c:pt>
                <c:pt idx="258">
                  <c:v>1.59</c:v>
                </c:pt>
                <c:pt idx="259">
                  <c:v>1.6</c:v>
                </c:pt>
                <c:pt idx="260">
                  <c:v>1.61</c:v>
                </c:pt>
                <c:pt idx="261">
                  <c:v>1.62</c:v>
                </c:pt>
                <c:pt idx="262">
                  <c:v>1.63</c:v>
                </c:pt>
                <c:pt idx="263">
                  <c:v>1.64</c:v>
                </c:pt>
                <c:pt idx="264">
                  <c:v>1.65</c:v>
                </c:pt>
                <c:pt idx="265">
                  <c:v>1.66</c:v>
                </c:pt>
                <c:pt idx="266">
                  <c:v>1.67</c:v>
                </c:pt>
                <c:pt idx="267">
                  <c:v>1.68</c:v>
                </c:pt>
                <c:pt idx="268">
                  <c:v>1.69</c:v>
                </c:pt>
                <c:pt idx="269">
                  <c:v>1.7</c:v>
                </c:pt>
                <c:pt idx="270">
                  <c:v>1.71</c:v>
                </c:pt>
                <c:pt idx="271">
                  <c:v>1.72</c:v>
                </c:pt>
                <c:pt idx="272">
                  <c:v>1.73</c:v>
                </c:pt>
                <c:pt idx="273">
                  <c:v>1.74</c:v>
                </c:pt>
                <c:pt idx="274">
                  <c:v>1.75</c:v>
                </c:pt>
                <c:pt idx="275">
                  <c:v>1.76</c:v>
                </c:pt>
                <c:pt idx="276">
                  <c:v>1.77</c:v>
                </c:pt>
                <c:pt idx="277">
                  <c:v>1.78</c:v>
                </c:pt>
                <c:pt idx="278">
                  <c:v>1.79</c:v>
                </c:pt>
                <c:pt idx="279">
                  <c:v>1.8</c:v>
                </c:pt>
                <c:pt idx="280">
                  <c:v>1.81</c:v>
                </c:pt>
                <c:pt idx="281">
                  <c:v>1.82</c:v>
                </c:pt>
                <c:pt idx="282">
                  <c:v>1.83</c:v>
                </c:pt>
                <c:pt idx="283">
                  <c:v>1.84</c:v>
                </c:pt>
                <c:pt idx="284">
                  <c:v>1.85</c:v>
                </c:pt>
                <c:pt idx="285">
                  <c:v>1.86</c:v>
                </c:pt>
                <c:pt idx="286">
                  <c:v>1.87</c:v>
                </c:pt>
                <c:pt idx="287">
                  <c:v>1.88</c:v>
                </c:pt>
                <c:pt idx="288">
                  <c:v>1.89</c:v>
                </c:pt>
                <c:pt idx="289">
                  <c:v>1.9</c:v>
                </c:pt>
                <c:pt idx="290">
                  <c:v>1.91</c:v>
                </c:pt>
                <c:pt idx="291">
                  <c:v>1.92</c:v>
                </c:pt>
                <c:pt idx="292">
                  <c:v>1.93</c:v>
                </c:pt>
                <c:pt idx="293">
                  <c:v>1.94</c:v>
                </c:pt>
                <c:pt idx="294">
                  <c:v>1.95</c:v>
                </c:pt>
                <c:pt idx="295">
                  <c:v>1.96</c:v>
                </c:pt>
                <c:pt idx="296">
                  <c:v>1.97</c:v>
                </c:pt>
                <c:pt idx="297">
                  <c:v>1.98</c:v>
                </c:pt>
                <c:pt idx="298">
                  <c:v>1.99</c:v>
                </c:pt>
                <c:pt idx="299">
                  <c:v>2</c:v>
                </c:pt>
                <c:pt idx="300">
                  <c:v>2.0099999999999998</c:v>
                </c:pt>
              </c:numCache>
            </c:numRef>
          </c:xVal>
          <c:yVal>
            <c:numRef>
              <c:f>NPV!$M$6:$M$306</c:f>
              <c:numCache>
                <c:formatCode>"$"#,##0.00_);[Red]\("$"#,##0.00\)</c:formatCode>
                <c:ptCount val="301"/>
                <c:pt idx="0">
                  <c:v>1.4814968558895798E+28</c:v>
                </c:pt>
                <c:pt idx="1">
                  <c:v>7.2240082023016079E+24</c:v>
                </c:pt>
                <c:pt idx="2">
                  <c:v>8.3401532497773002E+22</c:v>
                </c:pt>
                <c:pt idx="3">
                  <c:v>3.5175464913769595E+21</c:v>
                </c:pt>
                <c:pt idx="4">
                  <c:v>3.0172690106878512E+20</c:v>
                </c:pt>
                <c:pt idx="5">
                  <c:v>4.0550600851844063E+19</c:v>
                </c:pt>
                <c:pt idx="6">
                  <c:v>7.4293793631578368E+18</c:v>
                </c:pt>
                <c:pt idx="7">
                  <c:v>1.7076718852255283E+18</c:v>
                </c:pt>
                <c:pt idx="8">
                  <c:v>4.6674955204383731E+17</c:v>
                </c:pt>
                <c:pt idx="9">
                  <c:v>1.4625250717405658E+17</c:v>
                </c:pt>
                <c:pt idx="10">
                  <c:v>5.118361571133624E+16</c:v>
                </c:pt>
                <c:pt idx="11">
                  <c:v>1.9624576237815728E+16</c:v>
                </c:pt>
                <c:pt idx="12">
                  <c:v>8123777812435270</c:v>
                </c:pt>
                <c:pt idx="13">
                  <c:v>3589766042114842.5</c:v>
                </c:pt>
                <c:pt idx="14">
                  <c:v>1678071646342015.7</c:v>
                </c:pt>
                <c:pt idx="15">
                  <c:v>823827394557395.25</c:v>
                </c:pt>
                <c:pt idx="16">
                  <c:v>422243910259462.87</c:v>
                </c:pt>
                <c:pt idx="17">
                  <c:v>224830612292010.19</c:v>
                </c:pt>
                <c:pt idx="18">
                  <c:v>123857778896965.62</c:v>
                </c:pt>
                <c:pt idx="19">
                  <c:v>70348367525743.383</c:v>
                </c:pt>
                <c:pt idx="20">
                  <c:v>41073060482843.719</c:v>
                </c:pt>
                <c:pt idx="21">
                  <c:v>24587978500074.855</c:v>
                </c:pt>
                <c:pt idx="22">
                  <c:v>15058808223582.916</c:v>
                </c:pt>
                <c:pt idx="23">
                  <c:v>9417232908266.7812</c:v>
                </c:pt>
                <c:pt idx="24">
                  <c:v>6003263128618.1924</c:v>
                </c:pt>
                <c:pt idx="25">
                  <c:v>3895261314683.7402</c:v>
                </c:pt>
                <c:pt idx="26">
                  <c:v>2569206606795.6987</c:v>
                </c:pt>
                <c:pt idx="27">
                  <c:v>1720546068820.0901</c:v>
                </c:pt>
                <c:pt idx="28">
                  <c:v>1168650902654.4661</c:v>
                </c:pt>
                <c:pt idx="29">
                  <c:v>804356007465.85974</c:v>
                </c:pt>
                <c:pt idx="30">
                  <c:v>560521077607.73853</c:v>
                </c:pt>
                <c:pt idx="31">
                  <c:v>395172752907.55353</c:v>
                </c:pt>
                <c:pt idx="32">
                  <c:v>281667370581.03949</c:v>
                </c:pt>
                <c:pt idx="33">
                  <c:v>202848502965.91147</c:v>
                </c:pt>
                <c:pt idx="34">
                  <c:v>147519342048.14081</c:v>
                </c:pt>
                <c:pt idx="35">
                  <c:v>108279545405.39339</c:v>
                </c:pt>
                <c:pt idx="36">
                  <c:v>80179336994.089386</c:v>
                </c:pt>
                <c:pt idx="37">
                  <c:v>59870541918.987694</c:v>
                </c:pt>
                <c:pt idx="38">
                  <c:v>45064105709.207016</c:v>
                </c:pt>
                <c:pt idx="39">
                  <c:v>34179190239.293995</c:v>
                </c:pt>
                <c:pt idx="40">
                  <c:v>26113548415.917801</c:v>
                </c:pt>
                <c:pt idx="41">
                  <c:v>20091603053.825447</c:v>
                </c:pt>
                <c:pt idx="42">
                  <c:v>15562882021.972515</c:v>
                </c:pt>
                <c:pt idx="43">
                  <c:v>12133442038.29598</c:v>
                </c:pt>
                <c:pt idx="44">
                  <c:v>9519127209.2486629</c:v>
                </c:pt>
                <c:pt idx="45">
                  <c:v>7513422153.4595804</c:v>
                </c:pt>
                <c:pt idx="46">
                  <c:v>5965151985.6891441</c:v>
                </c:pt>
                <c:pt idx="47">
                  <c:v>4762885503.9605513</c:v>
                </c:pt>
                <c:pt idx="48">
                  <c:v>3823940667.9347215</c:v>
                </c:pt>
                <c:pt idx="49">
                  <c:v>3086575835.6529942</c:v>
                </c:pt>
                <c:pt idx="50">
                  <c:v>2504403536.6789513</c:v>
                </c:pt>
                <c:pt idx="51">
                  <c:v>2042366464.7663667</c:v>
                </c:pt>
                <c:pt idx="52">
                  <c:v>1673819485.2899547</c:v>
                </c:pt>
                <c:pt idx="53">
                  <c:v>1378400107.0245121</c:v>
                </c:pt>
                <c:pt idx="54">
                  <c:v>1140464788.4895966</c:v>
                </c:pt>
                <c:pt idx="55">
                  <c:v>947933915.46789467</c:v>
                </c:pt>
                <c:pt idx="56">
                  <c:v>791433762.36610425</c:v>
                </c:pt>
                <c:pt idx="57">
                  <c:v>663655558.13953066</c:v>
                </c:pt>
                <c:pt idx="58">
                  <c:v>558874173.52309299</c:v>
                </c:pt>
                <c:pt idx="59">
                  <c:v>472584816.42934704</c:v>
                </c:pt>
                <c:pt idx="60">
                  <c:v>401227437.68309212</c:v>
                </c:pt>
                <c:pt idx="61">
                  <c:v>341976665.16142887</c:v>
                </c:pt>
                <c:pt idx="62">
                  <c:v>292580939.07941216</c:v>
                </c:pt>
                <c:pt idx="63">
                  <c:v>251238768.1440492</c:v>
                </c:pt>
                <c:pt idx="64">
                  <c:v>216503123.65564904</c:v>
                </c:pt>
                <c:pt idx="65">
                  <c:v>187207259.33269766</c:v>
                </c:pt>
                <c:pt idx="66">
                  <c:v>162406917.70235708</c:v>
                </c:pt>
                <c:pt idx="67">
                  <c:v>141335122.65123433</c:v>
                </c:pt>
                <c:pt idx="68">
                  <c:v>123366679.25992495</c:v>
                </c:pt>
                <c:pt idx="69">
                  <c:v>107990190.73590596</c:v>
                </c:pt>
                <c:pt idx="70">
                  <c:v>94785919.237610161</c:v>
                </c:pt>
                <c:pt idx="71">
                  <c:v>83408207.141661122</c:v>
                </c:pt>
                <c:pt idx="72">
                  <c:v>73571470.387463599</c:v>
                </c:pt>
                <c:pt idx="73">
                  <c:v>65038999.849899895</c:v>
                </c:pt>
                <c:pt idx="74">
                  <c:v>57613977.890330434</c:v>
                </c:pt>
                <c:pt idx="75">
                  <c:v>51132248.401561409</c:v>
                </c:pt>
                <c:pt idx="76">
                  <c:v>45456479.533841312</c:v>
                </c:pt>
                <c:pt idx="77">
                  <c:v>40471436.147337183</c:v>
                </c:pt>
                <c:pt idx="78">
                  <c:v>36080139.346718006</c:v>
                </c:pt>
                <c:pt idx="79">
                  <c:v>32200737.333148539</c:v>
                </c:pt>
                <c:pt idx="80">
                  <c:v>28763948.372668371</c:v>
                </c:pt>
                <c:pt idx="81">
                  <c:v>25710965.292073239</c:v>
                </c:pt>
                <c:pt idx="82">
                  <c:v>22991733.375586219</c:v>
                </c:pt>
                <c:pt idx="83">
                  <c:v>20563531.22532963</c:v>
                </c:pt>
                <c:pt idx="84">
                  <c:v>18389798.122785345</c:v>
                </c:pt>
                <c:pt idx="85">
                  <c:v>16439162.50071864</c:v>
                </c:pt>
                <c:pt idx="86">
                  <c:v>14684634.933866188</c:v>
                </c:pt>
                <c:pt idx="87">
                  <c:v>13102936.068990123</c:v>
                </c:pt>
                <c:pt idx="88">
                  <c:v>11673935.519153977</c:v>
                </c:pt>
                <c:pt idx="89">
                  <c:v>10380182.238360601</c:v>
                </c:pt>
                <c:pt idx="90">
                  <c:v>9206510.5017506704</c:v>
                </c:pt>
                <c:pt idx="91">
                  <c:v>8139708.5243562041</c:v>
                </c:pt>
                <c:pt idx="92">
                  <c:v>7168239.1002657078</c:v>
                </c:pt>
                <c:pt idx="93">
                  <c:v>6282003.5462422268</c:v>
                </c:pt>
                <c:pt idx="94">
                  <c:v>5472141.7781218756</c:v>
                </c:pt>
                <c:pt idx="95">
                  <c:v>4730862.6051108846</c:v>
                </c:pt>
                <c:pt idx="96">
                  <c:v>4051299.3523668377</c:v>
                </c:pt>
                <c:pt idx="97">
                  <c:v>3427386.7606150941</c:v>
                </c:pt>
                <c:pt idx="98">
                  <c:v>2853755.7986687538</c:v>
                </c:pt>
                <c:pt idx="99">
                  <c:v>2325643.5891558919</c:v>
                </c:pt>
                <c:pt idx="100">
                  <c:v>1838816.1124490513</c:v>
                </c:pt>
                <c:pt idx="101">
                  <c:v>1389501.7372063822</c:v>
                </c:pt>
                <c:pt idx="102">
                  <c:v>974333.94296527409</c:v>
                </c:pt>
                <c:pt idx="103">
                  <c:v>590301.8629332179</c:v>
                </c:pt>
                <c:pt idx="104">
                  <c:v>234707.49325536966</c:v>
                </c:pt>
                <c:pt idx="105">
                  <c:v>-94871.40345883595</c:v>
                </c:pt>
                <c:pt idx="106">
                  <c:v>-400613.52124097821</c:v>
                </c:pt>
                <c:pt idx="107">
                  <c:v>-684482.05497252243</c:v>
                </c:pt>
                <c:pt idx="108">
                  <c:v>-948249.15435017855</c:v>
                </c:pt>
                <c:pt idx="109">
                  <c:v>-1193517.287514172</c:v>
                </c:pt>
                <c:pt idx="110">
                  <c:v>-1421737.9396752946</c:v>
                </c:pt>
                <c:pt idx="111">
                  <c:v>-1634228.0092997844</c:v>
                </c:pt>
                <c:pt idx="112">
                  <c:v>-1832184.2114648791</c:v>
                </c:pt>
                <c:pt idx="113">
                  <c:v>-2016695.7532609492</c:v>
                </c:pt>
                <c:pt idx="114">
                  <c:v>-2188755.5082475622</c:v>
                </c:pt>
                <c:pt idx="115">
                  <c:v>-2349269.8848591908</c:v>
                </c:pt>
                <c:pt idx="116">
                  <c:v>-2499067.5563778034</c:v>
                </c:pt>
                <c:pt idx="117">
                  <c:v>-2638907.1968777715</c:v>
                </c:pt>
                <c:pt idx="118">
                  <c:v>-2769484.3477619486</c:v>
                </c:pt>
                <c:pt idx="119">
                  <c:v>-2891437.5226134714</c:v>
                </c:pt>
                <c:pt idx="120">
                  <c:v>-3005353.6436382323</c:v>
                </c:pt>
                <c:pt idx="121">
                  <c:v>-3111772.8905942286</c:v>
                </c:pt>
                <c:pt idx="122">
                  <c:v>-3211193.0324818636</c:v>
                </c:pt>
                <c:pt idx="123">
                  <c:v>-3304073.3031397113</c:v>
                </c:pt>
                <c:pt idx="124">
                  <c:v>-3390837.874031242</c:v>
                </c:pt>
                <c:pt idx="125">
                  <c:v>-3471878.9707316756</c:v>
                </c:pt>
                <c:pt idx="126">
                  <c:v>-3547559.6737725968</c:v>
                </c:pt>
                <c:pt idx="127">
                  <c:v>-3618216.4394409964</c:v>
                </c:pt>
                <c:pt idx="128">
                  <c:v>-3684161.3717455002</c:v>
                </c:pt>
                <c:pt idx="129">
                  <c:v>-3745684.2729596063</c:v>
                </c:pt>
                <c:pt idx="130">
                  <c:v>-3803054.4968475425</c:v>
                </c:pt>
                <c:pt idx="131">
                  <c:v>-3856522.6258036778</c:v>
                </c:pt>
                <c:pt idx="132">
                  <c:v>-3906321.9906312241</c:v>
                </c:pt>
                <c:pt idx="133">
                  <c:v>-3952670.0495001925</c:v>
                </c:pt>
                <c:pt idx="134">
                  <c:v>-3995769.6407143101</c:v>
                </c:pt>
                <c:pt idx="135">
                  <c:v>-4035810.1222451008</c:v>
                </c:pt>
                <c:pt idx="136">
                  <c:v>-4072968.4095264031</c:v>
                </c:pt>
                <c:pt idx="137">
                  <c:v>-4107409.9217172661</c:v>
                </c:pt>
                <c:pt idx="138">
                  <c:v>-4139289.445511614</c:v>
                </c:pt>
                <c:pt idx="139">
                  <c:v>-4168751.924579137</c:v>
                </c:pt>
                <c:pt idx="140">
                  <c:v>-4195933.1818463141</c:v>
                </c:pt>
                <c:pt idx="141">
                  <c:v>-4220960.5810536975</c:v>
                </c:pt>
                <c:pt idx="142">
                  <c:v>-4243953.6333433362</c:v>
                </c:pt>
                <c:pt idx="143">
                  <c:v>-4265024.5540263411</c:v>
                </c:pt>
                <c:pt idx="144">
                  <c:v>-4284278.7741460819</c:v>
                </c:pt>
                <c:pt idx="145">
                  <c:v>-4301815.4109782884</c:v>
                </c:pt>
                <c:pt idx="146">
                  <c:v>-4317727.701188433</c:v>
                </c:pt>
                <c:pt idx="147">
                  <c:v>-4332103.3999925014</c:v>
                </c:pt>
                <c:pt idx="148">
                  <c:v>-4345025.1493342351</c:v>
                </c:pt>
                <c:pt idx="149">
                  <c:v>-4356570.8177950615</c:v>
                </c:pt>
                <c:pt idx="150">
                  <c:v>-4366813.8146881675</c:v>
                </c:pt>
                <c:pt idx="151">
                  <c:v>-4375823.3805516232</c:v>
                </c:pt>
                <c:pt idx="152">
                  <c:v>-4383664.8560439246</c:v>
                </c:pt>
                <c:pt idx="153">
                  <c:v>-4390399.9310560245</c:v>
                </c:pt>
                <c:pt idx="154">
                  <c:v>-4396086.8756841058</c:v>
                </c:pt>
                <c:pt idx="155">
                  <c:v>-4400780.7545551304</c:v>
                </c:pt>
                <c:pt idx="156">
                  <c:v>-4404533.6258604154</c:v>
                </c:pt>
                <c:pt idx="157">
                  <c:v>-4407394.7263293825</c:v>
                </c:pt>
                <c:pt idx="158">
                  <c:v>-4409410.643265021</c:v>
                </c:pt>
                <c:pt idx="159">
                  <c:v>-4410625.4746627277</c:v>
                </c:pt>
                <c:pt idx="160">
                  <c:v>-4411080.9783442179</c:v>
                </c:pt>
                <c:pt idx="161">
                  <c:v>-4410816.7109569209</c:v>
                </c:pt>
                <c:pt idx="162">
                  <c:v>-4409870.1576157762</c:v>
                </c:pt>
                <c:pt idx="163">
                  <c:v>-4408276.8528979179</c:v>
                </c:pt>
                <c:pt idx="164">
                  <c:v>-4406070.4938404895</c:v>
                </c:pt>
                <c:pt idx="165">
                  <c:v>-4403283.0455372781</c:v>
                </c:pt>
                <c:pt idx="166">
                  <c:v>-4399944.839880297</c:v>
                </c:pt>
                <c:pt idx="167">
                  <c:v>-4396084.6679475224</c:v>
                </c:pt>
                <c:pt idx="168">
                  <c:v>-4391729.8664970351</c:v>
                </c:pt>
                <c:pt idx="169">
                  <c:v>-4386906.3989906274</c:v>
                </c:pt>
                <c:pt idx="170">
                  <c:v>-4381638.9315360654</c:v>
                </c:pt>
                <c:pt idx="171">
                  <c:v>-4375950.9041062826</c:v>
                </c:pt>
                <c:pt idx="172">
                  <c:v>-4369864.5973655758</c:v>
                </c:pt>
                <c:pt idx="173">
                  <c:v>-4363401.1954072313</c:v>
                </c:pt>
                <c:pt idx="174">
                  <c:v>-4356580.8446833408</c:v>
                </c:pt>
                <c:pt idx="175">
                  <c:v>-4349422.7093861951</c:v>
                </c:pt>
                <c:pt idx="176">
                  <c:v>-4341945.0235208776</c:v>
                </c:pt>
                <c:pt idx="177">
                  <c:v>-4334165.1398906652</c:v>
                </c:pt>
                <c:pt idx="178">
                  <c:v>-4326099.5762002859</c:v>
                </c:pt>
                <c:pt idx="179">
                  <c:v>-4317764.0584669299</c:v>
                </c:pt>
                <c:pt idx="180">
                  <c:v>-4309173.561914959</c:v>
                </c:pt>
                <c:pt idx="181">
                  <c:v>-4300342.3495174805</c:v>
                </c:pt>
                <c:pt idx="182">
                  <c:v>-4291284.0083361305</c:v>
                </c:pt>
                <c:pt idx="183">
                  <c:v>-4282011.4837996187</c:v>
                </c:pt>
                <c:pt idx="184">
                  <c:v>-4272537.112051595</c:v>
                </c:pt>
                <c:pt idx="185">
                  <c:v>-4262872.6504891831</c:v>
                </c:pt>
                <c:pt idx="186">
                  <c:v>-4253029.3066050624</c:v>
                </c:pt>
                <c:pt idx="187">
                  <c:v>-4243017.7652381733</c:v>
                </c:pt>
                <c:pt idx="188">
                  <c:v>-4232848.2143308213</c:v>
                </c:pt>
                <c:pt idx="189">
                  <c:v>-4222530.3692833763</c:v>
                </c:pt>
                <c:pt idx="190">
                  <c:v>-4212073.4959914964</c:v>
                </c:pt>
                <c:pt idx="191">
                  <c:v>-4201486.4326451505</c:v>
                </c:pt>
                <c:pt idx="192">
                  <c:v>-4190777.6103634108</c:v>
                </c:pt>
                <c:pt idx="193">
                  <c:v>-4179955.072734063</c:v>
                </c:pt>
                <c:pt idx="194">
                  <c:v>-4169026.4943225626</c:v>
                </c:pt>
                <c:pt idx="195">
                  <c:v>-4157999.1982106627</c:v>
                </c:pt>
                <c:pt idx="196">
                  <c:v>-4146880.1726210946</c:v>
                </c:pt>
                <c:pt idx="197">
                  <c:v>-4135676.0866810759</c:v>
                </c:pt>
                <c:pt idx="198">
                  <c:v>-4124393.3053740538</c:v>
                </c:pt>
                <c:pt idx="199">
                  <c:v>-4113037.9037259328</c:v>
                </c:pt>
                <c:pt idx="200">
                  <c:v>-4101615.6802691426</c:v>
                </c:pt>
                <c:pt idx="201">
                  <c:v>-4090132.1698251809</c:v>
                </c:pt>
                <c:pt idx="202">
                  <c:v>-4078592.6556437062</c:v>
                </c:pt>
                <c:pt idx="203">
                  <c:v>-4067002.1809339989</c:v>
                </c:pt>
                <c:pt idx="204">
                  <c:v>-4055365.5598222679</c:v>
                </c:pt>
                <c:pt idx="205">
                  <c:v>-4043687.3877663743</c:v>
                </c:pt>
                <c:pt idx="206">
                  <c:v>-4031972.0514575741</c:v>
                </c:pt>
                <c:pt idx="207">
                  <c:v>-4020223.7382370457</c:v>
                </c:pt>
                <c:pt idx="208">
                  <c:v>-4008446.4450534387</c:v>
                </c:pt>
                <c:pt idx="209">
                  <c:v>-3996643.9869859945</c:v>
                </c:pt>
                <c:pt idx="210">
                  <c:v>-3984820.0053564128</c:v>
                </c:pt>
                <c:pt idx="211">
                  <c:v>-3972977.9754512548</c:v>
                </c:pt>
                <c:pt idx="212">
                  <c:v>-3961121.213875398</c:v>
                </c:pt>
                <c:pt idx="213">
                  <c:v>-3949252.8855558876</c:v>
                </c:pt>
                <c:pt idx="214">
                  <c:v>-3937376.0104143848</c:v>
                </c:pt>
                <c:pt idx="215">
                  <c:v>-3925493.4697254151</c:v>
                </c:pt>
                <c:pt idx="216">
                  <c:v>-3913608.0121765765</c:v>
                </c:pt>
                <c:pt idx="217">
                  <c:v>-3901722.259646026</c:v>
                </c:pt>
                <c:pt idx="218">
                  <c:v>-3889838.7127116281</c:v>
                </c:pt>
                <c:pt idx="219">
                  <c:v>-3877959.7559054005</c:v>
                </c:pt>
                <c:pt idx="220">
                  <c:v>-3866087.662726115</c:v>
                </c:pt>
                <c:pt idx="221">
                  <c:v>-3854224.6004221756</c:v>
                </c:pt>
                <c:pt idx="222">
                  <c:v>-3842372.6345562697</c:v>
                </c:pt>
                <c:pt idx="223">
                  <c:v>-3830533.7333626268</c:v>
                </c:pt>
                <c:pt idx="224">
                  <c:v>-3818709.7719071484</c:v>
                </c:pt>
                <c:pt idx="225">
                  <c:v>-3806902.5360601116</c:v>
                </c:pt>
                <c:pt idx="226">
                  <c:v>-3795113.7262906157</c:v>
                </c:pt>
                <c:pt idx="227">
                  <c:v>-3783344.9612914734</c:v>
                </c:pt>
                <c:pt idx="228">
                  <c:v>-3771597.781442754</c:v>
                </c:pt>
                <c:pt idx="229">
                  <c:v>-3759873.6521217925</c:v>
                </c:pt>
                <c:pt idx="230">
                  <c:v>-3748173.9668670017</c:v>
                </c:pt>
                <c:pt idx="231">
                  <c:v>-3736500.0504025239</c:v>
                </c:pt>
                <c:pt idx="232">
                  <c:v>-3724853.1615303271</c:v>
                </c:pt>
                <c:pt idx="233">
                  <c:v>-3713234.4958960088</c:v>
                </c:pt>
                <c:pt idx="234">
                  <c:v>-3701645.1886342973</c:v>
                </c:pt>
                <c:pt idx="235">
                  <c:v>-3690086.3168998878</c:v>
                </c:pt>
                <c:pt idx="236">
                  <c:v>-3678558.9022889677</c:v>
                </c:pt>
                <c:pt idx="237">
                  <c:v>-3667063.9131565266</c:v>
                </c:pt>
                <c:pt idx="238">
                  <c:v>-3655602.2668342856</c:v>
                </c:pt>
                <c:pt idx="239">
                  <c:v>-3644174.8317538188</c:v>
                </c:pt>
                <c:pt idx="240">
                  <c:v>-3632782.4294792512</c:v>
                </c:pt>
                <c:pt idx="241">
                  <c:v>-3621425.8366536326</c:v>
                </c:pt>
                <c:pt idx="242">
                  <c:v>-3610105.7868629582</c:v>
                </c:pt>
                <c:pt idx="243">
                  <c:v>-3598822.9724215521</c:v>
                </c:pt>
                <c:pt idx="244">
                  <c:v>-3587578.046082376</c:v>
                </c:pt>
                <c:pt idx="245">
                  <c:v>-3576371.622675634</c:v>
                </c:pt>
                <c:pt idx="246">
                  <c:v>-3565204.2806789251</c:v>
                </c:pt>
                <c:pt idx="247">
                  <c:v>-3554076.5637219199</c:v>
                </c:pt>
                <c:pt idx="248">
                  <c:v>-3542988.9820285873</c:v>
                </c:pt>
                <c:pt idx="249">
                  <c:v>-3531942.0137996264</c:v>
                </c:pt>
                <c:pt idx="250">
                  <c:v>-3520936.1065378259</c:v>
                </c:pt>
                <c:pt idx="251">
                  <c:v>-3509971.6783188232</c:v>
                </c:pt>
                <c:pt idx="252">
                  <c:v>-3499049.1190096498</c:v>
                </c:pt>
                <c:pt idx="253">
                  <c:v>-3488168.7914373772</c:v>
                </c:pt>
                <c:pt idx="254">
                  <c:v>-3477331.0325099872</c:v>
                </c:pt>
                <c:pt idx="255">
                  <c:v>-3466536.1542915748</c:v>
                </c:pt>
                <c:pt idx="256">
                  <c:v>-3455784.4450338432</c:v>
                </c:pt>
                <c:pt idx="257">
                  <c:v>-3445076.1701657507</c:v>
                </c:pt>
                <c:pt idx="258">
                  <c:v>-3434411.5732431491</c:v>
                </c:pt>
                <c:pt idx="259">
                  <c:v>-3423790.8768600696</c:v>
                </c:pt>
                <c:pt idx="260">
                  <c:v>-3413214.2835233328</c:v>
                </c:pt>
                <c:pt idx="261">
                  <c:v>-3402681.9764920082</c:v>
                </c:pt>
                <c:pt idx="262">
                  <c:v>-3392194.1205832358</c:v>
                </c:pt>
                <c:pt idx="263">
                  <c:v>-3381750.8629457993</c:v>
                </c:pt>
                <c:pt idx="264">
                  <c:v>-3371352.3338028314</c:v>
                </c:pt>
                <c:pt idx="265">
                  <c:v>-3360998.647164918</c:v>
                </c:pt>
                <c:pt idx="266">
                  <c:v>-3350689.9015148738</c:v>
                </c:pt>
                <c:pt idx="267">
                  <c:v>-3340426.1804653225</c:v>
                </c:pt>
                <c:pt idx="268">
                  <c:v>-3330207.5533902245</c:v>
                </c:pt>
                <c:pt idx="269">
                  <c:v>-3320034.07603148</c:v>
                </c:pt>
                <c:pt idx="270">
                  <c:v>-3309905.7910815268</c:v>
                </c:pt>
                <c:pt idx="271">
                  <c:v>-3299822.7287430349</c:v>
                </c:pt>
                <c:pt idx="272">
                  <c:v>-3289784.907266553</c:v>
                </c:pt>
                <c:pt idx="273">
                  <c:v>-3279792.3334670528</c:v>
                </c:pt>
                <c:pt idx="274">
                  <c:v>-3269845.0032202038</c:v>
                </c:pt>
                <c:pt idx="275">
                  <c:v>-3259942.9019392189</c:v>
                </c:pt>
                <c:pt idx="276">
                  <c:v>-3250086.0050330474</c:v>
                </c:pt>
                <c:pt idx="277">
                  <c:v>-3240274.2783466838</c:v>
                </c:pt>
                <c:pt idx="278">
                  <c:v>-3230507.6785842683</c:v>
                </c:pt>
                <c:pt idx="279">
                  <c:v>-3220786.1537157479</c:v>
                </c:pt>
                <c:pt idx="280">
                  <c:v>-3211109.6433676658</c:v>
                </c:pt>
                <c:pt idx="281">
                  <c:v>-3201478.0791987842</c:v>
                </c:pt>
                <c:pt idx="282">
                  <c:v>-3191891.3852611096</c:v>
                </c:pt>
                <c:pt idx="283">
                  <c:v>-3182349.4783468959</c:v>
                </c:pt>
                <c:pt idx="284">
                  <c:v>-3172852.2683222168</c:v>
                </c:pt>
                <c:pt idx="285">
                  <c:v>-3163399.6584475865</c:v>
                </c:pt>
                <c:pt idx="286">
                  <c:v>-3153991.5456861858</c:v>
                </c:pt>
                <c:pt idx="287">
                  <c:v>-3144627.8210001518</c:v>
                </c:pt>
                <c:pt idx="288">
                  <c:v>-3135308.3696354101</c:v>
                </c:pt>
                <c:pt idx="289">
                  <c:v>-3126033.071395495</c:v>
                </c:pt>
                <c:pt idx="290">
                  <c:v>-3116801.8009047941</c:v>
                </c:pt>
                <c:pt idx="291">
                  <c:v>-3107614.4278616225</c:v>
                </c:pt>
                <c:pt idx="292">
                  <c:v>-3098470.8172815084</c:v>
                </c:pt>
                <c:pt idx="293">
                  <c:v>-3089370.8297311068</c:v>
                </c:pt>
                <c:pt idx="294">
                  <c:v>-3080314.3215530659</c:v>
                </c:pt>
                <c:pt idx="295">
                  <c:v>-3071301.1450822102</c:v>
                </c:pt>
                <c:pt idx="296">
                  <c:v>-3062331.148853384</c:v>
                </c:pt>
                <c:pt idx="297">
                  <c:v>-3053404.1778012509</c:v>
                </c:pt>
                <c:pt idx="298">
                  <c:v>-3044520.073452394</c:v>
                </c:pt>
                <c:pt idx="299">
                  <c:v>-3035678.6741099693</c:v>
                </c:pt>
                <c:pt idx="300">
                  <c:v>-3026879.8150312337</c:v>
                </c:pt>
              </c:numCache>
            </c:numRef>
          </c:yVal>
          <c:smooth val="1"/>
        </c:ser>
        <c:ser>
          <c:idx val="11"/>
          <c:order val="10"/>
          <c:marker>
            <c:symbol val="none"/>
          </c:marker>
          <c:xVal>
            <c:numRef>
              <c:f>NPV!$C$6:$C$306</c:f>
              <c:numCache>
                <c:formatCode>General</c:formatCode>
                <c:ptCount val="301"/>
                <c:pt idx="0">
                  <c:v>-0.99</c:v>
                </c:pt>
                <c:pt idx="1">
                  <c:v>-0.98</c:v>
                </c:pt>
                <c:pt idx="2">
                  <c:v>-0.97</c:v>
                </c:pt>
                <c:pt idx="3">
                  <c:v>-0.96</c:v>
                </c:pt>
                <c:pt idx="4">
                  <c:v>-0.95</c:v>
                </c:pt>
                <c:pt idx="5">
                  <c:v>-0.94</c:v>
                </c:pt>
                <c:pt idx="6">
                  <c:v>-0.93</c:v>
                </c:pt>
                <c:pt idx="7">
                  <c:v>-0.92</c:v>
                </c:pt>
                <c:pt idx="8">
                  <c:v>-0.91</c:v>
                </c:pt>
                <c:pt idx="9">
                  <c:v>-0.9</c:v>
                </c:pt>
                <c:pt idx="10">
                  <c:v>-0.89</c:v>
                </c:pt>
                <c:pt idx="11">
                  <c:v>-0.88</c:v>
                </c:pt>
                <c:pt idx="12">
                  <c:v>-0.87</c:v>
                </c:pt>
                <c:pt idx="13">
                  <c:v>-0.86</c:v>
                </c:pt>
                <c:pt idx="14">
                  <c:v>-0.85</c:v>
                </c:pt>
                <c:pt idx="15">
                  <c:v>-0.84</c:v>
                </c:pt>
                <c:pt idx="16">
                  <c:v>-0.83</c:v>
                </c:pt>
                <c:pt idx="17">
                  <c:v>-0.82</c:v>
                </c:pt>
                <c:pt idx="18">
                  <c:v>-0.81</c:v>
                </c:pt>
                <c:pt idx="19">
                  <c:v>-0.8</c:v>
                </c:pt>
                <c:pt idx="20">
                  <c:v>-0.79</c:v>
                </c:pt>
                <c:pt idx="21">
                  <c:v>-0.78</c:v>
                </c:pt>
                <c:pt idx="22">
                  <c:v>-0.77</c:v>
                </c:pt>
                <c:pt idx="23">
                  <c:v>-0.76</c:v>
                </c:pt>
                <c:pt idx="24">
                  <c:v>-0.75</c:v>
                </c:pt>
                <c:pt idx="25">
                  <c:v>-0.74</c:v>
                </c:pt>
                <c:pt idx="26">
                  <c:v>-0.73</c:v>
                </c:pt>
                <c:pt idx="27">
                  <c:v>-0.72</c:v>
                </c:pt>
                <c:pt idx="28">
                  <c:v>-0.71</c:v>
                </c:pt>
                <c:pt idx="29">
                  <c:v>-0.7</c:v>
                </c:pt>
                <c:pt idx="30">
                  <c:v>-0.69</c:v>
                </c:pt>
                <c:pt idx="31">
                  <c:v>-0.68</c:v>
                </c:pt>
                <c:pt idx="32">
                  <c:v>-0.67</c:v>
                </c:pt>
                <c:pt idx="33">
                  <c:v>-0.66</c:v>
                </c:pt>
                <c:pt idx="34">
                  <c:v>-0.65</c:v>
                </c:pt>
                <c:pt idx="35">
                  <c:v>-0.64</c:v>
                </c:pt>
                <c:pt idx="36">
                  <c:v>-0.63</c:v>
                </c:pt>
                <c:pt idx="37">
                  <c:v>-0.62</c:v>
                </c:pt>
                <c:pt idx="38">
                  <c:v>-0.61</c:v>
                </c:pt>
                <c:pt idx="39">
                  <c:v>-0.6</c:v>
                </c:pt>
                <c:pt idx="40">
                  <c:v>-0.59</c:v>
                </c:pt>
                <c:pt idx="41">
                  <c:v>-0.57999999999999996</c:v>
                </c:pt>
                <c:pt idx="42">
                  <c:v>-0.56999999999999995</c:v>
                </c:pt>
                <c:pt idx="43">
                  <c:v>-0.56000000000000005</c:v>
                </c:pt>
                <c:pt idx="44">
                  <c:v>-0.55000000000000004</c:v>
                </c:pt>
                <c:pt idx="45">
                  <c:v>-0.54</c:v>
                </c:pt>
                <c:pt idx="46">
                  <c:v>-0.53</c:v>
                </c:pt>
                <c:pt idx="47">
                  <c:v>-0.52</c:v>
                </c:pt>
                <c:pt idx="48">
                  <c:v>-0.51</c:v>
                </c:pt>
                <c:pt idx="49">
                  <c:v>-0.5</c:v>
                </c:pt>
                <c:pt idx="50">
                  <c:v>-0.49</c:v>
                </c:pt>
                <c:pt idx="51">
                  <c:v>-0.48</c:v>
                </c:pt>
                <c:pt idx="52">
                  <c:v>-0.47</c:v>
                </c:pt>
                <c:pt idx="53">
                  <c:v>-0.46</c:v>
                </c:pt>
                <c:pt idx="54">
                  <c:v>-0.45</c:v>
                </c:pt>
                <c:pt idx="55">
                  <c:v>-0.44</c:v>
                </c:pt>
                <c:pt idx="56">
                  <c:v>-0.42999999999999899</c:v>
                </c:pt>
                <c:pt idx="57">
                  <c:v>-0.41999999999999899</c:v>
                </c:pt>
                <c:pt idx="58">
                  <c:v>-0.40999999999999898</c:v>
                </c:pt>
                <c:pt idx="59">
                  <c:v>-0.39999999999999902</c:v>
                </c:pt>
                <c:pt idx="60">
                  <c:v>-0.38999999999999901</c:v>
                </c:pt>
                <c:pt idx="61">
                  <c:v>-0.37999999999999901</c:v>
                </c:pt>
                <c:pt idx="62">
                  <c:v>-0.369999999999999</c:v>
                </c:pt>
                <c:pt idx="63">
                  <c:v>-0.35999999999999899</c:v>
                </c:pt>
                <c:pt idx="64">
                  <c:v>-0.34999999999999898</c:v>
                </c:pt>
                <c:pt idx="65">
                  <c:v>-0.33999999999999903</c:v>
                </c:pt>
                <c:pt idx="66">
                  <c:v>-0.32999999999999902</c:v>
                </c:pt>
                <c:pt idx="67">
                  <c:v>-0.31999999999999901</c:v>
                </c:pt>
                <c:pt idx="68">
                  <c:v>-0.309999999999999</c:v>
                </c:pt>
                <c:pt idx="69">
                  <c:v>-0.29999999999999899</c:v>
                </c:pt>
                <c:pt idx="70">
                  <c:v>-0.28999999999999898</c:v>
                </c:pt>
                <c:pt idx="71">
                  <c:v>-0.27999999999999903</c:v>
                </c:pt>
                <c:pt idx="72">
                  <c:v>-0.26999999999999902</c:v>
                </c:pt>
                <c:pt idx="73">
                  <c:v>-0.25999999999999901</c:v>
                </c:pt>
                <c:pt idx="74">
                  <c:v>-0.249999999999999</c:v>
                </c:pt>
                <c:pt idx="75">
                  <c:v>-0.23999999999999899</c:v>
                </c:pt>
                <c:pt idx="76">
                  <c:v>-0.22999999999999901</c:v>
                </c:pt>
                <c:pt idx="77">
                  <c:v>-0.219999999999999</c:v>
                </c:pt>
                <c:pt idx="78">
                  <c:v>-0.20999999999999899</c:v>
                </c:pt>
                <c:pt idx="79">
                  <c:v>-0.19999999999999901</c:v>
                </c:pt>
                <c:pt idx="80">
                  <c:v>-0.189999999999999</c:v>
                </c:pt>
                <c:pt idx="81">
                  <c:v>-0.17999999999999899</c:v>
                </c:pt>
                <c:pt idx="82">
                  <c:v>-0.16999999999999901</c:v>
                </c:pt>
                <c:pt idx="83">
                  <c:v>-0.159999999999999</c:v>
                </c:pt>
                <c:pt idx="84">
                  <c:v>-0.149999999999999</c:v>
                </c:pt>
                <c:pt idx="85">
                  <c:v>-0.13999999999999899</c:v>
                </c:pt>
                <c:pt idx="86">
                  <c:v>-0.12999999999999901</c:v>
                </c:pt>
                <c:pt idx="87">
                  <c:v>-0.119999999999999</c:v>
                </c:pt>
                <c:pt idx="88">
                  <c:v>-0.109999999999999</c:v>
                </c:pt>
                <c:pt idx="89">
                  <c:v>-9.9999999999999006E-2</c:v>
                </c:pt>
                <c:pt idx="90">
                  <c:v>-8.9999999999998997E-2</c:v>
                </c:pt>
                <c:pt idx="91">
                  <c:v>-7.9999999999999002E-2</c:v>
                </c:pt>
                <c:pt idx="92">
                  <c:v>-6.9999999999998994E-2</c:v>
                </c:pt>
                <c:pt idx="93">
                  <c:v>-5.9999999999999103E-2</c:v>
                </c:pt>
                <c:pt idx="94">
                  <c:v>-4.9999999999998997E-2</c:v>
                </c:pt>
                <c:pt idx="95">
                  <c:v>-3.9999999999999002E-2</c:v>
                </c:pt>
                <c:pt idx="96">
                  <c:v>-2.9999999999999E-2</c:v>
                </c:pt>
                <c:pt idx="97">
                  <c:v>-1.9999999999999001E-2</c:v>
                </c:pt>
                <c:pt idx="98">
                  <c:v>-9.9999999999990097E-3</c:v>
                </c:pt>
                <c:pt idx="99">
                  <c:v>0</c:v>
                </c:pt>
                <c:pt idx="100">
                  <c:v>0.01</c:v>
                </c:pt>
                <c:pt idx="101">
                  <c:v>0.02</c:v>
                </c:pt>
                <c:pt idx="102">
                  <c:v>0.03</c:v>
                </c:pt>
                <c:pt idx="103">
                  <c:v>0.04</c:v>
                </c:pt>
                <c:pt idx="104">
                  <c:v>0.05</c:v>
                </c:pt>
                <c:pt idx="105">
                  <c:v>6.0000000000000102E-2</c:v>
                </c:pt>
                <c:pt idx="106">
                  <c:v>7.0000000000000104E-2</c:v>
                </c:pt>
                <c:pt idx="107">
                  <c:v>8.0000000000000099E-2</c:v>
                </c:pt>
                <c:pt idx="108">
                  <c:v>9.0000000000000094E-2</c:v>
                </c:pt>
                <c:pt idx="109">
                  <c:v>0.1</c:v>
                </c:pt>
                <c:pt idx="110">
                  <c:v>0.11</c:v>
                </c:pt>
                <c:pt idx="111">
                  <c:v>0.12</c:v>
                </c:pt>
                <c:pt idx="112">
                  <c:v>0.13</c:v>
                </c:pt>
                <c:pt idx="113">
                  <c:v>0.14000000000000001</c:v>
                </c:pt>
                <c:pt idx="114">
                  <c:v>0.15</c:v>
                </c:pt>
                <c:pt idx="115">
                  <c:v>0.16</c:v>
                </c:pt>
                <c:pt idx="116">
                  <c:v>0.17</c:v>
                </c:pt>
                <c:pt idx="117">
                  <c:v>0.18</c:v>
                </c:pt>
                <c:pt idx="118">
                  <c:v>0.19</c:v>
                </c:pt>
                <c:pt idx="119">
                  <c:v>0.2</c:v>
                </c:pt>
                <c:pt idx="120">
                  <c:v>0.21</c:v>
                </c:pt>
                <c:pt idx="121">
                  <c:v>0.22</c:v>
                </c:pt>
                <c:pt idx="122">
                  <c:v>0.23</c:v>
                </c:pt>
                <c:pt idx="123">
                  <c:v>0.24</c:v>
                </c:pt>
                <c:pt idx="124">
                  <c:v>0.25</c:v>
                </c:pt>
                <c:pt idx="125">
                  <c:v>0.26</c:v>
                </c:pt>
                <c:pt idx="126">
                  <c:v>0.27</c:v>
                </c:pt>
                <c:pt idx="127">
                  <c:v>0.28000000000000003</c:v>
                </c:pt>
                <c:pt idx="128">
                  <c:v>0.28999999999999998</c:v>
                </c:pt>
                <c:pt idx="129">
                  <c:v>0.3</c:v>
                </c:pt>
                <c:pt idx="130">
                  <c:v>0.31</c:v>
                </c:pt>
                <c:pt idx="131">
                  <c:v>0.32</c:v>
                </c:pt>
                <c:pt idx="132">
                  <c:v>0.33</c:v>
                </c:pt>
                <c:pt idx="133">
                  <c:v>0.34</c:v>
                </c:pt>
                <c:pt idx="134">
                  <c:v>0.35</c:v>
                </c:pt>
                <c:pt idx="135">
                  <c:v>0.36</c:v>
                </c:pt>
                <c:pt idx="136">
                  <c:v>0.37</c:v>
                </c:pt>
                <c:pt idx="137">
                  <c:v>0.38</c:v>
                </c:pt>
                <c:pt idx="138">
                  <c:v>0.39</c:v>
                </c:pt>
                <c:pt idx="139">
                  <c:v>0.4</c:v>
                </c:pt>
                <c:pt idx="140">
                  <c:v>0.41</c:v>
                </c:pt>
                <c:pt idx="141">
                  <c:v>0.42</c:v>
                </c:pt>
                <c:pt idx="142">
                  <c:v>0.43</c:v>
                </c:pt>
                <c:pt idx="143">
                  <c:v>0.44</c:v>
                </c:pt>
                <c:pt idx="144">
                  <c:v>0.45</c:v>
                </c:pt>
                <c:pt idx="145">
                  <c:v>0.46</c:v>
                </c:pt>
                <c:pt idx="146">
                  <c:v>0.47</c:v>
                </c:pt>
                <c:pt idx="147">
                  <c:v>0.48</c:v>
                </c:pt>
                <c:pt idx="148">
                  <c:v>0.49</c:v>
                </c:pt>
                <c:pt idx="149">
                  <c:v>0.5</c:v>
                </c:pt>
                <c:pt idx="150">
                  <c:v>0.51</c:v>
                </c:pt>
                <c:pt idx="151">
                  <c:v>0.52</c:v>
                </c:pt>
                <c:pt idx="152">
                  <c:v>0.53</c:v>
                </c:pt>
                <c:pt idx="153">
                  <c:v>0.54</c:v>
                </c:pt>
                <c:pt idx="154">
                  <c:v>0.55000000000000004</c:v>
                </c:pt>
                <c:pt idx="155">
                  <c:v>0.56000000000000005</c:v>
                </c:pt>
                <c:pt idx="156">
                  <c:v>0.56999999999999995</c:v>
                </c:pt>
                <c:pt idx="157">
                  <c:v>0.57999999999999996</c:v>
                </c:pt>
                <c:pt idx="158">
                  <c:v>0.59</c:v>
                </c:pt>
                <c:pt idx="159">
                  <c:v>0.6</c:v>
                </c:pt>
                <c:pt idx="160">
                  <c:v>0.61</c:v>
                </c:pt>
                <c:pt idx="161">
                  <c:v>0.62</c:v>
                </c:pt>
                <c:pt idx="162">
                  <c:v>0.63</c:v>
                </c:pt>
                <c:pt idx="163">
                  <c:v>0.64</c:v>
                </c:pt>
                <c:pt idx="164">
                  <c:v>0.65</c:v>
                </c:pt>
                <c:pt idx="165">
                  <c:v>0.66</c:v>
                </c:pt>
                <c:pt idx="166">
                  <c:v>0.67</c:v>
                </c:pt>
                <c:pt idx="167">
                  <c:v>0.68</c:v>
                </c:pt>
                <c:pt idx="168">
                  <c:v>0.69</c:v>
                </c:pt>
                <c:pt idx="169">
                  <c:v>0.7</c:v>
                </c:pt>
                <c:pt idx="170">
                  <c:v>0.71</c:v>
                </c:pt>
                <c:pt idx="171">
                  <c:v>0.72</c:v>
                </c:pt>
                <c:pt idx="172">
                  <c:v>0.73</c:v>
                </c:pt>
                <c:pt idx="173">
                  <c:v>0.74</c:v>
                </c:pt>
                <c:pt idx="174">
                  <c:v>0.75</c:v>
                </c:pt>
                <c:pt idx="175">
                  <c:v>0.76</c:v>
                </c:pt>
                <c:pt idx="176">
                  <c:v>0.77</c:v>
                </c:pt>
                <c:pt idx="177">
                  <c:v>0.78</c:v>
                </c:pt>
                <c:pt idx="178">
                  <c:v>0.79</c:v>
                </c:pt>
                <c:pt idx="179">
                  <c:v>0.8</c:v>
                </c:pt>
                <c:pt idx="180">
                  <c:v>0.81</c:v>
                </c:pt>
                <c:pt idx="181">
                  <c:v>0.82</c:v>
                </c:pt>
                <c:pt idx="182">
                  <c:v>0.83</c:v>
                </c:pt>
                <c:pt idx="183">
                  <c:v>0.84</c:v>
                </c:pt>
                <c:pt idx="184">
                  <c:v>0.85</c:v>
                </c:pt>
                <c:pt idx="185">
                  <c:v>0.86</c:v>
                </c:pt>
                <c:pt idx="186">
                  <c:v>0.87</c:v>
                </c:pt>
                <c:pt idx="187">
                  <c:v>0.88</c:v>
                </c:pt>
                <c:pt idx="188">
                  <c:v>0.89</c:v>
                </c:pt>
                <c:pt idx="189">
                  <c:v>0.9</c:v>
                </c:pt>
                <c:pt idx="190">
                  <c:v>0.91</c:v>
                </c:pt>
                <c:pt idx="191">
                  <c:v>0.92</c:v>
                </c:pt>
                <c:pt idx="192">
                  <c:v>0.93</c:v>
                </c:pt>
                <c:pt idx="193">
                  <c:v>0.94</c:v>
                </c:pt>
                <c:pt idx="194">
                  <c:v>0.95</c:v>
                </c:pt>
                <c:pt idx="195">
                  <c:v>0.96</c:v>
                </c:pt>
                <c:pt idx="196">
                  <c:v>0.97</c:v>
                </c:pt>
                <c:pt idx="197">
                  <c:v>0.98</c:v>
                </c:pt>
                <c:pt idx="198">
                  <c:v>0.99</c:v>
                </c:pt>
                <c:pt idx="199">
                  <c:v>1</c:v>
                </c:pt>
                <c:pt idx="200">
                  <c:v>1.01</c:v>
                </c:pt>
                <c:pt idx="201">
                  <c:v>1.02</c:v>
                </c:pt>
                <c:pt idx="202">
                  <c:v>1.03</c:v>
                </c:pt>
                <c:pt idx="203">
                  <c:v>1.04</c:v>
                </c:pt>
                <c:pt idx="204">
                  <c:v>1.05</c:v>
                </c:pt>
                <c:pt idx="205">
                  <c:v>1.06</c:v>
                </c:pt>
                <c:pt idx="206">
                  <c:v>1.07</c:v>
                </c:pt>
                <c:pt idx="207">
                  <c:v>1.08</c:v>
                </c:pt>
                <c:pt idx="208">
                  <c:v>1.0900000000000001</c:v>
                </c:pt>
                <c:pt idx="209">
                  <c:v>1.1000000000000001</c:v>
                </c:pt>
                <c:pt idx="210">
                  <c:v>1.1100000000000001</c:v>
                </c:pt>
                <c:pt idx="211">
                  <c:v>1.1200000000000001</c:v>
                </c:pt>
                <c:pt idx="212">
                  <c:v>1.1299999999999999</c:v>
                </c:pt>
                <c:pt idx="213">
                  <c:v>1.1399999999999999</c:v>
                </c:pt>
                <c:pt idx="214">
                  <c:v>1.1499999999999999</c:v>
                </c:pt>
                <c:pt idx="215">
                  <c:v>1.1599999999999999</c:v>
                </c:pt>
                <c:pt idx="216">
                  <c:v>1.17</c:v>
                </c:pt>
                <c:pt idx="217">
                  <c:v>1.18</c:v>
                </c:pt>
                <c:pt idx="218">
                  <c:v>1.19</c:v>
                </c:pt>
                <c:pt idx="219">
                  <c:v>1.2</c:v>
                </c:pt>
                <c:pt idx="220">
                  <c:v>1.21</c:v>
                </c:pt>
                <c:pt idx="221">
                  <c:v>1.22</c:v>
                </c:pt>
                <c:pt idx="222">
                  <c:v>1.23</c:v>
                </c:pt>
                <c:pt idx="223">
                  <c:v>1.24</c:v>
                </c:pt>
                <c:pt idx="224">
                  <c:v>1.25</c:v>
                </c:pt>
                <c:pt idx="225">
                  <c:v>1.26</c:v>
                </c:pt>
                <c:pt idx="226">
                  <c:v>1.27</c:v>
                </c:pt>
                <c:pt idx="227">
                  <c:v>1.28</c:v>
                </c:pt>
                <c:pt idx="228">
                  <c:v>1.29</c:v>
                </c:pt>
                <c:pt idx="229">
                  <c:v>1.3</c:v>
                </c:pt>
                <c:pt idx="230">
                  <c:v>1.31</c:v>
                </c:pt>
                <c:pt idx="231">
                  <c:v>1.32</c:v>
                </c:pt>
                <c:pt idx="232">
                  <c:v>1.33</c:v>
                </c:pt>
                <c:pt idx="233">
                  <c:v>1.34</c:v>
                </c:pt>
                <c:pt idx="234">
                  <c:v>1.35</c:v>
                </c:pt>
                <c:pt idx="235">
                  <c:v>1.36</c:v>
                </c:pt>
                <c:pt idx="236">
                  <c:v>1.37</c:v>
                </c:pt>
                <c:pt idx="237">
                  <c:v>1.38</c:v>
                </c:pt>
                <c:pt idx="238">
                  <c:v>1.39</c:v>
                </c:pt>
                <c:pt idx="239">
                  <c:v>1.4</c:v>
                </c:pt>
                <c:pt idx="240">
                  <c:v>1.41</c:v>
                </c:pt>
                <c:pt idx="241">
                  <c:v>1.42</c:v>
                </c:pt>
                <c:pt idx="242">
                  <c:v>1.43</c:v>
                </c:pt>
                <c:pt idx="243">
                  <c:v>1.44</c:v>
                </c:pt>
                <c:pt idx="244">
                  <c:v>1.45</c:v>
                </c:pt>
                <c:pt idx="245">
                  <c:v>1.46</c:v>
                </c:pt>
                <c:pt idx="246">
                  <c:v>1.47</c:v>
                </c:pt>
                <c:pt idx="247">
                  <c:v>1.48</c:v>
                </c:pt>
                <c:pt idx="248">
                  <c:v>1.49</c:v>
                </c:pt>
                <c:pt idx="249">
                  <c:v>1.5</c:v>
                </c:pt>
                <c:pt idx="250">
                  <c:v>1.51</c:v>
                </c:pt>
                <c:pt idx="251">
                  <c:v>1.52</c:v>
                </c:pt>
                <c:pt idx="252">
                  <c:v>1.53</c:v>
                </c:pt>
                <c:pt idx="253">
                  <c:v>1.54</c:v>
                </c:pt>
                <c:pt idx="254">
                  <c:v>1.55</c:v>
                </c:pt>
                <c:pt idx="255">
                  <c:v>1.56</c:v>
                </c:pt>
                <c:pt idx="256">
                  <c:v>1.57</c:v>
                </c:pt>
                <c:pt idx="257">
                  <c:v>1.58</c:v>
                </c:pt>
                <c:pt idx="258">
                  <c:v>1.59</c:v>
                </c:pt>
                <c:pt idx="259">
                  <c:v>1.6</c:v>
                </c:pt>
                <c:pt idx="260">
                  <c:v>1.61</c:v>
                </c:pt>
                <c:pt idx="261">
                  <c:v>1.62</c:v>
                </c:pt>
                <c:pt idx="262">
                  <c:v>1.63</c:v>
                </c:pt>
                <c:pt idx="263">
                  <c:v>1.64</c:v>
                </c:pt>
                <c:pt idx="264">
                  <c:v>1.65</c:v>
                </c:pt>
                <c:pt idx="265">
                  <c:v>1.66</c:v>
                </c:pt>
                <c:pt idx="266">
                  <c:v>1.67</c:v>
                </c:pt>
                <c:pt idx="267">
                  <c:v>1.68</c:v>
                </c:pt>
                <c:pt idx="268">
                  <c:v>1.69</c:v>
                </c:pt>
                <c:pt idx="269">
                  <c:v>1.7</c:v>
                </c:pt>
                <c:pt idx="270">
                  <c:v>1.71</c:v>
                </c:pt>
                <c:pt idx="271">
                  <c:v>1.72</c:v>
                </c:pt>
                <c:pt idx="272">
                  <c:v>1.73</c:v>
                </c:pt>
                <c:pt idx="273">
                  <c:v>1.74</c:v>
                </c:pt>
                <c:pt idx="274">
                  <c:v>1.75</c:v>
                </c:pt>
                <c:pt idx="275">
                  <c:v>1.76</c:v>
                </c:pt>
                <c:pt idx="276">
                  <c:v>1.77</c:v>
                </c:pt>
                <c:pt idx="277">
                  <c:v>1.78</c:v>
                </c:pt>
                <c:pt idx="278">
                  <c:v>1.79</c:v>
                </c:pt>
                <c:pt idx="279">
                  <c:v>1.8</c:v>
                </c:pt>
                <c:pt idx="280">
                  <c:v>1.81</c:v>
                </c:pt>
                <c:pt idx="281">
                  <c:v>1.82</c:v>
                </c:pt>
                <c:pt idx="282">
                  <c:v>1.83</c:v>
                </c:pt>
                <c:pt idx="283">
                  <c:v>1.84</c:v>
                </c:pt>
                <c:pt idx="284">
                  <c:v>1.85</c:v>
                </c:pt>
                <c:pt idx="285">
                  <c:v>1.86</c:v>
                </c:pt>
                <c:pt idx="286">
                  <c:v>1.87</c:v>
                </c:pt>
                <c:pt idx="287">
                  <c:v>1.88</c:v>
                </c:pt>
                <c:pt idx="288">
                  <c:v>1.89</c:v>
                </c:pt>
                <c:pt idx="289">
                  <c:v>1.9</c:v>
                </c:pt>
                <c:pt idx="290">
                  <c:v>1.91</c:v>
                </c:pt>
                <c:pt idx="291">
                  <c:v>1.92</c:v>
                </c:pt>
                <c:pt idx="292">
                  <c:v>1.93</c:v>
                </c:pt>
                <c:pt idx="293">
                  <c:v>1.94</c:v>
                </c:pt>
                <c:pt idx="294">
                  <c:v>1.95</c:v>
                </c:pt>
                <c:pt idx="295">
                  <c:v>1.96</c:v>
                </c:pt>
                <c:pt idx="296">
                  <c:v>1.97</c:v>
                </c:pt>
                <c:pt idx="297">
                  <c:v>1.98</c:v>
                </c:pt>
                <c:pt idx="298">
                  <c:v>1.99</c:v>
                </c:pt>
                <c:pt idx="299">
                  <c:v>2</c:v>
                </c:pt>
                <c:pt idx="300">
                  <c:v>2.0099999999999998</c:v>
                </c:pt>
              </c:numCache>
            </c:numRef>
          </c:xVal>
          <c:yVal>
            <c:numRef>
              <c:f>NPV!$N$6:$N$306</c:f>
              <c:numCache>
                <c:formatCode>"$"#,##0.00_);[Red]\("$"#,##0.00\)</c:formatCode>
                <c:ptCount val="301"/>
                <c:pt idx="0">
                  <c:v>3.1749894337872915E+30</c:v>
                </c:pt>
                <c:pt idx="1">
                  <c:v>7.7875097725220296E+26</c:v>
                </c:pt>
                <c:pt idx="2">
                  <c:v>6.0298273167868965E+24</c:v>
                </c:pt>
                <c:pt idx="3">
                  <c:v>1.9187862291957551E+23</c:v>
                </c:pt>
                <c:pt idx="4">
                  <c:v>1.3245801510644297E+22</c:v>
                </c:pt>
                <c:pt idx="5">
                  <c:v>1.4923147083443059E+21</c:v>
                </c:pt>
                <c:pt idx="6">
                  <c:v>2.3574445001642348E+20</c:v>
                </c:pt>
                <c:pt idx="7">
                  <c:v>4.7694262810079461E+19</c:v>
                </c:pt>
                <c:pt idx="8">
                  <c:v>1.1655998752405139E+19</c:v>
                </c:pt>
                <c:pt idx="9">
                  <c:v>3.306426972402495E+18</c:v>
                </c:pt>
                <c:pt idx="10">
                  <c:v>1.0581125896744621E+18</c:v>
                </c:pt>
                <c:pt idx="11">
                  <c:v>3.7405917279359648E+17</c:v>
                </c:pt>
                <c:pt idx="12">
                  <c:v>1.4376473064675571E+17</c:v>
                </c:pt>
                <c:pt idx="13">
                  <c:v>5.9330750088321744E+16</c:v>
                </c:pt>
                <c:pt idx="14">
                  <c:v>2.6034631658790484E+16</c:v>
                </c:pt>
                <c:pt idx="15">
                  <c:v>1.2051022444570468E+16</c:v>
                </c:pt>
                <c:pt idx="16">
                  <c:v>5846297891196318</c:v>
                </c:pt>
                <c:pt idx="17">
                  <c:v>2956580905348949</c:v>
                </c:pt>
                <c:pt idx="18">
                  <c:v>1551659325800998.7</c:v>
                </c:pt>
                <c:pt idx="19">
                  <c:v>841875336575655.12</c:v>
                </c:pt>
                <c:pt idx="20">
                  <c:v>470688145982954.25</c:v>
                </c:pt>
                <c:pt idx="21">
                  <c:v>270420247534041.12</c:v>
                </c:pt>
                <c:pt idx="22">
                  <c:v>159262715300857.69</c:v>
                </c:pt>
                <c:pt idx="23">
                  <c:v>95949116833017.937</c:v>
                </c:pt>
                <c:pt idx="24">
                  <c:v>59022192729440.055</c:v>
                </c:pt>
                <c:pt idx="25">
                  <c:v>37010728315250.258</c:v>
                </c:pt>
                <c:pt idx="26">
                  <c:v>23623753019965.27</c:v>
                </c:pt>
                <c:pt idx="27">
                  <c:v>15329184751976.072</c:v>
                </c:pt>
                <c:pt idx="28">
                  <c:v>10100370591125.58</c:v>
                </c:pt>
                <c:pt idx="29">
                  <c:v>6750781791755.0361</c:v>
                </c:pt>
                <c:pt idx="30">
                  <c:v>4572611695915.7656</c:v>
                </c:pt>
                <c:pt idx="31">
                  <c:v>3136187169414.6631</c:v>
                </c:pt>
                <c:pt idx="32">
                  <c:v>2176381880683.0559</c:v>
                </c:pt>
                <c:pt idx="33">
                  <c:v>1527080431905.5781</c:v>
                </c:pt>
                <c:pt idx="34">
                  <c:v>1082697871443.9098</c:v>
                </c:pt>
                <c:pt idx="35">
                  <c:v>775210769296.25012</c:v>
                </c:pt>
                <c:pt idx="36">
                  <c:v>560233644305.59595</c:v>
                </c:pt>
                <c:pt idx="37">
                  <c:v>408454903956.10406</c:v>
                </c:pt>
                <c:pt idx="38">
                  <c:v>300296488672.35913</c:v>
                </c:pt>
                <c:pt idx="39">
                  <c:v>222540266667.49451</c:v>
                </c:pt>
                <c:pt idx="40">
                  <c:v>166170535307.57526</c:v>
                </c:pt>
                <c:pt idx="41">
                  <c:v>124978098537.25055</c:v>
                </c:pt>
                <c:pt idx="42">
                  <c:v>94647057780.796417</c:v>
                </c:pt>
                <c:pt idx="43">
                  <c:v>72151085845.416656</c:v>
                </c:pt>
                <c:pt idx="44">
                  <c:v>55350291933.928429</c:v>
                </c:pt>
                <c:pt idx="45">
                  <c:v>42719454154.74736</c:v>
                </c:pt>
                <c:pt idx="46">
                  <c:v>33163139141.643166</c:v>
                </c:pt>
                <c:pt idx="47">
                  <c:v>25888833727.776752</c:v>
                </c:pt>
                <c:pt idx="48">
                  <c:v>20319160175.898449</c:v>
                </c:pt>
                <c:pt idx="49">
                  <c:v>16030650445.228643</c:v>
                </c:pt>
                <c:pt idx="50">
                  <c:v>12710718030.549143</c:v>
                </c:pt>
                <c:pt idx="51">
                  <c:v>10127197275.451551</c:v>
                </c:pt>
                <c:pt idx="52">
                  <c:v>8106628006.1039772</c:v>
                </c:pt>
                <c:pt idx="53">
                  <c:v>6518670227.4272394</c:v>
                </c:pt>
                <c:pt idx="54">
                  <c:v>5264845865.8425493</c:v>
                </c:pt>
                <c:pt idx="55">
                  <c:v>4270355468.9727726</c:v>
                </c:pt>
                <c:pt idx="56">
                  <c:v>3478094270.1251984</c:v>
                </c:pt>
                <c:pt idx="57">
                  <c:v>2844251185.2076325</c:v>
                </c:pt>
                <c:pt idx="58">
                  <c:v>2335053945.8359785</c:v>
                </c:pt>
                <c:pt idx="59">
                  <c:v>1924348923.9217958</c:v>
                </c:pt>
                <c:pt idx="60">
                  <c:v>1591792241.2672319</c:v>
                </c:pt>
                <c:pt idx="61">
                  <c:v>1321490976.2717698</c:v>
                </c:pt>
                <c:pt idx="62">
                  <c:v>1100977516.4983571</c:v>
                </c:pt>
                <c:pt idx="63">
                  <c:v>920431740.92409134</c:v>
                </c:pt>
                <c:pt idx="64">
                  <c:v>772088466.46501553</c:v>
                </c:pt>
                <c:pt idx="65">
                  <c:v>649784044.02556336</c:v>
                </c:pt>
                <c:pt idx="66">
                  <c:v>548607947.22069442</c:v>
                </c:pt>
                <c:pt idx="67">
                  <c:v>464633933.42751396</c:v>
                </c:pt>
                <c:pt idx="68">
                  <c:v>394711771.33462751</c:v>
                </c:pt>
                <c:pt idx="69">
                  <c:v>336305261.38916552</c:v>
                </c:pt>
                <c:pt idx="70">
                  <c:v>287365782.91783667</c:v>
                </c:pt>
                <c:pt idx="71">
                  <c:v>246233212.97438708</c:v>
                </c:pt>
                <c:pt idx="72">
                  <c:v>211558014.59579587</c:v>
                </c:pt>
                <c:pt idx="73">
                  <c:v>182239758.47087127</c:v>
                </c:pt>
                <c:pt idx="74">
                  <c:v>157378447.70131797</c:v>
                </c:pt>
                <c:pt idx="75">
                  <c:v>136235852.41452789</c:v>
                </c:pt>
                <c:pt idx="76">
                  <c:v>118204697.19168746</c:v>
                </c:pt>
                <c:pt idx="77">
                  <c:v>102784029.64419952</c:v>
                </c:pt>
                <c:pt idx="78">
                  <c:v>89559470.13476415</c:v>
                </c:pt>
                <c:pt idx="79">
                  <c:v>78187328.258001566</c:v>
                </c:pt>
                <c:pt idx="80">
                  <c:v>68381791.958634242</c:v>
                </c:pt>
                <c:pt idx="81">
                  <c:v>59904565.607418865</c:v>
                </c:pt>
                <c:pt idx="82">
                  <c:v>52556465.683911987</c:v>
                </c:pt>
                <c:pt idx="83">
                  <c:v>46170585.786712371</c:v>
                </c:pt>
                <c:pt idx="84">
                  <c:v>40606723.228702448</c:v>
                </c:pt>
                <c:pt idx="85">
                  <c:v>35746822.598087519</c:v>
                </c:pt>
                <c:pt idx="86">
                  <c:v>31491241.289926413</c:v>
                </c:pt>
                <c:pt idx="87">
                  <c:v>27755681.139087722</c:v>
                </c:pt>
                <c:pt idx="88">
                  <c:v>24468661.223520771</c:v>
                </c:pt>
                <c:pt idx="89">
                  <c:v>21569431.438721705</c:v>
                </c:pt>
                <c:pt idx="90">
                  <c:v>19006245.950092424</c:v>
                </c:pt>
                <c:pt idx="91">
                  <c:v>16734931.180920478</c:v>
                </c:pt>
                <c:pt idx="92">
                  <c:v>14717695.424312929</c:v>
                </c:pt>
                <c:pt idx="93">
                  <c:v>12922137.12923873</c:v>
                </c:pt>
                <c:pt idx="94">
                  <c:v>11320416.914240705</c:v>
                </c:pt>
                <c:pt idx="95">
                  <c:v>9888564.8081909493</c:v>
                </c:pt>
                <c:pt idx="96">
                  <c:v>8605899.4213141557</c:v>
                </c:pt>
                <c:pt idx="97">
                  <c:v>7454539.9608015008</c:v>
                </c:pt>
                <c:pt idx="98">
                  <c:v>6418995.4209447745</c:v>
                </c:pt>
                <c:pt idx="99">
                  <c:v>5485818.0543843219</c:v>
                </c:pt>
                <c:pt idx="100">
                  <c:v>4643310.4933187431</c:v>
                </c:pt>
                <c:pt idx="101">
                  <c:v>3881277.7366864095</c:v>
                </c:pt>
                <c:pt idx="102">
                  <c:v>3190816.7307760827</c:v>
                </c:pt>
                <c:pt idx="103">
                  <c:v>2564137.5100731552</c:v>
                </c:pt>
                <c:pt idx="104">
                  <c:v>1994410.8834638176</c:v>
                </c:pt>
                <c:pt idx="105">
                  <c:v>1475638.4893180251</c:v>
                </c:pt>
                <c:pt idx="106">
                  <c:v>1002541.7346076389</c:v>
                </c:pt>
                <c:pt idx="107">
                  <c:v>570466.70489142451</c:v>
                </c:pt>
                <c:pt idx="108">
                  <c:v>175302.60542449774</c:v>
                </c:pt>
                <c:pt idx="109">
                  <c:v>-186588.31355104878</c:v>
                </c:pt>
                <c:pt idx="110">
                  <c:v>-518431.06777134654</c:v>
                </c:pt>
                <c:pt idx="111">
                  <c:v>-823089.93471363257</c:v>
                </c:pt>
                <c:pt idx="112">
                  <c:v>-1103113.3558755571</c:v>
                </c:pt>
                <c:pt idx="113">
                  <c:v>-1360772.7777338144</c:v>
                </c:pt>
                <c:pt idx="114">
                  <c:v>-1598096.304859045</c:v>
                </c:pt>
                <c:pt idx="115">
                  <c:v>-1816897.9055945065</c:v>
                </c:pt>
                <c:pt idx="116">
                  <c:v>-2018802.7989293709</c:v>
                </c:pt>
                <c:pt idx="117">
                  <c:v>-2205269.5571529367</c:v>
                </c:pt>
                <c:pt idx="118">
                  <c:v>-2377609.3796198959</c:v>
                </c:pt>
                <c:pt idx="119">
                  <c:v>-2537002.9260576908</c:v>
                </c:pt>
                <c:pt idx="120">
                  <c:v>-2684515.0412881118</c:v>
                </c:pt>
                <c:pt idx="121">
                  <c:v>-2821107.6553441887</c:v>
                </c:pt>
                <c:pt idx="122">
                  <c:v>-2947651.1023491533</c:v>
                </c:pt>
                <c:pt idx="123">
                  <c:v>-3064934.0670287837</c:v>
                </c:pt>
                <c:pt idx="124">
                  <c:v>-3173672.3383862758</c:v>
                </c:pt>
                <c:pt idx="125">
                  <c:v>-3274516.5250727502</c:v>
                </c:pt>
                <c:pt idx="126">
                  <c:v>-3368058.8656621538</c:v>
                </c:pt>
                <c:pt idx="127">
                  <c:v>-3454839.2488208655</c:v>
                </c:pt>
                <c:pt idx="128">
                  <c:v>-3535350.5427751653</c:v>
                </c:pt>
                <c:pt idx="129">
                  <c:v>-3610043.3201252855</c:v>
                </c:pt>
                <c:pt idx="130">
                  <c:v>-3679330.0525970245</c:v>
                </c:pt>
                <c:pt idx="131">
                  <c:v>-3743588.8404782689</c:v>
                </c:pt>
                <c:pt idx="132">
                  <c:v>-3803166.7330189934</c:v>
                </c:pt>
                <c:pt idx="133">
                  <c:v>-3858382.6887779408</c:v>
                </c:pt>
                <c:pt idx="134">
                  <c:v>-3909530.2186059672</c:v>
                </c:pt>
                <c:pt idx="135">
                  <c:v>-3956879.7485204213</c:v>
                </c:pt>
                <c:pt idx="136">
                  <c:v>-4000680.7350236252</c:v>
                </c:pt>
                <c:pt idx="137">
                  <c:v>-4041163.5613474646</c:v>
                </c:pt>
                <c:pt idx="138">
                  <c:v>-4078541.2395759695</c:v>
                </c:pt>
                <c:pt idx="139">
                  <c:v>-4113010.9405329302</c:v>
                </c:pt>
                <c:pt idx="140">
                  <c:v>-4144755.3706575767</c:v>
                </c:pt>
                <c:pt idx="141">
                  <c:v>-4173944.012772392</c:v>
                </c:pt>
                <c:pt idx="142">
                  <c:v>-4200734.2456267243</c:v>
                </c:pt>
                <c:pt idx="143">
                  <c:v>-4225272.3553367099</c:v>
                </c:pt>
                <c:pt idx="144">
                  <c:v>-4247694.4503021045</c:v>
                </c:pt>
                <c:pt idx="145">
                  <c:v>-4268127.2898336761</c:v>
                </c:pt>
                <c:pt idx="146">
                  <c:v>-4286689.0355454674</c:v>
                </c:pt>
                <c:pt idx="147">
                  <c:v>-4303489.9335323032</c:v>
                </c:pt>
                <c:pt idx="148">
                  <c:v>-4318632.9344455386</c:v>
                </c:pt>
                <c:pt idx="149">
                  <c:v>-4332214.2577826129</c:v>
                </c:pt>
                <c:pt idx="150">
                  <c:v>-4344323.9060046012</c:v>
                </c:pt>
                <c:pt idx="151">
                  <c:v>-4355046.1334781442</c:v>
                </c:pt>
                <c:pt idx="152">
                  <c:v>-4364459.8746934645</c:v>
                </c:pt>
                <c:pt idx="153">
                  <c:v>-4372639.1357294014</c:v>
                </c:pt>
                <c:pt idx="154">
                  <c:v>-4379653.3525115158</c:v>
                </c:pt>
                <c:pt idx="155">
                  <c:v>-4385567.7190334359</c:v>
                </c:pt>
                <c:pt idx="156">
                  <c:v>-4390443.4883788377</c:v>
                </c:pt>
                <c:pt idx="157">
                  <c:v>-4394338.2490862068</c:v>
                </c:pt>
                <c:pt idx="158">
                  <c:v>-4397306.1791367093</c:v>
                </c:pt>
                <c:pt idx="159">
                  <c:v>-4399398.2796127144</c:v>
                </c:pt>
                <c:pt idx="160">
                  <c:v>-4400662.5898675416</c:v>
                </c:pt>
                <c:pt idx="161">
                  <c:v>-4401144.3858626913</c:v>
                </c:pt>
                <c:pt idx="162">
                  <c:v>-4400886.3631645413</c:v>
                </c:pt>
                <c:pt idx="163">
                  <c:v>-4399928.8059459301</c:v>
                </c:pt>
                <c:pt idx="164">
                  <c:v>-4398309.743207111</c:v>
                </c:pt>
                <c:pt idx="165">
                  <c:v>-4396065.0933135664</c:v>
                </c:pt>
                <c:pt idx="166">
                  <c:v>-4393228.7978432914</c:v>
                </c:pt>
                <c:pt idx="167">
                  <c:v>-4389832.9456424965</c:v>
                </c:pt>
                <c:pt idx="168">
                  <c:v>-4385907.8879043199</c:v>
                </c:pt>
                <c:pt idx="169">
                  <c:v>-4381482.3450096902</c:v>
                </c:pt>
                <c:pt idx="170">
                  <c:v>-4376583.5058015836</c:v>
                </c:pt>
                <c:pt idx="171">
                  <c:v>-4371237.1199028241</c:v>
                </c:pt>
                <c:pt idx="172">
                  <c:v>-4365467.5836325921</c:v>
                </c:pt>
                <c:pt idx="173">
                  <c:v>-4359298.0200273348</c:v>
                </c:pt>
                <c:pt idx="174">
                  <c:v>-4352750.3534269361</c:v>
                </c:pt>
                <c:pt idx="175">
                  <c:v>-4345845.3790468154</c:v>
                </c:pt>
                <c:pt idx="176">
                  <c:v>-4338602.8279200243</c:v>
                </c:pt>
                <c:pt idx="177">
                  <c:v>-4331041.427560498</c:v>
                </c:pt>
                <c:pt idx="178">
                  <c:v>-4323178.9586687014</c:v>
                </c:pt>
                <c:pt idx="179">
                  <c:v>-4315032.3081738725</c:v>
                </c:pt>
                <c:pt idx="180">
                  <c:v>-4306617.518882486</c:v>
                </c:pt>
                <c:pt idx="181">
                  <c:v>-4297949.8359802878</c:v>
                </c:pt>
                <c:pt idx="182">
                  <c:v>-4289043.750614984</c:v>
                </c:pt>
                <c:pt idx="183">
                  <c:v>-4279913.0407682313</c:v>
                </c:pt>
                <c:pt idx="184">
                  <c:v>-4270570.8096088469</c:v>
                </c:pt>
                <c:pt idx="185">
                  <c:v>-4261029.5215038192</c:v>
                </c:pt>
                <c:pt idx="186">
                  <c:v>-4251301.0358498115</c:v>
                </c:pt>
                <c:pt idx="187">
                  <c:v>-4241396.6388751371</c:v>
                </c:pt>
                <c:pt idx="188">
                  <c:v>-4231327.0735505298</c:v>
                </c:pt>
                <c:pt idx="189">
                  <c:v>-4221102.567736472</c:v>
                </c:pt>
                <c:pt idx="190">
                  <c:v>-4210732.8606850868</c:v>
                </c:pt>
                <c:pt idx="191">
                  <c:v>-4200227.2280057259</c:v>
                </c:pt>
                <c:pt idx="192">
                  <c:v>-4189594.5051952722</c:v>
                </c:pt>
                <c:pt idx="193">
                  <c:v>-4178843.1098266048</c:v>
                </c:pt>
                <c:pt idx="194">
                  <c:v>-4167981.0624819454</c:v>
                </c:pt>
                <c:pt idx="195">
                  <c:v>-4157016.0065113986</c:v>
                </c:pt>
                <c:pt idx="196">
                  <c:v>-4145955.2266912744</c:v>
                </c:pt>
                <c:pt idx="197">
                  <c:v>-4134805.666851419</c:v>
                </c:pt>
                <c:pt idx="198">
                  <c:v>-4123573.9465359026</c:v>
                </c:pt>
                <c:pt idx="199">
                  <c:v>-4112266.3767568828</c:v>
                </c:pt>
                <c:pt idx="200">
                  <c:v>-4100888.9748972985</c:v>
                </c:pt>
                <c:pt idx="201">
                  <c:v>-4089447.4788142261</c:v>
                </c:pt>
                <c:pt idx="202">
                  <c:v>-4077947.3601911394</c:v>
                </c:pt>
                <c:pt idx="203">
                  <c:v>-4066393.8371841256</c:v>
                </c:pt>
                <c:pt idx="204">
                  <c:v>-4054791.8864039592</c:v>
                </c:pt>
                <c:pt idx="205">
                  <c:v>-4043146.2542732568</c:v>
                </c:pt>
                <c:pt idx="206">
                  <c:v>-4031461.467795277</c:v>
                </c:pt>
                <c:pt idx="207">
                  <c:v>-4019741.844768506</c:v>
                </c:pt>
                <c:pt idx="208">
                  <c:v>-4007991.5034790207</c:v>
                </c:pt>
                <c:pt idx="209">
                  <c:v>-3996214.3719004942</c:v>
                </c:pt>
                <c:pt idx="210">
                  <c:v>-3984414.1964298082</c:v>
                </c:pt>
                <c:pt idx="211">
                  <c:v>-3972594.5501844636</c:v>
                </c:pt>
                <c:pt idx="212">
                  <c:v>-3960758.8408863358</c:v>
                </c:pt>
                <c:pt idx="213">
                  <c:v>-3948910.3183547528</c:v>
                </c:pt>
                <c:pt idx="214">
                  <c:v>-3937052.0816304763</c:v>
                </c:pt>
                <c:pt idx="215">
                  <c:v>-3925187.0857508392</c:v>
                </c:pt>
                <c:pt idx="216">
                  <c:v>-3913318.1481949943</c:v>
                </c:pt>
                <c:pt idx="217">
                  <c:v>-3901447.9550171741</c:v>
                </c:pt>
                <c:pt idx="218">
                  <c:v>-3889579.0666846782</c:v>
                </c:pt>
                <c:pt idx="219">
                  <c:v>-3877713.9236363666</c:v>
                </c:pt>
                <c:pt idx="220">
                  <c:v>-3865854.8515765108</c:v>
                </c:pt>
                <c:pt idx="221">
                  <c:v>-3854004.0665179016</c:v>
                </c:pt>
                <c:pt idx="222">
                  <c:v>-3842163.679587381</c:v>
                </c:pt>
                <c:pt idx="223">
                  <c:v>-3830335.7016061363</c:v>
                </c:pt>
                <c:pt idx="224">
                  <c:v>-3818522.0474564359</c:v>
                </c:pt>
                <c:pt idx="225">
                  <c:v>-3806724.5402457593</c:v>
                </c:pt>
                <c:pt idx="226">
                  <c:v>-3794944.9152786778</c:v>
                </c:pt>
                <c:pt idx="227">
                  <c:v>-3783184.8238462764</c:v>
                </c:pt>
                <c:pt idx="228">
                  <c:v>-3771445.8368422925</c:v>
                </c:pt>
                <c:pt idx="229">
                  <c:v>-3759729.4482147153</c:v>
                </c:pt>
                <c:pt idx="230">
                  <c:v>-3748037.0782610085</c:v>
                </c:pt>
                <c:pt idx="231">
                  <c:v>-3736370.0767747732</c:v>
                </c:pt>
                <c:pt idx="232">
                  <c:v>-3724729.7260511643</c:v>
                </c:pt>
                <c:pt idx="233">
                  <c:v>-3713117.2437579595</c:v>
                </c:pt>
                <c:pt idx="234">
                  <c:v>-3701533.7856789068</c:v>
                </c:pt>
                <c:pt idx="235">
                  <c:v>-3689980.4483355018</c:v>
                </c:pt>
                <c:pt idx="236">
                  <c:v>-3678458.2714930978</c:v>
                </c:pt>
                <c:pt idx="237">
                  <c:v>-3666968.2405568827</c:v>
                </c:pt>
                <c:pt idx="238">
                  <c:v>-3655511.2888630172</c:v>
                </c:pt>
                <c:pt idx="239">
                  <c:v>-3644088.2998698945</c:v>
                </c:pt>
                <c:pt idx="240">
                  <c:v>-3632700.1092542703</c:v>
                </c:pt>
                <c:pt idx="241">
                  <c:v>-3621347.5069167311</c:v>
                </c:pt>
                <c:pt idx="242">
                  <c:v>-3610031.2389007462</c:v>
                </c:pt>
                <c:pt idx="243">
                  <c:v>-3598752.0092293522</c:v>
                </c:pt>
                <c:pt idx="244">
                  <c:v>-3587510.4816632713</c:v>
                </c:pt>
                <c:pt idx="245">
                  <c:v>-3576307.2813840979</c:v>
                </c:pt>
                <c:pt idx="246">
                  <c:v>-3565142.9966060328</c:v>
                </c:pt>
                <c:pt idx="247">
                  <c:v>-3554018.1801193538</c:v>
                </c:pt>
                <c:pt idx="248">
                  <c:v>-3542933.350768846</c:v>
                </c:pt>
                <c:pt idx="249">
                  <c:v>-3531888.9948700257</c:v>
                </c:pt>
                <c:pt idx="250">
                  <c:v>-3520885.5675660581</c:v>
                </c:pt>
                <c:pt idx="251">
                  <c:v>-3509923.4941279883</c:v>
                </c:pt>
                <c:pt idx="252">
                  <c:v>-3499003.1712008212</c:v>
                </c:pt>
                <c:pt idx="253">
                  <c:v>-3488124.9679978974</c:v>
                </c:pt>
                <c:pt idx="254">
                  <c:v>-3477289.2274458203</c:v>
                </c:pt>
                <c:pt idx="255">
                  <c:v>-3466496.2672821465</c:v>
                </c:pt>
                <c:pt idx="256">
                  <c:v>-3455746.3811079115</c:v>
                </c:pt>
                <c:pt idx="257">
                  <c:v>-3445039.8393969592</c:v>
                </c:pt>
                <c:pt idx="258">
                  <c:v>-3434376.8904639869</c:v>
                </c:pt>
                <c:pt idx="259">
                  <c:v>-3423757.7613930688</c:v>
                </c:pt>
                <c:pt idx="260">
                  <c:v>-3413182.658928399</c:v>
                </c:pt>
                <c:pt idx="261">
                  <c:v>-3402651.7703288612</c:v>
                </c:pt>
                <c:pt idx="262">
                  <c:v>-3392165.2641880019</c:v>
                </c:pt>
                <c:pt idx="263">
                  <c:v>-3381723.2912208661</c:v>
                </c:pt>
                <c:pt idx="264">
                  <c:v>-3371325.9850191297</c:v>
                </c:pt>
                <c:pt idx="265">
                  <c:v>-3360973.462775853</c:v>
                </c:pt>
                <c:pt idx="266">
                  <c:v>-3350665.8259811751</c:v>
                </c:pt>
                <c:pt idx="267">
                  <c:v>-3340403.1610901463</c:v>
                </c:pt>
                <c:pt idx="268">
                  <c:v>-3330185.5401638579</c:v>
                </c:pt>
                <c:pt idx="269">
                  <c:v>-3320013.021485067</c:v>
                </c:pt>
                <c:pt idx="270">
                  <c:v>-3309885.6501492532</c:v>
                </c:pt>
                <c:pt idx="271">
                  <c:v>-3299803.458632262</c:v>
                </c:pt>
                <c:pt idx="272">
                  <c:v>-3289766.4673354067</c:v>
                </c:pt>
                <c:pt idx="273">
                  <c:v>-3279774.6851090202</c:v>
                </c:pt>
                <c:pt idx="274">
                  <c:v>-3269828.1097553107</c:v>
                </c:pt>
                <c:pt idx="275">
                  <c:v>-3259926.728511394</c:v>
                </c:pt>
                <c:pt idx="276">
                  <c:v>-3250070.5185132949</c:v>
                </c:pt>
                <c:pt idx="277">
                  <c:v>-3240259.4472417189</c:v>
                </c:pt>
                <c:pt idx="278">
                  <c:v>-3230493.472950296</c:v>
                </c:pt>
                <c:pt idx="279">
                  <c:v>-3220772.5450770645</c:v>
                </c:pt>
                <c:pt idx="280">
                  <c:v>-3211096.6046398133</c:v>
                </c:pt>
                <c:pt idx="281">
                  <c:v>-3201465.5846159742</c:v>
                </c:pt>
                <c:pt idx="282">
                  <c:v>-3191879.4103076751</c:v>
                </c:pt>
                <c:pt idx="283">
                  <c:v>-3182337.9996925304</c:v>
                </c:pt>
                <c:pt idx="284">
                  <c:v>-3172841.2637607767</c:v>
                </c:pt>
                <c:pt idx="285">
                  <c:v>-3163389.1068392573</c:v>
                </c:pt>
                <c:pt idx="286">
                  <c:v>-3153981.4269028059</c:v>
                </c:pt>
                <c:pt idx="287">
                  <c:v>-3144618.1158735184</c:v>
                </c:pt>
                <c:pt idx="288">
                  <c:v>-3135299.0599083961</c:v>
                </c:pt>
                <c:pt idx="289">
                  <c:v>-3126024.1396758063</c:v>
                </c:pt>
                <c:pt idx="290">
                  <c:v>-3116793.2306212271</c:v>
                </c:pt>
                <c:pt idx="291">
                  <c:v>-3107606.2032226711</c:v>
                </c:pt>
                <c:pt idx="292">
                  <c:v>-3098462.9232361889</c:v>
                </c:pt>
                <c:pt idx="293">
                  <c:v>-3089363.2519318778</c:v>
                </c:pt>
                <c:pt idx="294">
                  <c:v>-3080307.0463207187</c:v>
                </c:pt>
                <c:pt idx="295">
                  <c:v>-3071294.1593726249</c:v>
                </c:pt>
                <c:pt idx="296">
                  <c:v>-3062324.4402260436</c:v>
                </c:pt>
                <c:pt idx="297">
                  <c:v>-3053397.7343894127</c:v>
                </c:pt>
                <c:pt idx="298">
                  <c:v>-3044513.8839348303</c:v>
                </c:pt>
                <c:pt idx="299">
                  <c:v>-3035672.7276841849</c:v>
                </c:pt>
                <c:pt idx="300">
                  <c:v>-3026874.101388087</c:v>
                </c:pt>
              </c:numCache>
            </c:numRef>
          </c:yVal>
          <c:smooth val="1"/>
        </c:ser>
        <c:axId val="94393088"/>
        <c:axId val="94395008"/>
      </c:scatterChart>
      <c:valAx>
        <c:axId val="94393088"/>
        <c:scaling>
          <c:orientation val="minMax"/>
        </c:scaling>
        <c:axPos val="b"/>
        <c:numFmt formatCode="General" sourceLinked="1"/>
        <c:tickLblPos val="nextTo"/>
        <c:crossAx val="94395008"/>
        <c:crosses val="autoZero"/>
        <c:crossBetween val="midCat"/>
      </c:valAx>
      <c:valAx>
        <c:axId val="94395008"/>
        <c:scaling>
          <c:orientation val="minMax"/>
          <c:max val="500000"/>
          <c:min val="-50000"/>
        </c:scaling>
        <c:axPos val="l"/>
        <c:majorGridlines/>
        <c:numFmt formatCode="&quot;$&quot;#,##0.00_);[Red]\(&quot;$&quot;#,##0.00\)" sourceLinked="1"/>
        <c:tickLblPos val="nextTo"/>
        <c:crossAx val="94393088"/>
        <c:crosses val="autoZero"/>
        <c:crossBetween val="midCat"/>
      </c:valAx>
    </c:plotArea>
    <c:legend>
      <c:legendPos val="r"/>
    </c:legend>
    <c:plotVisOnly val="1"/>
  </c:chart>
  <c:printSettings>
    <c:headerFooter/>
    <c:pageMargins b="0.75000000000000056" l="0.70000000000000051" r="0.70000000000000051" t="0.75000000000000056" header="0.30000000000000027" footer="0.30000000000000027"/>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1209674</xdr:colOff>
      <xdr:row>253</xdr:row>
      <xdr:rowOff>66676</xdr:rowOff>
    </xdr:from>
    <xdr:to>
      <xdr:col>10</xdr:col>
      <xdr:colOff>1866900</xdr:colOff>
      <xdr:row>294</xdr:row>
      <xdr:rowOff>38100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Sheet1"/>
  <dimension ref="A1:Q264"/>
  <sheetViews>
    <sheetView topLeftCell="A72" zoomScaleNormal="100" workbookViewId="0">
      <selection activeCell="A76" sqref="A76"/>
    </sheetView>
  </sheetViews>
  <sheetFormatPr defaultRowHeight="12.75"/>
  <cols>
    <col min="1" max="1" width="46" style="37" customWidth="1"/>
    <col min="2" max="2" width="15.28515625" style="37" customWidth="1"/>
    <col min="3" max="3" width="14.85546875" style="37" customWidth="1"/>
    <col min="4" max="4" width="18.7109375" style="37" customWidth="1"/>
    <col min="5" max="5" width="20.42578125" style="37" customWidth="1"/>
    <col min="6" max="6" width="14.28515625" style="37" customWidth="1"/>
    <col min="7" max="7" width="13.7109375" style="37" customWidth="1"/>
    <col min="8" max="8" width="22" style="37" customWidth="1"/>
    <col min="9" max="9" width="29.140625" style="37" customWidth="1"/>
    <col min="10" max="10" width="15.42578125" style="37" customWidth="1"/>
    <col min="11" max="11" width="16.140625" style="37" customWidth="1"/>
    <col min="12" max="250" width="13.7109375" style="37" customWidth="1"/>
    <col min="251" max="16384" width="9.140625" style="37"/>
  </cols>
  <sheetData>
    <row r="1" spans="1:17" ht="21">
      <c r="A1" s="34" t="s">
        <v>24</v>
      </c>
      <c r="B1" s="35"/>
      <c r="C1" s="35"/>
      <c r="D1" s="35"/>
      <c r="E1" s="35"/>
      <c r="F1" s="35"/>
      <c r="G1" s="35"/>
      <c r="H1" s="35"/>
      <c r="I1" s="35"/>
      <c r="J1" s="35"/>
      <c r="K1" s="35"/>
      <c r="L1" s="35"/>
      <c r="M1" s="35"/>
      <c r="N1" s="35"/>
      <c r="O1" s="36"/>
    </row>
    <row r="2" spans="1:17">
      <c r="A2" s="281" t="s">
        <v>23</v>
      </c>
      <c r="B2" s="282"/>
      <c r="C2" s="40"/>
      <c r="D2" s="281" t="s">
        <v>301</v>
      </c>
      <c r="E2" s="282"/>
      <c r="F2" s="40"/>
      <c r="G2" s="40"/>
      <c r="H2" s="281" t="s">
        <v>20</v>
      </c>
      <c r="I2" s="283"/>
      <c r="J2" s="284"/>
      <c r="K2" s="40"/>
      <c r="L2" s="285" t="s">
        <v>325</v>
      </c>
      <c r="M2" s="286"/>
      <c r="N2" s="42"/>
      <c r="O2" s="287"/>
      <c r="Q2" s="42"/>
    </row>
    <row r="3" spans="1:17">
      <c r="A3" s="43" t="s">
        <v>347</v>
      </c>
      <c r="B3" s="44"/>
      <c r="C3" s="40"/>
      <c r="D3" s="45" t="s">
        <v>296</v>
      </c>
      <c r="E3" s="46"/>
      <c r="F3" s="40"/>
      <c r="G3" s="40"/>
      <c r="H3" s="43" t="s">
        <v>21</v>
      </c>
      <c r="I3" s="40"/>
      <c r="J3" s="47">
        <v>0.35</v>
      </c>
      <c r="K3" s="40"/>
      <c r="L3" s="48" t="s">
        <v>326</v>
      </c>
      <c r="M3" s="48" t="s">
        <v>327</v>
      </c>
      <c r="N3" s="280"/>
      <c r="O3" s="288"/>
      <c r="Q3" s="42"/>
    </row>
    <row r="4" spans="1:17">
      <c r="A4" s="49" t="s">
        <v>341</v>
      </c>
      <c r="B4" s="50">
        <v>24000000</v>
      </c>
      <c r="C4" s="40"/>
      <c r="D4" s="51" t="s">
        <v>295</v>
      </c>
      <c r="E4" s="52"/>
      <c r="F4" s="40"/>
      <c r="G4" s="40"/>
      <c r="H4" s="43" t="s">
        <v>137</v>
      </c>
      <c r="I4" s="40"/>
      <c r="J4" s="47">
        <v>5.5E-2</v>
      </c>
      <c r="K4" s="40"/>
      <c r="L4" s="191">
        <v>1</v>
      </c>
      <c r="M4" s="302">
        <v>17000000</v>
      </c>
      <c r="O4" s="44"/>
      <c r="Q4" s="42"/>
    </row>
    <row r="5" spans="1:17">
      <c r="A5" s="49" t="s">
        <v>342</v>
      </c>
      <c r="B5" s="50">
        <v>8000000</v>
      </c>
      <c r="C5" s="40"/>
      <c r="D5" s="40"/>
      <c r="E5" s="40"/>
      <c r="F5" s="40"/>
      <c r="G5" s="40"/>
      <c r="H5" s="55" t="s">
        <v>22</v>
      </c>
      <c r="I5" s="42"/>
      <c r="J5" s="44"/>
      <c r="K5" s="40"/>
      <c r="L5" s="191">
        <f t="shared" ref="L5:L23" si="0">L4+1</f>
        <v>2</v>
      </c>
      <c r="M5" s="302">
        <f>M4*0.995</f>
        <v>16915000</v>
      </c>
      <c r="O5" s="44"/>
      <c r="Q5" s="42"/>
    </row>
    <row r="6" spans="1:17">
      <c r="A6" s="49" t="s">
        <v>343</v>
      </c>
      <c r="B6" s="56">
        <v>3500000</v>
      </c>
      <c r="C6" s="40"/>
      <c r="D6" s="38" t="s">
        <v>12</v>
      </c>
      <c r="E6" s="41"/>
      <c r="F6" s="39"/>
      <c r="G6" s="40"/>
      <c r="H6" s="57" t="s">
        <v>361</v>
      </c>
      <c r="I6" s="40"/>
      <c r="J6" s="58">
        <f>PreFinancingInstalledCostTotal</f>
        <v>40227150</v>
      </c>
      <c r="K6" s="40"/>
      <c r="L6" s="191">
        <f t="shared" si="0"/>
        <v>3</v>
      </c>
      <c r="M6" s="302">
        <f t="shared" ref="M6:M43" si="1">M5*0.995</f>
        <v>16830425</v>
      </c>
      <c r="O6" s="44"/>
      <c r="Q6" s="42"/>
    </row>
    <row r="7" spans="1:17">
      <c r="A7" s="59" t="s">
        <v>345</v>
      </c>
      <c r="B7" s="60">
        <f>GenerationEquipment+BOP+NetworkUpgrades</f>
        <v>35500000</v>
      </c>
      <c r="C7" s="40"/>
      <c r="D7" s="43" t="s">
        <v>13</v>
      </c>
      <c r="E7" s="40"/>
      <c r="F7" s="61">
        <v>10000</v>
      </c>
      <c r="G7" s="40"/>
      <c r="H7" s="57" t="s">
        <v>320</v>
      </c>
      <c r="I7" s="40"/>
      <c r="J7" s="62">
        <v>0.95</v>
      </c>
      <c r="K7" s="40"/>
      <c r="L7" s="191">
        <f t="shared" si="0"/>
        <v>4</v>
      </c>
      <c r="M7" s="302">
        <f t="shared" si="1"/>
        <v>16746272.875</v>
      </c>
      <c r="O7" s="44"/>
      <c r="Q7" s="42"/>
    </row>
    <row r="8" spans="1:17">
      <c r="A8" s="59" t="s">
        <v>346</v>
      </c>
      <c r="B8" s="44"/>
      <c r="C8" s="40"/>
      <c r="D8" s="43" t="s">
        <v>14</v>
      </c>
      <c r="E8" s="40"/>
      <c r="F8" s="47">
        <v>0.77</v>
      </c>
      <c r="G8" s="40"/>
      <c r="H8" s="57" t="s">
        <v>321</v>
      </c>
      <c r="I8" s="40"/>
      <c r="J8" s="58">
        <f>J6*J7</f>
        <v>38215792.5</v>
      </c>
      <c r="K8" s="40"/>
      <c r="L8" s="191">
        <f t="shared" si="0"/>
        <v>5</v>
      </c>
      <c r="M8" s="302">
        <f t="shared" si="1"/>
        <v>16662541.510624999</v>
      </c>
      <c r="O8" s="44"/>
      <c r="Q8" s="42"/>
    </row>
    <row r="9" spans="1:17">
      <c r="A9" s="63" t="s">
        <v>0</v>
      </c>
      <c r="B9" s="64">
        <v>0.01</v>
      </c>
      <c r="C9" s="40"/>
      <c r="D9" s="65" t="s">
        <v>15</v>
      </c>
      <c r="E9" s="66"/>
      <c r="F9" s="67">
        <f>CapacityDC*CapacityConversion</f>
        <v>7700</v>
      </c>
      <c r="G9" s="40"/>
      <c r="H9" s="57" t="s">
        <v>322</v>
      </c>
      <c r="I9" s="40"/>
      <c r="J9" s="68">
        <v>0.05</v>
      </c>
      <c r="K9" s="40"/>
      <c r="L9" s="191">
        <f t="shared" si="0"/>
        <v>6</v>
      </c>
      <c r="M9" s="302">
        <f t="shared" si="1"/>
        <v>16579228.803071873</v>
      </c>
      <c r="O9" s="44"/>
      <c r="Q9" s="40"/>
    </row>
    <row r="10" spans="1:17">
      <c r="A10" s="63" t="s">
        <v>1</v>
      </c>
      <c r="B10" s="69">
        <f>B7*B9</f>
        <v>355000</v>
      </c>
      <c r="C10" s="40"/>
      <c r="D10" s="40"/>
      <c r="E10" s="40"/>
      <c r="F10" s="40"/>
      <c r="G10" s="40"/>
      <c r="H10" s="57" t="s">
        <v>323</v>
      </c>
      <c r="I10" s="40"/>
      <c r="J10" s="68">
        <v>7.4999999999999997E-3</v>
      </c>
      <c r="K10" s="40"/>
      <c r="L10" s="191">
        <f t="shared" si="0"/>
        <v>7</v>
      </c>
      <c r="M10" s="302">
        <f t="shared" si="1"/>
        <v>16496332.659056515</v>
      </c>
      <c r="O10" s="44"/>
      <c r="P10" s="40"/>
      <c r="Q10" s="40"/>
    </row>
    <row r="11" spans="1:17">
      <c r="A11" s="59" t="s">
        <v>349</v>
      </c>
      <c r="B11" s="60">
        <f>B7+ContingencyCost</f>
        <v>35855000</v>
      </c>
      <c r="C11" s="40"/>
      <c r="D11" s="38" t="s">
        <v>17</v>
      </c>
      <c r="E11" s="41"/>
      <c r="F11" s="39"/>
      <c r="G11" s="40"/>
      <c r="H11" s="55" t="s">
        <v>2</v>
      </c>
      <c r="I11" s="42"/>
      <c r="J11" s="68">
        <v>5.5E-2</v>
      </c>
      <c r="K11" s="40"/>
      <c r="L11" s="191">
        <f t="shared" si="0"/>
        <v>8</v>
      </c>
      <c r="M11" s="302">
        <f t="shared" si="1"/>
        <v>16413850.995761232</v>
      </c>
      <c r="O11" s="44"/>
    </row>
    <row r="12" spans="1:17">
      <c r="A12" s="43" t="s">
        <v>348</v>
      </c>
      <c r="B12" s="44"/>
      <c r="C12" s="42"/>
      <c r="D12" s="43" t="s">
        <v>19</v>
      </c>
      <c r="E12" s="40"/>
      <c r="F12" s="54">
        <v>30</v>
      </c>
      <c r="G12" s="40"/>
      <c r="H12" s="70" t="s">
        <v>407</v>
      </c>
      <c r="I12" s="71"/>
      <c r="J12" s="72">
        <v>5.0000000000000001E-3</v>
      </c>
      <c r="K12" s="40"/>
      <c r="L12" s="191">
        <f t="shared" si="0"/>
        <v>9</v>
      </c>
      <c r="M12" s="302">
        <f t="shared" si="1"/>
        <v>16331781.740782427</v>
      </c>
      <c r="O12" s="44"/>
    </row>
    <row r="13" spans="1:17">
      <c r="A13" s="49" t="s">
        <v>478</v>
      </c>
      <c r="B13" s="50">
        <v>2000000</v>
      </c>
      <c r="C13" s="40"/>
      <c r="D13" s="43" t="s">
        <v>18</v>
      </c>
      <c r="E13" s="40"/>
      <c r="F13" s="47">
        <v>1.4999999999999999E-2</v>
      </c>
      <c r="G13" s="40"/>
      <c r="H13" s="40"/>
      <c r="I13" s="40"/>
      <c r="J13" s="40"/>
      <c r="K13" s="40"/>
      <c r="L13" s="191">
        <f t="shared" si="0"/>
        <v>10</v>
      </c>
      <c r="M13" s="302">
        <f t="shared" si="1"/>
        <v>16250122.832078515</v>
      </c>
      <c r="O13" s="44"/>
    </row>
    <row r="14" spans="1:17">
      <c r="A14" s="49" t="s">
        <v>344</v>
      </c>
      <c r="B14" s="50">
        <v>200000</v>
      </c>
      <c r="C14" s="40"/>
      <c r="D14" s="43" t="s">
        <v>305</v>
      </c>
      <c r="E14" s="40"/>
      <c r="F14" s="68">
        <v>0.08</v>
      </c>
      <c r="G14" s="40">
        <f>((1+DiscountRate)/(1+Inflation) -1 )* 100</f>
        <v>6.4039408866995329</v>
      </c>
      <c r="H14" s="38" t="s">
        <v>203</v>
      </c>
      <c r="I14" s="41"/>
      <c r="J14" s="39"/>
      <c r="K14" s="40"/>
      <c r="L14" s="191">
        <f t="shared" si="0"/>
        <v>11</v>
      </c>
      <c r="M14" s="302">
        <f t="shared" si="1"/>
        <v>16168872.217918122</v>
      </c>
      <c r="O14" s="44"/>
    </row>
    <row r="15" spans="1:17">
      <c r="A15" s="49" t="s">
        <v>60</v>
      </c>
      <c r="B15" s="56">
        <v>75000</v>
      </c>
      <c r="C15" s="40"/>
      <c r="D15" s="65" t="s">
        <v>210</v>
      </c>
      <c r="E15" s="66"/>
      <c r="F15" s="72">
        <v>1.7500000000000002E-2</v>
      </c>
      <c r="G15" s="40"/>
      <c r="H15" s="43" t="s">
        <v>372</v>
      </c>
      <c r="I15" s="40"/>
      <c r="J15" s="44"/>
      <c r="K15" s="40"/>
      <c r="L15" s="191">
        <f t="shared" si="0"/>
        <v>12</v>
      </c>
      <c r="M15" s="302">
        <f t="shared" si="1"/>
        <v>16088027.856828531</v>
      </c>
      <c r="O15" s="44"/>
    </row>
    <row r="16" spans="1:17">
      <c r="A16" s="59" t="s">
        <v>345</v>
      </c>
      <c r="B16" s="58">
        <f>DevCost+LandImprovements+Other</f>
        <v>2275000</v>
      </c>
      <c r="C16" s="40"/>
      <c r="G16" s="40"/>
      <c r="H16" s="59" t="s">
        <v>204</v>
      </c>
      <c r="I16" s="40"/>
      <c r="J16" s="61">
        <v>0.25</v>
      </c>
      <c r="K16" s="40"/>
      <c r="L16" s="191">
        <f t="shared" si="0"/>
        <v>13</v>
      </c>
      <c r="M16" s="302">
        <f t="shared" si="1"/>
        <v>16007587.717544388</v>
      </c>
      <c r="O16" s="44"/>
    </row>
    <row r="17" spans="1:17">
      <c r="A17" s="49" t="s">
        <v>350</v>
      </c>
      <c r="B17" s="44"/>
      <c r="C17" s="40"/>
      <c r="D17" s="38" t="s">
        <v>4</v>
      </c>
      <c r="E17" s="41"/>
      <c r="F17" s="39"/>
      <c r="G17" s="40"/>
      <c r="H17" s="59" t="s">
        <v>377</v>
      </c>
      <c r="I17" s="40"/>
      <c r="J17" s="58">
        <f>MMCost*CapacityDC*1000</f>
        <v>2500000</v>
      </c>
      <c r="K17" s="40"/>
      <c r="L17" s="191">
        <f t="shared" si="0"/>
        <v>14</v>
      </c>
      <c r="M17" s="302">
        <f t="shared" si="1"/>
        <v>15927549.778956667</v>
      </c>
      <c r="O17" s="44"/>
    </row>
    <row r="18" spans="1:17">
      <c r="A18" s="63" t="s">
        <v>351</v>
      </c>
      <c r="B18" s="47">
        <v>1</v>
      </c>
      <c r="C18" s="40"/>
      <c r="D18" s="43" t="s">
        <v>5</v>
      </c>
      <c r="E18" s="40"/>
      <c r="F18" s="44"/>
      <c r="G18" s="40"/>
      <c r="H18" s="59" t="s">
        <v>281</v>
      </c>
      <c r="I18" s="40"/>
      <c r="J18" s="54">
        <v>12</v>
      </c>
      <c r="K18" s="40"/>
      <c r="L18" s="191">
        <f t="shared" si="0"/>
        <v>15</v>
      </c>
      <c r="M18" s="302">
        <f t="shared" si="1"/>
        <v>15847912.030061884</v>
      </c>
      <c r="O18" s="44"/>
    </row>
    <row r="19" spans="1:17">
      <c r="A19" s="63" t="s">
        <v>3</v>
      </c>
      <c r="B19" s="75">
        <f>(B11+B16)*J11*B18</f>
        <v>2097150</v>
      </c>
      <c r="C19" s="40"/>
      <c r="D19" s="49" t="s">
        <v>8</v>
      </c>
      <c r="E19" s="42"/>
      <c r="F19" s="54">
        <v>10000</v>
      </c>
      <c r="G19" s="40"/>
      <c r="H19" s="43" t="s">
        <v>373</v>
      </c>
      <c r="I19" s="40"/>
      <c r="J19" s="44"/>
      <c r="K19" s="40"/>
      <c r="L19" s="191">
        <f t="shared" si="0"/>
        <v>16</v>
      </c>
      <c r="M19" s="302">
        <f t="shared" si="1"/>
        <v>15768672.469911573</v>
      </c>
      <c r="O19" s="44"/>
    </row>
    <row r="20" spans="1:17">
      <c r="A20" s="59" t="s">
        <v>352</v>
      </c>
      <c r="B20" s="78">
        <f>B16+SalesTaxTotal</f>
        <v>4372150</v>
      </c>
      <c r="C20" s="40"/>
      <c r="D20" s="49" t="s">
        <v>6</v>
      </c>
      <c r="E20" s="42"/>
      <c r="F20" s="47">
        <v>0.01</v>
      </c>
      <c r="G20" s="40"/>
      <c r="H20" s="59" t="s">
        <v>204</v>
      </c>
      <c r="I20" s="40"/>
      <c r="J20" s="61">
        <v>0.5</v>
      </c>
      <c r="K20" s="40"/>
      <c r="L20" s="191">
        <f t="shared" si="0"/>
        <v>17</v>
      </c>
      <c r="M20" s="302">
        <f t="shared" si="1"/>
        <v>15689829.107562015</v>
      </c>
      <c r="O20" s="44"/>
    </row>
    <row r="21" spans="1:17">
      <c r="A21" s="43" t="s">
        <v>30</v>
      </c>
      <c r="B21" s="58">
        <f>TotalHardCosts+TotalSoftCosts</f>
        <v>40227150</v>
      </c>
      <c r="C21" s="40"/>
      <c r="D21" s="55" t="s">
        <v>7</v>
      </c>
      <c r="E21" s="42"/>
      <c r="F21" s="73"/>
      <c r="G21" s="40"/>
      <c r="H21" s="59" t="s">
        <v>377</v>
      </c>
      <c r="I21" s="40"/>
      <c r="J21" s="58">
        <f>MMCost2*CapacityDC*1000</f>
        <v>5000000</v>
      </c>
      <c r="K21" s="40"/>
      <c r="L21" s="191">
        <f t="shared" si="0"/>
        <v>18</v>
      </c>
      <c r="M21" s="302">
        <f t="shared" si="1"/>
        <v>15611379.962024204</v>
      </c>
      <c r="O21" s="44"/>
    </row>
    <row r="22" spans="1:17">
      <c r="A22" s="43" t="s">
        <v>29</v>
      </c>
      <c r="B22" s="81">
        <f>PreFinancingInstalledCostTotal/(CapacityDC*1000)</f>
        <v>4.0227149999999998</v>
      </c>
      <c r="C22" s="40"/>
      <c r="D22" s="49" t="s">
        <v>50</v>
      </c>
      <c r="E22" s="42"/>
      <c r="F22" s="61">
        <v>22</v>
      </c>
      <c r="G22" s="40"/>
      <c r="H22" s="59" t="s">
        <v>281</v>
      </c>
      <c r="I22" s="40"/>
      <c r="J22" s="54">
        <v>15</v>
      </c>
      <c r="K22" s="40"/>
      <c r="L22" s="191">
        <f t="shared" si="0"/>
        <v>19</v>
      </c>
      <c r="M22" s="302">
        <f t="shared" si="1"/>
        <v>15533323.062214084</v>
      </c>
      <c r="O22" s="44"/>
      <c r="P22" s="40"/>
      <c r="Q22" s="40"/>
    </row>
    <row r="23" spans="1:17">
      <c r="A23" s="79" t="s">
        <v>16</v>
      </c>
      <c r="B23" s="82"/>
      <c r="C23" s="40"/>
      <c r="D23" s="49" t="s">
        <v>6</v>
      </c>
      <c r="E23" s="42"/>
      <c r="F23" s="47">
        <v>7.4999999999999997E-3</v>
      </c>
      <c r="G23" s="40"/>
      <c r="H23" s="43" t="s">
        <v>374</v>
      </c>
      <c r="I23" s="40"/>
      <c r="J23" s="44"/>
      <c r="K23" s="40"/>
      <c r="L23" s="191">
        <f t="shared" si="0"/>
        <v>20</v>
      </c>
      <c r="M23" s="302">
        <f t="shared" si="1"/>
        <v>15455656.446903013</v>
      </c>
      <c r="O23" s="44"/>
      <c r="Q23" s="40"/>
    </row>
    <row r="24" spans="1:17">
      <c r="A24" s="43"/>
      <c r="B24" s="40"/>
      <c r="C24" s="40"/>
      <c r="D24" s="55" t="s">
        <v>9</v>
      </c>
      <c r="E24" s="42"/>
      <c r="F24" s="73"/>
      <c r="G24" s="40"/>
      <c r="H24" s="59" t="s">
        <v>204</v>
      </c>
      <c r="I24" s="40"/>
      <c r="J24" s="61">
        <v>0.01</v>
      </c>
      <c r="K24" s="40"/>
      <c r="L24" s="191">
        <f t="shared" ref="L24:L43" si="2">L4+20</f>
        <v>21</v>
      </c>
      <c r="M24" s="302">
        <f t="shared" si="1"/>
        <v>15378378.164668497</v>
      </c>
      <c r="N24" s="40"/>
      <c r="O24" s="44"/>
      <c r="Q24" s="40"/>
    </row>
    <row r="25" spans="1:17">
      <c r="C25" s="40"/>
      <c r="D25" s="59" t="s">
        <v>10</v>
      </c>
      <c r="E25" s="40"/>
      <c r="F25" s="61">
        <v>3.5</v>
      </c>
      <c r="G25" s="40"/>
      <c r="H25" s="59" t="s">
        <v>377</v>
      </c>
      <c r="I25" s="40"/>
      <c r="J25" s="58">
        <f>MMCost3*CapacityDC*1000</f>
        <v>100000</v>
      </c>
      <c r="K25" s="40"/>
      <c r="L25" s="191">
        <f t="shared" si="2"/>
        <v>22</v>
      </c>
      <c r="M25" s="302">
        <f t="shared" si="1"/>
        <v>15301486.273845155</v>
      </c>
      <c r="N25" s="40"/>
      <c r="O25" s="44"/>
      <c r="Q25" s="40"/>
    </row>
    <row r="26" spans="1:17">
      <c r="C26" s="40"/>
      <c r="D26" s="59" t="s">
        <v>6</v>
      </c>
      <c r="E26" s="40"/>
      <c r="F26" s="47">
        <v>0</v>
      </c>
      <c r="G26" s="40"/>
      <c r="H26" s="59" t="s">
        <v>281</v>
      </c>
      <c r="I26" s="40"/>
      <c r="J26" s="54">
        <v>3</v>
      </c>
      <c r="K26" s="40"/>
      <c r="L26" s="191">
        <f t="shared" si="2"/>
        <v>23</v>
      </c>
      <c r="M26" s="302">
        <f t="shared" si="1"/>
        <v>15224978.842475928</v>
      </c>
      <c r="N26" s="40"/>
      <c r="O26" s="44"/>
      <c r="Q26" s="42"/>
    </row>
    <row r="27" spans="1:17">
      <c r="C27" s="40"/>
      <c r="D27" s="79" t="s">
        <v>11</v>
      </c>
      <c r="E27" s="66"/>
      <c r="F27" s="80"/>
      <c r="G27" s="40"/>
      <c r="H27" s="43" t="s">
        <v>371</v>
      </c>
      <c r="I27" s="40"/>
      <c r="J27" s="73"/>
      <c r="K27" s="40"/>
      <c r="L27" s="191">
        <f t="shared" si="2"/>
        <v>24</v>
      </c>
      <c r="M27" s="302">
        <f t="shared" si="1"/>
        <v>15148853.948263548</v>
      </c>
      <c r="N27" s="40"/>
      <c r="O27" s="44"/>
      <c r="Q27" s="40"/>
    </row>
    <row r="28" spans="1:17">
      <c r="C28" s="40"/>
      <c r="D28" s="40"/>
      <c r="E28" s="40"/>
      <c r="F28" s="40"/>
      <c r="G28" s="40"/>
      <c r="H28" s="59" t="s">
        <v>37</v>
      </c>
      <c r="I28" s="40"/>
      <c r="J28" s="74" t="s">
        <v>142</v>
      </c>
      <c r="K28" s="40"/>
      <c r="L28" s="191">
        <f t="shared" si="2"/>
        <v>25</v>
      </c>
      <c r="M28" s="302">
        <f t="shared" si="1"/>
        <v>15073109.678522231</v>
      </c>
      <c r="N28" s="40"/>
      <c r="O28" s="44"/>
      <c r="Q28" s="40"/>
    </row>
    <row r="29" spans="1:17">
      <c r="A29" s="38" t="s">
        <v>32</v>
      </c>
      <c r="B29" s="41"/>
      <c r="C29" s="41"/>
      <c r="D29" s="41"/>
      <c r="E29" s="39"/>
      <c r="F29" s="40"/>
      <c r="G29" s="40"/>
      <c r="H29" s="76" t="s">
        <v>36</v>
      </c>
      <c r="I29" s="66"/>
      <c r="J29" s="77" t="s">
        <v>142</v>
      </c>
      <c r="K29" s="40"/>
      <c r="L29" s="191">
        <f t="shared" si="2"/>
        <v>26</v>
      </c>
      <c r="M29" s="302">
        <f t="shared" si="1"/>
        <v>14997744.13012962</v>
      </c>
      <c r="N29" s="40"/>
      <c r="O29" s="44"/>
      <c r="Q29" s="40"/>
    </row>
    <row r="30" spans="1:17">
      <c r="A30" s="43" t="s">
        <v>33</v>
      </c>
      <c r="B30" s="40"/>
      <c r="C30" s="40"/>
      <c r="D30" s="359" t="s">
        <v>63</v>
      </c>
      <c r="E30" s="360"/>
      <c r="F30" s="40"/>
      <c r="G30" s="40"/>
      <c r="H30" s="40"/>
      <c r="I30" s="40"/>
      <c r="J30" s="40"/>
      <c r="K30" s="40"/>
      <c r="L30" s="191">
        <f t="shared" si="2"/>
        <v>27</v>
      </c>
      <c r="M30" s="302">
        <f t="shared" si="1"/>
        <v>14922755.409478972</v>
      </c>
      <c r="N30" s="40"/>
      <c r="O30" s="44"/>
      <c r="Q30" s="40"/>
    </row>
    <row r="31" spans="1:17">
      <c r="A31" s="43"/>
      <c r="B31" s="40"/>
      <c r="C31" s="40"/>
      <c r="D31" s="85" t="s">
        <v>36</v>
      </c>
      <c r="E31" s="85" t="s">
        <v>37</v>
      </c>
      <c r="F31" s="40"/>
      <c r="G31" s="40"/>
      <c r="H31" s="38" t="s">
        <v>213</v>
      </c>
      <c r="I31" s="41"/>
      <c r="J31" s="39"/>
      <c r="K31" s="40"/>
      <c r="L31" s="191">
        <f t="shared" si="2"/>
        <v>28</v>
      </c>
      <c r="M31" s="302">
        <f t="shared" si="1"/>
        <v>14848141.632431576</v>
      </c>
      <c r="N31" s="40"/>
      <c r="O31" s="44"/>
      <c r="Q31" s="40"/>
    </row>
    <row r="32" spans="1:17">
      <c r="A32" s="59" t="s">
        <v>35</v>
      </c>
      <c r="B32" s="40"/>
      <c r="C32" s="40"/>
      <c r="D32" s="86"/>
      <c r="E32" s="44"/>
      <c r="F32" s="40"/>
      <c r="G32" s="40"/>
      <c r="H32" s="55" t="s">
        <v>307</v>
      </c>
      <c r="I32" s="42"/>
      <c r="J32" s="47">
        <v>0.1</v>
      </c>
      <c r="K32" s="40"/>
      <c r="L32" s="191">
        <f t="shared" si="2"/>
        <v>29</v>
      </c>
      <c r="M32" s="302">
        <f t="shared" si="1"/>
        <v>14773900.924269417</v>
      </c>
      <c r="N32" s="40"/>
      <c r="O32" s="44"/>
      <c r="Q32" s="40"/>
    </row>
    <row r="33" spans="1:17">
      <c r="A33" s="43"/>
      <c r="B33" s="87" t="s">
        <v>34</v>
      </c>
      <c r="C33" s="40"/>
      <c r="D33" s="88"/>
      <c r="E33" s="73"/>
      <c r="F33" s="40"/>
      <c r="G33" s="40"/>
      <c r="H33" s="70" t="s">
        <v>308</v>
      </c>
      <c r="I33" s="66"/>
      <c r="J33" s="69">
        <f>SalvageValue*PreFinancingInstalledCostTotal</f>
        <v>4022715</v>
      </c>
      <c r="K33" s="40"/>
      <c r="L33" s="191">
        <f t="shared" si="2"/>
        <v>30</v>
      </c>
      <c r="M33" s="302">
        <f t="shared" si="1"/>
        <v>14700031.41964807</v>
      </c>
      <c r="N33" s="40"/>
      <c r="O33" s="44"/>
      <c r="Q33" s="40"/>
    </row>
    <row r="34" spans="1:17">
      <c r="A34" s="63" t="s">
        <v>36</v>
      </c>
      <c r="B34" s="53">
        <v>10000</v>
      </c>
      <c r="C34" s="89"/>
      <c r="D34" s="90" t="s">
        <v>68</v>
      </c>
      <c r="E34" s="194" t="s">
        <v>69</v>
      </c>
      <c r="F34" s="40"/>
      <c r="G34" s="40"/>
      <c r="H34" s="40"/>
      <c r="I34" s="40"/>
      <c r="J34" s="40"/>
      <c r="K34" s="40"/>
      <c r="L34" s="191">
        <f t="shared" si="2"/>
        <v>31</v>
      </c>
      <c r="M34" s="302">
        <f t="shared" si="1"/>
        <v>14626531.262549829</v>
      </c>
      <c r="N34" s="40"/>
      <c r="O34" s="44"/>
    </row>
    <row r="35" spans="1:17">
      <c r="A35" s="63" t="s">
        <v>37</v>
      </c>
      <c r="B35" s="53">
        <v>20000</v>
      </c>
      <c r="C35" s="89"/>
      <c r="D35" s="90" t="s">
        <v>69</v>
      </c>
      <c r="E35" s="194" t="s">
        <v>68</v>
      </c>
      <c r="F35" s="40"/>
      <c r="G35" s="40"/>
      <c r="H35" s="40"/>
      <c r="I35" s="40"/>
      <c r="J35" s="40"/>
      <c r="K35" s="40"/>
      <c r="L35" s="191">
        <f t="shared" si="2"/>
        <v>32</v>
      </c>
      <c r="M35" s="302">
        <f t="shared" si="1"/>
        <v>14553398.60623708</v>
      </c>
      <c r="N35" s="40"/>
      <c r="O35" s="44"/>
    </row>
    <row r="36" spans="1:17">
      <c r="A36" s="59" t="s">
        <v>40</v>
      </c>
      <c r="B36" s="89"/>
      <c r="C36" s="89"/>
      <c r="D36" s="88"/>
      <c r="E36" s="73"/>
      <c r="F36" s="40"/>
      <c r="G36" s="40"/>
      <c r="H36" s="40"/>
      <c r="I36" s="40"/>
      <c r="J36" s="40"/>
      <c r="K36" s="40"/>
      <c r="L36" s="191">
        <f t="shared" si="2"/>
        <v>33</v>
      </c>
      <c r="M36" s="302">
        <f t="shared" si="1"/>
        <v>14480631.613205895</v>
      </c>
      <c r="N36" s="40"/>
      <c r="O36" s="44"/>
    </row>
    <row r="37" spans="1:17">
      <c r="A37" s="43"/>
      <c r="B37" s="92" t="s">
        <v>41</v>
      </c>
      <c r="C37" s="92" t="s">
        <v>42</v>
      </c>
      <c r="D37" s="88"/>
      <c r="E37" s="73"/>
      <c r="F37" s="40"/>
      <c r="G37" s="40"/>
      <c r="H37" s="42"/>
      <c r="I37" s="42"/>
      <c r="J37" s="42"/>
      <c r="K37" s="40"/>
      <c r="L37" s="191">
        <f t="shared" si="2"/>
        <v>34</v>
      </c>
      <c r="M37" s="302">
        <f t="shared" si="1"/>
        <v>14408228.455139866</v>
      </c>
      <c r="N37" s="40"/>
      <c r="O37" s="44"/>
    </row>
    <row r="38" spans="1:17">
      <c r="A38" s="63" t="s">
        <v>36</v>
      </c>
      <c r="B38" s="93">
        <v>0</v>
      </c>
      <c r="C38" s="94">
        <v>9.9999999999999997E+98</v>
      </c>
      <c r="D38" s="90" t="s">
        <v>68</v>
      </c>
      <c r="E38" s="194" t="s">
        <v>69</v>
      </c>
      <c r="F38" s="40"/>
      <c r="G38" s="40"/>
      <c r="H38" s="42"/>
      <c r="I38" s="42"/>
      <c r="J38" s="42"/>
      <c r="K38" s="40"/>
      <c r="L38" s="191">
        <f t="shared" si="2"/>
        <v>35</v>
      </c>
      <c r="M38" s="302">
        <f t="shared" si="1"/>
        <v>14336187.312864168</v>
      </c>
      <c r="N38" s="40"/>
      <c r="O38" s="44"/>
    </row>
    <row r="39" spans="1:17">
      <c r="A39" s="63" t="s">
        <v>37</v>
      </c>
      <c r="B39" s="93">
        <v>0</v>
      </c>
      <c r="C39" s="94">
        <v>9.9999999999999997E+98</v>
      </c>
      <c r="D39" s="90" t="s">
        <v>69</v>
      </c>
      <c r="E39" s="194" t="s">
        <v>68</v>
      </c>
      <c r="F39" s="40"/>
      <c r="G39" s="40"/>
      <c r="H39" s="42"/>
      <c r="I39" s="42"/>
      <c r="J39" s="42"/>
      <c r="K39" s="40"/>
      <c r="L39" s="191">
        <f t="shared" si="2"/>
        <v>36</v>
      </c>
      <c r="M39" s="302">
        <f t="shared" si="1"/>
        <v>14264506.376299847</v>
      </c>
      <c r="N39" s="40"/>
      <c r="O39" s="44"/>
    </row>
    <row r="40" spans="1:17">
      <c r="A40" s="43" t="s">
        <v>38</v>
      </c>
      <c r="B40" s="89"/>
      <c r="C40" s="89"/>
      <c r="D40" s="88"/>
      <c r="E40" s="73"/>
      <c r="F40" s="40"/>
      <c r="G40" s="40"/>
      <c r="H40" s="42"/>
      <c r="I40" s="42"/>
      <c r="J40" s="42"/>
      <c r="K40" s="40"/>
      <c r="L40" s="191">
        <f t="shared" si="2"/>
        <v>37</v>
      </c>
      <c r="M40" s="302">
        <f t="shared" si="1"/>
        <v>14193183.844418347</v>
      </c>
      <c r="N40" s="40"/>
      <c r="O40" s="44"/>
    </row>
    <row r="41" spans="1:17">
      <c r="A41" s="43"/>
      <c r="B41" s="95" t="s">
        <v>43</v>
      </c>
      <c r="C41" s="95" t="s">
        <v>44</v>
      </c>
      <c r="D41" s="96"/>
      <c r="E41" s="44"/>
      <c r="F41" s="40"/>
      <c r="G41" s="40"/>
      <c r="H41" s="42"/>
      <c r="I41" s="42"/>
      <c r="J41" s="42"/>
      <c r="K41" s="40"/>
      <c r="L41" s="191">
        <f t="shared" si="2"/>
        <v>38</v>
      </c>
      <c r="M41" s="302">
        <f t="shared" si="1"/>
        <v>14122217.925196255</v>
      </c>
      <c r="N41" s="40"/>
      <c r="O41" s="44"/>
    </row>
    <row r="42" spans="1:17">
      <c r="A42" s="59" t="s">
        <v>36</v>
      </c>
      <c r="B42" s="97">
        <v>0</v>
      </c>
      <c r="C42" s="98">
        <v>10</v>
      </c>
      <c r="D42" s="99"/>
      <c r="E42" s="100"/>
      <c r="F42" s="40"/>
      <c r="G42" s="40"/>
      <c r="H42" s="42"/>
      <c r="I42" s="42"/>
      <c r="J42" s="42"/>
      <c r="K42" s="40"/>
      <c r="L42" s="191">
        <f t="shared" si="2"/>
        <v>39</v>
      </c>
      <c r="M42" s="302">
        <f t="shared" si="1"/>
        <v>14051606.835570274</v>
      </c>
      <c r="N42" s="40"/>
      <c r="O42" s="44"/>
    </row>
    <row r="43" spans="1:17">
      <c r="A43" s="76" t="s">
        <v>37</v>
      </c>
      <c r="B43" s="101">
        <v>0</v>
      </c>
      <c r="C43" s="102">
        <v>10</v>
      </c>
      <c r="D43" s="103"/>
      <c r="E43" s="104"/>
      <c r="F43" s="40"/>
      <c r="G43" s="40"/>
      <c r="H43" s="42"/>
      <c r="I43" s="42"/>
      <c r="J43" s="42"/>
      <c r="K43" s="40"/>
      <c r="L43" s="83">
        <f t="shared" si="2"/>
        <v>40</v>
      </c>
      <c r="M43" s="303">
        <f t="shared" si="1"/>
        <v>13981348.801392423</v>
      </c>
      <c r="N43" s="40"/>
      <c r="O43" s="44"/>
    </row>
    <row r="44" spans="1:17">
      <c r="F44" s="40"/>
      <c r="G44" s="40"/>
      <c r="H44" s="42"/>
      <c r="I44" s="42"/>
      <c r="J44" s="42"/>
      <c r="K44" s="40"/>
      <c r="L44" s="40"/>
      <c r="M44" s="40"/>
      <c r="N44" s="40"/>
      <c r="O44" s="44"/>
    </row>
    <row r="45" spans="1:17">
      <c r="A45" s="38" t="s">
        <v>57</v>
      </c>
      <c r="B45" s="41"/>
      <c r="C45" s="41"/>
      <c r="D45" s="41"/>
      <c r="E45" s="41"/>
      <c r="F45" s="41"/>
      <c r="G45" s="41"/>
      <c r="H45" s="41"/>
      <c r="I45" s="41"/>
      <c r="J45" s="41"/>
      <c r="K45" s="41"/>
      <c r="L45" s="41"/>
      <c r="M45" s="41"/>
      <c r="N45" s="41"/>
      <c r="O45" s="39"/>
    </row>
    <row r="46" spans="1:17">
      <c r="A46" s="43"/>
      <c r="B46" s="40"/>
      <c r="C46" s="40"/>
      <c r="D46" s="40"/>
      <c r="E46" s="40"/>
      <c r="F46" s="40"/>
      <c r="G46" s="40"/>
      <c r="H46" s="40"/>
      <c r="I46" s="43" t="s">
        <v>61</v>
      </c>
      <c r="J46" s="44"/>
      <c r="K46" s="43" t="s">
        <v>62</v>
      </c>
      <c r="L46" s="44"/>
      <c r="M46" s="43" t="s">
        <v>63</v>
      </c>
      <c r="N46" s="44"/>
      <c r="O46" s="44"/>
    </row>
    <row r="47" spans="1:17" ht="25.5">
      <c r="A47" s="43"/>
      <c r="B47" s="85" t="s">
        <v>35</v>
      </c>
      <c r="C47" s="85" t="s">
        <v>70</v>
      </c>
      <c r="D47" s="85" t="s">
        <v>43</v>
      </c>
      <c r="E47" s="85" t="s">
        <v>71</v>
      </c>
      <c r="F47" s="85" t="s">
        <v>42</v>
      </c>
      <c r="G47" s="85" t="s">
        <v>73</v>
      </c>
      <c r="H47" s="85" t="s">
        <v>39</v>
      </c>
      <c r="I47" s="85" t="s">
        <v>36</v>
      </c>
      <c r="J47" s="85" t="s">
        <v>37</v>
      </c>
      <c r="K47" s="85" t="s">
        <v>36</v>
      </c>
      <c r="L47" s="85" t="s">
        <v>37</v>
      </c>
      <c r="M47" s="85" t="s">
        <v>36</v>
      </c>
      <c r="N47" s="85" t="s">
        <v>37</v>
      </c>
      <c r="O47" s="85" t="s">
        <v>66</v>
      </c>
    </row>
    <row r="48" spans="1:17">
      <c r="A48" s="43" t="s">
        <v>58</v>
      </c>
      <c r="B48" s="250"/>
      <c r="C48" s="89"/>
      <c r="D48" s="89"/>
      <c r="E48" s="89"/>
      <c r="F48" s="89"/>
      <c r="G48" s="89"/>
      <c r="H48" s="73"/>
      <c r="I48" s="43"/>
      <c r="J48" s="44"/>
      <c r="K48" s="43"/>
      <c r="L48" s="44"/>
      <c r="M48" s="43"/>
      <c r="N48" s="44"/>
      <c r="O48" s="96"/>
    </row>
    <row r="49" spans="1:16">
      <c r="A49" s="59" t="s">
        <v>67</v>
      </c>
      <c r="B49" s="55"/>
      <c r="C49" s="105"/>
      <c r="D49" s="105"/>
      <c r="E49" s="105"/>
      <c r="F49" s="105"/>
      <c r="G49" s="105"/>
      <c r="H49" s="106"/>
      <c r="I49" s="107"/>
      <c r="J49" s="108"/>
      <c r="K49" s="107"/>
      <c r="L49" s="108"/>
      <c r="M49" s="107"/>
      <c r="N49" s="108"/>
      <c r="O49" s="109"/>
    </row>
    <row r="50" spans="1:16">
      <c r="A50" s="63" t="s">
        <v>36</v>
      </c>
      <c r="B50" s="110">
        <v>1000</v>
      </c>
      <c r="C50" s="111"/>
      <c r="D50" s="111"/>
      <c r="E50" s="111"/>
      <c r="F50" s="111"/>
      <c r="G50" s="111"/>
      <c r="H50" s="112"/>
      <c r="I50" s="113" t="s">
        <v>68</v>
      </c>
      <c r="J50" s="91" t="s">
        <v>68</v>
      </c>
      <c r="K50" s="347" t="s">
        <v>68</v>
      </c>
      <c r="L50" s="348" t="s">
        <v>68</v>
      </c>
      <c r="M50" s="193" t="s">
        <v>69</v>
      </c>
      <c r="N50" s="194" t="s">
        <v>69</v>
      </c>
      <c r="O50" s="99"/>
    </row>
    <row r="51" spans="1:16">
      <c r="A51" s="63" t="s">
        <v>37</v>
      </c>
      <c r="B51" s="110">
        <v>2000</v>
      </c>
      <c r="C51" s="111"/>
      <c r="D51" s="111"/>
      <c r="E51" s="111"/>
      <c r="F51" s="111"/>
      <c r="G51" s="111"/>
      <c r="H51" s="112"/>
      <c r="I51" s="113" t="s">
        <v>68</v>
      </c>
      <c r="J51" s="91" t="s">
        <v>68</v>
      </c>
      <c r="K51" s="347" t="s">
        <v>68</v>
      </c>
      <c r="L51" s="348" t="s">
        <v>68</v>
      </c>
      <c r="M51" s="193" t="s">
        <v>69</v>
      </c>
      <c r="N51" s="194" t="s">
        <v>69</v>
      </c>
      <c r="O51" s="99"/>
    </row>
    <row r="52" spans="1:16">
      <c r="A52" s="63" t="s">
        <v>59</v>
      </c>
      <c r="B52" s="110">
        <v>500</v>
      </c>
      <c r="C52" s="111"/>
      <c r="D52" s="111"/>
      <c r="E52" s="111"/>
      <c r="F52" s="111"/>
      <c r="G52" s="111"/>
      <c r="H52" s="112"/>
      <c r="I52" s="113" t="s">
        <v>68</v>
      </c>
      <c r="J52" s="91" t="s">
        <v>68</v>
      </c>
      <c r="K52" s="113" t="s">
        <v>69</v>
      </c>
      <c r="L52" s="194" t="s">
        <v>69</v>
      </c>
      <c r="M52" s="193" t="s">
        <v>69</v>
      </c>
      <c r="N52" s="194" t="s">
        <v>69</v>
      </c>
      <c r="O52" s="99"/>
    </row>
    <row r="53" spans="1:16">
      <c r="A53" s="63" t="s">
        <v>60</v>
      </c>
      <c r="B53" s="110">
        <v>250</v>
      </c>
      <c r="C53" s="111"/>
      <c r="D53" s="111"/>
      <c r="E53" s="111"/>
      <c r="F53" s="111"/>
      <c r="G53" s="111"/>
      <c r="H53" s="112"/>
      <c r="I53" s="113" t="s">
        <v>68</v>
      </c>
      <c r="J53" s="91" t="s">
        <v>68</v>
      </c>
      <c r="K53" s="113" t="s">
        <v>69</v>
      </c>
      <c r="L53" s="194" t="s">
        <v>69</v>
      </c>
      <c r="M53" s="193" t="s">
        <v>69</v>
      </c>
      <c r="N53" s="194" t="s">
        <v>69</v>
      </c>
      <c r="O53" s="99"/>
    </row>
    <row r="54" spans="1:16">
      <c r="A54" s="49" t="s">
        <v>64</v>
      </c>
      <c r="B54" s="43"/>
      <c r="C54" s="89"/>
      <c r="D54" s="89"/>
      <c r="E54" s="89"/>
      <c r="F54" s="89"/>
      <c r="G54" s="89"/>
      <c r="H54" s="73"/>
      <c r="I54" s="114"/>
      <c r="J54" s="73"/>
      <c r="K54" s="114"/>
      <c r="L54" s="73"/>
      <c r="M54" s="114"/>
      <c r="N54" s="73"/>
      <c r="O54" s="96"/>
    </row>
    <row r="55" spans="1:16">
      <c r="A55" s="63" t="s">
        <v>36</v>
      </c>
      <c r="B55" s="115">
        <f>MIN(E55*PreFinancingInstalledCostTotal,F55)</f>
        <v>2011357.5</v>
      </c>
      <c r="C55" s="111"/>
      <c r="D55" s="111"/>
      <c r="E55" s="116">
        <v>0.05</v>
      </c>
      <c r="F55" s="94">
        <v>9.9999999999999997E+98</v>
      </c>
      <c r="G55" s="111"/>
      <c r="H55" s="112"/>
      <c r="I55" s="113" t="s">
        <v>68</v>
      </c>
      <c r="J55" s="91" t="s">
        <v>68</v>
      </c>
      <c r="K55" s="193" t="s">
        <v>69</v>
      </c>
      <c r="L55" s="194" t="s">
        <v>69</v>
      </c>
      <c r="M55" s="193" t="s">
        <v>69</v>
      </c>
      <c r="N55" s="194" t="s">
        <v>69</v>
      </c>
      <c r="O55" s="99"/>
    </row>
    <row r="56" spans="1:16">
      <c r="A56" s="63" t="s">
        <v>37</v>
      </c>
      <c r="B56" s="115">
        <f>MIN(E56*PreFinancingInstalledCostTotal,F56)</f>
        <v>4022715</v>
      </c>
      <c r="C56" s="111"/>
      <c r="D56" s="111"/>
      <c r="E56" s="116">
        <v>0.1</v>
      </c>
      <c r="F56" s="94">
        <v>9.9999999999999997E+98</v>
      </c>
      <c r="G56" s="111"/>
      <c r="H56" s="112"/>
      <c r="I56" s="113" t="s">
        <v>68</v>
      </c>
      <c r="J56" s="91" t="s">
        <v>68</v>
      </c>
      <c r="K56" s="113" t="s">
        <v>69</v>
      </c>
      <c r="L56" s="194" t="s">
        <v>69</v>
      </c>
      <c r="M56" s="193" t="s">
        <v>69</v>
      </c>
      <c r="N56" s="194" t="s">
        <v>69</v>
      </c>
      <c r="O56" s="99"/>
    </row>
    <row r="57" spans="1:16">
      <c r="A57" s="63" t="s">
        <v>59</v>
      </c>
      <c r="B57" s="115">
        <f>MIN(E57*PreFinancingInstalledCostTotal,F57)</f>
        <v>402271.5</v>
      </c>
      <c r="C57" s="111"/>
      <c r="D57" s="111"/>
      <c r="E57" s="116">
        <v>0.01</v>
      </c>
      <c r="F57" s="94">
        <v>9.9999999999999997E+98</v>
      </c>
      <c r="G57" s="111"/>
      <c r="H57" s="112"/>
      <c r="I57" s="113" t="s">
        <v>68</v>
      </c>
      <c r="J57" s="91" t="s">
        <v>68</v>
      </c>
      <c r="K57" s="113" t="s">
        <v>69</v>
      </c>
      <c r="L57" s="194" t="s">
        <v>69</v>
      </c>
      <c r="M57" s="193" t="s">
        <v>69</v>
      </c>
      <c r="N57" s="194" t="s">
        <v>69</v>
      </c>
      <c r="O57" s="99"/>
    </row>
    <row r="58" spans="1:16">
      <c r="A58" s="63" t="s">
        <v>60</v>
      </c>
      <c r="B58" s="115">
        <f>MIN(E58*PreFinancingInstalledCostTotal,F58)</f>
        <v>201135.75</v>
      </c>
      <c r="C58" s="111"/>
      <c r="D58" s="111"/>
      <c r="E58" s="116">
        <v>5.0000000000000001E-3</v>
      </c>
      <c r="F58" s="94">
        <v>9.9999999999999997E+98</v>
      </c>
      <c r="G58" s="111"/>
      <c r="H58" s="112"/>
      <c r="I58" s="113" t="s">
        <v>68</v>
      </c>
      <c r="J58" s="91" t="s">
        <v>68</v>
      </c>
      <c r="K58" s="193" t="s">
        <v>69</v>
      </c>
      <c r="L58" s="194" t="s">
        <v>69</v>
      </c>
      <c r="M58" s="193" t="s">
        <v>69</v>
      </c>
      <c r="N58" s="194" t="s">
        <v>69</v>
      </c>
      <c r="O58" s="99"/>
    </row>
    <row r="59" spans="1:16">
      <c r="A59" s="43" t="s">
        <v>65</v>
      </c>
      <c r="B59" s="43"/>
      <c r="C59" s="89"/>
      <c r="D59" s="89"/>
      <c r="E59" s="89"/>
      <c r="F59" s="89"/>
      <c r="G59" s="89"/>
      <c r="H59" s="73"/>
      <c r="I59" s="117"/>
      <c r="J59" s="118"/>
      <c r="K59" s="117"/>
      <c r="L59" s="118"/>
      <c r="M59" s="117"/>
      <c r="N59" s="118"/>
      <c r="O59" s="109"/>
      <c r="P59" s="119"/>
    </row>
    <row r="60" spans="1:16">
      <c r="A60" s="59" t="s">
        <v>36</v>
      </c>
      <c r="B60" s="115">
        <f>MIN(C60*CapacityDC*1000,F60)</f>
        <v>5000000</v>
      </c>
      <c r="C60" s="98">
        <v>0.5</v>
      </c>
      <c r="D60" s="111"/>
      <c r="E60" s="111"/>
      <c r="F60" s="94">
        <v>9.9999999999999997E+98</v>
      </c>
      <c r="G60" s="111"/>
      <c r="H60" s="112"/>
      <c r="I60" s="113" t="s">
        <v>68</v>
      </c>
      <c r="J60" s="91" t="s">
        <v>68</v>
      </c>
      <c r="K60" s="347" t="s">
        <v>68</v>
      </c>
      <c r="L60" s="194" t="s">
        <v>69</v>
      </c>
      <c r="M60" s="193" t="s">
        <v>69</v>
      </c>
      <c r="N60" s="194" t="s">
        <v>69</v>
      </c>
      <c r="O60" s="99"/>
    </row>
    <row r="61" spans="1:16">
      <c r="A61" s="59" t="s">
        <v>37</v>
      </c>
      <c r="B61" s="115">
        <f>MIN(C61*CapacityDC*1000,F61)</f>
        <v>2000000</v>
      </c>
      <c r="C61" s="98">
        <v>0.2</v>
      </c>
      <c r="D61" s="111"/>
      <c r="E61" s="111"/>
      <c r="F61" s="94">
        <v>9.9999999999999997E+98</v>
      </c>
      <c r="G61" s="111"/>
      <c r="H61" s="112"/>
      <c r="I61" s="113" t="s">
        <v>68</v>
      </c>
      <c r="J61" s="91" t="s">
        <v>68</v>
      </c>
      <c r="K61" s="193" t="s">
        <v>69</v>
      </c>
      <c r="L61" s="194" t="s">
        <v>69</v>
      </c>
      <c r="M61" s="193" t="s">
        <v>69</v>
      </c>
      <c r="N61" s="194" t="s">
        <v>69</v>
      </c>
      <c r="O61" s="99"/>
    </row>
    <row r="62" spans="1:16">
      <c r="A62" s="59" t="s">
        <v>59</v>
      </c>
      <c r="B62" s="115">
        <f>MIN(C62*CapacityDC*1000,F62)</f>
        <v>100000</v>
      </c>
      <c r="C62" s="98">
        <v>0.01</v>
      </c>
      <c r="D62" s="111"/>
      <c r="E62" s="111"/>
      <c r="F62" s="94">
        <v>9.9999999999999997E+98</v>
      </c>
      <c r="G62" s="111"/>
      <c r="H62" s="112"/>
      <c r="I62" s="113" t="s">
        <v>68</v>
      </c>
      <c r="J62" s="91" t="s">
        <v>68</v>
      </c>
      <c r="K62" s="193" t="s">
        <v>69</v>
      </c>
      <c r="L62" s="194" t="s">
        <v>69</v>
      </c>
      <c r="M62" s="193" t="s">
        <v>69</v>
      </c>
      <c r="N62" s="194" t="s">
        <v>69</v>
      </c>
      <c r="O62" s="99"/>
    </row>
    <row r="63" spans="1:16">
      <c r="A63" s="59" t="s">
        <v>60</v>
      </c>
      <c r="B63" s="115">
        <f>MIN(C63*CapacityDC*1000,F63)</f>
        <v>50000</v>
      </c>
      <c r="C63" s="98">
        <v>5.0000000000000001E-3</v>
      </c>
      <c r="D63" s="111"/>
      <c r="E63" s="111"/>
      <c r="F63" s="94">
        <v>9.9999999999999997E+98</v>
      </c>
      <c r="G63" s="111"/>
      <c r="H63" s="112"/>
      <c r="I63" s="113" t="s">
        <v>68</v>
      </c>
      <c r="J63" s="91" t="s">
        <v>68</v>
      </c>
      <c r="K63" s="113" t="s">
        <v>69</v>
      </c>
      <c r="L63" s="194" t="s">
        <v>69</v>
      </c>
      <c r="M63" s="193" t="s">
        <v>69</v>
      </c>
      <c r="N63" s="194" t="s">
        <v>69</v>
      </c>
      <c r="O63" s="99"/>
    </row>
    <row r="64" spans="1:16">
      <c r="A64" s="43" t="s">
        <v>72</v>
      </c>
      <c r="B64" s="43"/>
      <c r="C64" s="89"/>
      <c r="D64" s="89"/>
      <c r="E64" s="89"/>
      <c r="F64" s="89"/>
      <c r="G64" s="89"/>
      <c r="H64" s="73"/>
      <c r="I64" s="114"/>
      <c r="J64" s="73"/>
      <c r="K64" s="114"/>
      <c r="L64" s="73"/>
      <c r="M64" s="114"/>
      <c r="N64" s="73"/>
      <c r="O64" s="96"/>
    </row>
    <row r="65" spans="1:15">
      <c r="A65" s="59" t="s">
        <v>36</v>
      </c>
      <c r="B65" s="120"/>
      <c r="C65" s="111"/>
      <c r="D65" s="121">
        <v>0</v>
      </c>
      <c r="E65" s="111"/>
      <c r="F65" s="111"/>
      <c r="G65" s="53">
        <v>0</v>
      </c>
      <c r="H65" s="47">
        <v>0</v>
      </c>
      <c r="I65" s="113" t="s">
        <v>68</v>
      </c>
      <c r="J65" s="91" t="s">
        <v>68</v>
      </c>
      <c r="K65" s="122"/>
      <c r="L65" s="112"/>
      <c r="M65" s="122"/>
      <c r="N65" s="112"/>
      <c r="O65" s="90" t="s">
        <v>69</v>
      </c>
    </row>
    <row r="66" spans="1:15">
      <c r="A66" s="59" t="s">
        <v>37</v>
      </c>
      <c r="B66" s="120"/>
      <c r="C66" s="111"/>
      <c r="D66" s="121">
        <v>0</v>
      </c>
      <c r="E66" s="111"/>
      <c r="F66" s="111"/>
      <c r="G66" s="53">
        <v>0</v>
      </c>
      <c r="H66" s="47">
        <v>0</v>
      </c>
      <c r="I66" s="113" t="s">
        <v>68</v>
      </c>
      <c r="J66" s="91" t="s">
        <v>68</v>
      </c>
      <c r="K66" s="122"/>
      <c r="L66" s="112"/>
      <c r="M66" s="122"/>
      <c r="N66" s="112"/>
      <c r="O66" s="90" t="s">
        <v>69</v>
      </c>
    </row>
    <row r="67" spans="1:15">
      <c r="A67" s="59" t="s">
        <v>59</v>
      </c>
      <c r="B67" s="120"/>
      <c r="C67" s="111"/>
      <c r="D67" s="121">
        <v>0</v>
      </c>
      <c r="E67" s="111"/>
      <c r="F67" s="111"/>
      <c r="G67" s="53">
        <v>0</v>
      </c>
      <c r="H67" s="47">
        <v>0</v>
      </c>
      <c r="I67" s="113" t="s">
        <v>68</v>
      </c>
      <c r="J67" s="91" t="s">
        <v>68</v>
      </c>
      <c r="K67" s="122"/>
      <c r="L67" s="112"/>
      <c r="M67" s="122"/>
      <c r="N67" s="112"/>
      <c r="O67" s="90" t="s">
        <v>69</v>
      </c>
    </row>
    <row r="68" spans="1:15">
      <c r="A68" s="76" t="s">
        <v>60</v>
      </c>
      <c r="B68" s="123"/>
      <c r="C68" s="124"/>
      <c r="D68" s="125">
        <v>0</v>
      </c>
      <c r="E68" s="124"/>
      <c r="F68" s="124"/>
      <c r="G68" s="84">
        <v>0</v>
      </c>
      <c r="H68" s="64">
        <v>0</v>
      </c>
      <c r="I68" s="126" t="s">
        <v>68</v>
      </c>
      <c r="J68" s="127" t="s">
        <v>68</v>
      </c>
      <c r="K68" s="128"/>
      <c r="L68" s="129"/>
      <c r="M68" s="128"/>
      <c r="N68" s="129"/>
      <c r="O68" s="300" t="s">
        <v>69</v>
      </c>
    </row>
    <row r="70" spans="1:15" ht="21">
      <c r="A70" s="130" t="s">
        <v>288</v>
      </c>
      <c r="B70" s="131"/>
      <c r="C70" s="131"/>
      <c r="D70" s="131"/>
      <c r="E70" s="132"/>
      <c r="F70" s="119"/>
      <c r="G70" s="119"/>
      <c r="H70" s="119"/>
    </row>
    <row r="71" spans="1:15" ht="25.5">
      <c r="B71" s="133" t="s">
        <v>25</v>
      </c>
      <c r="C71" s="133" t="s">
        <v>26</v>
      </c>
      <c r="D71" s="133" t="s">
        <v>27</v>
      </c>
      <c r="E71" s="133" t="s">
        <v>28</v>
      </c>
    </row>
    <row r="72" spans="1:15" ht="38.25">
      <c r="A72" s="134" t="s">
        <v>302</v>
      </c>
      <c r="B72" s="135"/>
      <c r="C72" s="342"/>
      <c r="D72" s="342"/>
      <c r="E72" s="343"/>
    </row>
    <row r="73" spans="1:15">
      <c r="A73" s="136" t="s">
        <v>360</v>
      </c>
      <c r="B73" s="137"/>
      <c r="C73" s="137"/>
      <c r="D73" s="137"/>
      <c r="E73" s="138"/>
    </row>
    <row r="74" spans="1:15">
      <c r="A74" s="59" t="s">
        <v>45</v>
      </c>
      <c r="B74" s="139">
        <v>42.418004437477251</v>
      </c>
      <c r="C74" s="139">
        <v>34.753994881306902</v>
      </c>
      <c r="D74" s="139">
        <v>46.169736176044637</v>
      </c>
      <c r="E74" s="139">
        <v>23.697043310985158</v>
      </c>
    </row>
    <row r="75" spans="1:15">
      <c r="A75" s="76" t="s">
        <v>39</v>
      </c>
      <c r="B75" s="140">
        <v>0.01</v>
      </c>
      <c r="C75" s="140">
        <v>0.02</v>
      </c>
      <c r="D75" s="140">
        <v>0.01</v>
      </c>
      <c r="E75" s="140">
        <v>0.01</v>
      </c>
    </row>
    <row r="76" spans="1:15">
      <c r="A76" s="141" t="s">
        <v>249</v>
      </c>
      <c r="B76" s="137"/>
      <c r="C76" s="142"/>
      <c r="D76" s="137"/>
      <c r="E76" s="138"/>
      <c r="G76" s="42"/>
    </row>
    <row r="77" spans="1:15">
      <c r="A77" s="143" t="s">
        <v>259</v>
      </c>
      <c r="B77" s="96"/>
      <c r="C77" s="96"/>
      <c r="D77" s="96"/>
      <c r="E77" s="44"/>
      <c r="G77" s="42"/>
    </row>
    <row r="78" spans="1:15">
      <c r="A78" s="144" t="s">
        <v>245</v>
      </c>
      <c r="B78" s="145">
        <f>AEPFFlipTargetYear</f>
        <v>8</v>
      </c>
      <c r="C78" s="145">
        <f>LPFFlipTargetYear</f>
        <v>11</v>
      </c>
      <c r="D78" s="145">
        <f>SLReturnTargetYear</f>
        <v>20</v>
      </c>
      <c r="E78" s="145">
        <f>SOReturnTargetYear</f>
        <v>30</v>
      </c>
      <c r="G78" s="146"/>
    </row>
    <row r="79" spans="1:15" ht="38.25">
      <c r="A79" s="289" t="s">
        <v>363</v>
      </c>
      <c r="B79" s="145">
        <f>'All Equity Partnership Flip'!B146</f>
        <v>9</v>
      </c>
      <c r="C79" s="145">
        <f>'Leveraged Partnership Flip'!B155</f>
        <v>12</v>
      </c>
      <c r="D79" s="145">
        <f>'Sale Leaseback'!B174</f>
        <v>20</v>
      </c>
      <c r="E79" s="145">
        <f>'Single Owner'!B116</f>
        <v>0</v>
      </c>
      <c r="G79" s="146"/>
    </row>
    <row r="80" spans="1:15">
      <c r="A80" s="144" t="s">
        <v>450</v>
      </c>
      <c r="B80" s="147">
        <f>LOOKUP(B78,'All Equity Partnership Flip'!$C$2:$AP$2,'All Equity Partnership Flip'!$C$142:$AP$142)</f>
        <v>7.5800000000000006E-2</v>
      </c>
      <c r="C80" s="147">
        <f>LOOKUP(C78,'Leveraged Partnership Flip'!$C$2:$AP$2,'Leveraged Partnership Flip'!$C$151:$AP$151)</f>
        <v>9.4700000000000006E-2</v>
      </c>
      <c r="D80" s="147">
        <f>LOOKUP(D78,'Sale Leaseback'!$C$2:$AP$2,'Sale Leaseback'!$C$170:$AP$170)</f>
        <v>0.14149999999999999</v>
      </c>
      <c r="E80" s="147">
        <f>LOOKUP(E78,'Single Owner'!$C$2:$AP$2,'Single Owner'!$C$112:$AP$112)</f>
        <v>0.1115</v>
      </c>
      <c r="G80" s="148"/>
    </row>
    <row r="81" spans="1:7">
      <c r="A81" s="143" t="s">
        <v>262</v>
      </c>
      <c r="B81" s="149">
        <f>'All Equity Partnership Flip'!B112*100</f>
        <v>46.479259436744449</v>
      </c>
      <c r="C81" s="149">
        <f>'Leveraged Partnership Flip'!B121*100</f>
        <v>41.935374570911293</v>
      </c>
      <c r="D81" s="149">
        <f>'Sale Leaseback'!B134*100</f>
        <v>50.590195703700815</v>
      </c>
      <c r="E81" s="149">
        <f>'Single Owner'!B124*100</f>
        <v>25.965884971286368</v>
      </c>
      <c r="G81" s="150"/>
    </row>
    <row r="82" spans="1:7">
      <c r="A82" s="151" t="s">
        <v>250</v>
      </c>
      <c r="B82" s="152"/>
      <c r="C82" s="152"/>
      <c r="D82" s="152"/>
      <c r="E82" s="152"/>
      <c r="G82" s="153"/>
    </row>
    <row r="83" spans="1:7">
      <c r="A83" s="63" t="s">
        <v>364</v>
      </c>
      <c r="B83" s="152"/>
      <c r="C83" s="152"/>
      <c r="D83" s="152"/>
      <c r="E83" s="152"/>
      <c r="G83" s="153"/>
    </row>
    <row r="84" spans="1:7">
      <c r="A84" s="154" t="s">
        <v>251</v>
      </c>
      <c r="B84" s="155">
        <f>LOOKUP(10,'All Equity Partnership Flip'!$C$2:$AP$2,'All Equity Partnership Flip'!$C$81:$AP$81)</f>
        <v>0.15679999999999999</v>
      </c>
      <c r="C84" s="155">
        <f>LOOKUP(10,'Leveraged Partnership Flip'!$C$2:$AP$2,'Leveraged Partnership Flip'!$C$90:$AP$90)</f>
        <v>0.1236</v>
      </c>
      <c r="D84" s="316"/>
      <c r="E84" s="155">
        <f ca="1">LOOKUP(10,'Single Owner'!$C$2:$AP$2,'Single Owner'!$B$90:$AP$90)</f>
        <v>-2.3099999999999999E-2</v>
      </c>
      <c r="G84" s="156"/>
    </row>
    <row r="85" spans="1:7">
      <c r="A85" s="154" t="s">
        <v>252</v>
      </c>
      <c r="B85" s="155">
        <f>LOOKUP(10,'All Equity Partnership Flip'!$C$2:$AP$2,'All Equity Partnership Flip'!$C$103:$AP$103)</f>
        <v>9.4399999999999998E-2</v>
      </c>
      <c r="C85" s="155">
        <f>LOOKUP(10,'Leveraged Partnership Flip'!$C$2:$AP$2,'Leveraged Partnership Flip'!$C$112:$AP$112)</f>
        <v>5.7000000000000002E-2</v>
      </c>
      <c r="D85" s="316"/>
      <c r="E85" s="155">
        <f>LOOKUP(10,'Single Owner'!$C$2:$AP$2,'Single Owner'!$C$112:$AP$112)</f>
        <v>3.95E-2</v>
      </c>
      <c r="G85" s="156"/>
    </row>
    <row r="86" spans="1:7">
      <c r="A86" s="63" t="str">
        <f>"IRR at Year - " &amp;TEXT(AnalysisPeriod,"general")</f>
        <v>IRR at Year - 30</v>
      </c>
      <c r="B86" s="152"/>
      <c r="C86" s="152"/>
      <c r="D86" s="152"/>
      <c r="E86" s="152"/>
      <c r="G86" s="153"/>
    </row>
    <row r="87" spans="1:7">
      <c r="A87" s="154" t="s">
        <v>251</v>
      </c>
      <c r="B87" s="155">
        <f>LOOKUP(AnalysisPeriod,'All Equity Partnership Flip'!$C$2:$AP$2,'All Equity Partnership Flip'!$C$81:$AP$81)</f>
        <v>0.2056</v>
      </c>
      <c r="C87" s="155">
        <f>LOOKUP(AnalysisPeriod,'Leveraged Partnership Flip'!$C$2:$AP$2,'Leveraged Partnership Flip'!$C$90:$AP$90)</f>
        <v>0.22770000000000001</v>
      </c>
      <c r="D87" s="316"/>
      <c r="E87" s="155">
        <f ca="1">LOOKUP(AnalysisPeriod,'Single Owner'!$C$2:$AP$2,'Single Owner'!$B$90:$AP$90)</f>
        <v>0.1137</v>
      </c>
      <c r="G87" s="156"/>
    </row>
    <row r="88" spans="1:7">
      <c r="A88" s="154" t="s">
        <v>252</v>
      </c>
      <c r="B88" s="155">
        <f>LOOKUP(AnalysisPeriod,'All Equity Partnership Flip'!$C$2:$AP$2,'All Equity Partnership Flip'!$C$103:$AP$103)</f>
        <v>0.15359999999999999</v>
      </c>
      <c r="C88" s="155">
        <f>LOOKUP(AnalysisPeriod,'Leveraged Partnership Flip'!$C$2:$AP$2,'Leveraged Partnership Flip'!$C$112:$AP$112)</f>
        <v>0.18990000000000001</v>
      </c>
      <c r="D88" s="316"/>
      <c r="E88" s="155">
        <f>LOOKUP(AnalysisPeriod,'Single Owner'!$C$2:$AP$2,'Single Owner'!$C$112:$AP$112)</f>
        <v>0.1115</v>
      </c>
      <c r="G88" s="156"/>
    </row>
    <row r="89" spans="1:7">
      <c r="A89" s="63" t="s">
        <v>366</v>
      </c>
      <c r="B89" s="170"/>
      <c r="C89" s="170"/>
      <c r="D89" s="170"/>
      <c r="E89" s="170"/>
      <c r="G89" s="156"/>
    </row>
    <row r="90" spans="1:7">
      <c r="A90" s="154" t="s">
        <v>251</v>
      </c>
      <c r="B90" s="157">
        <f>LOOKUP(10,'All Equity Partnership Flip'!$C$2:$AP$2,'All Equity Partnership Flip'!$C$82:$AP$82)</f>
        <v>10953492.971735224</v>
      </c>
      <c r="C90" s="157">
        <f>LOOKUP(10,'Leveraged Partnership Flip'!$C$2:$AP$2,'Leveraged Partnership Flip'!$C$91:$AP$91)</f>
        <v>2229817.9915331081</v>
      </c>
      <c r="D90" s="316"/>
      <c r="E90" s="157">
        <f>LOOKUP(10,'Single Owner'!$C$2:$AP$2,'Single Owner'!$C$91:$AP$91)</f>
        <v>-3281996.0247327155</v>
      </c>
      <c r="G90" s="156"/>
    </row>
    <row r="91" spans="1:7">
      <c r="A91" s="154" t="s">
        <v>252</v>
      </c>
      <c r="B91" s="157">
        <f>LOOKUP(10,'All Equity Partnership Flip'!$C$2:$AP$2,'All Equity Partnership Flip'!$C$104:$AP$104)</f>
        <v>1786168.1569866575</v>
      </c>
      <c r="C91" s="157">
        <f>LOOKUP(10,'Leveraged Partnership Flip'!$C$2:$AP$2,'Leveraged Partnership Flip'!$C$113:$AP$113)</f>
        <v>-754327.16262278147</v>
      </c>
      <c r="D91" s="316"/>
      <c r="E91" s="157">
        <f>LOOKUP(10,'Single Owner'!$C$2:$AP$2,'Single Owner'!$C$114:$AP$114)</f>
        <v>-1245881.4054574678</v>
      </c>
      <c r="G91" s="156"/>
    </row>
    <row r="92" spans="1:7">
      <c r="A92" s="63" t="str">
        <f>"NPV at Year - " &amp;TEXT(AnalysisPeriod,"general")</f>
        <v>NPV at Year - 30</v>
      </c>
      <c r="B92" s="152"/>
      <c r="C92" s="152"/>
      <c r="D92" s="152"/>
      <c r="E92" s="152"/>
      <c r="G92" s="153"/>
    </row>
    <row r="93" spans="1:7">
      <c r="A93" s="154" t="s">
        <v>251</v>
      </c>
      <c r="B93" s="157">
        <f>LOOKUP(AnalysisPeriod,'All Equity Partnership Flip'!$C$2:$AP$2,'All Equity Partnership Flip'!$C$82:$AP$82)</f>
        <v>40726389.706199318</v>
      </c>
      <c r="C93" s="157">
        <f>LOOKUP(AnalysisPeriod,'Leveraged Partnership Flip'!$C$2:$AP$2,'Leveraged Partnership Flip'!$C$91:$AP$91)</f>
        <v>30999998.923457213</v>
      </c>
      <c r="D93" s="316"/>
      <c r="E93" s="157">
        <f>LOOKUP(AnalysisPeriod,'Single Owner'!$C$2:$AP$2,'Single Owner'!$C$91:$AP$91)</f>
        <v>5144549.8623871934</v>
      </c>
      <c r="F93" s="158"/>
      <c r="G93" s="159"/>
    </row>
    <row r="94" spans="1:7">
      <c r="A94" s="154" t="s">
        <v>252</v>
      </c>
      <c r="B94" s="157">
        <f>LOOKUP(AnalysisPeriod,'All Equity Partnership Flip'!$C$2:$AP$2,'All Equity Partnership Flip'!$C$104:$AP$104)</f>
        <v>20280543.542209513</v>
      </c>
      <c r="C94" s="157">
        <f>LOOKUP(AnalysisPeriod,'Leveraged Partnership Flip'!$C$2:$AP$2,'Leveraged Partnership Flip'!$C$113:$AP$113)</f>
        <v>17164477.51776541</v>
      </c>
      <c r="D94" s="316"/>
      <c r="E94" s="157">
        <f>LOOKUP(AnalysisPeriod,'Single Owner'!$C$2:$AP$2,'Single Owner'!$C$114:$AP$114)</f>
        <v>2704589.3505234178</v>
      </c>
      <c r="F94" s="158"/>
      <c r="G94" s="159"/>
    </row>
    <row r="95" spans="1:7">
      <c r="A95" s="151" t="s">
        <v>260</v>
      </c>
      <c r="B95" s="160"/>
      <c r="C95" s="160"/>
      <c r="D95" s="160"/>
      <c r="E95" s="160"/>
      <c r="G95" s="153"/>
    </row>
    <row r="96" spans="1:7">
      <c r="A96" s="63" t="s">
        <v>364</v>
      </c>
      <c r="B96" s="152"/>
      <c r="C96" s="152"/>
      <c r="D96" s="152"/>
      <c r="E96" s="152"/>
      <c r="G96" s="42"/>
    </row>
    <row r="97" spans="1:7">
      <c r="A97" s="154" t="s">
        <v>251</v>
      </c>
      <c r="B97" s="155">
        <f>LOOKUP(10,'All Equity Partnership Flip'!$C$2:$AP$2,'All Equity Partnership Flip'!$C$120:$AP$120)</f>
        <v>0.1681</v>
      </c>
      <c r="C97" s="155">
        <f>LOOKUP(10,'Leveraged Partnership Flip'!$C$2:$AP$2,'Leveraged Partnership Flip'!$C$129:$AP$129)</f>
        <v>0.1236</v>
      </c>
      <c r="D97" s="155">
        <f>LOOKUP(10,'Sale Leaseback'!$C$2:$AP$2,'Sale Leaseback'!$C$145:$AP$145)</f>
        <v>0.13689999999999999</v>
      </c>
      <c r="E97" s="316"/>
      <c r="G97" s="156"/>
    </row>
    <row r="98" spans="1:7">
      <c r="A98" s="154" t="s">
        <v>252</v>
      </c>
      <c r="B98" s="155">
        <f>LOOKUP(10,'All Equity Partnership Flip'!$C$2:$AP$2,'All Equity Partnership Flip'!$C$142:$AP$142)</f>
        <v>9.6699999999999994E-2</v>
      </c>
      <c r="C98" s="155">
        <f>LOOKUP(10,'Leveraged Partnership Flip'!$C$2:$AP$2,'Leveraged Partnership Flip'!$C$151:$AP$151)</f>
        <v>5.7000000000000002E-2</v>
      </c>
      <c r="D98" s="155">
        <f>LOOKUP(10,'Sale Leaseback'!$C$2:$AP$2,'Sale Leaseback'!$C$170:$AP$170)</f>
        <v>8.9099999999999999E-2</v>
      </c>
      <c r="E98" s="316"/>
      <c r="G98" s="156"/>
    </row>
    <row r="99" spans="1:7">
      <c r="A99" s="63" t="str">
        <f>"IRR at Year - " &amp;TEXT(AnalysisPeriod,"general")</f>
        <v>IRR at Year - 30</v>
      </c>
      <c r="B99" s="152"/>
      <c r="C99" s="152"/>
      <c r="D99" s="152"/>
      <c r="E99" s="152"/>
      <c r="G99" s="156"/>
    </row>
    <row r="100" spans="1:7">
      <c r="A100" s="154" t="s">
        <v>251</v>
      </c>
      <c r="B100" s="155">
        <f>LOOKUP(AnalysisPeriod,'All Equity Partnership Flip'!$C$2:$AP$2,'All Equity Partnership Flip'!$C$120:$AP$120)</f>
        <v>0.17680000000000001</v>
      </c>
      <c r="C100" s="155">
        <f>LOOKUP(AnalysisPeriod,'Leveraged Partnership Flip'!$C$2:$AP$2,'Leveraged Partnership Flip'!$C$129:$AP$129)</f>
        <v>0.1857</v>
      </c>
      <c r="D100" s="155">
        <f>LOOKUP(AnalysisPeriod,'Sale Leaseback'!$C$2:$AP$2,'Sale Leaseback'!$C$145:$AP$145)</f>
        <v>0.19009999999999999</v>
      </c>
      <c r="E100" s="316"/>
      <c r="G100" s="159"/>
    </row>
    <row r="101" spans="1:7">
      <c r="A101" s="154" t="s">
        <v>252</v>
      </c>
      <c r="B101" s="155">
        <f>LOOKUP(AnalysisPeriod,'All Equity Partnership Flip'!$C$2:$AP$2,'All Equity Partnership Flip'!$C$142:$AP$142)</f>
        <v>0.1096</v>
      </c>
      <c r="C101" s="155">
        <f>LOOKUP(AnalysisPeriod,'Leveraged Partnership Flip'!$C$2:$AP$2,'Leveraged Partnership Flip'!$C$151:$AP$151)</f>
        <v>0.13930000000000001</v>
      </c>
      <c r="D101" s="155">
        <f>LOOKUP(AnalysisPeriod,'Sale Leaseback'!$C$2:$AP$2,'Sale Leaseback'!$C$170:$AP$170)</f>
        <v>0.14979999999999999</v>
      </c>
      <c r="E101" s="316"/>
      <c r="G101" s="159"/>
    </row>
    <row r="102" spans="1:7">
      <c r="A102" s="63" t="s">
        <v>366</v>
      </c>
      <c r="B102" s="170"/>
      <c r="C102" s="170"/>
      <c r="D102" s="170"/>
      <c r="E102" s="170"/>
      <c r="G102" s="159"/>
    </row>
    <row r="103" spans="1:7">
      <c r="A103" s="154" t="s">
        <v>251</v>
      </c>
      <c r="B103" s="157">
        <f>LOOKUP(10,'All Equity Partnership Flip'!$C$2:$AP$2,'All Equity Partnership Flip'!$C$121:$AP$121)</f>
        <v>9623776.553827662</v>
      </c>
      <c r="C103" s="157">
        <f>LOOKUP(10,'Leveraged Partnership Flip'!$C$2:$AP$2,'Leveraged Partnership Flip'!$C$130:$AP$130)</f>
        <v>2185221.631702451</v>
      </c>
      <c r="D103" s="157">
        <f>LOOKUP(10,'Sale Leaseback'!$C$2:$AP$2,'Sale Leaseback'!$C$146:$AP$146)</f>
        <v>8923097.78437379</v>
      </c>
      <c r="E103" s="316"/>
      <c r="G103" s="159"/>
    </row>
    <row r="104" spans="1:7">
      <c r="A104" s="154" t="s">
        <v>252</v>
      </c>
      <c r="B104" s="157">
        <f>LOOKUP(10,'All Equity Partnership Flip'!$C$2:$AP$2,'All Equity Partnership Flip'!$C$144:$AP$144)</f>
        <v>1615507.4225769192</v>
      </c>
      <c r="C104" s="157">
        <f>LOOKUP(10,'Leveraged Partnership Flip'!$C$2:$AP$2,'Leveraged Partnership Flip'!$C$153:$AP$153)</f>
        <v>-739240.6193703264</v>
      </c>
      <c r="D104" s="157">
        <f>LOOKUP(10,'Sale Leaseback'!$C$2:$AP$2,'Sale Leaseback'!$C$172:$AP$172)</f>
        <v>1261970.5008809939</v>
      </c>
      <c r="E104" s="316"/>
      <c r="G104" s="159"/>
    </row>
    <row r="105" spans="1:7">
      <c r="A105" s="63" t="str">
        <f>"NPV at Year - " &amp;TEXT(AnalysisPeriod,"general")</f>
        <v>NPV at Year - 30</v>
      </c>
      <c r="B105" s="152"/>
      <c r="C105" s="152"/>
      <c r="D105" s="152"/>
      <c r="E105" s="152"/>
      <c r="G105" s="159"/>
    </row>
    <row r="106" spans="1:7">
      <c r="A106" s="154" t="s">
        <v>251</v>
      </c>
      <c r="B106" s="157">
        <f>LOOKUP(AnalysisPeriod,'All Equity Partnership Flip'!$C$2:$AP$2,'All Equity Partnership Flip'!$C$121:$AP$121)</f>
        <v>12601066.227274075</v>
      </c>
      <c r="C106" s="157">
        <f>LOOKUP(AnalysisPeriod,'Leveraged Partnership Flip'!$C$2:$AP$2,'Leveraged Partnership Flip'!$C$130:$AP$130)</f>
        <v>10339592.278995529</v>
      </c>
      <c r="D106" s="157">
        <f>LOOKUP(AnalysisPeriod,'Sale Leaseback'!$C$2:$AP$2,'Sale Leaseback'!$C$146:$AP$146)</f>
        <v>39273147.258815929</v>
      </c>
      <c r="E106" s="316"/>
      <c r="G106" s="159"/>
    </row>
    <row r="107" spans="1:7">
      <c r="A107" s="154" t="s">
        <v>252</v>
      </c>
      <c r="B107" s="157">
        <f>LOOKUP(AnalysisPeriod,'All Equity Partnership Flip'!$C$2:$AP$2,'All Equity Partnership Flip'!$C$144:$AP$144)</f>
        <v>3464944.9610992037</v>
      </c>
      <c r="C107" s="157">
        <f>LOOKUP(AnalysisPeriod,'Leveraged Partnership Flip'!$C$2:$AP$2,'Leveraged Partnership Flip'!$C$153:$AP$153)</f>
        <v>4259175.9086318724</v>
      </c>
      <c r="D107" s="157">
        <f>LOOKUP(AnalysisPeriod,'Sale Leaseback'!$C$2:$AP$2,'Sale Leaseback'!$C$172:$AP$172)</f>
        <v>21381057.172787197</v>
      </c>
      <c r="E107" s="316"/>
      <c r="G107" s="159"/>
    </row>
    <row r="108" spans="1:7">
      <c r="A108" s="151" t="s">
        <v>282</v>
      </c>
      <c r="B108" s="152"/>
      <c r="C108" s="152"/>
      <c r="D108" s="152"/>
      <c r="E108" s="152"/>
      <c r="G108" s="153"/>
    </row>
    <row r="109" spans="1:7">
      <c r="A109" s="63" t="s">
        <v>364</v>
      </c>
      <c r="B109" s="152"/>
      <c r="C109" s="152"/>
      <c r="D109" s="152"/>
      <c r="E109" s="152"/>
      <c r="G109" s="153"/>
    </row>
    <row r="110" spans="1:7">
      <c r="A110" s="154" t="s">
        <v>251</v>
      </c>
      <c r="B110" s="305">
        <f>LOOKUP(10,'All Equity Partnership Flip'!$C$2:$AP$2,'All Equity Partnership Flip'!$C$162:$AP$162)</f>
        <v>0.16800000000000001</v>
      </c>
      <c r="C110" s="305" t="str">
        <f>LOOKUP(10,'Leveraged Partnership Flip'!$C$2:$AP$2,'Leveraged Partnership Flip'!$C$163:$AP$163)</f>
        <v>N/A</v>
      </c>
      <c r="D110" s="305" t="str">
        <f>LOOKUP(10,'Sale Leaseback'!$C$2:$AP$2,'Sale Leaseback'!$C$186:$AP$186)</f>
        <v>N/A</v>
      </c>
      <c r="E110" s="316"/>
      <c r="G110" s="153"/>
    </row>
    <row r="111" spans="1:7">
      <c r="A111" s="154" t="s">
        <v>252</v>
      </c>
      <c r="B111" s="305">
        <f>LOOKUP(10,'All Equity Partnership Flip'!$C$2:$AP$2,'All Equity Partnership Flip'!$C$194:$AP$194)</f>
        <v>0.11650000000000001</v>
      </c>
      <c r="C111" s="305" t="str">
        <f>LOOKUP(10,'Leveraged Partnership Flip'!$C$2:$AP$2,'Leveraged Partnership Flip'!$C$194:$AP$194)</f>
        <v>N/A</v>
      </c>
      <c r="D111" s="305">
        <f>LOOKUP(10,'Sale Leaseback'!$C$2:$AP$2,'Sale Leaseback'!$C$208:$AP$208)</f>
        <v>0.48420000000000002</v>
      </c>
      <c r="E111" s="316"/>
      <c r="G111" s="153"/>
    </row>
    <row r="112" spans="1:7">
      <c r="A112" s="63" t="str">
        <f>"IRR at Year - " &amp;TEXT(AnalysisPeriod,"general")</f>
        <v>IRR at Year - 30</v>
      </c>
      <c r="B112" s="152"/>
      <c r="C112" s="306"/>
      <c r="D112" s="306"/>
      <c r="E112" s="152"/>
      <c r="G112" s="42"/>
    </row>
    <row r="113" spans="1:8">
      <c r="A113" s="154" t="s">
        <v>251</v>
      </c>
      <c r="B113" s="305">
        <f>LOOKUP(AnalysisPeriod,'All Equity Partnership Flip'!$C$2:$AP$2,'All Equity Partnership Flip'!$C$162:$AP$162)</f>
        <v>0.27560000000000001</v>
      </c>
      <c r="C113" s="305" t="str">
        <f>LOOKUP(AnalysisPeriod,'Leveraged Partnership Flip'!$C$2:$AP$2,'Leveraged Partnership Flip'!$C$163:$AP$163)</f>
        <v>N/A</v>
      </c>
      <c r="D113" s="305" t="str">
        <f>LOOKUP(AnalysisPeriod,'Sale Leaseback'!$C$2:$AP$2,'Sale Leaseback'!$C$186:$AP$186)</f>
        <v>N/A</v>
      </c>
      <c r="E113" s="316"/>
      <c r="G113" s="156"/>
    </row>
    <row r="114" spans="1:8">
      <c r="A114" s="154" t="s">
        <v>252</v>
      </c>
      <c r="B114" s="305">
        <f>LOOKUP(AnalysisPeriod,'All Equity Partnership Flip'!$C$2:$AP$2,'All Equity Partnership Flip'!$C$194:$AP$194)</f>
        <v>0.22939999999999999</v>
      </c>
      <c r="C114" s="305" t="str">
        <f>LOOKUP(AnalysisPeriod,'Leveraged Partnership Flip'!$C$2:$AP$2,'Leveraged Partnership Flip'!$C$194:$AP$194)</f>
        <v>N/A</v>
      </c>
      <c r="D114" s="305">
        <f>LOOKUP(AnalysisPeriod,'Sale Leaseback'!$C$2:$AP$2,'Sale Leaseback'!$C$208:$AP$208)</f>
        <v>0.13100000000000001</v>
      </c>
      <c r="E114" s="316"/>
      <c r="G114" s="156"/>
    </row>
    <row r="115" spans="1:8">
      <c r="A115" s="63" t="s">
        <v>366</v>
      </c>
      <c r="B115" s="170"/>
      <c r="C115" s="170"/>
      <c r="D115" s="170"/>
      <c r="E115" s="170"/>
      <c r="G115" s="156"/>
    </row>
    <row r="116" spans="1:8">
      <c r="A116" s="154" t="s">
        <v>251</v>
      </c>
      <c r="B116" s="157">
        <f>LOOKUP(10,'All Equity Partnership Flip'!$C$2:$AP$2,'All Equity Partnership Flip'!$C$163:$AP$163)</f>
        <v>2536530.9179075696</v>
      </c>
      <c r="C116" s="157">
        <f>LOOKUP(10,'Leveraged Partnership Flip'!$C$2:$AP$2,'Leveraged Partnership Flip'!$C$164:$AP$164)</f>
        <v>1251410.8598306619</v>
      </c>
      <c r="D116" s="157">
        <f>LOOKUP(10,'Sale Leaseback'!$C$2:$AP$2,'Sale Leaseback'!$C$187:$AP$187)</f>
        <v>4519168.5522718523</v>
      </c>
      <c r="E116" s="316"/>
      <c r="G116" s="156"/>
    </row>
    <row r="117" spans="1:8">
      <c r="A117" s="154" t="s">
        <v>252</v>
      </c>
      <c r="B117" s="157">
        <f>LOOKUP(10,'All Equity Partnership Flip'!$C$2:$AP$2,'All Equity Partnership Flip'!$C$195:$AP$195)</f>
        <v>911946.54103473201</v>
      </c>
      <c r="C117" s="157">
        <f>LOOKUP(10,'Leveraged Partnership Flip'!$C$2:$AP$2,'Leveraged Partnership Flip'!$C$195:$AP$195)</f>
        <v>726199.26337254408</v>
      </c>
      <c r="D117" s="157">
        <f>LOOKUP(10,'Sale Leaseback'!$C$2:$AP$2,'Sale Leaseback'!$C$209:$AP$209)</f>
        <v>-280946.69412675919</v>
      </c>
      <c r="E117" s="316"/>
      <c r="G117" s="156"/>
    </row>
    <row r="118" spans="1:8">
      <c r="A118" s="63" t="str">
        <f>"NPV at Year - " &amp;TEXT(AnalysisPeriod,"general")</f>
        <v>NPV at Year - 30</v>
      </c>
      <c r="B118" s="152"/>
      <c r="C118" s="152"/>
      <c r="D118" s="152"/>
      <c r="E118" s="152"/>
      <c r="G118" s="156"/>
    </row>
    <row r="119" spans="1:8">
      <c r="A119" s="154" t="s">
        <v>251</v>
      </c>
      <c r="B119" s="157">
        <f>LOOKUP(AnalysisPeriod,'All Equity Partnership Flip'!$C$2:$AP$2,'All Equity Partnership Flip'!$C$163:$AP$163)</f>
        <v>29332137.978925265</v>
      </c>
      <c r="C119" s="157">
        <f>LOOKUP(AnalysisPeriod,'Leveraged Partnership Flip'!$C$2:$AP$2,'Leveraged Partnership Flip'!$C$164:$AP$164)</f>
        <v>21867221.14446168</v>
      </c>
      <c r="D119" s="157">
        <f>LOOKUP(AnalysisPeriod,'Sale Leaseback'!$C$2:$AP$2,'Sale Leaseback'!$C$187:$AP$187)</f>
        <v>7722907.7979353648</v>
      </c>
      <c r="E119" s="316"/>
      <c r="G119" s="159"/>
    </row>
    <row r="120" spans="1:8">
      <c r="A120" s="154" t="s">
        <v>252</v>
      </c>
      <c r="B120" s="157">
        <f>LOOKUP(AnalysisPeriod,'All Equity Partnership Flip'!$C$2:$AP$2,'All Equity Partnership Flip'!$C$195:$AP$195)</f>
        <v>17556884.387735322</v>
      </c>
      <c r="C120" s="157">
        <f>LOOKUP(AnalysisPeriod,'Leveraged Partnership Flip'!$C$2:$AP$2,'Leveraged Partnership Flip'!$C$195:$AP$195)</f>
        <v>13646587.41575853</v>
      </c>
      <c r="D120" s="157">
        <f>LOOKUP(AnalysisPeriod,'Sale Leaseback'!$C$2:$AP$2,'Sale Leaseback'!$C$209:$AP$209)</f>
        <v>505676.5030511542</v>
      </c>
      <c r="E120" s="316"/>
      <c r="G120" s="159"/>
    </row>
    <row r="121" spans="1:8" ht="25.5">
      <c r="A121" s="293"/>
      <c r="B121" s="85" t="str">
        <f>B$71</f>
        <v>All Equity Partnership Flip</v>
      </c>
      <c r="C121" s="85" t="str">
        <f t="shared" ref="C121:E121" si="3">C$71</f>
        <v>Leveraged Partnership Flip</v>
      </c>
      <c r="D121" s="85" t="str">
        <f t="shared" si="3"/>
        <v>Sale Leaseback</v>
      </c>
      <c r="E121" s="85" t="str">
        <f t="shared" si="3"/>
        <v>Single Owner</v>
      </c>
      <c r="G121" s="159"/>
    </row>
    <row r="122" spans="1:8">
      <c r="A122" s="136" t="s">
        <v>54</v>
      </c>
      <c r="B122" s="364"/>
      <c r="C122" s="365"/>
      <c r="D122" s="365"/>
      <c r="E122" s="366"/>
      <c r="G122" s="159"/>
    </row>
    <row r="123" spans="1:8">
      <c r="A123" s="59" t="s">
        <v>86</v>
      </c>
      <c r="B123" s="353"/>
      <c r="C123" s="354"/>
      <c r="D123" s="354"/>
      <c r="E123" s="355"/>
      <c r="F123" s="119"/>
      <c r="G123" s="119"/>
      <c r="H123" s="119"/>
    </row>
    <row r="124" spans="1:8">
      <c r="A124" s="63" t="s">
        <v>89</v>
      </c>
      <c r="B124" s="376">
        <v>10</v>
      </c>
      <c r="C124" s="377"/>
      <c r="D124" s="377"/>
      <c r="E124" s="378"/>
    </row>
    <row r="125" spans="1:8">
      <c r="A125" s="63" t="s">
        <v>91</v>
      </c>
      <c r="B125" s="379">
        <v>0.04</v>
      </c>
      <c r="C125" s="380"/>
      <c r="D125" s="380"/>
      <c r="E125" s="381"/>
    </row>
    <row r="126" spans="1:8">
      <c r="A126" s="63" t="s">
        <v>90</v>
      </c>
      <c r="B126" s="382">
        <f>PreFinancingInstalledCostTotal*(B125/12)*(B124/2)</f>
        <v>670452.5</v>
      </c>
      <c r="C126" s="383"/>
      <c r="D126" s="383"/>
      <c r="E126" s="384"/>
      <c r="G126" s="164"/>
    </row>
    <row r="127" spans="1:8">
      <c r="A127" s="63" t="s">
        <v>93</v>
      </c>
      <c r="B127" s="385">
        <v>0.01</v>
      </c>
      <c r="C127" s="386"/>
      <c r="D127" s="386"/>
      <c r="E127" s="387"/>
    </row>
    <row r="128" spans="1:8">
      <c r="A128" s="63" t="s">
        <v>92</v>
      </c>
      <c r="B128" s="388">
        <f>B127*PreFinancingInstalledCostTotal</f>
        <v>402271.5</v>
      </c>
      <c r="C128" s="389"/>
      <c r="D128" s="389"/>
      <c r="E128" s="390"/>
    </row>
    <row r="129" spans="1:8">
      <c r="A129" s="63" t="s">
        <v>94</v>
      </c>
      <c r="B129" s="382">
        <f>B126+B128</f>
        <v>1072724</v>
      </c>
      <c r="C129" s="383"/>
      <c r="D129" s="383"/>
      <c r="E129" s="384"/>
    </row>
    <row r="130" spans="1:8">
      <c r="A130" s="59" t="s">
        <v>95</v>
      </c>
      <c r="B130" s="165"/>
      <c r="C130" s="165"/>
      <c r="D130" s="165"/>
      <c r="E130" s="166"/>
    </row>
    <row r="131" spans="1:8">
      <c r="A131" s="63" t="s">
        <v>96</v>
      </c>
      <c r="B131" s="99"/>
      <c r="C131" s="167">
        <f>'Leveraged Partnership Flip'!B679</f>
        <v>21034688.385035053</v>
      </c>
      <c r="D131" s="168"/>
      <c r="E131" s="167">
        <f>'Single Owner'!B605</f>
        <v>19168694.381145895</v>
      </c>
    </row>
    <row r="132" spans="1:8">
      <c r="A132" s="63" t="s">
        <v>97</v>
      </c>
      <c r="B132" s="99"/>
      <c r="C132" s="169">
        <f>LPFDebtAmount/LPFInstalledCostTotal</f>
        <v>0.47282896656190598</v>
      </c>
      <c r="D132" s="168"/>
      <c r="E132" s="169">
        <f>SODebtAmount/SOInstalledCostTotal</f>
        <v>0.45046093544659493</v>
      </c>
    </row>
    <row r="133" spans="1:8">
      <c r="A133" s="63" t="s">
        <v>98</v>
      </c>
      <c r="B133" s="99"/>
      <c r="C133" s="163">
        <v>10</v>
      </c>
      <c r="D133" s="168"/>
      <c r="E133" s="163">
        <v>20</v>
      </c>
    </row>
    <row r="134" spans="1:8">
      <c r="A134" s="63" t="s">
        <v>316</v>
      </c>
      <c r="B134" s="99"/>
      <c r="C134" s="170">
        <v>8.5000000000000006E-2</v>
      </c>
      <c r="D134" s="168"/>
      <c r="E134" s="170">
        <v>7.0000000000000007E-2</v>
      </c>
    </row>
    <row r="135" spans="1:8">
      <c r="A135" s="63" t="s">
        <v>115</v>
      </c>
      <c r="B135" s="99"/>
      <c r="C135" s="171">
        <v>1.5</v>
      </c>
      <c r="D135" s="168"/>
      <c r="E135" s="171">
        <v>1.5</v>
      </c>
    </row>
    <row r="136" spans="1:8">
      <c r="A136" s="63" t="s">
        <v>114</v>
      </c>
      <c r="B136" s="99"/>
      <c r="C136" s="163">
        <v>6</v>
      </c>
      <c r="D136" s="168"/>
      <c r="E136" s="163">
        <v>6</v>
      </c>
    </row>
    <row r="137" spans="1:8">
      <c r="A137" s="136" t="s">
        <v>81</v>
      </c>
      <c r="B137" s="137"/>
      <c r="C137" s="137"/>
      <c r="D137" s="137"/>
      <c r="E137" s="138"/>
    </row>
    <row r="138" spans="1:8">
      <c r="A138" s="59" t="s">
        <v>54</v>
      </c>
      <c r="B138" s="88"/>
      <c r="C138" s="88"/>
      <c r="D138" s="88"/>
      <c r="E138" s="73"/>
    </row>
    <row r="139" spans="1:8">
      <c r="A139" s="63" t="s">
        <v>402</v>
      </c>
      <c r="B139" s="88"/>
      <c r="C139" s="88"/>
      <c r="D139" s="88"/>
      <c r="E139" s="73"/>
    </row>
    <row r="140" spans="1:8">
      <c r="A140" s="154" t="s">
        <v>401</v>
      </c>
      <c r="B140" s="161">
        <v>0.03</v>
      </c>
      <c r="C140" s="161">
        <v>0.03</v>
      </c>
      <c r="D140" s="161">
        <v>0.03</v>
      </c>
      <c r="E140" s="168"/>
    </row>
    <row r="141" spans="1:8">
      <c r="A141" s="154" t="s">
        <v>35</v>
      </c>
      <c r="B141" s="167">
        <f>B140*PreFinancingInstalledCostTotal</f>
        <v>1206814.5</v>
      </c>
      <c r="C141" s="167">
        <f>C140*PreFinancingInstalledCostTotal</f>
        <v>1206814.5</v>
      </c>
      <c r="D141" s="167">
        <f>D140*PreFinancingInstalledCostTotal</f>
        <v>1206814.5</v>
      </c>
      <c r="E141" s="168"/>
    </row>
    <row r="142" spans="1:8">
      <c r="A142" s="63" t="s">
        <v>88</v>
      </c>
      <c r="B142" s="168"/>
      <c r="C142" s="163">
        <v>250000</v>
      </c>
      <c r="D142" s="168"/>
      <c r="E142" s="163">
        <v>250000</v>
      </c>
      <c r="F142" s="119"/>
      <c r="G142" s="119"/>
      <c r="H142" s="119"/>
    </row>
    <row r="143" spans="1:8">
      <c r="A143" s="63" t="s">
        <v>84</v>
      </c>
      <c r="B143" s="163">
        <v>100000</v>
      </c>
      <c r="C143" s="163">
        <v>100000</v>
      </c>
      <c r="D143" s="163">
        <v>100000</v>
      </c>
      <c r="E143" s="168"/>
    </row>
    <row r="144" spans="1:8">
      <c r="A144" s="63" t="s">
        <v>85</v>
      </c>
      <c r="B144" s="168"/>
      <c r="C144" s="167">
        <f>'Leveraged Partnership Flip'!B697</f>
        <v>1480197.6101830264</v>
      </c>
      <c r="D144" s="168"/>
      <c r="E144" s="167">
        <f>'Single Owner'!B623</f>
        <v>853637.02119812695</v>
      </c>
    </row>
    <row r="145" spans="1:7">
      <c r="A145" s="63" t="s">
        <v>428</v>
      </c>
      <c r="B145" s="168"/>
      <c r="C145" s="168"/>
      <c r="D145" s="167">
        <f>'Sale Leaseback'!B713</f>
        <v>3490604.7462151214</v>
      </c>
      <c r="E145" s="168"/>
    </row>
    <row r="146" spans="1:7">
      <c r="A146" s="63" t="s">
        <v>86</v>
      </c>
      <c r="B146" s="167">
        <f>B129</f>
        <v>1072724</v>
      </c>
      <c r="C146" s="167">
        <f>B129</f>
        <v>1072724</v>
      </c>
      <c r="D146" s="167">
        <f>B129</f>
        <v>1072724</v>
      </c>
      <c r="E146" s="167">
        <f>B129</f>
        <v>1072724</v>
      </c>
    </row>
    <row r="147" spans="1:7">
      <c r="A147" s="63" t="s">
        <v>202</v>
      </c>
      <c r="B147" s="163">
        <v>150000</v>
      </c>
      <c r="C147" s="163">
        <v>150000</v>
      </c>
      <c r="D147" s="163">
        <v>150000</v>
      </c>
      <c r="E147" s="163">
        <v>150000</v>
      </c>
    </row>
    <row r="148" spans="1:7">
      <c r="A148" s="63" t="s">
        <v>474</v>
      </c>
      <c r="B148" s="172">
        <v>0</v>
      </c>
      <c r="C148" s="172">
        <v>0</v>
      </c>
      <c r="D148" s="172">
        <v>0</v>
      </c>
      <c r="E148" s="172">
        <v>0</v>
      </c>
    </row>
    <row r="149" spans="1:7">
      <c r="A149" s="63" t="s">
        <v>87</v>
      </c>
      <c r="B149" s="167">
        <f>SUM(B141:B148)</f>
        <v>2529538.5</v>
      </c>
      <c r="C149" s="167">
        <f>SUM(C141:C148)</f>
        <v>4259736.1101830266</v>
      </c>
      <c r="D149" s="167">
        <f t="shared" ref="D149:E149" si="4">SUM(D141:D148)</f>
        <v>6020143.2462151218</v>
      </c>
      <c r="E149" s="167">
        <f t="shared" si="4"/>
        <v>2326361.021198127</v>
      </c>
    </row>
    <row r="150" spans="1:7">
      <c r="A150" s="59" t="s">
        <v>83</v>
      </c>
      <c r="B150" s="88"/>
      <c r="C150" s="88"/>
      <c r="D150" s="88"/>
      <c r="E150" s="88"/>
    </row>
    <row r="151" spans="1:7">
      <c r="A151" s="63" t="s">
        <v>347</v>
      </c>
      <c r="B151" s="167">
        <f>TotalHardCosts</f>
        <v>35855000</v>
      </c>
      <c r="C151" s="167">
        <f>TotalHardCosts</f>
        <v>35855000</v>
      </c>
      <c r="D151" s="167">
        <f>TotalHardCosts</f>
        <v>35855000</v>
      </c>
      <c r="E151" s="167">
        <f>TotalHardCosts</f>
        <v>35855000</v>
      </c>
    </row>
    <row r="152" spans="1:7">
      <c r="A152" s="63" t="s">
        <v>348</v>
      </c>
      <c r="B152" s="173">
        <f>TotalSoftCosts</f>
        <v>4372150</v>
      </c>
      <c r="C152" s="173">
        <f>TotalSoftCosts</f>
        <v>4372150</v>
      </c>
      <c r="D152" s="173">
        <f>TotalSoftCosts</f>
        <v>4372150</v>
      </c>
      <c r="E152" s="173">
        <f>TotalSoftCosts</f>
        <v>4372150</v>
      </c>
    </row>
    <row r="153" spans="1:7">
      <c r="A153" s="63" t="s">
        <v>82</v>
      </c>
      <c r="B153" s="167">
        <f>SUM(B151:B152)</f>
        <v>40227150</v>
      </c>
      <c r="C153" s="167">
        <f>SUM(C151:C152)</f>
        <v>40227150</v>
      </c>
      <c r="D153" s="167">
        <f>SUM(D151:D152)</f>
        <v>40227150</v>
      </c>
      <c r="E153" s="167">
        <f>SUM(E151:E152)</f>
        <v>40227150</v>
      </c>
    </row>
    <row r="154" spans="1:7">
      <c r="A154" s="63" t="s">
        <v>108</v>
      </c>
      <c r="B154" s="173">
        <f>B149</f>
        <v>2529538.5</v>
      </c>
      <c r="C154" s="173">
        <f t="shared" ref="C154:E154" si="5">C149</f>
        <v>4259736.1101830266</v>
      </c>
      <c r="D154" s="173">
        <f t="shared" si="5"/>
        <v>6020143.2462151218</v>
      </c>
      <c r="E154" s="173">
        <f t="shared" si="5"/>
        <v>2326361.021198127</v>
      </c>
    </row>
    <row r="155" spans="1:7">
      <c r="A155" s="63" t="s">
        <v>53</v>
      </c>
      <c r="B155" s="167">
        <f>SUM(B153:B154)</f>
        <v>42756688.5</v>
      </c>
      <c r="C155" s="167">
        <f t="shared" ref="C155:E155" si="6">SUM(C153:C154)</f>
        <v>44486886.11018303</v>
      </c>
      <c r="D155" s="167">
        <f t="shared" si="6"/>
        <v>46247293.24621512</v>
      </c>
      <c r="E155" s="167">
        <f t="shared" si="6"/>
        <v>42553511.021198124</v>
      </c>
    </row>
    <row r="156" spans="1:7">
      <c r="A156" s="174" t="s">
        <v>190</v>
      </c>
      <c r="B156" s="175">
        <f>B155/CapacityDC/1000</f>
        <v>4.2756688499999997</v>
      </c>
      <c r="C156" s="175">
        <f>C155/CapacityDC/1000</f>
        <v>4.4486886110183033</v>
      </c>
      <c r="D156" s="175">
        <f>D155/CapacityDC/1000</f>
        <v>4.6247293246215122</v>
      </c>
      <c r="E156" s="175">
        <f>E155/CapacityDC/1000</f>
        <v>4.2553511021198132</v>
      </c>
    </row>
    <row r="157" spans="1:7">
      <c r="A157" s="136" t="s">
        <v>185</v>
      </c>
      <c r="B157" s="176"/>
      <c r="C157" s="176"/>
      <c r="D157" s="176"/>
      <c r="E157" s="177"/>
    </row>
    <row r="158" spans="1:7">
      <c r="A158" s="59" t="s">
        <v>34</v>
      </c>
      <c r="B158" s="178"/>
      <c r="C158" s="178"/>
      <c r="D158" s="178"/>
      <c r="E158" s="179"/>
    </row>
    <row r="159" spans="1:7">
      <c r="A159" s="63" t="s">
        <v>186</v>
      </c>
      <c r="B159" s="167">
        <f>AEPFInstalledCostTotal-SUM(B161:B163)</f>
        <v>28965458.75</v>
      </c>
      <c r="C159" s="167">
        <f>LPFInstalledCostTotal-SUM(C160:C163)</f>
        <v>9660967.9751479775</v>
      </c>
      <c r="D159" s="167">
        <f>SLInstalledCostTotal-SUM(D161:D163)</f>
        <v>32456063.49621512</v>
      </c>
      <c r="E159" s="167">
        <f>SOInstalledCostTotal-SUM(E160:E163)</f>
        <v>9593586.8900522292</v>
      </c>
      <c r="G159" s="271"/>
    </row>
    <row r="160" spans="1:7">
      <c r="A160" s="63" t="s">
        <v>99</v>
      </c>
      <c r="B160" s="99"/>
      <c r="C160" s="167">
        <f>LPFDebtAmount</f>
        <v>21034688.385035053</v>
      </c>
      <c r="D160" s="99"/>
      <c r="E160" s="167">
        <f>SODebtAmount</f>
        <v>19168694.381145895</v>
      </c>
      <c r="G160" s="271"/>
    </row>
    <row r="161" spans="1:7">
      <c r="A161" s="63" t="s">
        <v>188</v>
      </c>
      <c r="B161" s="167">
        <f>IBIFedFixed+IBIStateFixed+IBIUtilityFixed+IBIOtherFixed</f>
        <v>3750</v>
      </c>
      <c r="C161" s="167">
        <f>IBIFedFixed+IBIStateFixed+IBIUtilityFixed+IBIOtherFixed</f>
        <v>3750</v>
      </c>
      <c r="D161" s="167">
        <f>IBIFedFixed+IBIStateFixed+IBIUtilityFixed+IBIOtherFixed</f>
        <v>3750</v>
      </c>
      <c r="E161" s="167">
        <f>IBIFedFixed+IBIStateFixed+IBIUtilityFixed+IBIOtherFixed</f>
        <v>3750</v>
      </c>
    </row>
    <row r="162" spans="1:7">
      <c r="A162" s="63" t="s">
        <v>187</v>
      </c>
      <c r="B162" s="167">
        <f>IBIFedPercent+IBIStatePercent+IBIUtilityPercent+IBIOtherPercent</f>
        <v>6637479.75</v>
      </c>
      <c r="C162" s="167">
        <f>IBIFedPercent+IBIStatePercent+IBIUtilityPercent+IBIOtherPercent</f>
        <v>6637479.75</v>
      </c>
      <c r="D162" s="167">
        <f>IBIFedPercent+IBIStatePercent+IBIUtilityPercent+IBIOtherPercent</f>
        <v>6637479.75</v>
      </c>
      <c r="E162" s="167">
        <f>IBIFedPercent+IBIStatePercent+IBIUtilityPercent+IBIOtherPercent</f>
        <v>6637479.75</v>
      </c>
    </row>
    <row r="163" spans="1:7">
      <c r="A163" s="63" t="s">
        <v>189</v>
      </c>
      <c r="B163" s="173">
        <f>CBIFed+CBIState+CBIUtility+CBIOther</f>
        <v>7150000</v>
      </c>
      <c r="C163" s="173">
        <f>CBIFed+CBIState+CBIUtility+CBIOther</f>
        <v>7150000</v>
      </c>
      <c r="D163" s="173">
        <f>CBIFed+CBIState+CBIUtility+CBIOther</f>
        <v>7150000</v>
      </c>
      <c r="E163" s="173">
        <f>CBIFed+CBIState+CBIUtility+CBIOther</f>
        <v>7150000</v>
      </c>
    </row>
    <row r="164" spans="1:7">
      <c r="A164" s="180" t="s">
        <v>53</v>
      </c>
      <c r="B164" s="173">
        <f>SUM(B159:B163)</f>
        <v>42756688.5</v>
      </c>
      <c r="C164" s="173">
        <f t="shared" ref="C164:E164" si="7">SUM(C159:C163)</f>
        <v>44486886.11018303</v>
      </c>
      <c r="D164" s="173">
        <f t="shared" si="7"/>
        <v>46247293.24621512</v>
      </c>
      <c r="E164" s="173">
        <f t="shared" si="7"/>
        <v>42553511.021198124</v>
      </c>
    </row>
    <row r="165" spans="1:7">
      <c r="A165" s="59" t="s">
        <v>289</v>
      </c>
      <c r="B165" s="163"/>
      <c r="C165" s="163"/>
      <c r="D165" s="163"/>
      <c r="E165" s="163"/>
    </row>
    <row r="166" spans="1:7">
      <c r="A166" s="63" t="s">
        <v>186</v>
      </c>
      <c r="B166" s="169">
        <f>B159/B$164</f>
        <v>0.67744859965008752</v>
      </c>
      <c r="C166" s="169">
        <f>C159/C$164</f>
        <v>0.21716440101516984</v>
      </c>
      <c r="D166" s="169">
        <f>D159/D$164</f>
        <v>0.70179379630766447</v>
      </c>
      <c r="E166" s="169">
        <f>E159/E$164</f>
        <v>0.225447599030622</v>
      </c>
    </row>
    <row r="167" spans="1:7">
      <c r="A167" s="63" t="s">
        <v>99</v>
      </c>
      <c r="B167" s="181"/>
      <c r="C167" s="169">
        <f>C160/C$164</f>
        <v>0.47282896656190598</v>
      </c>
      <c r="D167" s="99"/>
      <c r="E167" s="169">
        <f>E160/E$164</f>
        <v>0.45046093544659493</v>
      </c>
    </row>
    <row r="168" spans="1:7">
      <c r="A168" s="63" t="s">
        <v>188</v>
      </c>
      <c r="B168" s="169">
        <f>B161/B$164</f>
        <v>8.7705576169679284E-5</v>
      </c>
      <c r="C168" s="169">
        <f>C161/C$164</f>
        <v>8.4294504018828738E-5</v>
      </c>
      <c r="D168" s="169">
        <f t="shared" ref="D168:E168" si="8">D161/D$164</f>
        <v>8.1085826580929693E-5</v>
      </c>
      <c r="E168" s="169">
        <f t="shared" si="8"/>
        <v>8.81243382745064E-5</v>
      </c>
    </row>
    <row r="169" spans="1:7">
      <c r="A169" s="63" t="s">
        <v>187</v>
      </c>
      <c r="B169" s="169">
        <f>B162/B$164</f>
        <v>0.15523839621022101</v>
      </c>
      <c r="C169" s="169">
        <f>C162/C$164</f>
        <v>0.14920081692300516</v>
      </c>
      <c r="D169" s="169">
        <f t="shared" ref="D169:E169" si="9">D162/D$164</f>
        <v>0.143521475184782</v>
      </c>
      <c r="E169" s="169">
        <f t="shared" si="9"/>
        <v>0.15597960287444965</v>
      </c>
    </row>
    <row r="170" spans="1:7">
      <c r="A170" s="63" t="s">
        <v>189</v>
      </c>
      <c r="B170" s="182">
        <f>B163/B$164</f>
        <v>0.16722529856352183</v>
      </c>
      <c r="C170" s="182">
        <f>C163/C$164</f>
        <v>0.16072152099590015</v>
      </c>
      <c r="D170" s="182">
        <f t="shared" ref="D170:E170" si="10">D163/D$164</f>
        <v>0.1546036426809726</v>
      </c>
      <c r="E170" s="182">
        <f t="shared" si="10"/>
        <v>0.16802373831005887</v>
      </c>
    </row>
    <row r="171" spans="1:7">
      <c r="A171" s="174" t="s">
        <v>53</v>
      </c>
      <c r="B171" s="182">
        <f>SUM(B166:B170)</f>
        <v>1</v>
      </c>
      <c r="C171" s="182">
        <f t="shared" ref="C171:E171" si="11">SUM(C166:C170)</f>
        <v>1</v>
      </c>
      <c r="D171" s="182">
        <f>SUM(D166:D170)</f>
        <v>1</v>
      </c>
      <c r="E171" s="182">
        <f t="shared" si="11"/>
        <v>1</v>
      </c>
    </row>
    <row r="172" spans="1:7" ht="25.5">
      <c r="A172" s="293"/>
      <c r="B172" s="85" t="str">
        <f>B$71</f>
        <v>All Equity Partnership Flip</v>
      </c>
      <c r="C172" s="85" t="str">
        <f t="shared" ref="C172:E172" si="12">C$71</f>
        <v>Leveraged Partnership Flip</v>
      </c>
      <c r="D172" s="85" t="str">
        <f t="shared" si="12"/>
        <v>Sale Leaseback</v>
      </c>
      <c r="E172" s="85" t="str">
        <f t="shared" si="12"/>
        <v>Single Owner</v>
      </c>
      <c r="G172" s="159"/>
    </row>
    <row r="173" spans="1:7">
      <c r="A173" s="141" t="s">
        <v>236</v>
      </c>
      <c r="B173" s="183"/>
      <c r="C173" s="183"/>
      <c r="D173" s="183"/>
      <c r="E173" s="184"/>
    </row>
    <row r="174" spans="1:7">
      <c r="A174" s="59" t="s">
        <v>224</v>
      </c>
      <c r="B174" s="163"/>
      <c r="C174" s="163"/>
      <c r="D174" s="163"/>
      <c r="E174" s="54"/>
    </row>
    <row r="175" spans="1:7">
      <c r="A175" s="63" t="s">
        <v>235</v>
      </c>
      <c r="B175" s="163"/>
      <c r="C175" s="163"/>
      <c r="D175" s="163"/>
      <c r="E175" s="54"/>
    </row>
    <row r="176" spans="1:7">
      <c r="A176" s="154" t="s">
        <v>237</v>
      </c>
      <c r="B176" s="161">
        <v>0.6</v>
      </c>
      <c r="C176" s="161">
        <v>0.98</v>
      </c>
      <c r="D176" s="327">
        <v>1</v>
      </c>
      <c r="E176" s="112"/>
    </row>
    <row r="177" spans="1:5">
      <c r="A177" s="154" t="s">
        <v>34</v>
      </c>
      <c r="B177" s="167">
        <f>B159*AEPFTEInvestment</f>
        <v>17379275.25</v>
      </c>
      <c r="C177" s="167">
        <f>C159*LPFTEInvestment</f>
        <v>9467748.6156450175</v>
      </c>
      <c r="D177" s="167">
        <f>D159*SLTEInvestment</f>
        <v>32456063.49621512</v>
      </c>
      <c r="E177" s="112"/>
    </row>
    <row r="178" spans="1:5">
      <c r="A178" s="63" t="s">
        <v>238</v>
      </c>
      <c r="B178" s="163"/>
      <c r="C178" s="163"/>
      <c r="D178" s="163"/>
      <c r="E178" s="54"/>
    </row>
    <row r="179" spans="1:5">
      <c r="A179" s="154" t="s">
        <v>237</v>
      </c>
      <c r="B179" s="155">
        <f>1-AEPFTEInvestment</f>
        <v>0.4</v>
      </c>
      <c r="C179" s="155">
        <f>1-LPFTEInvestment</f>
        <v>2.0000000000000018E-2</v>
      </c>
      <c r="D179" s="112"/>
      <c r="E179" s="47">
        <v>1</v>
      </c>
    </row>
    <row r="180" spans="1:5">
      <c r="A180" s="154" t="s">
        <v>34</v>
      </c>
      <c r="B180" s="167">
        <f>B179*B159</f>
        <v>11586183.5</v>
      </c>
      <c r="C180" s="167">
        <f>C179*C159</f>
        <v>193219.35950295973</v>
      </c>
      <c r="D180" s="112"/>
      <c r="E180" s="58">
        <f>E179*E159</f>
        <v>9593586.8900522292</v>
      </c>
    </row>
    <row r="181" spans="1:5">
      <c r="A181" s="59" t="s">
        <v>415</v>
      </c>
      <c r="B181" s="318"/>
      <c r="C181" s="318"/>
      <c r="D181" s="318"/>
      <c r="E181" s="50"/>
    </row>
    <row r="182" spans="1:5" ht="25.5">
      <c r="A182" s="154" t="s">
        <v>413</v>
      </c>
      <c r="B182" s="321" t="s">
        <v>416</v>
      </c>
      <c r="C182" s="112"/>
      <c r="D182" s="112"/>
      <c r="E182" s="112"/>
    </row>
    <row r="183" spans="1:5">
      <c r="A183" s="154" t="s">
        <v>414</v>
      </c>
      <c r="B183" s="319">
        <v>3</v>
      </c>
      <c r="C183" s="112"/>
      <c r="D183" s="112"/>
      <c r="E183" s="112"/>
    </row>
    <row r="184" spans="1:5">
      <c r="A184" s="154" t="s">
        <v>417</v>
      </c>
      <c r="B184" s="161"/>
      <c r="C184" s="112"/>
      <c r="D184" s="112"/>
      <c r="E184" s="112"/>
    </row>
    <row r="185" spans="1:5">
      <c r="A185" s="59" t="s">
        <v>239</v>
      </c>
      <c r="B185" s="163"/>
      <c r="C185" s="163"/>
      <c r="D185" s="163"/>
      <c r="E185" s="54"/>
    </row>
    <row r="186" spans="1:5">
      <c r="A186" s="63" t="s">
        <v>235</v>
      </c>
      <c r="B186" s="163"/>
      <c r="C186" s="163"/>
      <c r="D186" s="163"/>
      <c r="E186" s="54"/>
    </row>
    <row r="187" spans="1:5">
      <c r="A187" s="154" t="s">
        <v>240</v>
      </c>
      <c r="B187" s="161">
        <v>1</v>
      </c>
      <c r="C187" s="161">
        <v>0.98</v>
      </c>
      <c r="D187" s="112"/>
      <c r="E187" s="112"/>
    </row>
    <row r="188" spans="1:5">
      <c r="A188" s="154" t="s">
        <v>241</v>
      </c>
      <c r="B188" s="161">
        <v>0.1</v>
      </c>
      <c r="C188" s="161">
        <v>0.15</v>
      </c>
      <c r="D188" s="112"/>
      <c r="E188" s="112"/>
    </row>
    <row r="189" spans="1:5">
      <c r="A189" s="63" t="s">
        <v>238</v>
      </c>
      <c r="B189" s="163"/>
      <c r="C189" s="163"/>
      <c r="D189" s="54"/>
      <c r="E189" s="54"/>
    </row>
    <row r="190" spans="1:5">
      <c r="A190" s="154" t="s">
        <v>240</v>
      </c>
      <c r="B190" s="155">
        <f>1-B187</f>
        <v>0</v>
      </c>
      <c r="C190" s="155">
        <f t="shared" ref="C190" si="13">1-C187</f>
        <v>2.0000000000000018E-2</v>
      </c>
      <c r="D190" s="112"/>
      <c r="E190" s="112"/>
    </row>
    <row r="191" spans="1:5">
      <c r="A191" s="154" t="s">
        <v>241</v>
      </c>
      <c r="B191" s="155">
        <f>1-B188</f>
        <v>0.9</v>
      </c>
      <c r="C191" s="155">
        <f t="shared" ref="C191" si="14">1-C188</f>
        <v>0.85</v>
      </c>
      <c r="D191" s="112"/>
      <c r="E191" s="112"/>
    </row>
    <row r="192" spans="1:5">
      <c r="A192" s="59" t="s">
        <v>242</v>
      </c>
      <c r="B192" s="163"/>
      <c r="C192" s="163"/>
      <c r="D192" s="54"/>
      <c r="E192" s="54"/>
    </row>
    <row r="193" spans="1:5">
      <c r="A193" s="63" t="s">
        <v>235</v>
      </c>
      <c r="B193" s="163"/>
      <c r="C193" s="163"/>
      <c r="D193" s="54"/>
      <c r="E193" s="54"/>
    </row>
    <row r="194" spans="1:5">
      <c r="A194" s="154" t="s">
        <v>240</v>
      </c>
      <c r="B194" s="161">
        <v>0.99</v>
      </c>
      <c r="C194" s="161">
        <v>0.98</v>
      </c>
      <c r="D194" s="112"/>
      <c r="E194" s="112"/>
    </row>
    <row r="195" spans="1:5">
      <c r="A195" s="154" t="s">
        <v>241</v>
      </c>
      <c r="B195" s="170">
        <v>0.1</v>
      </c>
      <c r="C195" s="161">
        <v>0.15</v>
      </c>
      <c r="D195" s="112"/>
      <c r="E195" s="112"/>
    </row>
    <row r="196" spans="1:5">
      <c r="A196" s="63" t="s">
        <v>238</v>
      </c>
      <c r="B196" s="163"/>
      <c r="C196" s="163"/>
      <c r="D196" s="54"/>
      <c r="E196" s="54"/>
    </row>
    <row r="197" spans="1:5">
      <c r="A197" s="154" t="s">
        <v>240</v>
      </c>
      <c r="B197" s="155">
        <f>1-B194</f>
        <v>1.0000000000000009E-2</v>
      </c>
      <c r="C197" s="155">
        <f t="shared" ref="C197" si="15">1-C194</f>
        <v>2.0000000000000018E-2</v>
      </c>
      <c r="D197" s="112"/>
      <c r="E197" s="112"/>
    </row>
    <row r="198" spans="1:5">
      <c r="A198" s="154" t="s">
        <v>241</v>
      </c>
      <c r="B198" s="155">
        <f>1-B195</f>
        <v>0.9</v>
      </c>
      <c r="C198" s="155">
        <f t="shared" ref="C198" si="16">1-C195</f>
        <v>0.85</v>
      </c>
      <c r="D198" s="112"/>
      <c r="E198" s="112"/>
    </row>
    <row r="199" spans="1:5">
      <c r="A199" s="59" t="s">
        <v>421</v>
      </c>
      <c r="B199" s="168"/>
      <c r="C199" s="112"/>
      <c r="D199" s="106"/>
      <c r="E199" s="112"/>
    </row>
    <row r="200" spans="1:5">
      <c r="A200" s="63" t="s">
        <v>446</v>
      </c>
      <c r="B200" s="168"/>
      <c r="C200" s="112"/>
      <c r="D200" s="106"/>
      <c r="E200" s="112"/>
    </row>
    <row r="201" spans="1:5">
      <c r="A201" s="154" t="s">
        <v>427</v>
      </c>
      <c r="B201" s="168"/>
      <c r="C201" s="112"/>
      <c r="D201" s="171">
        <v>40</v>
      </c>
      <c r="E201" s="112"/>
    </row>
    <row r="202" spans="1:5">
      <c r="A202" s="154" t="s">
        <v>35</v>
      </c>
      <c r="B202" s="168"/>
      <c r="C202" s="112"/>
      <c r="D202" s="167">
        <f>D201*CapacityDC</f>
        <v>400000</v>
      </c>
      <c r="E202" s="112"/>
    </row>
    <row r="203" spans="1:5">
      <c r="A203" s="154" t="s">
        <v>422</v>
      </c>
      <c r="B203" s="168"/>
      <c r="C203" s="112"/>
      <c r="D203" s="161">
        <v>0.02</v>
      </c>
      <c r="E203" s="112"/>
    </row>
    <row r="204" spans="1:5">
      <c r="A204" s="63" t="s">
        <v>429</v>
      </c>
      <c r="B204" s="168"/>
      <c r="C204" s="112"/>
      <c r="D204" s="318">
        <v>7</v>
      </c>
      <c r="E204" s="112"/>
    </row>
    <row r="205" spans="1:5">
      <c r="A205" s="59" t="s">
        <v>244</v>
      </c>
      <c r="B205" s="161"/>
      <c r="C205" s="161"/>
      <c r="D205" s="106"/>
      <c r="E205" s="106"/>
    </row>
    <row r="206" spans="1:5">
      <c r="A206" s="63" t="s">
        <v>243</v>
      </c>
      <c r="B206" s="161">
        <v>0.09</v>
      </c>
      <c r="C206" s="161">
        <v>0.11</v>
      </c>
      <c r="D206" s="161">
        <v>0.14000000000000001</v>
      </c>
      <c r="E206" s="47">
        <v>0.15</v>
      </c>
    </row>
    <row r="207" spans="1:5">
      <c r="A207" s="63" t="s">
        <v>245</v>
      </c>
      <c r="B207" s="185">
        <v>8</v>
      </c>
      <c r="C207" s="185">
        <v>11</v>
      </c>
      <c r="D207" s="185">
        <v>20</v>
      </c>
      <c r="E207" s="186">
        <v>30</v>
      </c>
    </row>
    <row r="208" spans="1:5">
      <c r="A208" s="174" t="s">
        <v>246</v>
      </c>
      <c r="B208" s="173">
        <f>AnalysisPeriod</f>
        <v>30</v>
      </c>
      <c r="C208" s="173">
        <f>AnalysisPeriod</f>
        <v>30</v>
      </c>
      <c r="D208" s="173">
        <f>AnalysisPeriod</f>
        <v>30</v>
      </c>
      <c r="E208" s="69">
        <f>AnalysisPeriod</f>
        <v>30</v>
      </c>
    </row>
    <row r="209" spans="1:5" ht="13.5" customHeight="1">
      <c r="A209" s="136" t="s">
        <v>333</v>
      </c>
      <c r="B209" s="137"/>
      <c r="C209" s="137"/>
      <c r="D209" s="137"/>
      <c r="E209" s="138"/>
    </row>
    <row r="210" spans="1:5">
      <c r="A210" s="59" t="s">
        <v>330</v>
      </c>
      <c r="B210" s="88"/>
      <c r="C210" s="88"/>
      <c r="D210" s="88"/>
      <c r="E210" s="73"/>
    </row>
    <row r="211" spans="1:5">
      <c r="A211" s="63" t="s">
        <v>141</v>
      </c>
      <c r="B211" s="88"/>
      <c r="C211" s="88"/>
      <c r="D211" s="88"/>
      <c r="E211" s="73"/>
    </row>
    <row r="212" spans="1:5">
      <c r="A212" s="187" t="s">
        <v>142</v>
      </c>
      <c r="B212" s="161">
        <v>0.92</v>
      </c>
      <c r="C212" s="161">
        <v>0.89</v>
      </c>
      <c r="D212" s="161">
        <v>0.875</v>
      </c>
      <c r="E212" s="47">
        <v>0.9</v>
      </c>
    </row>
    <row r="213" spans="1:5">
      <c r="A213" s="187" t="s">
        <v>143</v>
      </c>
      <c r="B213" s="161">
        <v>1.4999999999999999E-2</v>
      </c>
      <c r="C213" s="161">
        <v>1.4999999999999999E-2</v>
      </c>
      <c r="D213" s="161">
        <v>1.4999999999999999E-2</v>
      </c>
      <c r="E213" s="47">
        <v>1.4999999999999999E-2</v>
      </c>
    </row>
    <row r="214" spans="1:5">
      <c r="A214" s="187" t="s">
        <v>144</v>
      </c>
      <c r="B214" s="161">
        <v>0</v>
      </c>
      <c r="C214" s="161">
        <v>0</v>
      </c>
      <c r="D214" s="161">
        <v>0</v>
      </c>
      <c r="E214" s="47">
        <v>0</v>
      </c>
    </row>
    <row r="215" spans="1:5">
      <c r="A215" s="187" t="s">
        <v>145</v>
      </c>
      <c r="B215" s="161">
        <v>1.4999999999999999E-2</v>
      </c>
      <c r="C215" s="161">
        <v>0.03</v>
      </c>
      <c r="D215" s="161">
        <v>1.4999999999999999E-2</v>
      </c>
      <c r="E215" s="47">
        <v>2.5000000000000001E-2</v>
      </c>
    </row>
    <row r="216" spans="1:5">
      <c r="A216" s="187" t="s">
        <v>146</v>
      </c>
      <c r="B216" s="161">
        <v>0.03</v>
      </c>
      <c r="C216" s="161">
        <v>0.03</v>
      </c>
      <c r="D216" s="161">
        <v>0.01</v>
      </c>
      <c r="E216" s="47">
        <v>2.5000000000000001E-2</v>
      </c>
    </row>
    <row r="217" spans="1:5">
      <c r="A217" s="187" t="s">
        <v>147</v>
      </c>
      <c r="B217" s="161">
        <v>5.0000000000000001E-3</v>
      </c>
      <c r="C217" s="161">
        <v>5.0000000000000001E-3</v>
      </c>
      <c r="D217" s="161">
        <v>5.0000000000000001E-3</v>
      </c>
      <c r="E217" s="47">
        <v>5.0000000000000001E-3</v>
      </c>
    </row>
    <row r="218" spans="1:5" ht="25.5">
      <c r="A218" s="294" t="s">
        <v>369</v>
      </c>
      <c r="B218" s="188">
        <f>1-SUM(B212:B217)</f>
        <v>1.4999999999999902E-2</v>
      </c>
      <c r="C218" s="188">
        <f t="shared" ref="C218:E218" si="17">1-SUM(C212:C217)</f>
        <v>2.9999999999999916E-2</v>
      </c>
      <c r="D218" s="188">
        <f t="shared" si="17"/>
        <v>7.999999999999996E-2</v>
      </c>
      <c r="E218" s="189">
        <f t="shared" si="17"/>
        <v>2.9999999999999916E-2</v>
      </c>
    </row>
    <row r="219" spans="1:5">
      <c r="A219" s="187" t="s">
        <v>53</v>
      </c>
      <c r="B219" s="155">
        <f>SUM(B212:B218)</f>
        <v>1</v>
      </c>
      <c r="C219" s="155">
        <f t="shared" ref="C219:E219" si="18">SUM(C212:C218)</f>
        <v>1</v>
      </c>
      <c r="D219" s="155">
        <f t="shared" si="18"/>
        <v>1</v>
      </c>
      <c r="E219" s="162">
        <f t="shared" si="18"/>
        <v>1</v>
      </c>
    </row>
    <row r="220" spans="1:5">
      <c r="A220" s="63" t="s">
        <v>149</v>
      </c>
      <c r="B220" s="96"/>
      <c r="C220" s="96"/>
      <c r="D220" s="96"/>
      <c r="E220" s="44"/>
    </row>
    <row r="221" spans="1:5">
      <c r="A221" s="187" t="s">
        <v>142</v>
      </c>
      <c r="B221" s="167">
        <f t="shared" ref="B221:B227" si="19">AEPFInstalledCostTotal*B212</f>
        <v>39336153.420000002</v>
      </c>
      <c r="C221" s="167">
        <f t="shared" ref="C221:C227" si="20">LPFInstalledCostTotal*C212</f>
        <v>39593328.638062894</v>
      </c>
      <c r="D221" s="167">
        <f t="shared" ref="D221:D227" si="21">SLInstalledCostTotal*D212</f>
        <v>40466381.590438232</v>
      </c>
      <c r="E221" s="58">
        <f t="shared" ref="E221:E228" si="22">SOInstalledCostTotal*E212</f>
        <v>38298159.919078313</v>
      </c>
    </row>
    <row r="222" spans="1:5">
      <c r="A222" s="187" t="s">
        <v>143</v>
      </c>
      <c r="B222" s="167">
        <f t="shared" si="19"/>
        <v>641350.32750000001</v>
      </c>
      <c r="C222" s="167">
        <f t="shared" si="20"/>
        <v>667303.29165274545</v>
      </c>
      <c r="D222" s="167">
        <f t="shared" si="21"/>
        <v>693709.39869322674</v>
      </c>
      <c r="E222" s="58">
        <f t="shared" si="22"/>
        <v>638302.66531797184</v>
      </c>
    </row>
    <row r="223" spans="1:5">
      <c r="A223" s="187" t="s">
        <v>144</v>
      </c>
      <c r="B223" s="167">
        <f t="shared" si="19"/>
        <v>0</v>
      </c>
      <c r="C223" s="167">
        <f t="shared" si="20"/>
        <v>0</v>
      </c>
      <c r="D223" s="167">
        <f t="shared" si="21"/>
        <v>0</v>
      </c>
      <c r="E223" s="58">
        <f t="shared" si="22"/>
        <v>0</v>
      </c>
    </row>
    <row r="224" spans="1:5">
      <c r="A224" s="187" t="s">
        <v>145</v>
      </c>
      <c r="B224" s="167">
        <f t="shared" si="19"/>
        <v>641350.32750000001</v>
      </c>
      <c r="C224" s="167">
        <f t="shared" si="20"/>
        <v>1334606.5833054909</v>
      </c>
      <c r="D224" s="167">
        <f t="shared" si="21"/>
        <v>693709.39869322674</v>
      </c>
      <c r="E224" s="58">
        <f t="shared" si="22"/>
        <v>1063837.7755299532</v>
      </c>
    </row>
    <row r="225" spans="1:5">
      <c r="A225" s="187" t="s">
        <v>146</v>
      </c>
      <c r="B225" s="167">
        <f t="shared" si="19"/>
        <v>1282700.655</v>
      </c>
      <c r="C225" s="167">
        <f t="shared" si="20"/>
        <v>1334606.5833054909</v>
      </c>
      <c r="D225" s="167">
        <f t="shared" si="21"/>
        <v>462472.93246215122</v>
      </c>
      <c r="E225" s="58">
        <f t="shared" si="22"/>
        <v>1063837.7755299532</v>
      </c>
    </row>
    <row r="226" spans="1:5">
      <c r="A226" s="187" t="s">
        <v>147</v>
      </c>
      <c r="B226" s="167">
        <f t="shared" si="19"/>
        <v>213783.4425</v>
      </c>
      <c r="C226" s="167">
        <f t="shared" si="20"/>
        <v>222434.43055091516</v>
      </c>
      <c r="D226" s="167">
        <f t="shared" si="21"/>
        <v>231236.46623107561</v>
      </c>
      <c r="E226" s="58">
        <f t="shared" si="22"/>
        <v>212767.55510599061</v>
      </c>
    </row>
    <row r="227" spans="1:5">
      <c r="A227" s="187" t="s">
        <v>148</v>
      </c>
      <c r="B227" s="173">
        <f t="shared" si="19"/>
        <v>641350.32749999582</v>
      </c>
      <c r="C227" s="173">
        <f t="shared" si="20"/>
        <v>1334606.5833054872</v>
      </c>
      <c r="D227" s="173">
        <f t="shared" si="21"/>
        <v>3699783.4596972079</v>
      </c>
      <c r="E227" s="69">
        <f t="shared" si="22"/>
        <v>1276605.3306359402</v>
      </c>
    </row>
    <row r="228" spans="1:5">
      <c r="A228" s="154" t="s">
        <v>53</v>
      </c>
      <c r="B228" s="190">
        <f>SUM(B221:B227)</f>
        <v>42756688.5</v>
      </c>
      <c r="C228" s="190">
        <f>SUM(C221:C227)</f>
        <v>44486886.11018303</v>
      </c>
      <c r="D228" s="190">
        <f>SUM(D221:D227)</f>
        <v>46247293.24621512</v>
      </c>
      <c r="E228" s="75">
        <f t="shared" si="22"/>
        <v>42553511.021198124</v>
      </c>
    </row>
    <row r="229" spans="1:5">
      <c r="A229" s="136" t="s">
        <v>331</v>
      </c>
      <c r="B229" s="367"/>
      <c r="C229" s="368"/>
      <c r="D229" s="368"/>
      <c r="E229" s="369"/>
    </row>
    <row r="230" spans="1:5">
      <c r="A230" s="59" t="s">
        <v>334</v>
      </c>
      <c r="B230" s="370"/>
      <c r="C230" s="371"/>
      <c r="D230" s="371"/>
      <c r="E230" s="372"/>
    </row>
    <row r="231" spans="1:5">
      <c r="A231" s="63" t="s">
        <v>338</v>
      </c>
      <c r="B231" s="373">
        <v>0.05</v>
      </c>
      <c r="C231" s="374"/>
      <c r="D231" s="374"/>
      <c r="E231" s="375"/>
    </row>
    <row r="232" spans="1:5">
      <c r="A232" s="63" t="s">
        <v>335</v>
      </c>
      <c r="B232" s="353"/>
      <c r="C232" s="354"/>
      <c r="D232" s="354"/>
      <c r="E232" s="355"/>
    </row>
    <row r="233" spans="1:5">
      <c r="A233" s="192" t="s">
        <v>142</v>
      </c>
      <c r="B233" s="356" t="s">
        <v>68</v>
      </c>
      <c r="C233" s="357"/>
      <c r="D233" s="357"/>
      <c r="E233" s="358"/>
    </row>
    <row r="234" spans="1:5">
      <c r="A234" s="192" t="s">
        <v>143</v>
      </c>
      <c r="B234" s="356" t="s">
        <v>69</v>
      </c>
      <c r="C234" s="357"/>
      <c r="D234" s="357"/>
      <c r="E234" s="358"/>
    </row>
    <row r="235" spans="1:5">
      <c r="A235" s="192" t="s">
        <v>144</v>
      </c>
      <c r="B235" s="356" t="s">
        <v>69</v>
      </c>
      <c r="C235" s="357"/>
      <c r="D235" s="357"/>
      <c r="E235" s="358"/>
    </row>
    <row r="236" spans="1:5">
      <c r="A236" s="192" t="s">
        <v>145</v>
      </c>
      <c r="B236" s="356" t="s">
        <v>69</v>
      </c>
      <c r="C236" s="357"/>
      <c r="D236" s="357"/>
      <c r="E236" s="358"/>
    </row>
    <row r="237" spans="1:5">
      <c r="A237" s="192" t="s">
        <v>146</v>
      </c>
      <c r="B237" s="356" t="s">
        <v>69</v>
      </c>
      <c r="C237" s="357"/>
      <c r="D237" s="357"/>
      <c r="E237" s="358"/>
    </row>
    <row r="238" spans="1:5">
      <c r="A238" s="192" t="s">
        <v>147</v>
      </c>
      <c r="B238" s="356" t="s">
        <v>69</v>
      </c>
      <c r="C238" s="357"/>
      <c r="D238" s="357"/>
      <c r="E238" s="358"/>
    </row>
    <row r="239" spans="1:5">
      <c r="A239" s="59" t="s">
        <v>336</v>
      </c>
      <c r="B239" s="356"/>
      <c r="C239" s="357"/>
      <c r="D239" s="357"/>
      <c r="E239" s="358"/>
    </row>
    <row r="240" spans="1:5">
      <c r="A240" s="63" t="s">
        <v>336</v>
      </c>
      <c r="B240" s="373">
        <v>0.1</v>
      </c>
      <c r="C240" s="374"/>
      <c r="D240" s="374"/>
      <c r="E240" s="375"/>
    </row>
    <row r="241" spans="1:5">
      <c r="A241" s="63" t="s">
        <v>335</v>
      </c>
      <c r="B241" s="356"/>
      <c r="C241" s="357"/>
      <c r="D241" s="357"/>
      <c r="E241" s="358"/>
    </row>
    <row r="242" spans="1:5">
      <c r="A242" s="195" t="s">
        <v>142</v>
      </c>
      <c r="B242" s="356" t="s">
        <v>68</v>
      </c>
      <c r="C242" s="357"/>
      <c r="D242" s="357"/>
      <c r="E242" s="358"/>
    </row>
    <row r="243" spans="1:5">
      <c r="A243" s="195" t="s">
        <v>143</v>
      </c>
      <c r="B243" s="356" t="s">
        <v>69</v>
      </c>
      <c r="C243" s="357"/>
      <c r="D243" s="357"/>
      <c r="E243" s="358"/>
    </row>
    <row r="244" spans="1:5">
      <c r="A244" s="195" t="s">
        <v>144</v>
      </c>
      <c r="B244" s="356" t="s">
        <v>69</v>
      </c>
      <c r="C244" s="357"/>
      <c r="D244" s="357"/>
      <c r="E244" s="358"/>
    </row>
    <row r="245" spans="1:5">
      <c r="A245" s="195" t="s">
        <v>145</v>
      </c>
      <c r="B245" s="356" t="s">
        <v>69</v>
      </c>
      <c r="C245" s="357"/>
      <c r="D245" s="357"/>
      <c r="E245" s="358"/>
    </row>
    <row r="246" spans="1:5">
      <c r="A246" s="195" t="s">
        <v>146</v>
      </c>
      <c r="B246" s="356" t="s">
        <v>69</v>
      </c>
      <c r="C246" s="357"/>
      <c r="D246" s="357"/>
      <c r="E246" s="358"/>
    </row>
    <row r="247" spans="1:5">
      <c r="A247" s="196" t="s">
        <v>147</v>
      </c>
      <c r="B247" s="361" t="s">
        <v>69</v>
      </c>
      <c r="C247" s="362"/>
      <c r="D247" s="362"/>
      <c r="E247" s="363"/>
    </row>
    <row r="248" spans="1:5">
      <c r="A248" s="136" t="s">
        <v>33</v>
      </c>
      <c r="B248" s="364"/>
      <c r="C248" s="365"/>
      <c r="D248" s="365"/>
      <c r="E248" s="366"/>
    </row>
    <row r="249" spans="1:5">
      <c r="A249" s="59" t="s">
        <v>162</v>
      </c>
      <c r="B249" s="353"/>
      <c r="C249" s="354"/>
      <c r="D249" s="354"/>
      <c r="E249" s="355"/>
    </row>
    <row r="250" spans="1:5">
      <c r="A250" s="57" t="s">
        <v>290</v>
      </c>
      <c r="B250" s="353"/>
      <c r="C250" s="354"/>
      <c r="D250" s="354"/>
      <c r="E250" s="355"/>
    </row>
    <row r="251" spans="1:5">
      <c r="A251" s="187" t="s">
        <v>142</v>
      </c>
      <c r="B251" s="356" t="s">
        <v>68</v>
      </c>
      <c r="C251" s="357"/>
      <c r="D251" s="357"/>
      <c r="E251" s="358"/>
    </row>
    <row r="252" spans="1:5">
      <c r="A252" s="187" t="s">
        <v>143</v>
      </c>
      <c r="B252" s="356" t="s">
        <v>69</v>
      </c>
      <c r="C252" s="357"/>
      <c r="D252" s="357"/>
      <c r="E252" s="358"/>
    </row>
    <row r="253" spans="1:5">
      <c r="A253" s="187" t="s">
        <v>144</v>
      </c>
      <c r="B253" s="356" t="s">
        <v>69</v>
      </c>
      <c r="C253" s="357"/>
      <c r="D253" s="357"/>
      <c r="E253" s="358"/>
    </row>
    <row r="254" spans="1:5">
      <c r="A254" s="187" t="s">
        <v>145</v>
      </c>
      <c r="B254" s="356" t="s">
        <v>69</v>
      </c>
      <c r="C254" s="357"/>
      <c r="D254" s="357"/>
      <c r="E254" s="358"/>
    </row>
    <row r="255" spans="1:5">
      <c r="A255" s="187" t="s">
        <v>146</v>
      </c>
      <c r="B255" s="356" t="s">
        <v>69</v>
      </c>
      <c r="C255" s="357"/>
      <c r="D255" s="357"/>
      <c r="E255" s="358"/>
    </row>
    <row r="256" spans="1:5">
      <c r="A256" s="187" t="s">
        <v>147</v>
      </c>
      <c r="B256" s="356" t="s">
        <v>69</v>
      </c>
      <c r="C256" s="357"/>
      <c r="D256" s="357"/>
      <c r="E256" s="358"/>
    </row>
    <row r="257" spans="1:5">
      <c r="A257" s="59" t="s">
        <v>179</v>
      </c>
      <c r="B257" s="356"/>
      <c r="C257" s="357"/>
      <c r="D257" s="357"/>
      <c r="E257" s="358"/>
    </row>
    <row r="258" spans="1:5">
      <c r="A258" s="57" t="s">
        <v>290</v>
      </c>
      <c r="B258" s="356"/>
      <c r="C258" s="357"/>
      <c r="D258" s="357"/>
      <c r="E258" s="358"/>
    </row>
    <row r="259" spans="1:5">
      <c r="A259" s="187" t="s">
        <v>142</v>
      </c>
      <c r="B259" s="356" t="s">
        <v>68</v>
      </c>
      <c r="C259" s="357"/>
      <c r="D259" s="357"/>
      <c r="E259" s="358"/>
    </row>
    <row r="260" spans="1:5">
      <c r="A260" s="187" t="s">
        <v>143</v>
      </c>
      <c r="B260" s="356" t="s">
        <v>69</v>
      </c>
      <c r="C260" s="357"/>
      <c r="D260" s="357"/>
      <c r="E260" s="358"/>
    </row>
    <row r="261" spans="1:5">
      <c r="A261" s="187" t="s">
        <v>144</v>
      </c>
      <c r="B261" s="356" t="s">
        <v>69</v>
      </c>
      <c r="C261" s="357"/>
      <c r="D261" s="357"/>
      <c r="E261" s="358"/>
    </row>
    <row r="262" spans="1:5">
      <c r="A262" s="187" t="s">
        <v>145</v>
      </c>
      <c r="B262" s="356" t="s">
        <v>69</v>
      </c>
      <c r="C262" s="357"/>
      <c r="D262" s="357"/>
      <c r="E262" s="358"/>
    </row>
    <row r="263" spans="1:5">
      <c r="A263" s="187" t="s">
        <v>146</v>
      </c>
      <c r="B263" s="356" t="s">
        <v>69</v>
      </c>
      <c r="C263" s="357"/>
      <c r="D263" s="357"/>
      <c r="E263" s="358"/>
    </row>
    <row r="264" spans="1:5">
      <c r="A264" s="197" t="s">
        <v>147</v>
      </c>
      <c r="B264" s="361" t="s">
        <v>69</v>
      </c>
      <c r="C264" s="362"/>
      <c r="D264" s="362"/>
      <c r="E264" s="363"/>
    </row>
  </sheetData>
  <mergeCells count="45">
    <mergeCell ref="B122:E122"/>
    <mergeCell ref="B123:E123"/>
    <mergeCell ref="B229:E229"/>
    <mergeCell ref="B230:E230"/>
    <mergeCell ref="B248:E248"/>
    <mergeCell ref="B231:E231"/>
    <mergeCell ref="B240:E240"/>
    <mergeCell ref="B246:E246"/>
    <mergeCell ref="B124:E124"/>
    <mergeCell ref="B125:E125"/>
    <mergeCell ref="B126:E126"/>
    <mergeCell ref="B127:E127"/>
    <mergeCell ref="B128:E128"/>
    <mergeCell ref="B129:E129"/>
    <mergeCell ref="B243:E243"/>
    <mergeCell ref="B244:E244"/>
    <mergeCell ref="B245:E245"/>
    <mergeCell ref="B233:E233"/>
    <mergeCell ref="B234:E234"/>
    <mergeCell ref="B235:E235"/>
    <mergeCell ref="B236:E236"/>
    <mergeCell ref="B237:E237"/>
    <mergeCell ref="B239:E239"/>
    <mergeCell ref="B264:E264"/>
    <mergeCell ref="B259:E259"/>
    <mergeCell ref="B260:E260"/>
    <mergeCell ref="B261:E261"/>
    <mergeCell ref="B262:E262"/>
    <mergeCell ref="B263:E263"/>
    <mergeCell ref="B249:E249"/>
    <mergeCell ref="B250:E250"/>
    <mergeCell ref="B257:E257"/>
    <mergeCell ref="B258:E258"/>
    <mergeCell ref="D30:E30"/>
    <mergeCell ref="B252:E252"/>
    <mergeCell ref="B253:E253"/>
    <mergeCell ref="B254:E254"/>
    <mergeCell ref="B255:E255"/>
    <mergeCell ref="B256:E256"/>
    <mergeCell ref="B247:E247"/>
    <mergeCell ref="B232:E232"/>
    <mergeCell ref="B241:E241"/>
    <mergeCell ref="B251:E251"/>
    <mergeCell ref="B238:E238"/>
    <mergeCell ref="B242:E242"/>
  </mergeCells>
  <conditionalFormatting sqref="C79">
    <cfRule type="cellIs" dxfId="8" priority="5" operator="notEqual">
      <formula>$C$78</formula>
    </cfRule>
  </conditionalFormatting>
  <conditionalFormatting sqref="B218:E218">
    <cfRule type="cellIs" dxfId="7" priority="4" operator="lessThan">
      <formula>0</formula>
    </cfRule>
  </conditionalFormatting>
  <conditionalFormatting sqref="E79">
    <cfRule type="cellIs" dxfId="6" priority="3" operator="notEqual">
      <formula>$E$78</formula>
    </cfRule>
  </conditionalFormatting>
  <conditionalFormatting sqref="B79">
    <cfRule type="cellIs" dxfId="5" priority="2" operator="notEqual">
      <formula>$B$78</formula>
    </cfRule>
  </conditionalFormatting>
  <conditionalFormatting sqref="D79">
    <cfRule type="cellIs" dxfId="4" priority="1" operator="notEqual">
      <formula>$D$78</formula>
    </cfRule>
  </conditionalFormatting>
  <dataValidations count="5">
    <dataValidation type="list" allowBlank="1" showInputMessage="1" showErrorMessage="1" sqref="B233:B238 B259:B264 B242:B247 B251:B256 I55:N58 I60:N63 I65:J68 O65:O68 D38:E39 D34:E35 I50:N53">
      <formula1>"Yes,No"</formula1>
    </dataValidation>
    <dataValidation type="list" allowBlank="1" showInputMessage="1" showErrorMessage="1" sqref="J28:J29">
      <formula1>$A$212:$A$217</formula1>
    </dataValidation>
    <dataValidation type="list" allowBlank="1" showInputMessage="1" showErrorMessage="1" sqref="B183">
      <formula1>"1,2,3,4,5,6,7,8,9,10"</formula1>
    </dataValidation>
    <dataValidation type="list" allowBlank="1" showInputMessage="1" showErrorMessage="1" sqref="B182">
      <formula1>"Time, Full Capital Recovery"</formula1>
    </dataValidation>
    <dataValidation type="list" allowBlank="1" showInputMessage="1" showErrorMessage="1" sqref="D204 C136 E136">
      <formula1>"0,1,2,3,4,5,6,7,8,9,10,11,12"</formula1>
    </dataValidation>
  </dataValidations>
  <pageMargins left="0.5" right="0.5" top="0.5" bottom="0.75" header="0.3" footer="0.3"/>
  <pageSetup scale="85" pageOrder="overThenDown" orientation="landscape" horizontalDpi="4294967294" r:id="rId1"/>
  <headerFooter>
    <oddFooter>&amp;L&amp;F&amp;RPage &amp;Pof &amp;N</oddFooter>
  </headerFooter>
  <rowBreaks count="1" manualBreakCount="1">
    <brk id="44" max="14" man="1"/>
  </rowBreaks>
  <legacyDrawing r:id="rId2"/>
</worksheet>
</file>

<file path=xl/worksheets/sheet2.xml><?xml version="1.0" encoding="utf-8"?>
<worksheet xmlns="http://schemas.openxmlformats.org/spreadsheetml/2006/main" xmlns:r="http://schemas.openxmlformats.org/officeDocument/2006/relationships">
  <sheetPr codeName="Sheet8"/>
  <dimension ref="A1:AS771"/>
  <sheetViews>
    <sheetView zoomScaleNormal="100" workbookViewId="0">
      <pane xSplit="1" ySplit="2" topLeftCell="B3" activePane="bottomRight" state="frozen"/>
      <selection activeCell="G85" sqref="G85"/>
      <selection pane="topRight" activeCell="G85" sqref="G85"/>
      <selection pane="bottomLeft" activeCell="G85" sqref="G85"/>
      <selection pane="bottomRight" activeCell="B3" sqref="B3"/>
    </sheetView>
  </sheetViews>
  <sheetFormatPr defaultRowHeight="12.75"/>
  <cols>
    <col min="1" max="1" width="39.42578125" style="37" customWidth="1"/>
    <col min="2" max="2" width="14.85546875" style="37" customWidth="1"/>
    <col min="3" max="3" width="12.5703125" style="37" customWidth="1"/>
    <col min="4" max="9" width="11.5703125" style="37" customWidth="1"/>
    <col min="10" max="10" width="12.7109375" style="37" customWidth="1"/>
    <col min="11" max="31" width="11.5703125" style="37" customWidth="1"/>
    <col min="32" max="32" width="11.42578125" style="37" customWidth="1"/>
    <col min="33" max="42" width="11.5703125" style="37" customWidth="1"/>
    <col min="43" max="16384" width="9.140625" style="37"/>
  </cols>
  <sheetData>
    <row r="1" spans="1:42" ht="21">
      <c r="A1" s="198" t="s">
        <v>25</v>
      </c>
    </row>
    <row r="2" spans="1:42">
      <c r="A2" s="37" t="s">
        <v>31</v>
      </c>
      <c r="B2" s="199">
        <v>0</v>
      </c>
      <c r="C2" s="199">
        <f>B2+1</f>
        <v>1</v>
      </c>
      <c r="D2" s="199">
        <f t="shared" ref="D2:AP2" si="0">C2+1</f>
        <v>2</v>
      </c>
      <c r="E2" s="199">
        <f t="shared" si="0"/>
        <v>3</v>
      </c>
      <c r="F2" s="199">
        <f t="shared" si="0"/>
        <v>4</v>
      </c>
      <c r="G2" s="199">
        <f t="shared" si="0"/>
        <v>5</v>
      </c>
      <c r="H2" s="199">
        <f t="shared" si="0"/>
        <v>6</v>
      </c>
      <c r="I2" s="199">
        <f t="shared" si="0"/>
        <v>7</v>
      </c>
      <c r="J2" s="199">
        <f t="shared" si="0"/>
        <v>8</v>
      </c>
      <c r="K2" s="199">
        <f t="shared" si="0"/>
        <v>9</v>
      </c>
      <c r="L2" s="199">
        <f t="shared" si="0"/>
        <v>10</v>
      </c>
      <c r="M2" s="199">
        <f t="shared" si="0"/>
        <v>11</v>
      </c>
      <c r="N2" s="199">
        <f t="shared" si="0"/>
        <v>12</v>
      </c>
      <c r="O2" s="199">
        <f t="shared" si="0"/>
        <v>13</v>
      </c>
      <c r="P2" s="199">
        <f t="shared" si="0"/>
        <v>14</v>
      </c>
      <c r="Q2" s="199">
        <f t="shared" si="0"/>
        <v>15</v>
      </c>
      <c r="R2" s="199">
        <f t="shared" si="0"/>
        <v>16</v>
      </c>
      <c r="S2" s="199">
        <f t="shared" si="0"/>
        <v>17</v>
      </c>
      <c r="T2" s="199">
        <f t="shared" si="0"/>
        <v>18</v>
      </c>
      <c r="U2" s="199">
        <f t="shared" si="0"/>
        <v>19</v>
      </c>
      <c r="V2" s="199">
        <f t="shared" si="0"/>
        <v>20</v>
      </c>
      <c r="W2" s="199">
        <f t="shared" si="0"/>
        <v>21</v>
      </c>
      <c r="X2" s="199">
        <f t="shared" si="0"/>
        <v>22</v>
      </c>
      <c r="Y2" s="199">
        <f t="shared" si="0"/>
        <v>23</v>
      </c>
      <c r="Z2" s="199">
        <f t="shared" si="0"/>
        <v>24</v>
      </c>
      <c r="AA2" s="199">
        <f t="shared" si="0"/>
        <v>25</v>
      </c>
      <c r="AB2" s="199">
        <f t="shared" si="0"/>
        <v>26</v>
      </c>
      <c r="AC2" s="199">
        <f t="shared" si="0"/>
        <v>27</v>
      </c>
      <c r="AD2" s="199">
        <f t="shared" si="0"/>
        <v>28</v>
      </c>
      <c r="AE2" s="199">
        <f t="shared" si="0"/>
        <v>29</v>
      </c>
      <c r="AF2" s="199">
        <f>AE2+1</f>
        <v>30</v>
      </c>
      <c r="AG2" s="199">
        <f t="shared" si="0"/>
        <v>31</v>
      </c>
      <c r="AH2" s="199">
        <f t="shared" si="0"/>
        <v>32</v>
      </c>
      <c r="AI2" s="199">
        <f t="shared" si="0"/>
        <v>33</v>
      </c>
      <c r="AJ2" s="199">
        <f t="shared" si="0"/>
        <v>34</v>
      </c>
      <c r="AK2" s="199">
        <f t="shared" si="0"/>
        <v>35</v>
      </c>
      <c r="AL2" s="199">
        <f t="shared" si="0"/>
        <v>36</v>
      </c>
      <c r="AM2" s="199">
        <f>AL2+1</f>
        <v>37</v>
      </c>
      <c r="AN2" s="199">
        <f t="shared" si="0"/>
        <v>38</v>
      </c>
      <c r="AO2" s="199">
        <f t="shared" si="0"/>
        <v>39</v>
      </c>
      <c r="AP2" s="199">
        <f t="shared" si="0"/>
        <v>40</v>
      </c>
    </row>
    <row r="3" spans="1:42">
      <c r="B3" s="200"/>
      <c r="C3" s="200"/>
      <c r="D3" s="200"/>
      <c r="E3" s="200"/>
      <c r="F3" s="200"/>
      <c r="G3" s="200"/>
      <c r="H3" s="200"/>
      <c r="I3" s="200"/>
      <c r="J3" s="200"/>
      <c r="K3" s="200"/>
      <c r="L3" s="200"/>
      <c r="M3" s="200"/>
      <c r="N3" s="200"/>
      <c r="O3" s="200"/>
      <c r="P3" s="200"/>
      <c r="Q3" s="200"/>
      <c r="R3" s="200"/>
      <c r="S3" s="200"/>
      <c r="T3" s="200"/>
      <c r="U3" s="200"/>
      <c r="V3" s="200"/>
      <c r="W3" s="200"/>
      <c r="X3" s="200"/>
      <c r="Y3" s="200"/>
      <c r="Z3" s="200"/>
      <c r="AA3" s="200"/>
      <c r="AB3" s="200"/>
      <c r="AC3" s="200"/>
      <c r="AD3" s="200"/>
      <c r="AE3" s="200"/>
      <c r="AF3" s="200"/>
      <c r="AG3" s="200"/>
      <c r="AH3" s="200"/>
      <c r="AI3" s="200"/>
      <c r="AJ3" s="200"/>
      <c r="AK3" s="200"/>
      <c r="AL3" s="200"/>
      <c r="AM3" s="200"/>
      <c r="AN3" s="200"/>
      <c r="AO3" s="200"/>
      <c r="AP3" s="200"/>
    </row>
    <row r="4" spans="1:42">
      <c r="A4" s="201" t="s">
        <v>46</v>
      </c>
    </row>
    <row r="5" spans="1:42">
      <c r="A5" s="202" t="s">
        <v>47</v>
      </c>
      <c r="C5" s="164">
        <f>IF(C2&lt;=AnalysisPeriod,LOOKUP(C2,'Inputs &amp; Results'!$L$4:$L$43,'Inputs &amp; Results'!$M$4:$M$43),0)</f>
        <v>17000000</v>
      </c>
      <c r="D5" s="164">
        <f>IF(D2&lt;=AnalysisPeriod,LOOKUP(D2,'Inputs &amp; Results'!$L$4:$L$43,'Inputs &amp; Results'!$M$4:$M$43),0)</f>
        <v>16915000</v>
      </c>
      <c r="E5" s="164">
        <f>IF(E2&lt;=AnalysisPeriod,LOOKUP(E2,'Inputs &amp; Results'!$L$4:$L$43,'Inputs &amp; Results'!$M$4:$M$43),0)</f>
        <v>16830425</v>
      </c>
      <c r="F5" s="164">
        <f>IF(F2&lt;=AnalysisPeriod,LOOKUP(F2,'Inputs &amp; Results'!$L$4:$L$43,'Inputs &amp; Results'!$M$4:$M$43),0)</f>
        <v>16746272.875</v>
      </c>
      <c r="G5" s="164">
        <f>IF(G2&lt;=AnalysisPeriod,LOOKUP(G2,'Inputs &amp; Results'!$L$4:$L$43,'Inputs &amp; Results'!$M$4:$M$43),0)</f>
        <v>16662541.510624999</v>
      </c>
      <c r="H5" s="164">
        <f>IF(H2&lt;=AnalysisPeriod,LOOKUP(H2,'Inputs &amp; Results'!$L$4:$L$43,'Inputs &amp; Results'!$M$4:$M$43),0)</f>
        <v>16579228.803071873</v>
      </c>
      <c r="I5" s="164">
        <f>IF(I2&lt;=AnalysisPeriod,LOOKUP(I2,'Inputs &amp; Results'!$L$4:$L$43,'Inputs &amp; Results'!$M$4:$M$43),0)</f>
        <v>16496332.659056515</v>
      </c>
      <c r="J5" s="164">
        <f>IF(J2&lt;=AnalysisPeriod,LOOKUP(J2,'Inputs &amp; Results'!$L$4:$L$43,'Inputs &amp; Results'!$M$4:$M$43),0)</f>
        <v>16413850.995761232</v>
      </c>
      <c r="K5" s="164">
        <f>IF(K2&lt;=AnalysisPeriod,LOOKUP(K2,'Inputs &amp; Results'!$L$4:$L$43,'Inputs &amp; Results'!$M$4:$M$43),0)</f>
        <v>16331781.740782427</v>
      </c>
      <c r="L5" s="164">
        <f>IF(L2&lt;=AnalysisPeriod,LOOKUP(L2,'Inputs &amp; Results'!$L$4:$L$43,'Inputs &amp; Results'!$M$4:$M$43),0)</f>
        <v>16250122.832078515</v>
      </c>
      <c r="M5" s="164">
        <f>IF(M2&lt;=AnalysisPeriod,LOOKUP(M2,'Inputs &amp; Results'!$L$4:$L$43,'Inputs &amp; Results'!$M$4:$M$43),0)</f>
        <v>16168872.217918122</v>
      </c>
      <c r="N5" s="164">
        <f>IF(N2&lt;=AnalysisPeriod,LOOKUP(N2,'Inputs &amp; Results'!$L$4:$L$43,'Inputs &amp; Results'!$M$4:$M$43),0)</f>
        <v>16088027.856828531</v>
      </c>
      <c r="O5" s="164">
        <f>IF(O2&lt;=AnalysisPeriod,LOOKUP(O2,'Inputs &amp; Results'!$L$4:$L$43,'Inputs &amp; Results'!$M$4:$M$43),0)</f>
        <v>16007587.717544388</v>
      </c>
      <c r="P5" s="164">
        <f>IF(P2&lt;=AnalysisPeriod,LOOKUP(P2,'Inputs &amp; Results'!$L$4:$L$43,'Inputs &amp; Results'!$M$4:$M$43),0)</f>
        <v>15927549.778956667</v>
      </c>
      <c r="Q5" s="164">
        <f>IF(Q2&lt;=AnalysisPeriod,LOOKUP(Q2,'Inputs &amp; Results'!$L$4:$L$43,'Inputs &amp; Results'!$M$4:$M$43),0)</f>
        <v>15847912.030061884</v>
      </c>
      <c r="R5" s="164">
        <f>IF(R2&lt;=AnalysisPeriod,LOOKUP(R2,'Inputs &amp; Results'!$L$4:$L$43,'Inputs &amp; Results'!$M$4:$M$43),0)</f>
        <v>15768672.469911573</v>
      </c>
      <c r="S5" s="164">
        <f>IF(S2&lt;=AnalysisPeriod,LOOKUP(S2,'Inputs &amp; Results'!$L$4:$L$43,'Inputs &amp; Results'!$M$4:$M$43),0)</f>
        <v>15689829.107562015</v>
      </c>
      <c r="T5" s="164">
        <f>IF(T2&lt;=AnalysisPeriod,LOOKUP(T2,'Inputs &amp; Results'!$L$4:$L$43,'Inputs &amp; Results'!$M$4:$M$43),0)</f>
        <v>15611379.962024204</v>
      </c>
      <c r="U5" s="164">
        <f>IF(U2&lt;=AnalysisPeriod,LOOKUP(U2,'Inputs &amp; Results'!$L$4:$L$43,'Inputs &amp; Results'!$M$4:$M$43),0)</f>
        <v>15533323.062214084</v>
      </c>
      <c r="V5" s="164">
        <f>IF(V2&lt;=AnalysisPeriod,LOOKUP(V2,'Inputs &amp; Results'!$L$4:$L$43,'Inputs &amp; Results'!$M$4:$M$43),0)</f>
        <v>15455656.446903013</v>
      </c>
      <c r="W5" s="164">
        <f>IF(W2&lt;=AnalysisPeriod,LOOKUP(W2,'Inputs &amp; Results'!$L$4:$L$43,'Inputs &amp; Results'!$M$4:$M$43),0)</f>
        <v>15378378.164668497</v>
      </c>
      <c r="X5" s="164">
        <f>IF(X2&lt;=AnalysisPeriod,LOOKUP(X2,'Inputs &amp; Results'!$L$4:$L$43,'Inputs &amp; Results'!$M$4:$M$43),0)</f>
        <v>15301486.273845155</v>
      </c>
      <c r="Y5" s="164">
        <f>IF(Y2&lt;=AnalysisPeriod,LOOKUP(Y2,'Inputs &amp; Results'!$L$4:$L$43,'Inputs &amp; Results'!$M$4:$M$43),0)</f>
        <v>15224978.842475928</v>
      </c>
      <c r="Z5" s="164">
        <f>IF(Z2&lt;=AnalysisPeriod,LOOKUP(Z2,'Inputs &amp; Results'!$L$4:$L$43,'Inputs &amp; Results'!$M$4:$M$43),0)</f>
        <v>15148853.948263548</v>
      </c>
      <c r="AA5" s="164">
        <f>IF(AA2&lt;=AnalysisPeriod,LOOKUP(AA2,'Inputs &amp; Results'!$L$4:$L$43,'Inputs &amp; Results'!$M$4:$M$43),0)</f>
        <v>15073109.678522231</v>
      </c>
      <c r="AB5" s="164">
        <f>IF(AB2&lt;=AnalysisPeriod,LOOKUP(AB2,'Inputs &amp; Results'!$L$4:$L$43,'Inputs &amp; Results'!$M$4:$M$43),0)</f>
        <v>14997744.13012962</v>
      </c>
      <c r="AC5" s="164">
        <f>IF(AC2&lt;=AnalysisPeriod,LOOKUP(AC2,'Inputs &amp; Results'!$L$4:$L$43,'Inputs &amp; Results'!$M$4:$M$43),0)</f>
        <v>14922755.409478972</v>
      </c>
      <c r="AD5" s="164">
        <f>IF(AD2&lt;=AnalysisPeriod,LOOKUP(AD2,'Inputs &amp; Results'!$L$4:$L$43,'Inputs &amp; Results'!$M$4:$M$43),0)</f>
        <v>14848141.632431576</v>
      </c>
      <c r="AE5" s="164">
        <f>IF(AE2&lt;=AnalysisPeriod,LOOKUP(AE2,'Inputs &amp; Results'!$L$4:$L$43,'Inputs &amp; Results'!$M$4:$M$43),0)</f>
        <v>14773900.924269417</v>
      </c>
      <c r="AF5" s="164">
        <f>IF(AF2&lt;=AnalysisPeriod,LOOKUP(AF2,'Inputs &amp; Results'!$L$4:$L$43,'Inputs &amp; Results'!$M$4:$M$43),0)</f>
        <v>14700031.41964807</v>
      </c>
      <c r="AG5" s="164">
        <f>IF(AG2&lt;=AnalysisPeriod,LOOKUP(AG2,'Inputs &amp; Results'!$L$4:$L$43,'Inputs &amp; Results'!$M$4:$M$43),0)</f>
        <v>0</v>
      </c>
      <c r="AH5" s="164">
        <f>IF(AH2&lt;=AnalysisPeriod,LOOKUP(AH2,'Inputs &amp; Results'!$L$4:$L$43,'Inputs &amp; Results'!$M$4:$M$43),0)</f>
        <v>0</v>
      </c>
      <c r="AI5" s="164">
        <f>IF(AI2&lt;=AnalysisPeriod,LOOKUP(AI2,'Inputs &amp; Results'!$L$4:$L$43,'Inputs &amp; Results'!$M$4:$M$43),0)</f>
        <v>0</v>
      </c>
      <c r="AJ5" s="164">
        <f>IF(AJ2&lt;=AnalysisPeriod,LOOKUP(AJ2,'Inputs &amp; Results'!$L$4:$L$43,'Inputs &amp; Results'!$M$4:$M$43),0)</f>
        <v>0</v>
      </c>
      <c r="AK5" s="164">
        <f>IF(AK2&lt;=AnalysisPeriod,LOOKUP(AK2,'Inputs &amp; Results'!$L$4:$L$43,'Inputs &amp; Results'!$M$4:$M$43),0)</f>
        <v>0</v>
      </c>
      <c r="AL5" s="164">
        <f>IF(AL2&lt;=AnalysisPeriod,LOOKUP(AL2,'Inputs &amp; Results'!$L$4:$L$43,'Inputs &amp; Results'!$M$4:$M$43),0)</f>
        <v>0</v>
      </c>
      <c r="AM5" s="164">
        <f>IF(AM2&lt;=AnalysisPeriod,LOOKUP(AM2,'Inputs &amp; Results'!$L$4:$L$43,'Inputs &amp; Results'!$M$4:$M$43),0)</f>
        <v>0</v>
      </c>
      <c r="AN5" s="164">
        <f>IF(AN2&lt;=AnalysisPeriod,LOOKUP(AN2,'Inputs &amp; Results'!$L$4:$L$43,'Inputs &amp; Results'!$M$4:$M$43),0)</f>
        <v>0</v>
      </c>
      <c r="AO5" s="164">
        <f>IF(AO2&lt;=AnalysisPeriod,LOOKUP(AO2,'Inputs &amp; Results'!$L$4:$L$43,'Inputs &amp; Results'!$M$4:$M$43),0)</f>
        <v>0</v>
      </c>
      <c r="AP5" s="164">
        <f>IF(AP2&lt;=AnalysisPeriod,LOOKUP(AP2,'Inputs &amp; Results'!$L$4:$L$43,'Inputs &amp; Results'!$M$4:$M$43),0)</f>
        <v>0</v>
      </c>
    </row>
    <row r="6" spans="1:42">
      <c r="C6" s="164"/>
      <c r="D6" s="164"/>
      <c r="E6" s="164"/>
      <c r="F6" s="164"/>
      <c r="G6" s="164"/>
      <c r="H6" s="164"/>
      <c r="I6" s="164"/>
      <c r="J6" s="164"/>
      <c r="K6" s="164"/>
      <c r="L6" s="164"/>
      <c r="M6" s="164"/>
      <c r="N6" s="164"/>
      <c r="O6" s="164"/>
      <c r="P6" s="164"/>
      <c r="Q6" s="164"/>
      <c r="R6" s="164"/>
      <c r="S6" s="164"/>
      <c r="T6" s="164"/>
      <c r="U6" s="164"/>
      <c r="V6" s="164"/>
      <c r="W6" s="164"/>
      <c r="X6" s="164"/>
      <c r="Y6" s="164"/>
      <c r="Z6" s="164"/>
      <c r="AA6" s="164"/>
      <c r="AB6" s="164"/>
      <c r="AC6" s="164"/>
      <c r="AD6" s="164"/>
      <c r="AE6" s="164"/>
      <c r="AF6" s="164"/>
      <c r="AG6" s="164"/>
      <c r="AH6" s="164"/>
      <c r="AI6" s="164"/>
      <c r="AJ6" s="164"/>
      <c r="AK6" s="164"/>
      <c r="AL6" s="164"/>
      <c r="AM6" s="164"/>
      <c r="AN6" s="164"/>
      <c r="AO6" s="164"/>
      <c r="AP6" s="164"/>
    </row>
    <row r="7" spans="1:42">
      <c r="A7" s="201" t="s">
        <v>293</v>
      </c>
      <c r="C7" s="203"/>
      <c r="D7" s="203"/>
      <c r="E7" s="203"/>
      <c r="F7" s="203"/>
      <c r="G7" s="203"/>
      <c r="H7" s="203"/>
      <c r="I7" s="203"/>
      <c r="J7" s="164"/>
      <c r="K7" s="164"/>
      <c r="L7" s="164"/>
      <c r="M7" s="164"/>
      <c r="N7" s="164"/>
      <c r="O7" s="164"/>
      <c r="P7" s="164"/>
      <c r="Q7" s="164"/>
      <c r="R7" s="164"/>
      <c r="S7" s="164"/>
      <c r="T7" s="164"/>
      <c r="U7" s="164"/>
      <c r="V7" s="164"/>
      <c r="W7" s="164"/>
      <c r="X7" s="164"/>
      <c r="Y7" s="164"/>
      <c r="Z7" s="164"/>
      <c r="AA7" s="164"/>
      <c r="AB7" s="164"/>
      <c r="AC7" s="164"/>
      <c r="AD7" s="164"/>
      <c r="AE7" s="164"/>
      <c r="AF7" s="164"/>
      <c r="AG7" s="164"/>
      <c r="AH7" s="164"/>
      <c r="AI7" s="164"/>
      <c r="AJ7" s="164"/>
      <c r="AK7" s="164"/>
      <c r="AL7" s="164"/>
      <c r="AM7" s="164"/>
      <c r="AN7" s="164"/>
      <c r="AO7" s="164"/>
      <c r="AP7" s="164"/>
    </row>
    <row r="8" spans="1:42">
      <c r="A8" s="204" t="s">
        <v>76</v>
      </c>
      <c r="C8" s="164"/>
      <c r="D8" s="164"/>
      <c r="E8" s="164"/>
      <c r="F8" s="164"/>
      <c r="G8" s="164"/>
      <c r="H8" s="164"/>
      <c r="I8" s="164"/>
      <c r="J8" s="164"/>
      <c r="K8" s="164"/>
      <c r="L8" s="164"/>
      <c r="M8" s="164"/>
      <c r="N8" s="164"/>
      <c r="O8" s="164"/>
      <c r="P8" s="164"/>
      <c r="Q8" s="164"/>
      <c r="R8" s="164"/>
      <c r="S8" s="164"/>
      <c r="T8" s="164"/>
      <c r="U8" s="164"/>
      <c r="V8" s="164"/>
      <c r="W8" s="164"/>
      <c r="X8" s="164"/>
      <c r="Y8" s="164"/>
      <c r="Z8" s="164"/>
      <c r="AA8" s="164"/>
      <c r="AB8" s="164"/>
      <c r="AC8" s="164"/>
      <c r="AD8" s="164"/>
      <c r="AE8" s="164"/>
      <c r="AF8" s="164"/>
      <c r="AG8" s="164"/>
      <c r="AH8" s="164"/>
      <c r="AI8" s="164"/>
      <c r="AJ8" s="164"/>
      <c r="AK8" s="164"/>
      <c r="AL8" s="164"/>
      <c r="AM8" s="164"/>
      <c r="AN8" s="164"/>
      <c r="AO8" s="164"/>
      <c r="AP8" s="164"/>
    </row>
    <row r="9" spans="1:42">
      <c r="A9" s="37" t="s">
        <v>77</v>
      </c>
      <c r="C9" s="164"/>
      <c r="D9" s="205"/>
      <c r="E9" s="164"/>
      <c r="F9" s="164"/>
      <c r="G9" s="164"/>
      <c r="H9" s="164"/>
      <c r="I9" s="164"/>
      <c r="J9" s="164"/>
      <c r="K9" s="164"/>
      <c r="L9" s="164"/>
      <c r="M9" s="164"/>
      <c r="N9" s="164"/>
      <c r="O9" s="164"/>
      <c r="P9" s="164"/>
      <c r="Q9" s="164"/>
      <c r="R9" s="164"/>
      <c r="S9" s="164"/>
      <c r="T9" s="164"/>
      <c r="U9" s="164"/>
      <c r="V9" s="164"/>
      <c r="W9" s="164"/>
      <c r="X9" s="164"/>
      <c r="Y9" s="164"/>
      <c r="Z9" s="164"/>
      <c r="AA9" s="164"/>
      <c r="AB9" s="164"/>
      <c r="AC9" s="164"/>
      <c r="AD9" s="164"/>
      <c r="AE9" s="164"/>
      <c r="AF9" s="164"/>
      <c r="AG9" s="164"/>
      <c r="AH9" s="164"/>
      <c r="AI9" s="164"/>
      <c r="AJ9" s="164"/>
      <c r="AK9" s="164"/>
      <c r="AL9" s="164"/>
      <c r="AM9" s="164"/>
      <c r="AN9" s="164"/>
      <c r="AO9" s="164"/>
      <c r="AP9" s="164"/>
    </row>
    <row r="10" spans="1:42">
      <c r="A10" s="206" t="s">
        <v>47</v>
      </c>
      <c r="C10" s="164">
        <f>C5</f>
        <v>17000000</v>
      </c>
      <c r="D10" s="164">
        <f>D5</f>
        <v>16915000</v>
      </c>
      <c r="E10" s="164">
        <f>E5</f>
        <v>16830425</v>
      </c>
      <c r="F10" s="164">
        <f t="shared" ref="F10:AP10" si="1">F5</f>
        <v>16746272.875</v>
      </c>
      <c r="G10" s="164">
        <f t="shared" si="1"/>
        <v>16662541.510624999</v>
      </c>
      <c r="H10" s="164">
        <f t="shared" si="1"/>
        <v>16579228.803071873</v>
      </c>
      <c r="I10" s="164">
        <f t="shared" si="1"/>
        <v>16496332.659056515</v>
      </c>
      <c r="J10" s="164">
        <f t="shared" si="1"/>
        <v>16413850.995761232</v>
      </c>
      <c r="K10" s="164">
        <f t="shared" si="1"/>
        <v>16331781.740782427</v>
      </c>
      <c r="L10" s="164">
        <f t="shared" si="1"/>
        <v>16250122.832078515</v>
      </c>
      <c r="M10" s="164">
        <f t="shared" si="1"/>
        <v>16168872.217918122</v>
      </c>
      <c r="N10" s="164">
        <f t="shared" si="1"/>
        <v>16088027.856828531</v>
      </c>
      <c r="O10" s="164">
        <f t="shared" si="1"/>
        <v>16007587.717544388</v>
      </c>
      <c r="P10" s="164">
        <f t="shared" si="1"/>
        <v>15927549.778956667</v>
      </c>
      <c r="Q10" s="164">
        <f t="shared" si="1"/>
        <v>15847912.030061884</v>
      </c>
      <c r="R10" s="164">
        <f t="shared" si="1"/>
        <v>15768672.469911573</v>
      </c>
      <c r="S10" s="164">
        <f t="shared" si="1"/>
        <v>15689829.107562015</v>
      </c>
      <c r="T10" s="164">
        <f t="shared" si="1"/>
        <v>15611379.962024204</v>
      </c>
      <c r="U10" s="164">
        <f t="shared" si="1"/>
        <v>15533323.062214084</v>
      </c>
      <c r="V10" s="164">
        <f t="shared" si="1"/>
        <v>15455656.446903013</v>
      </c>
      <c r="W10" s="164">
        <f t="shared" si="1"/>
        <v>15378378.164668497</v>
      </c>
      <c r="X10" s="164">
        <f t="shared" si="1"/>
        <v>15301486.273845155</v>
      </c>
      <c r="Y10" s="164">
        <f t="shared" si="1"/>
        <v>15224978.842475928</v>
      </c>
      <c r="Z10" s="164">
        <f t="shared" si="1"/>
        <v>15148853.948263548</v>
      </c>
      <c r="AA10" s="164">
        <f t="shared" si="1"/>
        <v>15073109.678522231</v>
      </c>
      <c r="AB10" s="164">
        <f t="shared" si="1"/>
        <v>14997744.13012962</v>
      </c>
      <c r="AC10" s="164">
        <f t="shared" si="1"/>
        <v>14922755.409478972</v>
      </c>
      <c r="AD10" s="164">
        <f t="shared" si="1"/>
        <v>14848141.632431576</v>
      </c>
      <c r="AE10" s="164">
        <f t="shared" si="1"/>
        <v>14773900.924269417</v>
      </c>
      <c r="AF10" s="164">
        <f t="shared" si="1"/>
        <v>14700031.41964807</v>
      </c>
      <c r="AG10" s="164">
        <f t="shared" si="1"/>
        <v>0</v>
      </c>
      <c r="AH10" s="164">
        <f t="shared" si="1"/>
        <v>0</v>
      </c>
      <c r="AI10" s="164">
        <f t="shared" si="1"/>
        <v>0</v>
      </c>
      <c r="AJ10" s="164">
        <f t="shared" si="1"/>
        <v>0</v>
      </c>
      <c r="AK10" s="164">
        <f t="shared" si="1"/>
        <v>0</v>
      </c>
      <c r="AL10" s="164">
        <f t="shared" si="1"/>
        <v>0</v>
      </c>
      <c r="AM10" s="164">
        <f t="shared" si="1"/>
        <v>0</v>
      </c>
      <c r="AN10" s="164">
        <f t="shared" si="1"/>
        <v>0</v>
      </c>
      <c r="AO10" s="164">
        <f t="shared" si="1"/>
        <v>0</v>
      </c>
      <c r="AP10" s="164">
        <f t="shared" si="1"/>
        <v>0</v>
      </c>
    </row>
    <row r="11" spans="1:42">
      <c r="A11" s="206" t="s">
        <v>48</v>
      </c>
      <c r="C11" s="207">
        <f t="shared" ref="C11:AP11" si="2">AEPFPPAPrice*(1+AEPFPPAPriceEsc)^B2</f>
        <v>42.418004437477251</v>
      </c>
      <c r="D11" s="207">
        <f t="shared" si="2"/>
        <v>42.842184481852023</v>
      </c>
      <c r="E11" s="207">
        <f t="shared" si="2"/>
        <v>43.270606326670546</v>
      </c>
      <c r="F11" s="207">
        <f t="shared" si="2"/>
        <v>43.703312389937246</v>
      </c>
      <c r="G11" s="207">
        <f t="shared" si="2"/>
        <v>44.140345513836621</v>
      </c>
      <c r="H11" s="207">
        <f t="shared" si="2"/>
        <v>44.581748968974985</v>
      </c>
      <c r="I11" s="207">
        <f t="shared" si="2"/>
        <v>45.027566458664744</v>
      </c>
      <c r="J11" s="207">
        <f t="shared" si="2"/>
        <v>45.477842123251378</v>
      </c>
      <c r="K11" s="207">
        <f t="shared" si="2"/>
        <v>45.932620544483903</v>
      </c>
      <c r="L11" s="207">
        <f t="shared" si="2"/>
        <v>46.391946749928749</v>
      </c>
      <c r="M11" s="207">
        <f t="shared" si="2"/>
        <v>46.855866217428037</v>
      </c>
      <c r="N11" s="207">
        <f t="shared" si="2"/>
        <v>47.324424879602304</v>
      </c>
      <c r="O11" s="207">
        <f t="shared" si="2"/>
        <v>47.797669128398333</v>
      </c>
      <c r="P11" s="207">
        <f t="shared" si="2"/>
        <v>48.275645819682317</v>
      </c>
      <c r="Q11" s="207">
        <f t="shared" si="2"/>
        <v>48.758402277879142</v>
      </c>
      <c r="R11" s="207">
        <f t="shared" si="2"/>
        <v>49.245986300657925</v>
      </c>
      <c r="S11" s="207">
        <f t="shared" si="2"/>
        <v>49.73844616366452</v>
      </c>
      <c r="T11" s="207">
        <f t="shared" si="2"/>
        <v>50.235830625301162</v>
      </c>
      <c r="U11" s="207">
        <f t="shared" si="2"/>
        <v>50.738188931554177</v>
      </c>
      <c r="V11" s="207">
        <f t="shared" si="2"/>
        <v>51.245570820869709</v>
      </c>
      <c r="W11" s="207">
        <f t="shared" si="2"/>
        <v>51.758026529078407</v>
      </c>
      <c r="X11" s="207">
        <f t="shared" si="2"/>
        <v>52.275606794369189</v>
      </c>
      <c r="Y11" s="207">
        <f t="shared" si="2"/>
        <v>52.798362862312892</v>
      </c>
      <c r="Z11" s="207">
        <f t="shared" si="2"/>
        <v>53.326346490936011</v>
      </c>
      <c r="AA11" s="207">
        <f t="shared" si="2"/>
        <v>53.859609955845386</v>
      </c>
      <c r="AB11" s="207">
        <f t="shared" si="2"/>
        <v>54.398206055403847</v>
      </c>
      <c r="AC11" s="207">
        <f t="shared" si="2"/>
        <v>54.942188115957883</v>
      </c>
      <c r="AD11" s="207">
        <f t="shared" si="2"/>
        <v>55.491609997117443</v>
      </c>
      <c r="AE11" s="207">
        <f t="shared" si="2"/>
        <v>56.046526097088623</v>
      </c>
      <c r="AF11" s="207">
        <f t="shared" si="2"/>
        <v>56.60699135805951</v>
      </c>
      <c r="AG11" s="207">
        <f t="shared" si="2"/>
        <v>57.173061271640115</v>
      </c>
      <c r="AH11" s="207">
        <f t="shared" si="2"/>
        <v>57.744791884356502</v>
      </c>
      <c r="AI11" s="207">
        <f t="shared" si="2"/>
        <v>58.322239803200077</v>
      </c>
      <c r="AJ11" s="207">
        <f t="shared" si="2"/>
        <v>58.905462201232083</v>
      </c>
      <c r="AK11" s="207">
        <f t="shared" si="2"/>
        <v>59.494516823244403</v>
      </c>
      <c r="AL11" s="207">
        <f t="shared" si="2"/>
        <v>60.089461991476838</v>
      </c>
      <c r="AM11" s="207">
        <f t="shared" si="2"/>
        <v>60.690356611391614</v>
      </c>
      <c r="AN11" s="207">
        <f t="shared" si="2"/>
        <v>61.297260177505528</v>
      </c>
      <c r="AO11" s="207">
        <f t="shared" si="2"/>
        <v>61.910232779280591</v>
      </c>
      <c r="AP11" s="207">
        <f t="shared" si="2"/>
        <v>62.529335107073379</v>
      </c>
    </row>
    <row r="12" spans="1:42">
      <c r="A12" s="206" t="s">
        <v>75</v>
      </c>
      <c r="C12" s="164">
        <f t="shared" ref="C12:AP12" si="3">C10*C11/100</f>
        <v>7211060.7543711327</v>
      </c>
      <c r="D12" s="164">
        <f t="shared" si="3"/>
        <v>7246755.5051052701</v>
      </c>
      <c r="E12" s="164">
        <f t="shared" si="3"/>
        <v>7282626.944855541</v>
      </c>
      <c r="F12" s="164">
        <f t="shared" si="3"/>
        <v>7318675.9482325753</v>
      </c>
      <c r="G12" s="164">
        <f t="shared" si="3"/>
        <v>7354903.3941763267</v>
      </c>
      <c r="H12" s="164">
        <f t="shared" si="3"/>
        <v>7391310.1659774985</v>
      </c>
      <c r="I12" s="164">
        <f t="shared" si="3"/>
        <v>7427897.1512990892</v>
      </c>
      <c r="J12" s="164">
        <f t="shared" si="3"/>
        <v>7464665.2421980174</v>
      </c>
      <c r="K12" s="164">
        <f t="shared" si="3"/>
        <v>7501615.3351468993</v>
      </c>
      <c r="L12" s="164">
        <f t="shared" si="3"/>
        <v>7538748.3310558787</v>
      </c>
      <c r="M12" s="164">
        <f t="shared" si="3"/>
        <v>7576065.1352946041</v>
      </c>
      <c r="N12" s="164">
        <f t="shared" si="3"/>
        <v>7613566.657714311</v>
      </c>
      <c r="O12" s="164">
        <f t="shared" si="3"/>
        <v>7651253.8126699971</v>
      </c>
      <c r="P12" s="164">
        <f t="shared" si="3"/>
        <v>7689127.5190427136</v>
      </c>
      <c r="Q12" s="164">
        <f t="shared" si="3"/>
        <v>7727188.7002619766</v>
      </c>
      <c r="R12" s="164">
        <f t="shared" si="3"/>
        <v>7765438.2843282707</v>
      </c>
      <c r="S12" s="164">
        <f t="shared" si="3"/>
        <v>7803877.2038356988</v>
      </c>
      <c r="T12" s="164">
        <f t="shared" si="3"/>
        <v>7842506.3959946847</v>
      </c>
      <c r="U12" s="164">
        <f t="shared" si="3"/>
        <v>7881326.8026548587</v>
      </c>
      <c r="V12" s="164">
        <f t="shared" si="3"/>
        <v>7920339.370327998</v>
      </c>
      <c r="W12" s="164">
        <f t="shared" si="3"/>
        <v>7959545.0502111223</v>
      </c>
      <c r="X12" s="164">
        <f t="shared" si="3"/>
        <v>7998944.7982096663</v>
      </c>
      <c r="Y12" s="164">
        <f t="shared" si="3"/>
        <v>8038539.5749608064</v>
      </c>
      <c r="Z12" s="164">
        <f t="shared" si="3"/>
        <v>8078330.3458568593</v>
      </c>
      <c r="AA12" s="164">
        <f t="shared" si="3"/>
        <v>8118318.0810688548</v>
      </c>
      <c r="AB12" s="164">
        <f t="shared" si="3"/>
        <v>8158503.7555701463</v>
      </c>
      <c r="AC12" s="164">
        <f t="shared" si="3"/>
        <v>8198888.3491602186</v>
      </c>
      <c r="AD12" s="164">
        <f t="shared" si="3"/>
        <v>8239472.8464885578</v>
      </c>
      <c r="AE12" s="164">
        <f t="shared" si="3"/>
        <v>8280258.237078676</v>
      </c>
      <c r="AF12" s="164">
        <f t="shared" si="3"/>
        <v>8321245.5153522156</v>
      </c>
      <c r="AG12" s="164">
        <f t="shared" si="3"/>
        <v>0</v>
      </c>
      <c r="AH12" s="164">
        <f t="shared" si="3"/>
        <v>0</v>
      </c>
      <c r="AI12" s="164">
        <f t="shared" si="3"/>
        <v>0</v>
      </c>
      <c r="AJ12" s="164">
        <f t="shared" si="3"/>
        <v>0</v>
      </c>
      <c r="AK12" s="164">
        <f t="shared" si="3"/>
        <v>0</v>
      </c>
      <c r="AL12" s="164">
        <f t="shared" si="3"/>
        <v>0</v>
      </c>
      <c r="AM12" s="164">
        <f t="shared" si="3"/>
        <v>0</v>
      </c>
      <c r="AN12" s="164">
        <f t="shared" si="3"/>
        <v>0</v>
      </c>
      <c r="AO12" s="164">
        <f t="shared" si="3"/>
        <v>0</v>
      </c>
      <c r="AP12" s="164">
        <f t="shared" si="3"/>
        <v>0</v>
      </c>
    </row>
    <row r="13" spans="1:42" s="315" customFormat="1">
      <c r="A13" s="315" t="s">
        <v>423</v>
      </c>
      <c r="C13" s="322"/>
      <c r="D13" s="322"/>
      <c r="E13" s="322"/>
      <c r="F13" s="322"/>
      <c r="G13" s="322"/>
      <c r="H13" s="322"/>
      <c r="I13" s="322"/>
      <c r="J13" s="322"/>
      <c r="K13" s="322"/>
      <c r="L13" s="322"/>
      <c r="M13" s="322"/>
      <c r="N13" s="322"/>
      <c r="O13" s="322"/>
      <c r="P13" s="322"/>
      <c r="Q13" s="322"/>
      <c r="R13" s="322"/>
      <c r="S13" s="322"/>
      <c r="T13" s="322"/>
      <c r="U13" s="322"/>
      <c r="V13" s="322"/>
      <c r="W13" s="322"/>
      <c r="X13" s="322"/>
      <c r="Y13" s="322"/>
      <c r="Z13" s="322"/>
      <c r="AA13" s="322"/>
      <c r="AB13" s="322"/>
      <c r="AC13" s="322"/>
      <c r="AD13" s="322"/>
      <c r="AE13" s="322"/>
      <c r="AF13" s="322"/>
      <c r="AG13" s="322"/>
      <c r="AH13" s="322"/>
      <c r="AI13" s="322"/>
      <c r="AJ13" s="322"/>
      <c r="AK13" s="322"/>
      <c r="AL13" s="322"/>
      <c r="AM13" s="322"/>
      <c r="AN13" s="322"/>
      <c r="AO13" s="322"/>
      <c r="AP13" s="322"/>
    </row>
    <row r="14" spans="1:42" s="315" customFormat="1">
      <c r="A14" s="323" t="str">
        <f>'Inputs &amp; Results'!A60</f>
        <v>Federal</v>
      </c>
      <c r="C14" s="324">
        <f>C650</f>
        <v>0</v>
      </c>
      <c r="D14" s="324">
        <f t="shared" ref="D14:AP14" si="4">D650</f>
        <v>0</v>
      </c>
      <c r="E14" s="324">
        <f t="shared" si="4"/>
        <v>0</v>
      </c>
      <c r="F14" s="324">
        <f t="shared" si="4"/>
        <v>0</v>
      </c>
      <c r="G14" s="324">
        <f t="shared" si="4"/>
        <v>0</v>
      </c>
      <c r="H14" s="324">
        <f t="shared" si="4"/>
        <v>0</v>
      </c>
      <c r="I14" s="324">
        <f t="shared" si="4"/>
        <v>0</v>
      </c>
      <c r="J14" s="324">
        <f t="shared" si="4"/>
        <v>0</v>
      </c>
      <c r="K14" s="324">
        <f t="shared" si="4"/>
        <v>0</v>
      </c>
      <c r="L14" s="324">
        <f t="shared" si="4"/>
        <v>0</v>
      </c>
      <c r="M14" s="324">
        <f t="shared" si="4"/>
        <v>0</v>
      </c>
      <c r="N14" s="324">
        <f t="shared" si="4"/>
        <v>0</v>
      </c>
      <c r="O14" s="324">
        <f t="shared" si="4"/>
        <v>0</v>
      </c>
      <c r="P14" s="324">
        <f t="shared" si="4"/>
        <v>0</v>
      </c>
      <c r="Q14" s="324">
        <f t="shared" si="4"/>
        <v>0</v>
      </c>
      <c r="R14" s="324">
        <f t="shared" si="4"/>
        <v>0</v>
      </c>
      <c r="S14" s="324">
        <f t="shared" si="4"/>
        <v>0</v>
      </c>
      <c r="T14" s="324">
        <f t="shared" si="4"/>
        <v>0</v>
      </c>
      <c r="U14" s="324">
        <f t="shared" si="4"/>
        <v>0</v>
      </c>
      <c r="V14" s="324">
        <f t="shared" si="4"/>
        <v>0</v>
      </c>
      <c r="W14" s="324">
        <f t="shared" si="4"/>
        <v>0</v>
      </c>
      <c r="X14" s="324">
        <f t="shared" si="4"/>
        <v>0</v>
      </c>
      <c r="Y14" s="324">
        <f t="shared" si="4"/>
        <v>0</v>
      </c>
      <c r="Z14" s="324">
        <f t="shared" si="4"/>
        <v>0</v>
      </c>
      <c r="AA14" s="324">
        <f t="shared" si="4"/>
        <v>0</v>
      </c>
      <c r="AB14" s="324">
        <f t="shared" si="4"/>
        <v>0</v>
      </c>
      <c r="AC14" s="324">
        <f t="shared" si="4"/>
        <v>0</v>
      </c>
      <c r="AD14" s="324">
        <f t="shared" si="4"/>
        <v>0</v>
      </c>
      <c r="AE14" s="324">
        <f t="shared" si="4"/>
        <v>0</v>
      </c>
      <c r="AF14" s="324">
        <f t="shared" si="4"/>
        <v>0</v>
      </c>
      <c r="AG14" s="324">
        <f t="shared" si="4"/>
        <v>0</v>
      </c>
      <c r="AH14" s="324">
        <f t="shared" si="4"/>
        <v>0</v>
      </c>
      <c r="AI14" s="324">
        <f t="shared" si="4"/>
        <v>0</v>
      </c>
      <c r="AJ14" s="324">
        <f t="shared" si="4"/>
        <v>0</v>
      </c>
      <c r="AK14" s="324">
        <f t="shared" si="4"/>
        <v>0</v>
      </c>
      <c r="AL14" s="324">
        <f t="shared" si="4"/>
        <v>0</v>
      </c>
      <c r="AM14" s="324">
        <f t="shared" si="4"/>
        <v>0</v>
      </c>
      <c r="AN14" s="324">
        <f t="shared" si="4"/>
        <v>0</v>
      </c>
      <c r="AO14" s="324">
        <f t="shared" si="4"/>
        <v>0</v>
      </c>
      <c r="AP14" s="324">
        <f t="shared" si="4"/>
        <v>0</v>
      </c>
    </row>
    <row r="15" spans="1:42" s="315" customFormat="1">
      <c r="A15" s="323" t="str">
        <f>'Inputs &amp; Results'!A61</f>
        <v>State</v>
      </c>
      <c r="C15" s="324">
        <f>C654</f>
        <v>0</v>
      </c>
      <c r="D15" s="324">
        <f t="shared" ref="D15:AP15" si="5">D654</f>
        <v>0</v>
      </c>
      <c r="E15" s="324">
        <f t="shared" si="5"/>
        <v>0</v>
      </c>
      <c r="F15" s="324">
        <f t="shared" si="5"/>
        <v>0</v>
      </c>
      <c r="G15" s="324">
        <f t="shared" si="5"/>
        <v>0</v>
      </c>
      <c r="H15" s="324">
        <f t="shared" si="5"/>
        <v>0</v>
      </c>
      <c r="I15" s="324">
        <f t="shared" si="5"/>
        <v>0</v>
      </c>
      <c r="J15" s="324">
        <f t="shared" si="5"/>
        <v>0</v>
      </c>
      <c r="K15" s="324">
        <f t="shared" si="5"/>
        <v>0</v>
      </c>
      <c r="L15" s="324">
        <f t="shared" si="5"/>
        <v>0</v>
      </c>
      <c r="M15" s="324">
        <f t="shared" si="5"/>
        <v>0</v>
      </c>
      <c r="N15" s="324">
        <f t="shared" si="5"/>
        <v>0</v>
      </c>
      <c r="O15" s="324">
        <f t="shared" si="5"/>
        <v>0</v>
      </c>
      <c r="P15" s="324">
        <f t="shared" si="5"/>
        <v>0</v>
      </c>
      <c r="Q15" s="324">
        <f t="shared" si="5"/>
        <v>0</v>
      </c>
      <c r="R15" s="324">
        <f t="shared" si="5"/>
        <v>0</v>
      </c>
      <c r="S15" s="324">
        <f t="shared" si="5"/>
        <v>0</v>
      </c>
      <c r="T15" s="324">
        <f t="shared" si="5"/>
        <v>0</v>
      </c>
      <c r="U15" s="324">
        <f t="shared" si="5"/>
        <v>0</v>
      </c>
      <c r="V15" s="324">
        <f t="shared" si="5"/>
        <v>0</v>
      </c>
      <c r="W15" s="324">
        <f t="shared" si="5"/>
        <v>0</v>
      </c>
      <c r="X15" s="324">
        <f t="shared" si="5"/>
        <v>0</v>
      </c>
      <c r="Y15" s="324">
        <f t="shared" si="5"/>
        <v>0</v>
      </c>
      <c r="Z15" s="324">
        <f t="shared" si="5"/>
        <v>0</v>
      </c>
      <c r="AA15" s="324">
        <f t="shared" si="5"/>
        <v>0</v>
      </c>
      <c r="AB15" s="324">
        <f t="shared" si="5"/>
        <v>0</v>
      </c>
      <c r="AC15" s="324">
        <f t="shared" si="5"/>
        <v>0</v>
      </c>
      <c r="AD15" s="324">
        <f t="shared" si="5"/>
        <v>0</v>
      </c>
      <c r="AE15" s="324">
        <f t="shared" si="5"/>
        <v>0</v>
      </c>
      <c r="AF15" s="324">
        <f t="shared" si="5"/>
        <v>0</v>
      </c>
      <c r="AG15" s="324">
        <f t="shared" si="5"/>
        <v>0</v>
      </c>
      <c r="AH15" s="324">
        <f t="shared" si="5"/>
        <v>0</v>
      </c>
      <c r="AI15" s="324">
        <f t="shared" si="5"/>
        <v>0</v>
      </c>
      <c r="AJ15" s="324">
        <f t="shared" si="5"/>
        <v>0</v>
      </c>
      <c r="AK15" s="324">
        <f t="shared" si="5"/>
        <v>0</v>
      </c>
      <c r="AL15" s="324">
        <f t="shared" si="5"/>
        <v>0</v>
      </c>
      <c r="AM15" s="324">
        <f t="shared" si="5"/>
        <v>0</v>
      </c>
      <c r="AN15" s="324">
        <f t="shared" si="5"/>
        <v>0</v>
      </c>
      <c r="AO15" s="324">
        <f t="shared" si="5"/>
        <v>0</v>
      </c>
      <c r="AP15" s="324">
        <f t="shared" si="5"/>
        <v>0</v>
      </c>
    </row>
    <row r="16" spans="1:42" s="315" customFormat="1">
      <c r="A16" s="323" t="str">
        <f>'Inputs &amp; Results'!A62</f>
        <v>Utility</v>
      </c>
      <c r="C16" s="324">
        <f>C658</f>
        <v>0</v>
      </c>
      <c r="D16" s="324">
        <f t="shared" ref="D16:AP16" si="6">D658</f>
        <v>0</v>
      </c>
      <c r="E16" s="324">
        <f t="shared" si="6"/>
        <v>0</v>
      </c>
      <c r="F16" s="324">
        <f t="shared" si="6"/>
        <v>0</v>
      </c>
      <c r="G16" s="324">
        <f t="shared" si="6"/>
        <v>0</v>
      </c>
      <c r="H16" s="324">
        <f t="shared" si="6"/>
        <v>0</v>
      </c>
      <c r="I16" s="324">
        <f t="shared" si="6"/>
        <v>0</v>
      </c>
      <c r="J16" s="324">
        <f t="shared" si="6"/>
        <v>0</v>
      </c>
      <c r="K16" s="324">
        <f t="shared" si="6"/>
        <v>0</v>
      </c>
      <c r="L16" s="324">
        <f t="shared" si="6"/>
        <v>0</v>
      </c>
      <c r="M16" s="324">
        <f t="shared" si="6"/>
        <v>0</v>
      </c>
      <c r="N16" s="324">
        <f t="shared" si="6"/>
        <v>0</v>
      </c>
      <c r="O16" s="324">
        <f t="shared" si="6"/>
        <v>0</v>
      </c>
      <c r="P16" s="324">
        <f t="shared" si="6"/>
        <v>0</v>
      </c>
      <c r="Q16" s="324">
        <f t="shared" si="6"/>
        <v>0</v>
      </c>
      <c r="R16" s="324">
        <f t="shared" si="6"/>
        <v>0</v>
      </c>
      <c r="S16" s="324">
        <f t="shared" si="6"/>
        <v>0</v>
      </c>
      <c r="T16" s="324">
        <f t="shared" si="6"/>
        <v>0</v>
      </c>
      <c r="U16" s="324">
        <f t="shared" si="6"/>
        <v>0</v>
      </c>
      <c r="V16" s="324">
        <f t="shared" si="6"/>
        <v>0</v>
      </c>
      <c r="W16" s="324">
        <f t="shared" si="6"/>
        <v>0</v>
      </c>
      <c r="X16" s="324">
        <f t="shared" si="6"/>
        <v>0</v>
      </c>
      <c r="Y16" s="324">
        <f t="shared" si="6"/>
        <v>0</v>
      </c>
      <c r="Z16" s="324">
        <f t="shared" si="6"/>
        <v>0</v>
      </c>
      <c r="AA16" s="324">
        <f t="shared" si="6"/>
        <v>0</v>
      </c>
      <c r="AB16" s="324">
        <f t="shared" si="6"/>
        <v>0</v>
      </c>
      <c r="AC16" s="324">
        <f t="shared" si="6"/>
        <v>0</v>
      </c>
      <c r="AD16" s="324">
        <f t="shared" si="6"/>
        <v>0</v>
      </c>
      <c r="AE16" s="324">
        <f t="shared" si="6"/>
        <v>0</v>
      </c>
      <c r="AF16" s="324">
        <f t="shared" si="6"/>
        <v>0</v>
      </c>
      <c r="AG16" s="324">
        <f t="shared" si="6"/>
        <v>0</v>
      </c>
      <c r="AH16" s="324">
        <f t="shared" si="6"/>
        <v>0</v>
      </c>
      <c r="AI16" s="324">
        <f t="shared" si="6"/>
        <v>0</v>
      </c>
      <c r="AJ16" s="324">
        <f t="shared" si="6"/>
        <v>0</v>
      </c>
      <c r="AK16" s="324">
        <f t="shared" si="6"/>
        <v>0</v>
      </c>
      <c r="AL16" s="324">
        <f t="shared" si="6"/>
        <v>0</v>
      </c>
      <c r="AM16" s="324">
        <f t="shared" si="6"/>
        <v>0</v>
      </c>
      <c r="AN16" s="324">
        <f t="shared" si="6"/>
        <v>0</v>
      </c>
      <c r="AO16" s="324">
        <f t="shared" si="6"/>
        <v>0</v>
      </c>
      <c r="AP16" s="324">
        <f t="shared" si="6"/>
        <v>0</v>
      </c>
    </row>
    <row r="17" spans="1:42" s="315" customFormat="1">
      <c r="A17" s="323" t="str">
        <f>'Inputs &amp; Results'!A63</f>
        <v>Other</v>
      </c>
      <c r="C17" s="320">
        <f>C662</f>
        <v>0</v>
      </c>
      <c r="D17" s="320">
        <f t="shared" ref="D17:AP17" si="7">D662</f>
        <v>0</v>
      </c>
      <c r="E17" s="320">
        <f t="shared" si="7"/>
        <v>0</v>
      </c>
      <c r="F17" s="320">
        <f t="shared" si="7"/>
        <v>0</v>
      </c>
      <c r="G17" s="320">
        <f t="shared" si="7"/>
        <v>0</v>
      </c>
      <c r="H17" s="320">
        <f t="shared" si="7"/>
        <v>0</v>
      </c>
      <c r="I17" s="320">
        <f t="shared" si="7"/>
        <v>0</v>
      </c>
      <c r="J17" s="320">
        <f t="shared" si="7"/>
        <v>0</v>
      </c>
      <c r="K17" s="320">
        <f t="shared" si="7"/>
        <v>0</v>
      </c>
      <c r="L17" s="320">
        <f t="shared" si="7"/>
        <v>0</v>
      </c>
      <c r="M17" s="320">
        <f t="shared" si="7"/>
        <v>0</v>
      </c>
      <c r="N17" s="320">
        <f t="shared" si="7"/>
        <v>0</v>
      </c>
      <c r="O17" s="320">
        <f t="shared" si="7"/>
        <v>0</v>
      </c>
      <c r="P17" s="320">
        <f t="shared" si="7"/>
        <v>0</v>
      </c>
      <c r="Q17" s="320">
        <f t="shared" si="7"/>
        <v>0</v>
      </c>
      <c r="R17" s="320">
        <f t="shared" si="7"/>
        <v>0</v>
      </c>
      <c r="S17" s="320">
        <f t="shared" si="7"/>
        <v>0</v>
      </c>
      <c r="T17" s="320">
        <f t="shared" si="7"/>
        <v>0</v>
      </c>
      <c r="U17" s="320">
        <f t="shared" si="7"/>
        <v>0</v>
      </c>
      <c r="V17" s="320">
        <f t="shared" si="7"/>
        <v>0</v>
      </c>
      <c r="W17" s="320">
        <f t="shared" si="7"/>
        <v>0</v>
      </c>
      <c r="X17" s="320">
        <f t="shared" si="7"/>
        <v>0</v>
      </c>
      <c r="Y17" s="320">
        <f t="shared" si="7"/>
        <v>0</v>
      </c>
      <c r="Z17" s="320">
        <f t="shared" si="7"/>
        <v>0</v>
      </c>
      <c r="AA17" s="320">
        <f t="shared" si="7"/>
        <v>0</v>
      </c>
      <c r="AB17" s="320">
        <f t="shared" si="7"/>
        <v>0</v>
      </c>
      <c r="AC17" s="320">
        <f t="shared" si="7"/>
        <v>0</v>
      </c>
      <c r="AD17" s="320">
        <f t="shared" si="7"/>
        <v>0</v>
      </c>
      <c r="AE17" s="320">
        <f t="shared" si="7"/>
        <v>0</v>
      </c>
      <c r="AF17" s="320">
        <f t="shared" si="7"/>
        <v>0</v>
      </c>
      <c r="AG17" s="320">
        <f t="shared" si="7"/>
        <v>0</v>
      </c>
      <c r="AH17" s="320">
        <f t="shared" si="7"/>
        <v>0</v>
      </c>
      <c r="AI17" s="320">
        <f t="shared" si="7"/>
        <v>0</v>
      </c>
      <c r="AJ17" s="320">
        <f t="shared" si="7"/>
        <v>0</v>
      </c>
      <c r="AK17" s="320">
        <f t="shared" si="7"/>
        <v>0</v>
      </c>
      <c r="AL17" s="320">
        <f t="shared" si="7"/>
        <v>0</v>
      </c>
      <c r="AM17" s="320">
        <f t="shared" si="7"/>
        <v>0</v>
      </c>
      <c r="AN17" s="320">
        <f t="shared" si="7"/>
        <v>0</v>
      </c>
      <c r="AO17" s="320">
        <f t="shared" si="7"/>
        <v>0</v>
      </c>
      <c r="AP17" s="320">
        <f t="shared" si="7"/>
        <v>0</v>
      </c>
    </row>
    <row r="18" spans="1:42" s="315" customFormat="1">
      <c r="A18" s="323" t="s">
        <v>79</v>
      </c>
      <c r="C18" s="325">
        <f>SUM(C14:C17)</f>
        <v>0</v>
      </c>
      <c r="D18" s="325">
        <f t="shared" ref="D18:AP18" si="8">SUM(D14:D17)</f>
        <v>0</v>
      </c>
      <c r="E18" s="325">
        <f t="shared" si="8"/>
        <v>0</v>
      </c>
      <c r="F18" s="325">
        <f t="shared" si="8"/>
        <v>0</v>
      </c>
      <c r="G18" s="325">
        <f t="shared" si="8"/>
        <v>0</v>
      </c>
      <c r="H18" s="325">
        <f t="shared" si="8"/>
        <v>0</v>
      </c>
      <c r="I18" s="325">
        <f t="shared" si="8"/>
        <v>0</v>
      </c>
      <c r="J18" s="325">
        <f t="shared" si="8"/>
        <v>0</v>
      </c>
      <c r="K18" s="325">
        <f t="shared" si="8"/>
        <v>0</v>
      </c>
      <c r="L18" s="325">
        <f t="shared" si="8"/>
        <v>0</v>
      </c>
      <c r="M18" s="325">
        <f t="shared" si="8"/>
        <v>0</v>
      </c>
      <c r="N18" s="325">
        <f t="shared" si="8"/>
        <v>0</v>
      </c>
      <c r="O18" s="325">
        <f t="shared" si="8"/>
        <v>0</v>
      </c>
      <c r="P18" s="325">
        <f t="shared" si="8"/>
        <v>0</v>
      </c>
      <c r="Q18" s="325">
        <f t="shared" si="8"/>
        <v>0</v>
      </c>
      <c r="R18" s="325">
        <f t="shared" si="8"/>
        <v>0</v>
      </c>
      <c r="S18" s="325">
        <f t="shared" si="8"/>
        <v>0</v>
      </c>
      <c r="T18" s="325">
        <f t="shared" si="8"/>
        <v>0</v>
      </c>
      <c r="U18" s="325">
        <f t="shared" si="8"/>
        <v>0</v>
      </c>
      <c r="V18" s="325">
        <f t="shared" si="8"/>
        <v>0</v>
      </c>
      <c r="W18" s="325">
        <f t="shared" si="8"/>
        <v>0</v>
      </c>
      <c r="X18" s="325">
        <f t="shared" si="8"/>
        <v>0</v>
      </c>
      <c r="Y18" s="325">
        <f t="shared" si="8"/>
        <v>0</v>
      </c>
      <c r="Z18" s="325">
        <f t="shared" si="8"/>
        <v>0</v>
      </c>
      <c r="AA18" s="325">
        <f t="shared" si="8"/>
        <v>0</v>
      </c>
      <c r="AB18" s="325">
        <f t="shared" si="8"/>
        <v>0</v>
      </c>
      <c r="AC18" s="325">
        <f t="shared" si="8"/>
        <v>0</v>
      </c>
      <c r="AD18" s="325">
        <f t="shared" si="8"/>
        <v>0</v>
      </c>
      <c r="AE18" s="325">
        <f t="shared" si="8"/>
        <v>0</v>
      </c>
      <c r="AF18" s="325">
        <f t="shared" si="8"/>
        <v>0</v>
      </c>
      <c r="AG18" s="325">
        <f t="shared" si="8"/>
        <v>0</v>
      </c>
      <c r="AH18" s="325">
        <f t="shared" si="8"/>
        <v>0</v>
      </c>
      <c r="AI18" s="325">
        <f t="shared" si="8"/>
        <v>0</v>
      </c>
      <c r="AJ18" s="325">
        <f t="shared" si="8"/>
        <v>0</v>
      </c>
      <c r="AK18" s="325">
        <f t="shared" si="8"/>
        <v>0</v>
      </c>
      <c r="AL18" s="325">
        <f t="shared" si="8"/>
        <v>0</v>
      </c>
      <c r="AM18" s="325">
        <f t="shared" si="8"/>
        <v>0</v>
      </c>
      <c r="AN18" s="325">
        <f t="shared" si="8"/>
        <v>0</v>
      </c>
      <c r="AO18" s="325">
        <f t="shared" si="8"/>
        <v>0</v>
      </c>
      <c r="AP18" s="325">
        <f t="shared" si="8"/>
        <v>0</v>
      </c>
    </row>
    <row r="19" spans="1:42">
      <c r="A19" s="202" t="s">
        <v>152</v>
      </c>
      <c r="C19" s="209">
        <f t="shared" ref="C19:AP19" si="9">IF(C2=AnalysisPeriod,SalvageValue*PreFinancingInstalledCostTotal,0)</f>
        <v>0</v>
      </c>
      <c r="D19" s="209">
        <f t="shared" si="9"/>
        <v>0</v>
      </c>
      <c r="E19" s="209">
        <f t="shared" si="9"/>
        <v>0</v>
      </c>
      <c r="F19" s="209">
        <f t="shared" si="9"/>
        <v>0</v>
      </c>
      <c r="G19" s="209">
        <f t="shared" si="9"/>
        <v>0</v>
      </c>
      <c r="H19" s="209">
        <f t="shared" si="9"/>
        <v>0</v>
      </c>
      <c r="I19" s="209">
        <f t="shared" si="9"/>
        <v>0</v>
      </c>
      <c r="J19" s="209">
        <f t="shared" si="9"/>
        <v>0</v>
      </c>
      <c r="K19" s="209">
        <f t="shared" si="9"/>
        <v>0</v>
      </c>
      <c r="L19" s="209">
        <f t="shared" si="9"/>
        <v>0</v>
      </c>
      <c r="M19" s="209">
        <f t="shared" si="9"/>
        <v>0</v>
      </c>
      <c r="N19" s="209">
        <f t="shared" si="9"/>
        <v>0</v>
      </c>
      <c r="O19" s="209">
        <f t="shared" si="9"/>
        <v>0</v>
      </c>
      <c r="P19" s="209">
        <f t="shared" si="9"/>
        <v>0</v>
      </c>
      <c r="Q19" s="209">
        <f t="shared" si="9"/>
        <v>0</v>
      </c>
      <c r="R19" s="209">
        <f t="shared" si="9"/>
        <v>0</v>
      </c>
      <c r="S19" s="209">
        <f t="shared" si="9"/>
        <v>0</v>
      </c>
      <c r="T19" s="209">
        <f t="shared" si="9"/>
        <v>0</v>
      </c>
      <c r="U19" s="209">
        <f t="shared" si="9"/>
        <v>0</v>
      </c>
      <c r="V19" s="209">
        <f t="shared" si="9"/>
        <v>0</v>
      </c>
      <c r="W19" s="209">
        <f t="shared" si="9"/>
        <v>0</v>
      </c>
      <c r="X19" s="209">
        <f t="shared" si="9"/>
        <v>0</v>
      </c>
      <c r="Y19" s="209">
        <f t="shared" si="9"/>
        <v>0</v>
      </c>
      <c r="Z19" s="209">
        <f t="shared" si="9"/>
        <v>0</v>
      </c>
      <c r="AA19" s="209">
        <f t="shared" si="9"/>
        <v>0</v>
      </c>
      <c r="AB19" s="209">
        <f t="shared" si="9"/>
        <v>0</v>
      </c>
      <c r="AC19" s="209">
        <f t="shared" si="9"/>
        <v>0</v>
      </c>
      <c r="AD19" s="209">
        <f t="shared" si="9"/>
        <v>0</v>
      </c>
      <c r="AE19" s="209">
        <f t="shared" si="9"/>
        <v>0</v>
      </c>
      <c r="AF19" s="209">
        <f t="shared" si="9"/>
        <v>4022715</v>
      </c>
      <c r="AG19" s="209">
        <f t="shared" si="9"/>
        <v>0</v>
      </c>
      <c r="AH19" s="209">
        <f t="shared" si="9"/>
        <v>0</v>
      </c>
      <c r="AI19" s="209">
        <f t="shared" si="9"/>
        <v>0</v>
      </c>
      <c r="AJ19" s="209">
        <f t="shared" si="9"/>
        <v>0</v>
      </c>
      <c r="AK19" s="209">
        <f t="shared" si="9"/>
        <v>0</v>
      </c>
      <c r="AL19" s="209">
        <f t="shared" si="9"/>
        <v>0</v>
      </c>
      <c r="AM19" s="209">
        <f t="shared" si="9"/>
        <v>0</v>
      </c>
      <c r="AN19" s="209">
        <f t="shared" si="9"/>
        <v>0</v>
      </c>
      <c r="AO19" s="209">
        <f t="shared" si="9"/>
        <v>0</v>
      </c>
      <c r="AP19" s="209">
        <f t="shared" si="9"/>
        <v>0</v>
      </c>
    </row>
    <row r="20" spans="1:42">
      <c r="A20" s="202" t="s">
        <v>287</v>
      </c>
      <c r="C20" s="164">
        <f t="shared" ref="C20:AP20" si="10">C12+C18+C19</f>
        <v>7211060.7543711327</v>
      </c>
      <c r="D20" s="164">
        <f t="shared" si="10"/>
        <v>7246755.5051052701</v>
      </c>
      <c r="E20" s="164">
        <f t="shared" si="10"/>
        <v>7282626.944855541</v>
      </c>
      <c r="F20" s="164">
        <f t="shared" si="10"/>
        <v>7318675.9482325753</v>
      </c>
      <c r="G20" s="164">
        <f t="shared" si="10"/>
        <v>7354903.3941763267</v>
      </c>
      <c r="H20" s="164">
        <f t="shared" si="10"/>
        <v>7391310.1659774985</v>
      </c>
      <c r="I20" s="164">
        <f t="shared" si="10"/>
        <v>7427897.1512990892</v>
      </c>
      <c r="J20" s="164">
        <f t="shared" si="10"/>
        <v>7464665.2421980174</v>
      </c>
      <c r="K20" s="164">
        <f t="shared" si="10"/>
        <v>7501615.3351468993</v>
      </c>
      <c r="L20" s="164">
        <f t="shared" si="10"/>
        <v>7538748.3310558787</v>
      </c>
      <c r="M20" s="164">
        <f t="shared" si="10"/>
        <v>7576065.1352946041</v>
      </c>
      <c r="N20" s="164">
        <f t="shared" si="10"/>
        <v>7613566.657714311</v>
      </c>
      <c r="O20" s="164">
        <f t="shared" si="10"/>
        <v>7651253.8126699971</v>
      </c>
      <c r="P20" s="164">
        <f t="shared" si="10"/>
        <v>7689127.5190427136</v>
      </c>
      <c r="Q20" s="164">
        <f t="shared" si="10"/>
        <v>7727188.7002619766</v>
      </c>
      <c r="R20" s="164">
        <f t="shared" si="10"/>
        <v>7765438.2843282707</v>
      </c>
      <c r="S20" s="164">
        <f t="shared" si="10"/>
        <v>7803877.2038356988</v>
      </c>
      <c r="T20" s="164">
        <f t="shared" si="10"/>
        <v>7842506.3959946847</v>
      </c>
      <c r="U20" s="164">
        <f t="shared" si="10"/>
        <v>7881326.8026548587</v>
      </c>
      <c r="V20" s="164">
        <f t="shared" si="10"/>
        <v>7920339.370327998</v>
      </c>
      <c r="W20" s="164">
        <f t="shared" si="10"/>
        <v>7959545.0502111223</v>
      </c>
      <c r="X20" s="164">
        <f t="shared" si="10"/>
        <v>7998944.7982096663</v>
      </c>
      <c r="Y20" s="164">
        <f t="shared" si="10"/>
        <v>8038539.5749608064</v>
      </c>
      <c r="Z20" s="164">
        <f t="shared" si="10"/>
        <v>8078330.3458568593</v>
      </c>
      <c r="AA20" s="164">
        <f t="shared" si="10"/>
        <v>8118318.0810688548</v>
      </c>
      <c r="AB20" s="164">
        <f t="shared" si="10"/>
        <v>8158503.7555701463</v>
      </c>
      <c r="AC20" s="164">
        <f t="shared" si="10"/>
        <v>8198888.3491602186</v>
      </c>
      <c r="AD20" s="164">
        <f t="shared" si="10"/>
        <v>8239472.8464885578</v>
      </c>
      <c r="AE20" s="164">
        <f t="shared" si="10"/>
        <v>8280258.237078676</v>
      </c>
      <c r="AF20" s="164">
        <f t="shared" si="10"/>
        <v>12343960.515352216</v>
      </c>
      <c r="AG20" s="164">
        <f t="shared" si="10"/>
        <v>0</v>
      </c>
      <c r="AH20" s="164">
        <f t="shared" si="10"/>
        <v>0</v>
      </c>
      <c r="AI20" s="164">
        <f t="shared" si="10"/>
        <v>0</v>
      </c>
      <c r="AJ20" s="164">
        <f t="shared" si="10"/>
        <v>0</v>
      </c>
      <c r="AK20" s="164">
        <f t="shared" si="10"/>
        <v>0</v>
      </c>
      <c r="AL20" s="164">
        <f t="shared" si="10"/>
        <v>0</v>
      </c>
      <c r="AM20" s="164">
        <f t="shared" si="10"/>
        <v>0</v>
      </c>
      <c r="AN20" s="164">
        <f t="shared" si="10"/>
        <v>0</v>
      </c>
      <c r="AO20" s="164">
        <f t="shared" si="10"/>
        <v>0</v>
      </c>
      <c r="AP20" s="164">
        <f t="shared" si="10"/>
        <v>0</v>
      </c>
    </row>
    <row r="21" spans="1:42">
      <c r="A21" s="206"/>
      <c r="C21" s="164"/>
      <c r="D21" s="164"/>
      <c r="E21" s="164"/>
      <c r="F21" s="164"/>
      <c r="G21" s="164"/>
      <c r="H21" s="164"/>
      <c r="I21" s="164"/>
      <c r="J21" s="164"/>
      <c r="K21" s="164"/>
      <c r="L21" s="164"/>
      <c r="M21" s="164"/>
      <c r="N21" s="164"/>
      <c r="O21" s="164"/>
      <c r="P21" s="164"/>
      <c r="Q21" s="164"/>
      <c r="R21" s="164"/>
      <c r="S21" s="164"/>
      <c r="T21" s="164"/>
      <c r="U21" s="164"/>
      <c r="V21" s="164"/>
      <c r="W21" s="164"/>
      <c r="X21" s="164"/>
      <c r="Y21" s="164"/>
      <c r="Z21" s="164"/>
      <c r="AA21" s="164"/>
      <c r="AB21" s="164"/>
      <c r="AC21" s="164"/>
      <c r="AD21" s="164"/>
      <c r="AE21" s="164"/>
      <c r="AF21" s="164"/>
      <c r="AG21" s="164"/>
      <c r="AH21" s="164"/>
      <c r="AI21" s="164"/>
      <c r="AJ21" s="164"/>
      <c r="AK21" s="164"/>
      <c r="AL21" s="164"/>
      <c r="AM21" s="164"/>
      <c r="AN21" s="164"/>
      <c r="AO21" s="164"/>
      <c r="AP21" s="164"/>
    </row>
    <row r="22" spans="1:42">
      <c r="A22" s="204" t="s">
        <v>49</v>
      </c>
      <c r="C22" s="164"/>
      <c r="D22" s="208"/>
      <c r="E22" s="208"/>
      <c r="F22" s="208"/>
      <c r="G22" s="208"/>
      <c r="H22" s="208"/>
      <c r="I22" s="208"/>
      <c r="J22" s="208"/>
      <c r="K22" s="208"/>
      <c r="L22" s="208"/>
      <c r="M22" s="208"/>
      <c r="N22" s="208"/>
      <c r="O22" s="208"/>
      <c r="P22" s="208"/>
      <c r="Q22" s="208"/>
      <c r="R22" s="208"/>
      <c r="S22" s="208"/>
    </row>
    <row r="23" spans="1:42">
      <c r="A23" s="37" t="s">
        <v>5</v>
      </c>
      <c r="C23" s="164">
        <f t="shared" ref="C23:AP23" si="11">IF(C$2&lt;=AnalysisPeriod,OMFixedAnnual*(1+Inflation+OMFixedAnnualRealEsc)^B$2,0)</f>
        <v>10000</v>
      </c>
      <c r="D23" s="164">
        <f t="shared" si="11"/>
        <v>10250</v>
      </c>
      <c r="E23" s="164">
        <f t="shared" si="11"/>
        <v>10506.25</v>
      </c>
      <c r="F23" s="164">
        <f t="shared" si="11"/>
        <v>10768.906249999998</v>
      </c>
      <c r="G23" s="164">
        <f t="shared" si="11"/>
        <v>11038.128906249998</v>
      </c>
      <c r="H23" s="164">
        <f t="shared" si="11"/>
        <v>11314.082128906246</v>
      </c>
      <c r="I23" s="164">
        <f t="shared" si="11"/>
        <v>11596.934182128902</v>
      </c>
      <c r="J23" s="164">
        <f t="shared" si="11"/>
        <v>11886.857536682124</v>
      </c>
      <c r="K23" s="164">
        <f t="shared" si="11"/>
        <v>12184.028975099178</v>
      </c>
      <c r="L23" s="164">
        <f t="shared" si="11"/>
        <v>12488.629699476654</v>
      </c>
      <c r="M23" s="164">
        <f t="shared" si="11"/>
        <v>12800.845441963571</v>
      </c>
      <c r="N23" s="164">
        <f t="shared" si="11"/>
        <v>13120.866578012659</v>
      </c>
      <c r="O23" s="164">
        <f t="shared" si="11"/>
        <v>13448.888242462976</v>
      </c>
      <c r="P23" s="164">
        <f t="shared" si="11"/>
        <v>13785.110448524549</v>
      </c>
      <c r="Q23" s="164">
        <f t="shared" si="11"/>
        <v>14129.738209737661</v>
      </c>
      <c r="R23" s="164">
        <f t="shared" si="11"/>
        <v>14482.981664981105</v>
      </c>
      <c r="S23" s="164">
        <f t="shared" si="11"/>
        <v>14845.056206605632</v>
      </c>
      <c r="T23" s="164">
        <f t="shared" si="11"/>
        <v>15216.18261177077</v>
      </c>
      <c r="U23" s="164">
        <f t="shared" si="11"/>
        <v>15596.587177065039</v>
      </c>
      <c r="V23" s="164">
        <f t="shared" si="11"/>
        <v>15986.501856491666</v>
      </c>
      <c r="W23" s="164">
        <f t="shared" si="11"/>
        <v>16386.164402903956</v>
      </c>
      <c r="X23" s="164">
        <f t="shared" si="11"/>
        <v>16795.818512976552</v>
      </c>
      <c r="Y23" s="164">
        <f t="shared" si="11"/>
        <v>17215.713975800965</v>
      </c>
      <c r="Z23" s="164">
        <f t="shared" si="11"/>
        <v>17646.106825195991</v>
      </c>
      <c r="AA23" s="164">
        <f t="shared" si="11"/>
        <v>18087.259495825889</v>
      </c>
      <c r="AB23" s="164">
        <f t="shared" si="11"/>
        <v>18539.440983221535</v>
      </c>
      <c r="AC23" s="164">
        <f t="shared" si="11"/>
        <v>19002.927007802071</v>
      </c>
      <c r="AD23" s="164">
        <f t="shared" si="11"/>
        <v>19478.000182997122</v>
      </c>
      <c r="AE23" s="164">
        <f t="shared" si="11"/>
        <v>19964.950187572049</v>
      </c>
      <c r="AF23" s="164">
        <f t="shared" si="11"/>
        <v>20464.073942261351</v>
      </c>
      <c r="AG23" s="164">
        <f t="shared" si="11"/>
        <v>0</v>
      </c>
      <c r="AH23" s="164">
        <f t="shared" si="11"/>
        <v>0</v>
      </c>
      <c r="AI23" s="164">
        <f t="shared" si="11"/>
        <v>0</v>
      </c>
      <c r="AJ23" s="164">
        <f t="shared" si="11"/>
        <v>0</v>
      </c>
      <c r="AK23" s="164">
        <f t="shared" si="11"/>
        <v>0</v>
      </c>
      <c r="AL23" s="164">
        <f t="shared" si="11"/>
        <v>0</v>
      </c>
      <c r="AM23" s="164">
        <f t="shared" si="11"/>
        <v>0</v>
      </c>
      <c r="AN23" s="164">
        <f t="shared" si="11"/>
        <v>0</v>
      </c>
      <c r="AO23" s="164">
        <f t="shared" si="11"/>
        <v>0</v>
      </c>
      <c r="AP23" s="164">
        <f t="shared" si="11"/>
        <v>0</v>
      </c>
    </row>
    <row r="24" spans="1:42">
      <c r="A24" s="37" t="s">
        <v>7</v>
      </c>
    </row>
    <row r="25" spans="1:42">
      <c r="A25" s="206" t="s">
        <v>51</v>
      </c>
      <c r="C25" s="164">
        <f t="shared" ref="C25:AP25" si="12">IF(C$2&lt;=AnalysisPeriod,CapacityDC,0)</f>
        <v>10000</v>
      </c>
      <c r="D25" s="164">
        <f t="shared" si="12"/>
        <v>10000</v>
      </c>
      <c r="E25" s="164">
        <f t="shared" si="12"/>
        <v>10000</v>
      </c>
      <c r="F25" s="164">
        <f t="shared" si="12"/>
        <v>10000</v>
      </c>
      <c r="G25" s="164">
        <f t="shared" si="12"/>
        <v>10000</v>
      </c>
      <c r="H25" s="164">
        <f t="shared" si="12"/>
        <v>10000</v>
      </c>
      <c r="I25" s="164">
        <f t="shared" si="12"/>
        <v>10000</v>
      </c>
      <c r="J25" s="164">
        <f t="shared" si="12"/>
        <v>10000</v>
      </c>
      <c r="K25" s="164">
        <f t="shared" si="12"/>
        <v>10000</v>
      </c>
      <c r="L25" s="164">
        <f t="shared" si="12"/>
        <v>10000</v>
      </c>
      <c r="M25" s="164">
        <f t="shared" si="12"/>
        <v>10000</v>
      </c>
      <c r="N25" s="164">
        <f t="shared" si="12"/>
        <v>10000</v>
      </c>
      <c r="O25" s="164">
        <f t="shared" si="12"/>
        <v>10000</v>
      </c>
      <c r="P25" s="164">
        <f t="shared" si="12"/>
        <v>10000</v>
      </c>
      <c r="Q25" s="164">
        <f t="shared" si="12"/>
        <v>10000</v>
      </c>
      <c r="R25" s="164">
        <f t="shared" si="12"/>
        <v>10000</v>
      </c>
      <c r="S25" s="164">
        <f t="shared" si="12"/>
        <v>10000</v>
      </c>
      <c r="T25" s="164">
        <f t="shared" si="12"/>
        <v>10000</v>
      </c>
      <c r="U25" s="164">
        <f t="shared" si="12"/>
        <v>10000</v>
      </c>
      <c r="V25" s="164">
        <f t="shared" si="12"/>
        <v>10000</v>
      </c>
      <c r="W25" s="164">
        <f t="shared" si="12"/>
        <v>10000</v>
      </c>
      <c r="X25" s="164">
        <f t="shared" si="12"/>
        <v>10000</v>
      </c>
      <c r="Y25" s="164">
        <f t="shared" si="12"/>
        <v>10000</v>
      </c>
      <c r="Z25" s="164">
        <f t="shared" si="12"/>
        <v>10000</v>
      </c>
      <c r="AA25" s="164">
        <f t="shared" si="12"/>
        <v>10000</v>
      </c>
      <c r="AB25" s="164">
        <f t="shared" si="12"/>
        <v>10000</v>
      </c>
      <c r="AC25" s="164">
        <f t="shared" si="12"/>
        <v>10000</v>
      </c>
      <c r="AD25" s="164">
        <f t="shared" si="12"/>
        <v>10000</v>
      </c>
      <c r="AE25" s="164">
        <f t="shared" si="12"/>
        <v>10000</v>
      </c>
      <c r="AF25" s="164">
        <f t="shared" si="12"/>
        <v>10000</v>
      </c>
      <c r="AG25" s="164">
        <f t="shared" si="12"/>
        <v>0</v>
      </c>
      <c r="AH25" s="164">
        <f t="shared" si="12"/>
        <v>0</v>
      </c>
      <c r="AI25" s="164">
        <f t="shared" si="12"/>
        <v>0</v>
      </c>
      <c r="AJ25" s="164">
        <f t="shared" si="12"/>
        <v>0</v>
      </c>
      <c r="AK25" s="164">
        <f t="shared" si="12"/>
        <v>0</v>
      </c>
      <c r="AL25" s="164">
        <f t="shared" si="12"/>
        <v>0</v>
      </c>
      <c r="AM25" s="164">
        <f t="shared" si="12"/>
        <v>0</v>
      </c>
      <c r="AN25" s="164">
        <f t="shared" si="12"/>
        <v>0</v>
      </c>
      <c r="AO25" s="164">
        <f t="shared" si="12"/>
        <v>0</v>
      </c>
      <c r="AP25" s="164">
        <f t="shared" si="12"/>
        <v>0</v>
      </c>
    </row>
    <row r="26" spans="1:42">
      <c r="A26" s="206" t="s">
        <v>52</v>
      </c>
      <c r="C26" s="207">
        <f t="shared" ref="C26:AP26" si="13">IF(C$2&lt;=AnalysisPeriod,OMCapacity*(1+Inflation+OMCapacityRealEsc)^B$2,0)</f>
        <v>22</v>
      </c>
      <c r="D26" s="207">
        <f t="shared" si="13"/>
        <v>22.494999999999997</v>
      </c>
      <c r="E26" s="207">
        <f t="shared" si="13"/>
        <v>23.001137499999999</v>
      </c>
      <c r="F26" s="207">
        <f t="shared" si="13"/>
        <v>23.518663093749996</v>
      </c>
      <c r="G26" s="207">
        <f t="shared" si="13"/>
        <v>24.047833013359369</v>
      </c>
      <c r="H26" s="207">
        <f t="shared" si="13"/>
        <v>24.588909256159958</v>
      </c>
      <c r="I26" s="207">
        <f t="shared" si="13"/>
        <v>25.142159714423553</v>
      </c>
      <c r="J26" s="207">
        <f t="shared" si="13"/>
        <v>25.70785830799808</v>
      </c>
      <c r="K26" s="207">
        <f t="shared" si="13"/>
        <v>26.286285119928035</v>
      </c>
      <c r="L26" s="207">
        <f t="shared" si="13"/>
        <v>26.877726535126413</v>
      </c>
      <c r="M26" s="207">
        <f t="shared" si="13"/>
        <v>27.482475382166754</v>
      </c>
      <c r="N26" s="207">
        <f t="shared" si="13"/>
        <v>28.100831078265504</v>
      </c>
      <c r="O26" s="207">
        <f t="shared" si="13"/>
        <v>28.73309977752648</v>
      </c>
      <c r="P26" s="207">
        <f t="shared" si="13"/>
        <v>29.379594522520826</v>
      </c>
      <c r="Q26" s="207">
        <f t="shared" si="13"/>
        <v>30.040635399277544</v>
      </c>
      <c r="R26" s="207">
        <f t="shared" si="13"/>
        <v>30.716549695761287</v>
      </c>
      <c r="S26" s="207">
        <f t="shared" si="13"/>
        <v>31.407672063915907</v>
      </c>
      <c r="T26" s="207">
        <f t="shared" si="13"/>
        <v>32.114344685354013</v>
      </c>
      <c r="U26" s="207">
        <f t="shared" si="13"/>
        <v>32.836917440774478</v>
      </c>
      <c r="V26" s="207">
        <f t="shared" si="13"/>
        <v>33.575748083191904</v>
      </c>
      <c r="W26" s="207">
        <f t="shared" si="13"/>
        <v>34.331202415063721</v>
      </c>
      <c r="X26" s="207">
        <f t="shared" si="13"/>
        <v>35.103654469402656</v>
      </c>
      <c r="Y26" s="207">
        <f t="shared" si="13"/>
        <v>35.89348669496421</v>
      </c>
      <c r="Z26" s="207">
        <f t="shared" si="13"/>
        <v>36.701090145600901</v>
      </c>
      <c r="AA26" s="207">
        <f t="shared" si="13"/>
        <v>37.526864673876915</v>
      </c>
      <c r="AB26" s="207">
        <f t="shared" si="13"/>
        <v>38.37121912903914</v>
      </c>
      <c r="AC26" s="207">
        <f t="shared" si="13"/>
        <v>39.234571559442522</v>
      </c>
      <c r="AD26" s="207">
        <f t="shared" si="13"/>
        <v>40.117349419529972</v>
      </c>
      <c r="AE26" s="207">
        <f t="shared" si="13"/>
        <v>41.019989781469398</v>
      </c>
      <c r="AF26" s="207">
        <f t="shared" si="13"/>
        <v>41.942939551552463</v>
      </c>
      <c r="AG26" s="207">
        <f t="shared" si="13"/>
        <v>0</v>
      </c>
      <c r="AH26" s="207">
        <f t="shared" si="13"/>
        <v>0</v>
      </c>
      <c r="AI26" s="207">
        <f t="shared" si="13"/>
        <v>0</v>
      </c>
      <c r="AJ26" s="207">
        <f t="shared" si="13"/>
        <v>0</v>
      </c>
      <c r="AK26" s="207">
        <f t="shared" si="13"/>
        <v>0</v>
      </c>
      <c r="AL26" s="207">
        <f t="shared" si="13"/>
        <v>0</v>
      </c>
      <c r="AM26" s="207">
        <f t="shared" si="13"/>
        <v>0</v>
      </c>
      <c r="AN26" s="207">
        <f t="shared" si="13"/>
        <v>0</v>
      </c>
      <c r="AO26" s="207">
        <f t="shared" si="13"/>
        <v>0</v>
      </c>
      <c r="AP26" s="207">
        <f t="shared" si="13"/>
        <v>0</v>
      </c>
    </row>
    <row r="27" spans="1:42">
      <c r="A27" s="206" t="s">
        <v>53</v>
      </c>
      <c r="C27" s="164">
        <f>C25*C26</f>
        <v>220000</v>
      </c>
      <c r="D27" s="164">
        <f t="shared" ref="D27:AP27" si="14">D25*D26</f>
        <v>224949.99999999997</v>
      </c>
      <c r="E27" s="164">
        <f t="shared" si="14"/>
        <v>230011.375</v>
      </c>
      <c r="F27" s="164">
        <f t="shared" si="14"/>
        <v>235186.63093749995</v>
      </c>
      <c r="G27" s="164">
        <f t="shared" si="14"/>
        <v>240478.3301335937</v>
      </c>
      <c r="H27" s="164">
        <f t="shared" si="14"/>
        <v>245889.09256159959</v>
      </c>
      <c r="I27" s="164">
        <f t="shared" si="14"/>
        <v>251421.59714423554</v>
      </c>
      <c r="J27" s="164">
        <f t="shared" si="14"/>
        <v>257078.5830799808</v>
      </c>
      <c r="K27" s="164">
        <f t="shared" si="14"/>
        <v>262862.85119928035</v>
      </c>
      <c r="L27" s="164">
        <f t="shared" si="14"/>
        <v>268777.26535126416</v>
      </c>
      <c r="M27" s="164">
        <f t="shared" si="14"/>
        <v>274824.75382166752</v>
      </c>
      <c r="N27" s="164">
        <f t="shared" si="14"/>
        <v>281008.31078265503</v>
      </c>
      <c r="O27" s="164">
        <f t="shared" si="14"/>
        <v>287330.99777526478</v>
      </c>
      <c r="P27" s="164">
        <f t="shared" si="14"/>
        <v>293795.94522520824</v>
      </c>
      <c r="Q27" s="164">
        <f t="shared" si="14"/>
        <v>300406.35399277543</v>
      </c>
      <c r="R27" s="164">
        <f t="shared" si="14"/>
        <v>307165.49695761286</v>
      </c>
      <c r="S27" s="164">
        <f t="shared" si="14"/>
        <v>314076.72063915909</v>
      </c>
      <c r="T27" s="164">
        <f t="shared" si="14"/>
        <v>321143.44685354014</v>
      </c>
      <c r="U27" s="164">
        <f t="shared" si="14"/>
        <v>328369.17440774478</v>
      </c>
      <c r="V27" s="164">
        <f t="shared" si="14"/>
        <v>335757.48083191906</v>
      </c>
      <c r="W27" s="164">
        <f t="shared" si="14"/>
        <v>343312.02415063721</v>
      </c>
      <c r="X27" s="164">
        <f t="shared" si="14"/>
        <v>351036.54469402658</v>
      </c>
      <c r="Y27" s="164">
        <f t="shared" si="14"/>
        <v>358934.86694964208</v>
      </c>
      <c r="Z27" s="164">
        <f t="shared" si="14"/>
        <v>367010.90145600901</v>
      </c>
      <c r="AA27" s="164">
        <f t="shared" si="14"/>
        <v>375268.64673876914</v>
      </c>
      <c r="AB27" s="164">
        <f t="shared" si="14"/>
        <v>383712.19129039138</v>
      </c>
      <c r="AC27" s="164">
        <f t="shared" si="14"/>
        <v>392345.71559442522</v>
      </c>
      <c r="AD27" s="164">
        <f t="shared" si="14"/>
        <v>401173.49419529975</v>
      </c>
      <c r="AE27" s="164">
        <f t="shared" si="14"/>
        <v>410199.89781469398</v>
      </c>
      <c r="AF27" s="164">
        <f t="shared" si="14"/>
        <v>419429.39551552461</v>
      </c>
      <c r="AG27" s="164">
        <f t="shared" si="14"/>
        <v>0</v>
      </c>
      <c r="AH27" s="164">
        <f t="shared" si="14"/>
        <v>0</v>
      </c>
      <c r="AI27" s="164">
        <f t="shared" si="14"/>
        <v>0</v>
      </c>
      <c r="AJ27" s="164">
        <f t="shared" si="14"/>
        <v>0</v>
      </c>
      <c r="AK27" s="164">
        <f t="shared" si="14"/>
        <v>0</v>
      </c>
      <c r="AL27" s="164">
        <f t="shared" si="14"/>
        <v>0</v>
      </c>
      <c r="AM27" s="164">
        <f t="shared" si="14"/>
        <v>0</v>
      </c>
      <c r="AN27" s="164">
        <f t="shared" si="14"/>
        <v>0</v>
      </c>
      <c r="AO27" s="164">
        <f t="shared" si="14"/>
        <v>0</v>
      </c>
      <c r="AP27" s="164">
        <f t="shared" si="14"/>
        <v>0</v>
      </c>
    </row>
    <row r="28" spans="1:42">
      <c r="A28" s="37" t="s">
        <v>9</v>
      </c>
    </row>
    <row r="29" spans="1:42">
      <c r="A29" s="206" t="s">
        <v>55</v>
      </c>
      <c r="C29" s="164">
        <f>C5/1000</f>
        <v>17000</v>
      </c>
      <c r="D29" s="164">
        <f t="shared" ref="D29:AP29" si="15">D5/1000</f>
        <v>16915</v>
      </c>
      <c r="E29" s="164">
        <f t="shared" si="15"/>
        <v>16830.424999999999</v>
      </c>
      <c r="F29" s="164">
        <f t="shared" si="15"/>
        <v>16746.272874999999</v>
      </c>
      <c r="G29" s="164">
        <f t="shared" si="15"/>
        <v>16662.541510625</v>
      </c>
      <c r="H29" s="164">
        <f t="shared" si="15"/>
        <v>16579.228803071874</v>
      </c>
      <c r="I29" s="164">
        <f t="shared" si="15"/>
        <v>16496.332659056516</v>
      </c>
      <c r="J29" s="164">
        <f t="shared" si="15"/>
        <v>16413.850995761233</v>
      </c>
      <c r="K29" s="164">
        <f t="shared" si="15"/>
        <v>16331.781740782426</v>
      </c>
      <c r="L29" s="164">
        <f t="shared" si="15"/>
        <v>16250.122832078514</v>
      </c>
      <c r="M29" s="164">
        <f t="shared" si="15"/>
        <v>16168.872217918122</v>
      </c>
      <c r="N29" s="164">
        <f t="shared" si="15"/>
        <v>16088.027856828532</v>
      </c>
      <c r="O29" s="164">
        <f t="shared" si="15"/>
        <v>16007.587717544387</v>
      </c>
      <c r="P29" s="164">
        <f t="shared" si="15"/>
        <v>15927.549778956667</v>
      </c>
      <c r="Q29" s="164">
        <f t="shared" si="15"/>
        <v>15847.912030061883</v>
      </c>
      <c r="R29" s="164">
        <f t="shared" si="15"/>
        <v>15768.672469911573</v>
      </c>
      <c r="S29" s="164">
        <f t="shared" si="15"/>
        <v>15689.829107562015</v>
      </c>
      <c r="T29" s="164">
        <f t="shared" si="15"/>
        <v>15611.379962024204</v>
      </c>
      <c r="U29" s="164">
        <f t="shared" si="15"/>
        <v>15533.323062214084</v>
      </c>
      <c r="V29" s="164">
        <f t="shared" si="15"/>
        <v>15455.656446903013</v>
      </c>
      <c r="W29" s="164">
        <f t="shared" si="15"/>
        <v>15378.378164668497</v>
      </c>
      <c r="X29" s="164">
        <f t="shared" si="15"/>
        <v>15301.486273845156</v>
      </c>
      <c r="Y29" s="164">
        <f t="shared" si="15"/>
        <v>15224.978842475928</v>
      </c>
      <c r="Z29" s="164">
        <f t="shared" si="15"/>
        <v>15148.853948263548</v>
      </c>
      <c r="AA29" s="164">
        <f t="shared" si="15"/>
        <v>15073.109678522231</v>
      </c>
      <c r="AB29" s="164">
        <f t="shared" si="15"/>
        <v>14997.74413012962</v>
      </c>
      <c r="AC29" s="164">
        <f t="shared" si="15"/>
        <v>14922.755409478972</v>
      </c>
      <c r="AD29" s="164">
        <f t="shared" si="15"/>
        <v>14848.141632431576</v>
      </c>
      <c r="AE29" s="164">
        <f t="shared" si="15"/>
        <v>14773.900924269417</v>
      </c>
      <c r="AF29" s="164">
        <f t="shared" si="15"/>
        <v>14700.03141964807</v>
      </c>
      <c r="AG29" s="164">
        <f t="shared" si="15"/>
        <v>0</v>
      </c>
      <c r="AH29" s="164">
        <f t="shared" si="15"/>
        <v>0</v>
      </c>
      <c r="AI29" s="164">
        <f t="shared" si="15"/>
        <v>0</v>
      </c>
      <c r="AJ29" s="164">
        <f t="shared" si="15"/>
        <v>0</v>
      </c>
      <c r="AK29" s="164">
        <f t="shared" si="15"/>
        <v>0</v>
      </c>
      <c r="AL29" s="164">
        <f t="shared" si="15"/>
        <v>0</v>
      </c>
      <c r="AM29" s="164">
        <f t="shared" si="15"/>
        <v>0</v>
      </c>
      <c r="AN29" s="164">
        <f t="shared" si="15"/>
        <v>0</v>
      </c>
      <c r="AO29" s="164">
        <f t="shared" si="15"/>
        <v>0</v>
      </c>
      <c r="AP29" s="164">
        <f t="shared" si="15"/>
        <v>0</v>
      </c>
    </row>
    <row r="30" spans="1:42">
      <c r="A30" s="206" t="s">
        <v>56</v>
      </c>
      <c r="C30" s="207">
        <f t="shared" ref="C30:AP30" si="16">IF(C$2&lt;=AnalysisPeriod,OMVariable*(1+Inflation+OMVariableRealEsc)^B$2,0)</f>
        <v>3.5</v>
      </c>
      <c r="D30" s="207">
        <f t="shared" si="16"/>
        <v>3.5524999999999998</v>
      </c>
      <c r="E30" s="207">
        <f t="shared" si="16"/>
        <v>3.605787499999999</v>
      </c>
      <c r="F30" s="207">
        <f t="shared" si="16"/>
        <v>3.6598743124999986</v>
      </c>
      <c r="G30" s="207">
        <f t="shared" si="16"/>
        <v>3.7147724271874978</v>
      </c>
      <c r="H30" s="207">
        <f t="shared" si="16"/>
        <v>3.77049401359531</v>
      </c>
      <c r="I30" s="207">
        <f t="shared" si="16"/>
        <v>3.8270514237992388</v>
      </c>
      <c r="J30" s="207">
        <f t="shared" si="16"/>
        <v>3.884457195156227</v>
      </c>
      <c r="K30" s="207">
        <f t="shared" si="16"/>
        <v>3.9427240530835701</v>
      </c>
      <c r="L30" s="207">
        <f t="shared" si="16"/>
        <v>4.0018649138798228</v>
      </c>
      <c r="M30" s="207">
        <f t="shared" si="16"/>
        <v>4.0618928875880203</v>
      </c>
      <c r="N30" s="207">
        <f t="shared" si="16"/>
        <v>4.1228212809018396</v>
      </c>
      <c r="O30" s="207">
        <f t="shared" si="16"/>
        <v>4.1846636001153668</v>
      </c>
      <c r="P30" s="207">
        <f t="shared" si="16"/>
        <v>4.2474335541170962</v>
      </c>
      <c r="Q30" s="207">
        <f t="shared" si="16"/>
        <v>4.3111450574288517</v>
      </c>
      <c r="R30" s="207">
        <f t="shared" si="16"/>
        <v>4.3758122332902847</v>
      </c>
      <c r="S30" s="207">
        <f t="shared" si="16"/>
        <v>4.4414494167896379</v>
      </c>
      <c r="T30" s="207">
        <f t="shared" si="16"/>
        <v>4.5080711580414814</v>
      </c>
      <c r="U30" s="207">
        <f t="shared" si="16"/>
        <v>4.5756922254121033</v>
      </c>
      <c r="V30" s="207">
        <f t="shared" si="16"/>
        <v>4.6443276087932848</v>
      </c>
      <c r="W30" s="207">
        <f t="shared" si="16"/>
        <v>4.7139925229251824</v>
      </c>
      <c r="X30" s="207">
        <f t="shared" si="16"/>
        <v>4.7847024107690599</v>
      </c>
      <c r="Y30" s="207">
        <f t="shared" si="16"/>
        <v>4.8564729469305945</v>
      </c>
      <c r="Z30" s="207">
        <f t="shared" si="16"/>
        <v>4.9293200411345532</v>
      </c>
      <c r="AA30" s="207">
        <f t="shared" si="16"/>
        <v>5.0032598417515715</v>
      </c>
      <c r="AB30" s="207">
        <f t="shared" si="16"/>
        <v>5.0783087393778441</v>
      </c>
      <c r="AC30" s="207">
        <f t="shared" si="16"/>
        <v>5.1544833704685109</v>
      </c>
      <c r="AD30" s="207">
        <f t="shared" si="16"/>
        <v>5.2318006210255383</v>
      </c>
      <c r="AE30" s="207">
        <f t="shared" si="16"/>
        <v>5.31027763034092</v>
      </c>
      <c r="AF30" s="207">
        <f t="shared" si="16"/>
        <v>5.3899317947960341</v>
      </c>
      <c r="AG30" s="207">
        <f t="shared" si="16"/>
        <v>0</v>
      </c>
      <c r="AH30" s="207">
        <f t="shared" si="16"/>
        <v>0</v>
      </c>
      <c r="AI30" s="207">
        <f t="shared" si="16"/>
        <v>0</v>
      </c>
      <c r="AJ30" s="207">
        <f t="shared" si="16"/>
        <v>0</v>
      </c>
      <c r="AK30" s="207">
        <f t="shared" si="16"/>
        <v>0</v>
      </c>
      <c r="AL30" s="207">
        <f t="shared" si="16"/>
        <v>0</v>
      </c>
      <c r="AM30" s="207">
        <f t="shared" si="16"/>
        <v>0</v>
      </c>
      <c r="AN30" s="207">
        <f t="shared" si="16"/>
        <v>0</v>
      </c>
      <c r="AO30" s="207">
        <f t="shared" si="16"/>
        <v>0</v>
      </c>
      <c r="AP30" s="207">
        <f t="shared" si="16"/>
        <v>0</v>
      </c>
    </row>
    <row r="31" spans="1:42">
      <c r="A31" s="206" t="s">
        <v>53</v>
      </c>
      <c r="C31" s="210">
        <f>C29*C30</f>
        <v>59500</v>
      </c>
      <c r="D31" s="210">
        <f t="shared" ref="D31:AP31" si="17">D29*D30</f>
        <v>60090.537499999999</v>
      </c>
      <c r="E31" s="210">
        <f t="shared" si="17"/>
        <v>60686.936084687484</v>
      </c>
      <c r="F31" s="210">
        <f t="shared" si="17"/>
        <v>61289.253925327997</v>
      </c>
      <c r="G31" s="210">
        <f t="shared" si="17"/>
        <v>61897.549770536869</v>
      </c>
      <c r="H31" s="210">
        <f t="shared" si="17"/>
        <v>62511.882952009437</v>
      </c>
      <c r="I31" s="210">
        <f t="shared" si="17"/>
        <v>63132.313390308118</v>
      </c>
      <c r="J31" s="210">
        <f t="shared" si="17"/>
        <v>63758.901600706922</v>
      </c>
      <c r="K31" s="210">
        <f t="shared" si="17"/>
        <v>64391.708699093928</v>
      </c>
      <c r="L31" s="210">
        <f t="shared" si="17"/>
        <v>65030.796407932423</v>
      </c>
      <c r="M31" s="210">
        <f t="shared" si="17"/>
        <v>65676.227062281163</v>
      </c>
      <c r="N31" s="210">
        <f t="shared" si="17"/>
        <v>66328.063615874285</v>
      </c>
      <c r="O31" s="210">
        <f t="shared" si="17"/>
        <v>66986.369647261818</v>
      </c>
      <c r="P31" s="210">
        <f t="shared" si="17"/>
        <v>67651.20936601088</v>
      </c>
      <c r="Q31" s="210">
        <f t="shared" si="17"/>
        <v>68322.647618968535</v>
      </c>
      <c r="R31" s="210">
        <f t="shared" si="17"/>
        <v>69000.749896586785</v>
      </c>
      <c r="S31" s="210">
        <f t="shared" si="17"/>
        <v>69685.582339310393</v>
      </c>
      <c r="T31" s="210">
        <f t="shared" si="17"/>
        <v>70377.211744028027</v>
      </c>
      <c r="U31" s="210">
        <f t="shared" si="17"/>
        <v>71075.70557058751</v>
      </c>
      <c r="V31" s="210">
        <f t="shared" si="17"/>
        <v>71781.13194837558</v>
      </c>
      <c r="W31" s="210">
        <f t="shared" si="17"/>
        <v>72493.559682963183</v>
      </c>
      <c r="X31" s="210">
        <f t="shared" si="17"/>
        <v>73213.058262816601</v>
      </c>
      <c r="Y31" s="210">
        <f t="shared" si="17"/>
        <v>73939.697866075017</v>
      </c>
      <c r="Z31" s="210">
        <f t="shared" si="17"/>
        <v>74673.549367395812</v>
      </c>
      <c r="AA31" s="210">
        <f t="shared" si="17"/>
        <v>75414.684344867215</v>
      </c>
      <c r="AB31" s="210">
        <f t="shared" si="17"/>
        <v>76163.175086990013</v>
      </c>
      <c r="AC31" s="210">
        <f t="shared" si="17"/>
        <v>76919.094599728371</v>
      </c>
      <c r="AD31" s="210">
        <f t="shared" si="17"/>
        <v>77682.516613630665</v>
      </c>
      <c r="AE31" s="210">
        <f t="shared" si="17"/>
        <v>78453.515591020929</v>
      </c>
      <c r="AF31" s="210">
        <f t="shared" si="17"/>
        <v>79232.166733261824</v>
      </c>
      <c r="AG31" s="210">
        <f t="shared" si="17"/>
        <v>0</v>
      </c>
      <c r="AH31" s="210">
        <f t="shared" si="17"/>
        <v>0</v>
      </c>
      <c r="AI31" s="210">
        <f t="shared" si="17"/>
        <v>0</v>
      </c>
      <c r="AJ31" s="210">
        <f t="shared" si="17"/>
        <v>0</v>
      </c>
      <c r="AK31" s="210">
        <f t="shared" si="17"/>
        <v>0</v>
      </c>
      <c r="AL31" s="210">
        <f t="shared" si="17"/>
        <v>0</v>
      </c>
      <c r="AM31" s="210">
        <f t="shared" si="17"/>
        <v>0</v>
      </c>
      <c r="AN31" s="210">
        <f t="shared" si="17"/>
        <v>0</v>
      </c>
      <c r="AO31" s="210">
        <f t="shared" si="17"/>
        <v>0</v>
      </c>
      <c r="AP31" s="210">
        <f t="shared" si="17"/>
        <v>0</v>
      </c>
    </row>
    <row r="32" spans="1:42">
      <c r="A32" s="202" t="s">
        <v>22</v>
      </c>
      <c r="C32" s="208"/>
      <c r="D32" s="208"/>
      <c r="E32" s="208"/>
      <c r="F32" s="208"/>
      <c r="G32" s="208"/>
      <c r="H32" s="208"/>
      <c r="I32" s="208"/>
      <c r="J32" s="208"/>
      <c r="K32" s="208"/>
      <c r="L32" s="208"/>
      <c r="M32" s="208"/>
      <c r="N32" s="208"/>
      <c r="O32" s="208"/>
      <c r="P32" s="208"/>
      <c r="Q32" s="208"/>
      <c r="R32" s="208"/>
      <c r="S32" s="208"/>
      <c r="T32" s="208"/>
      <c r="U32" s="208"/>
      <c r="V32" s="208"/>
      <c r="W32" s="208"/>
      <c r="X32" s="208"/>
      <c r="Y32" s="208"/>
      <c r="Z32" s="208"/>
      <c r="AA32" s="208"/>
      <c r="AB32" s="208"/>
      <c r="AC32" s="208"/>
      <c r="AD32" s="208"/>
      <c r="AE32" s="208"/>
      <c r="AF32" s="208"/>
      <c r="AG32" s="208"/>
      <c r="AH32" s="208"/>
      <c r="AI32" s="208"/>
      <c r="AJ32" s="208"/>
      <c r="AK32" s="208"/>
      <c r="AL32" s="208"/>
      <c r="AM32" s="208"/>
      <c r="AN32" s="208"/>
      <c r="AO32" s="208"/>
      <c r="AP32" s="208"/>
    </row>
    <row r="33" spans="1:42">
      <c r="A33" s="211" t="s">
        <v>319</v>
      </c>
      <c r="C33" s="208">
        <f>IF(C$2&lt;=AnalysisPeriod,'Inputs &amp; Results'!$J$6,0)</f>
        <v>40227150</v>
      </c>
      <c r="D33" s="208">
        <f>IF(D$2&lt;=AnalysisPeriod,'Inputs &amp; Results'!$J$6,0)</f>
        <v>40227150</v>
      </c>
      <c r="E33" s="208">
        <f>IF(E$2&lt;=AnalysisPeriod,'Inputs &amp; Results'!$J$6,0)</f>
        <v>40227150</v>
      </c>
      <c r="F33" s="208">
        <f>IF(F$2&lt;=AnalysisPeriod,'Inputs &amp; Results'!$J$6,0)</f>
        <v>40227150</v>
      </c>
      <c r="G33" s="208">
        <f>IF(G$2&lt;=AnalysisPeriod,'Inputs &amp; Results'!$J$6,0)</f>
        <v>40227150</v>
      </c>
      <c r="H33" s="208">
        <f>IF(H$2&lt;=AnalysisPeriod,'Inputs &amp; Results'!$J$6,0)</f>
        <v>40227150</v>
      </c>
      <c r="I33" s="208">
        <f>IF(I$2&lt;=AnalysisPeriod,'Inputs &amp; Results'!$J$6,0)</f>
        <v>40227150</v>
      </c>
      <c r="J33" s="208">
        <f>IF(J$2&lt;=AnalysisPeriod,'Inputs &amp; Results'!$J$6,0)</f>
        <v>40227150</v>
      </c>
      <c r="K33" s="208">
        <f>IF(K$2&lt;=AnalysisPeriod,'Inputs &amp; Results'!$J$6,0)</f>
        <v>40227150</v>
      </c>
      <c r="L33" s="208">
        <f>IF(L$2&lt;=AnalysisPeriod,'Inputs &amp; Results'!$J$6,0)</f>
        <v>40227150</v>
      </c>
      <c r="M33" s="208">
        <f>IF(M$2&lt;=AnalysisPeriod,'Inputs &amp; Results'!$J$6,0)</f>
        <v>40227150</v>
      </c>
      <c r="N33" s="208">
        <f>IF(N$2&lt;=AnalysisPeriod,'Inputs &amp; Results'!$J$6,0)</f>
        <v>40227150</v>
      </c>
      <c r="O33" s="208">
        <f>IF(O$2&lt;=AnalysisPeriod,'Inputs &amp; Results'!$J$6,0)</f>
        <v>40227150</v>
      </c>
      <c r="P33" s="208">
        <f>IF(P$2&lt;=AnalysisPeriod,'Inputs &amp; Results'!$J$6,0)</f>
        <v>40227150</v>
      </c>
      <c r="Q33" s="208">
        <f>IF(Q$2&lt;=AnalysisPeriod,'Inputs &amp; Results'!$J$6,0)</f>
        <v>40227150</v>
      </c>
      <c r="R33" s="208">
        <f>IF(R$2&lt;=AnalysisPeriod,'Inputs &amp; Results'!$J$6,0)</f>
        <v>40227150</v>
      </c>
      <c r="S33" s="208">
        <f>IF(S$2&lt;=AnalysisPeriod,'Inputs &amp; Results'!$J$6,0)</f>
        <v>40227150</v>
      </c>
      <c r="T33" s="208">
        <f>IF(T$2&lt;=AnalysisPeriod,'Inputs &amp; Results'!$J$6,0)</f>
        <v>40227150</v>
      </c>
      <c r="U33" s="208">
        <f>IF(U$2&lt;=AnalysisPeriod,'Inputs &amp; Results'!$J$6,0)</f>
        <v>40227150</v>
      </c>
      <c r="V33" s="208">
        <f>IF(V$2&lt;=AnalysisPeriod,'Inputs &amp; Results'!$J$6,0)</f>
        <v>40227150</v>
      </c>
      <c r="W33" s="208">
        <f>IF(W$2&lt;=AnalysisPeriod,'Inputs &amp; Results'!$J$6,0)</f>
        <v>40227150</v>
      </c>
      <c r="X33" s="208">
        <f>IF(X$2&lt;=AnalysisPeriod,'Inputs &amp; Results'!$J$6,0)</f>
        <v>40227150</v>
      </c>
      <c r="Y33" s="208">
        <f>IF(Y$2&lt;=AnalysisPeriod,'Inputs &amp; Results'!$J$6,0)</f>
        <v>40227150</v>
      </c>
      <c r="Z33" s="208">
        <f>IF(Z$2&lt;=AnalysisPeriod,'Inputs &amp; Results'!$J$6,0)</f>
        <v>40227150</v>
      </c>
      <c r="AA33" s="208">
        <f>IF(AA$2&lt;=AnalysisPeriod,'Inputs &amp; Results'!$J$6,0)</f>
        <v>40227150</v>
      </c>
      <c r="AB33" s="208">
        <f>IF(AB$2&lt;=AnalysisPeriod,'Inputs &amp; Results'!$J$6,0)</f>
        <v>40227150</v>
      </c>
      <c r="AC33" s="208">
        <f>IF(AC$2&lt;=AnalysisPeriod,'Inputs &amp; Results'!$J$6,0)</f>
        <v>40227150</v>
      </c>
      <c r="AD33" s="208">
        <f>IF(AD$2&lt;=AnalysisPeriod,'Inputs &amp; Results'!$J$6,0)</f>
        <v>40227150</v>
      </c>
      <c r="AE33" s="208">
        <f>IF(AE$2&lt;=AnalysisPeriod,'Inputs &amp; Results'!$J$6,0)</f>
        <v>40227150</v>
      </c>
      <c r="AF33" s="208">
        <f>IF(AF$2&lt;=AnalysisPeriod,'Inputs &amp; Results'!$J$6,0)</f>
        <v>40227150</v>
      </c>
      <c r="AG33" s="208">
        <f>IF(AG$2&lt;=AnalysisPeriod,'Inputs &amp; Results'!$J$6,0)</f>
        <v>0</v>
      </c>
      <c r="AH33" s="208">
        <f>IF(AH$2&lt;=AnalysisPeriod,'Inputs &amp; Results'!$J$6,0)</f>
        <v>0</v>
      </c>
      <c r="AI33" s="208">
        <f>IF(AI$2&lt;=AnalysisPeriod,'Inputs &amp; Results'!$J$6,0)</f>
        <v>0</v>
      </c>
      <c r="AJ33" s="208">
        <f>IF(AJ$2&lt;=AnalysisPeriod,'Inputs &amp; Results'!$J$6,0)</f>
        <v>0</v>
      </c>
      <c r="AK33" s="208">
        <f>IF(AK$2&lt;=AnalysisPeriod,'Inputs &amp; Results'!$J$6,0)</f>
        <v>0</v>
      </c>
      <c r="AL33" s="208">
        <f>IF(AL$2&lt;=AnalysisPeriod,'Inputs &amp; Results'!$J$6,0)</f>
        <v>0</v>
      </c>
      <c r="AM33" s="208">
        <f>IF(AM$2&lt;=AnalysisPeriod,'Inputs &amp; Results'!$J$6,0)</f>
        <v>0</v>
      </c>
      <c r="AN33" s="208">
        <f>IF(AN$2&lt;=AnalysisPeriod,'Inputs &amp; Results'!$J$6,0)</f>
        <v>0</v>
      </c>
      <c r="AO33" s="208">
        <f>IF(AO$2&lt;=AnalysisPeriod,'Inputs &amp; Results'!$J$6,0)</f>
        <v>0</v>
      </c>
      <c r="AP33" s="208">
        <f>IF(AP$2&lt;=AnalysisPeriod,'Inputs &amp; Results'!$J$6,0)</f>
        <v>0</v>
      </c>
    </row>
    <row r="34" spans="1:42">
      <c r="A34" s="211" t="s">
        <v>320</v>
      </c>
      <c r="C34" s="212">
        <f>IF(D$2&lt;=AnalysisPeriod,'Inputs &amp; Results'!$J$7,0)</f>
        <v>0.95</v>
      </c>
      <c r="D34" s="212">
        <f>'Inputs &amp; Results'!$J$7</f>
        <v>0.95</v>
      </c>
      <c r="E34" s="212">
        <f>'Inputs &amp; Results'!$J$7</f>
        <v>0.95</v>
      </c>
      <c r="F34" s="212">
        <f>'Inputs &amp; Results'!$J$7</f>
        <v>0.95</v>
      </c>
      <c r="G34" s="212">
        <f>'Inputs &amp; Results'!$J$7</f>
        <v>0.95</v>
      </c>
      <c r="H34" s="212">
        <f>'Inputs &amp; Results'!$J$7</f>
        <v>0.95</v>
      </c>
      <c r="I34" s="212">
        <f>'Inputs &amp; Results'!$J$7</f>
        <v>0.95</v>
      </c>
      <c r="J34" s="212">
        <f>'Inputs &amp; Results'!$J$7</f>
        <v>0.95</v>
      </c>
      <c r="K34" s="212">
        <f>'Inputs &amp; Results'!$J$7</f>
        <v>0.95</v>
      </c>
      <c r="L34" s="212">
        <f>'Inputs &amp; Results'!$J$7</f>
        <v>0.95</v>
      </c>
      <c r="M34" s="212">
        <f>'Inputs &amp; Results'!$J$7</f>
        <v>0.95</v>
      </c>
      <c r="N34" s="212">
        <f>'Inputs &amp; Results'!$J$7</f>
        <v>0.95</v>
      </c>
      <c r="O34" s="212">
        <f>'Inputs &amp; Results'!$J$7</f>
        <v>0.95</v>
      </c>
      <c r="P34" s="212">
        <f>'Inputs &amp; Results'!$J$7</f>
        <v>0.95</v>
      </c>
      <c r="Q34" s="212">
        <f>'Inputs &amp; Results'!$J$7</f>
        <v>0.95</v>
      </c>
      <c r="R34" s="212">
        <f>'Inputs &amp; Results'!$J$7</f>
        <v>0.95</v>
      </c>
      <c r="S34" s="212">
        <f>'Inputs &amp; Results'!$J$7</f>
        <v>0.95</v>
      </c>
      <c r="T34" s="212">
        <f>'Inputs &amp; Results'!$J$7</f>
        <v>0.95</v>
      </c>
      <c r="U34" s="212">
        <f>'Inputs &amp; Results'!$J$7</f>
        <v>0.95</v>
      </c>
      <c r="V34" s="212">
        <f>'Inputs &amp; Results'!$J$7</f>
        <v>0.95</v>
      </c>
      <c r="W34" s="212">
        <f>'Inputs &amp; Results'!$J$7</f>
        <v>0.95</v>
      </c>
      <c r="X34" s="212">
        <f>'Inputs &amp; Results'!$J$7</f>
        <v>0.95</v>
      </c>
      <c r="Y34" s="212">
        <f>'Inputs &amp; Results'!$J$7</f>
        <v>0.95</v>
      </c>
      <c r="Z34" s="212">
        <f>'Inputs &amp; Results'!$J$7</f>
        <v>0.95</v>
      </c>
      <c r="AA34" s="212">
        <f>'Inputs &amp; Results'!$J$7</f>
        <v>0.95</v>
      </c>
      <c r="AB34" s="212">
        <f>'Inputs &amp; Results'!$J$7</f>
        <v>0.95</v>
      </c>
      <c r="AC34" s="212">
        <f>'Inputs &amp; Results'!$J$7</f>
        <v>0.95</v>
      </c>
      <c r="AD34" s="212">
        <f>'Inputs &amp; Results'!$J$7</f>
        <v>0.95</v>
      </c>
      <c r="AE34" s="212">
        <f>'Inputs &amp; Results'!$J$7</f>
        <v>0.95</v>
      </c>
      <c r="AF34" s="212">
        <f>'Inputs &amp; Results'!$J$7</f>
        <v>0.95</v>
      </c>
      <c r="AG34" s="212">
        <f>'Inputs &amp; Results'!$J$7</f>
        <v>0.95</v>
      </c>
      <c r="AH34" s="212">
        <f>'Inputs &amp; Results'!$J$7</f>
        <v>0.95</v>
      </c>
      <c r="AI34" s="212">
        <f>'Inputs &amp; Results'!$J$7</f>
        <v>0.95</v>
      </c>
      <c r="AJ34" s="212">
        <f>'Inputs &amp; Results'!$J$7</f>
        <v>0.95</v>
      </c>
      <c r="AK34" s="212">
        <f>'Inputs &amp; Results'!$J$7</f>
        <v>0.95</v>
      </c>
      <c r="AL34" s="212">
        <f>'Inputs &amp; Results'!$J$7</f>
        <v>0.95</v>
      </c>
      <c r="AM34" s="212">
        <f>'Inputs &amp; Results'!$J$7</f>
        <v>0.95</v>
      </c>
      <c r="AN34" s="212">
        <f>'Inputs &amp; Results'!$J$7</f>
        <v>0.95</v>
      </c>
      <c r="AO34" s="212">
        <f>'Inputs &amp; Results'!$J$7</f>
        <v>0.95</v>
      </c>
      <c r="AP34" s="212">
        <f>'Inputs &amp; Results'!$J$7</f>
        <v>0.95</v>
      </c>
    </row>
    <row r="35" spans="1:42">
      <c r="A35" s="211" t="s">
        <v>388</v>
      </c>
      <c r="C35" s="208">
        <f>C33*C34</f>
        <v>38215792.5</v>
      </c>
      <c r="D35" s="208">
        <f>D33*D34</f>
        <v>38215792.5</v>
      </c>
      <c r="E35" s="208">
        <f t="shared" ref="E35:K35" si="18">E33*E34</f>
        <v>38215792.5</v>
      </c>
      <c r="F35" s="208">
        <f t="shared" si="18"/>
        <v>38215792.5</v>
      </c>
      <c r="G35" s="208">
        <f t="shared" si="18"/>
        <v>38215792.5</v>
      </c>
      <c r="H35" s="208">
        <f t="shared" si="18"/>
        <v>38215792.5</v>
      </c>
      <c r="I35" s="208">
        <f t="shared" si="18"/>
        <v>38215792.5</v>
      </c>
      <c r="J35" s="208">
        <f t="shared" si="18"/>
        <v>38215792.5</v>
      </c>
      <c r="K35" s="208">
        <f t="shared" si="18"/>
        <v>38215792.5</v>
      </c>
      <c r="L35" s="208">
        <f>L33*L34</f>
        <v>38215792.5</v>
      </c>
      <c r="M35" s="208">
        <f t="shared" ref="M35:R35" si="19">M33*M34</f>
        <v>38215792.5</v>
      </c>
      <c r="N35" s="208">
        <f t="shared" si="19"/>
        <v>38215792.5</v>
      </c>
      <c r="O35" s="208">
        <f t="shared" si="19"/>
        <v>38215792.5</v>
      </c>
      <c r="P35" s="208">
        <f t="shared" si="19"/>
        <v>38215792.5</v>
      </c>
      <c r="Q35" s="208">
        <f t="shared" si="19"/>
        <v>38215792.5</v>
      </c>
      <c r="R35" s="208">
        <f t="shared" si="19"/>
        <v>38215792.5</v>
      </c>
      <c r="S35" s="208">
        <f>S33*S34</f>
        <v>38215792.5</v>
      </c>
      <c r="T35" s="208">
        <f t="shared" ref="T35:X35" si="20">T33*T34</f>
        <v>38215792.5</v>
      </c>
      <c r="U35" s="208">
        <f t="shared" si="20"/>
        <v>38215792.5</v>
      </c>
      <c r="V35" s="208">
        <f t="shared" si="20"/>
        <v>38215792.5</v>
      </c>
      <c r="W35" s="208">
        <f t="shared" si="20"/>
        <v>38215792.5</v>
      </c>
      <c r="X35" s="208">
        <f t="shared" si="20"/>
        <v>38215792.5</v>
      </c>
      <c r="Y35" s="208">
        <f>Y33*Y34</f>
        <v>38215792.5</v>
      </c>
      <c r="Z35" s="208">
        <f t="shared" ref="Z35:AF35" si="21">Z33*Z34</f>
        <v>38215792.5</v>
      </c>
      <c r="AA35" s="208">
        <f t="shared" si="21"/>
        <v>38215792.5</v>
      </c>
      <c r="AB35" s="208">
        <f t="shared" si="21"/>
        <v>38215792.5</v>
      </c>
      <c r="AC35" s="208">
        <f t="shared" si="21"/>
        <v>38215792.5</v>
      </c>
      <c r="AD35" s="208">
        <f t="shared" si="21"/>
        <v>38215792.5</v>
      </c>
      <c r="AE35" s="208">
        <f t="shared" si="21"/>
        <v>38215792.5</v>
      </c>
      <c r="AF35" s="208">
        <f t="shared" si="21"/>
        <v>38215792.5</v>
      </c>
      <c r="AG35" s="208">
        <f>AG33*AG34</f>
        <v>0</v>
      </c>
      <c r="AH35" s="208">
        <f t="shared" ref="AH35:AM35" si="22">AH33*AH34</f>
        <v>0</v>
      </c>
      <c r="AI35" s="208">
        <f t="shared" si="22"/>
        <v>0</v>
      </c>
      <c r="AJ35" s="208">
        <f t="shared" si="22"/>
        <v>0</v>
      </c>
      <c r="AK35" s="208">
        <f t="shared" si="22"/>
        <v>0</v>
      </c>
      <c r="AL35" s="208">
        <f t="shared" si="22"/>
        <v>0</v>
      </c>
      <c r="AM35" s="208">
        <f t="shared" si="22"/>
        <v>0</v>
      </c>
      <c r="AN35" s="208">
        <f>AN33*AN34</f>
        <v>0</v>
      </c>
      <c r="AO35" s="208">
        <f t="shared" ref="AO35:AP35" si="23">AO33*AO34</f>
        <v>0</v>
      </c>
      <c r="AP35" s="208">
        <f t="shared" si="23"/>
        <v>0</v>
      </c>
    </row>
    <row r="36" spans="1:42">
      <c r="A36" s="211" t="s">
        <v>322</v>
      </c>
      <c r="C36" s="213">
        <v>1</v>
      </c>
      <c r="D36" s="214">
        <f>MAX(C36-'Inputs &amp; Results'!$J$9,0)</f>
        <v>0.95</v>
      </c>
      <c r="E36" s="214">
        <f>MAX(D36-'Inputs &amp; Results'!$J$9,0)</f>
        <v>0.89999999999999991</v>
      </c>
      <c r="F36" s="214">
        <f>MAX(E36-'Inputs &amp; Results'!$J$9,0)</f>
        <v>0.84999999999999987</v>
      </c>
      <c r="G36" s="214">
        <f>MAX(F36-'Inputs &amp; Results'!$J$9,0)</f>
        <v>0.79999999999999982</v>
      </c>
      <c r="H36" s="214">
        <f>MAX(G36-'Inputs &amp; Results'!$J$9,0)</f>
        <v>0.74999999999999978</v>
      </c>
      <c r="I36" s="214">
        <f>MAX(H36-'Inputs &amp; Results'!$J$9,0)</f>
        <v>0.69999999999999973</v>
      </c>
      <c r="J36" s="214">
        <f>MAX(I36-'Inputs &amp; Results'!$J$9,0)</f>
        <v>0.64999999999999969</v>
      </c>
      <c r="K36" s="214">
        <f>MAX(J36-'Inputs &amp; Results'!$J$9,0)</f>
        <v>0.59999999999999964</v>
      </c>
      <c r="L36" s="214">
        <f>MAX(K36-'Inputs &amp; Results'!$J$9,0)</f>
        <v>0.5499999999999996</v>
      </c>
      <c r="M36" s="214">
        <f>MAX(L36-'Inputs &amp; Results'!$J$9,0)</f>
        <v>0.49999999999999961</v>
      </c>
      <c r="N36" s="214">
        <f>MAX(M36-'Inputs &amp; Results'!$J$9,0)</f>
        <v>0.44999999999999962</v>
      </c>
      <c r="O36" s="214">
        <f>MAX(N36-'Inputs &amp; Results'!$J$9,0)</f>
        <v>0.39999999999999963</v>
      </c>
      <c r="P36" s="214">
        <f>MAX(O36-'Inputs &amp; Results'!$J$9,0)</f>
        <v>0.34999999999999964</v>
      </c>
      <c r="Q36" s="214">
        <f>MAX(P36-'Inputs &amp; Results'!$J$9,0)</f>
        <v>0.29999999999999966</v>
      </c>
      <c r="R36" s="214">
        <f>MAX(Q36-'Inputs &amp; Results'!$J$9,0)</f>
        <v>0.24999999999999967</v>
      </c>
      <c r="S36" s="214">
        <f>MAX(R36-'Inputs &amp; Results'!$J$9,0)</f>
        <v>0.19999999999999968</v>
      </c>
      <c r="T36" s="214">
        <f>MAX(S36-'Inputs &amp; Results'!$J$9,0)</f>
        <v>0.14999999999999969</v>
      </c>
      <c r="U36" s="214">
        <f>MAX(T36-'Inputs &amp; Results'!$J$9,0)</f>
        <v>9.9999999999999686E-2</v>
      </c>
      <c r="V36" s="214">
        <f>MAX(U36-'Inputs &amp; Results'!$J$9,0)</f>
        <v>4.9999999999999684E-2</v>
      </c>
      <c r="W36" s="214">
        <f>MAX(V36-'Inputs &amp; Results'!$J$9,0)</f>
        <v>0</v>
      </c>
      <c r="X36" s="214">
        <f>MAX(W36-'Inputs &amp; Results'!$J$9,0)</f>
        <v>0</v>
      </c>
      <c r="Y36" s="214">
        <f>MAX(X36-'Inputs &amp; Results'!$J$9,0)</f>
        <v>0</v>
      </c>
      <c r="Z36" s="214">
        <f>MAX(Y36-'Inputs &amp; Results'!$J$9,0)</f>
        <v>0</v>
      </c>
      <c r="AA36" s="214">
        <f>MAX(Z36-'Inputs &amp; Results'!$J$9,0)</f>
        <v>0</v>
      </c>
      <c r="AB36" s="214">
        <f>MAX(AA36-'Inputs &amp; Results'!$J$9,0)</f>
        <v>0</v>
      </c>
      <c r="AC36" s="214">
        <f>MAX(AB36-'Inputs &amp; Results'!$J$9,0)</f>
        <v>0</v>
      </c>
      <c r="AD36" s="214">
        <f>MAX(AC36-'Inputs &amp; Results'!$J$9,0)</f>
        <v>0</v>
      </c>
      <c r="AE36" s="214">
        <f>MAX(AD36-'Inputs &amp; Results'!$J$9,0)</f>
        <v>0</v>
      </c>
      <c r="AF36" s="214">
        <f>MAX(AE36-'Inputs &amp; Results'!$J$9,0)</f>
        <v>0</v>
      </c>
      <c r="AG36" s="214">
        <f>MAX(AF36-'Inputs &amp; Results'!$J$9,0)</f>
        <v>0</v>
      </c>
      <c r="AH36" s="214">
        <f>MAX(AG36-'Inputs &amp; Results'!$J$9,0)</f>
        <v>0</v>
      </c>
      <c r="AI36" s="214">
        <f>MAX(AH36-'Inputs &amp; Results'!$J$9,0)</f>
        <v>0</v>
      </c>
      <c r="AJ36" s="214">
        <f>MAX(AI36-'Inputs &amp; Results'!$J$9,0)</f>
        <v>0</v>
      </c>
      <c r="AK36" s="214">
        <f>MAX(AJ36-'Inputs &amp; Results'!$J$9,0)</f>
        <v>0</v>
      </c>
      <c r="AL36" s="214">
        <f>MAX(AK36-'Inputs &amp; Results'!$J$9,0)</f>
        <v>0</v>
      </c>
      <c r="AM36" s="214">
        <f>MAX(AL36-'Inputs &amp; Results'!$J$9,0)</f>
        <v>0</v>
      </c>
      <c r="AN36" s="214">
        <f>MAX(AM36-'Inputs &amp; Results'!$J$9,0)</f>
        <v>0</v>
      </c>
      <c r="AO36" s="214">
        <f>MAX(AN36-'Inputs &amp; Results'!$J$9,0)</f>
        <v>0</v>
      </c>
      <c r="AP36" s="214">
        <f>MAX(AO36-'Inputs &amp; Results'!$J$9,0)</f>
        <v>0</v>
      </c>
    </row>
    <row r="37" spans="1:42">
      <c r="A37" s="211" t="s">
        <v>324</v>
      </c>
      <c r="C37" s="208">
        <f>C35*C36</f>
        <v>38215792.5</v>
      </c>
      <c r="D37" s="208">
        <f>D35*D36</f>
        <v>36305002.875</v>
      </c>
      <c r="E37" s="208">
        <f t="shared" ref="E37:K37" si="24">E35*E36</f>
        <v>34394213.25</v>
      </c>
      <c r="F37" s="208">
        <f t="shared" si="24"/>
        <v>32483423.624999996</v>
      </c>
      <c r="G37" s="208">
        <f t="shared" si="24"/>
        <v>30572633.999999993</v>
      </c>
      <c r="H37" s="208">
        <f t="shared" si="24"/>
        <v>28661844.374999993</v>
      </c>
      <c r="I37" s="208">
        <f t="shared" si="24"/>
        <v>26751054.749999989</v>
      </c>
      <c r="J37" s="208">
        <f t="shared" si="24"/>
        <v>24840265.124999989</v>
      </c>
      <c r="K37" s="208">
        <f t="shared" si="24"/>
        <v>22929475.499999985</v>
      </c>
      <c r="L37" s="208">
        <f>L35*L36</f>
        <v>21018685.874999985</v>
      </c>
      <c r="M37" s="208">
        <f t="shared" ref="M37:R37" si="25">M35*M36</f>
        <v>19107896.249999985</v>
      </c>
      <c r="N37" s="208">
        <f t="shared" si="25"/>
        <v>17197106.624999985</v>
      </c>
      <c r="O37" s="208">
        <f t="shared" si="25"/>
        <v>15286316.999999985</v>
      </c>
      <c r="P37" s="208">
        <f t="shared" si="25"/>
        <v>13375527.374999987</v>
      </c>
      <c r="Q37" s="208">
        <f t="shared" si="25"/>
        <v>11464737.749999987</v>
      </c>
      <c r="R37" s="208">
        <f t="shared" si="25"/>
        <v>9553948.124999987</v>
      </c>
      <c r="S37" s="208">
        <f>S35*S36</f>
        <v>7643158.4999999879</v>
      </c>
      <c r="T37" s="208">
        <f t="shared" ref="T37:X37" si="26">T35*T36</f>
        <v>5732368.8749999879</v>
      </c>
      <c r="U37" s="208">
        <f t="shared" si="26"/>
        <v>3821579.2499999879</v>
      </c>
      <c r="V37" s="208">
        <f t="shared" si="26"/>
        <v>1910789.6249999879</v>
      </c>
      <c r="W37" s="208">
        <f t="shared" si="26"/>
        <v>0</v>
      </c>
      <c r="X37" s="208">
        <f t="shared" si="26"/>
        <v>0</v>
      </c>
      <c r="Y37" s="208">
        <f>Y35*Y36</f>
        <v>0</v>
      </c>
      <c r="Z37" s="208">
        <f t="shared" ref="Z37:AF37" si="27">Z35*Z36</f>
        <v>0</v>
      </c>
      <c r="AA37" s="208">
        <f t="shared" si="27"/>
        <v>0</v>
      </c>
      <c r="AB37" s="208">
        <f t="shared" si="27"/>
        <v>0</v>
      </c>
      <c r="AC37" s="208">
        <f t="shared" si="27"/>
        <v>0</v>
      </c>
      <c r="AD37" s="208">
        <f t="shared" si="27"/>
        <v>0</v>
      </c>
      <c r="AE37" s="208">
        <f t="shared" si="27"/>
        <v>0</v>
      </c>
      <c r="AF37" s="208">
        <f t="shared" si="27"/>
        <v>0</v>
      </c>
      <c r="AG37" s="208">
        <f>AG35*AG36</f>
        <v>0</v>
      </c>
      <c r="AH37" s="208">
        <f t="shared" ref="AH37:AM37" si="28">AH35*AH36</f>
        <v>0</v>
      </c>
      <c r="AI37" s="208">
        <f t="shared" si="28"/>
        <v>0</v>
      </c>
      <c r="AJ37" s="208">
        <f t="shared" si="28"/>
        <v>0</v>
      </c>
      <c r="AK37" s="208">
        <f t="shared" si="28"/>
        <v>0</v>
      </c>
      <c r="AL37" s="208">
        <f t="shared" si="28"/>
        <v>0</v>
      </c>
      <c r="AM37" s="208">
        <f t="shared" si="28"/>
        <v>0</v>
      </c>
      <c r="AN37" s="208">
        <f>AN35*AN36</f>
        <v>0</v>
      </c>
      <c r="AO37" s="208">
        <f t="shared" ref="AO37:AP37" si="29">AO35*AO36</f>
        <v>0</v>
      </c>
      <c r="AP37" s="208">
        <f t="shared" si="29"/>
        <v>0</v>
      </c>
    </row>
    <row r="38" spans="1:42">
      <c r="A38" s="211" t="s">
        <v>323</v>
      </c>
      <c r="C38" s="212">
        <f t="shared" ref="C38:AP38" si="30">PropertyTaxRate</f>
        <v>7.4999999999999997E-3</v>
      </c>
      <c r="D38" s="212">
        <f t="shared" si="30"/>
        <v>7.4999999999999997E-3</v>
      </c>
      <c r="E38" s="212">
        <f t="shared" si="30"/>
        <v>7.4999999999999997E-3</v>
      </c>
      <c r="F38" s="212">
        <f t="shared" si="30"/>
        <v>7.4999999999999997E-3</v>
      </c>
      <c r="G38" s="212">
        <f t="shared" si="30"/>
        <v>7.4999999999999997E-3</v>
      </c>
      <c r="H38" s="212">
        <f t="shared" si="30"/>
        <v>7.4999999999999997E-3</v>
      </c>
      <c r="I38" s="212">
        <f t="shared" si="30"/>
        <v>7.4999999999999997E-3</v>
      </c>
      <c r="J38" s="212">
        <f t="shared" si="30"/>
        <v>7.4999999999999997E-3</v>
      </c>
      <c r="K38" s="212">
        <f t="shared" si="30"/>
        <v>7.4999999999999997E-3</v>
      </c>
      <c r="L38" s="212">
        <f t="shared" si="30"/>
        <v>7.4999999999999997E-3</v>
      </c>
      <c r="M38" s="212">
        <f t="shared" si="30"/>
        <v>7.4999999999999997E-3</v>
      </c>
      <c r="N38" s="212">
        <f t="shared" si="30"/>
        <v>7.4999999999999997E-3</v>
      </c>
      <c r="O38" s="212">
        <f t="shared" si="30"/>
        <v>7.4999999999999997E-3</v>
      </c>
      <c r="P38" s="212">
        <f t="shared" si="30"/>
        <v>7.4999999999999997E-3</v>
      </c>
      <c r="Q38" s="212">
        <f t="shared" si="30"/>
        <v>7.4999999999999997E-3</v>
      </c>
      <c r="R38" s="212">
        <f t="shared" si="30"/>
        <v>7.4999999999999997E-3</v>
      </c>
      <c r="S38" s="212">
        <f t="shared" si="30"/>
        <v>7.4999999999999997E-3</v>
      </c>
      <c r="T38" s="212">
        <f t="shared" si="30"/>
        <v>7.4999999999999997E-3</v>
      </c>
      <c r="U38" s="212">
        <f t="shared" si="30"/>
        <v>7.4999999999999997E-3</v>
      </c>
      <c r="V38" s="212">
        <f t="shared" si="30"/>
        <v>7.4999999999999997E-3</v>
      </c>
      <c r="W38" s="212">
        <f t="shared" si="30"/>
        <v>7.4999999999999997E-3</v>
      </c>
      <c r="X38" s="212">
        <f t="shared" si="30"/>
        <v>7.4999999999999997E-3</v>
      </c>
      <c r="Y38" s="212">
        <f t="shared" si="30"/>
        <v>7.4999999999999997E-3</v>
      </c>
      <c r="Z38" s="212">
        <f t="shared" si="30"/>
        <v>7.4999999999999997E-3</v>
      </c>
      <c r="AA38" s="212">
        <f t="shared" si="30"/>
        <v>7.4999999999999997E-3</v>
      </c>
      <c r="AB38" s="212">
        <f t="shared" si="30"/>
        <v>7.4999999999999997E-3</v>
      </c>
      <c r="AC38" s="212">
        <f t="shared" si="30"/>
        <v>7.4999999999999997E-3</v>
      </c>
      <c r="AD38" s="212">
        <f t="shared" si="30"/>
        <v>7.4999999999999997E-3</v>
      </c>
      <c r="AE38" s="212">
        <f t="shared" si="30"/>
        <v>7.4999999999999997E-3</v>
      </c>
      <c r="AF38" s="212">
        <f t="shared" si="30"/>
        <v>7.4999999999999997E-3</v>
      </c>
      <c r="AG38" s="212">
        <f t="shared" si="30"/>
        <v>7.4999999999999997E-3</v>
      </c>
      <c r="AH38" s="212">
        <f t="shared" si="30"/>
        <v>7.4999999999999997E-3</v>
      </c>
      <c r="AI38" s="212">
        <f t="shared" si="30"/>
        <v>7.4999999999999997E-3</v>
      </c>
      <c r="AJ38" s="212">
        <f t="shared" si="30"/>
        <v>7.4999999999999997E-3</v>
      </c>
      <c r="AK38" s="212">
        <f t="shared" si="30"/>
        <v>7.4999999999999997E-3</v>
      </c>
      <c r="AL38" s="212">
        <f t="shared" si="30"/>
        <v>7.4999999999999997E-3</v>
      </c>
      <c r="AM38" s="212">
        <f t="shared" si="30"/>
        <v>7.4999999999999997E-3</v>
      </c>
      <c r="AN38" s="212">
        <f t="shared" si="30"/>
        <v>7.4999999999999997E-3</v>
      </c>
      <c r="AO38" s="212">
        <f t="shared" si="30"/>
        <v>7.4999999999999997E-3</v>
      </c>
      <c r="AP38" s="212">
        <f t="shared" si="30"/>
        <v>7.4999999999999997E-3</v>
      </c>
    </row>
    <row r="39" spans="1:42">
      <c r="A39" s="211" t="s">
        <v>22</v>
      </c>
      <c r="C39" s="164">
        <f>C37*C38</f>
        <v>286618.44374999998</v>
      </c>
      <c r="D39" s="164">
        <f>D37*D38</f>
        <v>272287.52156249998</v>
      </c>
      <c r="E39" s="164">
        <f t="shared" ref="E39:K39" si="31">E37*E38</f>
        <v>257956.59937499999</v>
      </c>
      <c r="F39" s="164">
        <f t="shared" si="31"/>
        <v>243625.67718749997</v>
      </c>
      <c r="G39" s="164">
        <f t="shared" si="31"/>
        <v>229294.75499999995</v>
      </c>
      <c r="H39" s="164">
        <f t="shared" si="31"/>
        <v>214963.83281249992</v>
      </c>
      <c r="I39" s="164">
        <f t="shared" si="31"/>
        <v>200632.9106249999</v>
      </c>
      <c r="J39" s="164">
        <f t="shared" si="31"/>
        <v>186301.98843749991</v>
      </c>
      <c r="K39" s="164">
        <f t="shared" si="31"/>
        <v>171971.06624999989</v>
      </c>
      <c r="L39" s="164">
        <f>L37*L38</f>
        <v>157640.14406249989</v>
      </c>
      <c r="M39" s="164">
        <f t="shared" ref="M39:R39" si="32">M37*M38</f>
        <v>143309.22187499987</v>
      </c>
      <c r="N39" s="164">
        <f t="shared" si="32"/>
        <v>128978.29968749988</v>
      </c>
      <c r="O39" s="164">
        <f t="shared" si="32"/>
        <v>114647.37749999989</v>
      </c>
      <c r="P39" s="164">
        <f t="shared" si="32"/>
        <v>100316.45531249989</v>
      </c>
      <c r="Q39" s="164">
        <f t="shared" si="32"/>
        <v>85985.5331249999</v>
      </c>
      <c r="R39" s="164">
        <f t="shared" si="32"/>
        <v>71654.610937499892</v>
      </c>
      <c r="S39" s="164">
        <f>S37*S38</f>
        <v>57323.688749999907</v>
      </c>
      <c r="T39" s="164">
        <f t="shared" ref="T39:X39" si="33">T37*T38</f>
        <v>42992.766562499906</v>
      </c>
      <c r="U39" s="164">
        <f t="shared" si="33"/>
        <v>28661.84437499991</v>
      </c>
      <c r="V39" s="164">
        <f t="shared" si="33"/>
        <v>14330.922187499909</v>
      </c>
      <c r="W39" s="164">
        <f t="shared" si="33"/>
        <v>0</v>
      </c>
      <c r="X39" s="164">
        <f t="shared" si="33"/>
        <v>0</v>
      </c>
      <c r="Y39" s="164">
        <f>Y37*Y38</f>
        <v>0</v>
      </c>
      <c r="Z39" s="164">
        <f t="shared" ref="Z39:AF39" si="34">Z37*Z38</f>
        <v>0</v>
      </c>
      <c r="AA39" s="164">
        <f t="shared" si="34"/>
        <v>0</v>
      </c>
      <c r="AB39" s="164">
        <f t="shared" si="34"/>
        <v>0</v>
      </c>
      <c r="AC39" s="164">
        <f t="shared" si="34"/>
        <v>0</v>
      </c>
      <c r="AD39" s="164">
        <f t="shared" si="34"/>
        <v>0</v>
      </c>
      <c r="AE39" s="164">
        <f t="shared" si="34"/>
        <v>0</v>
      </c>
      <c r="AF39" s="164">
        <f t="shared" si="34"/>
        <v>0</v>
      </c>
      <c r="AG39" s="164">
        <f>AG37*AG38</f>
        <v>0</v>
      </c>
      <c r="AH39" s="164">
        <f t="shared" ref="AH39:AM39" si="35">AH37*AH38</f>
        <v>0</v>
      </c>
      <c r="AI39" s="164">
        <f t="shared" si="35"/>
        <v>0</v>
      </c>
      <c r="AJ39" s="164">
        <f t="shared" si="35"/>
        <v>0</v>
      </c>
      <c r="AK39" s="164">
        <f t="shared" si="35"/>
        <v>0</v>
      </c>
      <c r="AL39" s="164">
        <f t="shared" si="35"/>
        <v>0</v>
      </c>
      <c r="AM39" s="164">
        <f t="shared" si="35"/>
        <v>0</v>
      </c>
      <c r="AN39" s="164">
        <f>AN37*AN38</f>
        <v>0</v>
      </c>
      <c r="AO39" s="164">
        <f t="shared" ref="AO39:AP39" si="36">AO37*AO38</f>
        <v>0</v>
      </c>
      <c r="AP39" s="164">
        <f t="shared" si="36"/>
        <v>0</v>
      </c>
    </row>
    <row r="40" spans="1:42">
      <c r="A40" s="202" t="s">
        <v>136</v>
      </c>
      <c r="C40" s="209">
        <f>IF(C$2&lt;=AnalysisPeriod,PreFinancingInstalledCostTotal*'Inputs &amp; Results'!$J$12*(1+Inflation)^B$2,0)</f>
        <v>201135.75</v>
      </c>
      <c r="D40" s="209">
        <f>IF(D$2&lt;=AnalysisPeriod,PreFinancingInstalledCostTotal*'Inputs &amp; Results'!$J$12*(1+Inflation)^C$2,0)</f>
        <v>204152.78624999998</v>
      </c>
      <c r="E40" s="209">
        <f>IF(E$2&lt;=AnalysisPeriod,PreFinancingInstalledCostTotal*'Inputs &amp; Results'!$J$12*(1+Inflation)^D$2,0)</f>
        <v>207215.07804374993</v>
      </c>
      <c r="F40" s="209">
        <f>IF(F$2&lt;=AnalysisPeriod,PreFinancingInstalledCostTotal*'Inputs &amp; Results'!$J$12*(1+Inflation)^E$2,0)</f>
        <v>210323.30421440618</v>
      </c>
      <c r="G40" s="209">
        <f>IF(G$2&lt;=AnalysisPeriod,PreFinancingInstalledCostTotal*'Inputs &amp; Results'!$J$12*(1+Inflation)^F$2,0)</f>
        <v>213478.15377762224</v>
      </c>
      <c r="H40" s="209">
        <f>IF(H$2&lt;=AnalysisPeriod,PreFinancingInstalledCostTotal*'Inputs &amp; Results'!$J$12*(1+Inflation)^G$2,0)</f>
        <v>216680.32608428653</v>
      </c>
      <c r="I40" s="209">
        <f>IF(I$2&lt;=AnalysisPeriod,PreFinancingInstalledCostTotal*'Inputs &amp; Results'!$J$12*(1+Inflation)^H$2,0)</f>
        <v>219930.53097555079</v>
      </c>
      <c r="J40" s="209">
        <f>IF(J$2&lt;=AnalysisPeriod,PreFinancingInstalledCostTotal*'Inputs &amp; Results'!$J$12*(1+Inflation)^I$2,0)</f>
        <v>223229.488940184</v>
      </c>
      <c r="K40" s="209">
        <f>IF(K$2&lt;=AnalysisPeriod,PreFinancingInstalledCostTotal*'Inputs &amp; Results'!$J$12*(1+Inflation)^J$2,0)</f>
        <v>226577.93127428676</v>
      </c>
      <c r="L40" s="209">
        <f>IF(L$2&lt;=AnalysisPeriod,PreFinancingInstalledCostTotal*'Inputs &amp; Results'!$J$12*(1+Inflation)^K$2,0)</f>
        <v>229976.60024340104</v>
      </c>
      <c r="M40" s="209">
        <f>IF(M$2&lt;=AnalysisPeriod,PreFinancingInstalledCostTotal*'Inputs &amp; Results'!$J$12*(1+Inflation)^L$2,0)</f>
        <v>233426.24924705201</v>
      </c>
      <c r="N40" s="209">
        <f>IF(N$2&lt;=AnalysisPeriod,PreFinancingInstalledCostTotal*'Inputs &amp; Results'!$J$12*(1+Inflation)^M$2,0)</f>
        <v>236927.64298575779</v>
      </c>
      <c r="O40" s="209">
        <f>IF(O$2&lt;=AnalysisPeriod,PreFinancingInstalledCostTotal*'Inputs &amp; Results'!$J$12*(1+Inflation)^N$2,0)</f>
        <v>240481.55763054409</v>
      </c>
      <c r="P40" s="209">
        <f>IF(P$2&lt;=AnalysisPeriod,PreFinancingInstalledCostTotal*'Inputs &amp; Results'!$J$12*(1+Inflation)^O$2,0)</f>
        <v>244088.78099500225</v>
      </c>
      <c r="Q40" s="209">
        <f>IF(Q$2&lt;=AnalysisPeriod,PreFinancingInstalledCostTotal*'Inputs &amp; Results'!$J$12*(1+Inflation)^P$2,0)</f>
        <v>247750.1127099272</v>
      </c>
      <c r="R40" s="209">
        <f>IF(R$2&lt;=AnalysisPeriod,PreFinancingInstalledCostTotal*'Inputs &amp; Results'!$J$12*(1+Inflation)^Q$2,0)</f>
        <v>251466.36440057607</v>
      </c>
      <c r="S40" s="209">
        <f>IF(S$2&lt;=AnalysisPeriod,PreFinancingInstalledCostTotal*'Inputs &amp; Results'!$J$12*(1+Inflation)^R$2,0)</f>
        <v>255238.35986658468</v>
      </c>
      <c r="T40" s="209">
        <f>IF(T$2&lt;=AnalysisPeriod,PreFinancingInstalledCostTotal*'Inputs &amp; Results'!$J$12*(1+Inflation)^S$2,0)</f>
        <v>259066.93526458342</v>
      </c>
      <c r="U40" s="209">
        <f>IF(U$2&lt;=AnalysisPeriod,PreFinancingInstalledCostTotal*'Inputs &amp; Results'!$J$12*(1+Inflation)^T$2,0)</f>
        <v>262952.93929355213</v>
      </c>
      <c r="V40" s="209">
        <f>IF(V$2&lt;=AnalysisPeriod,PreFinancingInstalledCostTotal*'Inputs &amp; Results'!$J$12*(1+Inflation)^U$2,0)</f>
        <v>266897.23338295543</v>
      </c>
      <c r="W40" s="209">
        <f>IF(W$2&lt;=AnalysisPeriod,PreFinancingInstalledCostTotal*'Inputs &amp; Results'!$J$12*(1+Inflation)^V$2,0)</f>
        <v>270900.69188369968</v>
      </c>
      <c r="X40" s="209">
        <f>IF(X$2&lt;=AnalysisPeriod,PreFinancingInstalledCostTotal*'Inputs &amp; Results'!$J$12*(1+Inflation)^W$2,0)</f>
        <v>274964.20226195513</v>
      </c>
      <c r="Y40" s="209">
        <f>IF(Y$2&lt;=AnalysisPeriod,PreFinancingInstalledCostTotal*'Inputs &amp; Results'!$J$12*(1+Inflation)^X$2,0)</f>
        <v>279088.66529588442</v>
      </c>
      <c r="Z40" s="209">
        <f>IF(Z$2&lt;=AnalysisPeriod,PreFinancingInstalledCostTotal*'Inputs &amp; Results'!$J$12*(1+Inflation)^Y$2,0)</f>
        <v>283274.99527532264</v>
      </c>
      <c r="AA40" s="209">
        <f>IF(AA$2&lt;=AnalysisPeriod,PreFinancingInstalledCostTotal*'Inputs &amp; Results'!$J$12*(1+Inflation)^Z$2,0)</f>
        <v>287524.12020445243</v>
      </c>
      <c r="AB40" s="209">
        <f>IF(AB$2&lt;=AnalysisPeriod,PreFinancingInstalledCostTotal*'Inputs &amp; Results'!$J$12*(1+Inflation)^AA$2,0)</f>
        <v>291836.98200751923</v>
      </c>
      <c r="AC40" s="209">
        <f>IF(AC$2&lt;=AnalysisPeriod,PreFinancingInstalledCostTotal*'Inputs &amp; Results'!$J$12*(1+Inflation)^AB$2,0)</f>
        <v>296214.53673763195</v>
      </c>
      <c r="AD40" s="209">
        <f>IF(AD$2&lt;=AnalysisPeriod,PreFinancingInstalledCostTotal*'Inputs &amp; Results'!$J$12*(1+Inflation)^AC$2,0)</f>
        <v>300657.75478869642</v>
      </c>
      <c r="AE40" s="209">
        <f>IF(AE$2&lt;=AnalysisPeriod,PreFinancingInstalledCostTotal*'Inputs &amp; Results'!$J$12*(1+Inflation)^AD$2,0)</f>
        <v>305167.62111052679</v>
      </c>
      <c r="AF40" s="209">
        <f>IF(AF$2&lt;=AnalysisPeriod,PreFinancingInstalledCostTotal*'Inputs &amp; Results'!$J$12*(1+Inflation)^AE$2,0)</f>
        <v>309745.13542718469</v>
      </c>
      <c r="AG40" s="209">
        <f>IF(AG$2&lt;=AnalysisPeriod,PreFinancingInstalledCostTotal*'Inputs &amp; Results'!$J$12*(1+Inflation)^AF$2,0)</f>
        <v>0</v>
      </c>
      <c r="AH40" s="209">
        <f>IF(AH$2&lt;=AnalysisPeriod,PreFinancingInstalledCostTotal*'Inputs &amp; Results'!$J$12*(1+Inflation)^AG$2,0)</f>
        <v>0</v>
      </c>
      <c r="AI40" s="209">
        <f>IF(AI$2&lt;=AnalysisPeriod,PreFinancingInstalledCostTotal*'Inputs &amp; Results'!$J$12*(1+Inflation)^AH$2,0)</f>
        <v>0</v>
      </c>
      <c r="AJ40" s="209">
        <f>IF(AJ$2&lt;=AnalysisPeriod,PreFinancingInstalledCostTotal*'Inputs &amp; Results'!$J$12*(1+Inflation)^AI$2,0)</f>
        <v>0</v>
      </c>
      <c r="AK40" s="209">
        <f>IF(AK$2&lt;=AnalysisPeriod,PreFinancingInstalledCostTotal*'Inputs &amp; Results'!$J$12*(1+Inflation)^AJ$2,0)</f>
        <v>0</v>
      </c>
      <c r="AL40" s="209">
        <f>IF(AL$2&lt;=AnalysisPeriod,PreFinancingInstalledCostTotal*'Inputs &amp; Results'!$J$12*(1+Inflation)^AK$2,0)</f>
        <v>0</v>
      </c>
      <c r="AM40" s="209">
        <f>IF(AM$2&lt;=AnalysisPeriod,PreFinancingInstalledCostTotal*'Inputs &amp; Results'!$J$12*(1+Inflation)^AL$2,0)</f>
        <v>0</v>
      </c>
      <c r="AN40" s="209">
        <f>IF(AN$2&lt;=AnalysisPeriod,PreFinancingInstalledCostTotal*'Inputs &amp; Results'!$J$12*(1+Inflation)^AM$2,0)</f>
        <v>0</v>
      </c>
      <c r="AO40" s="209">
        <f>IF(AO$2&lt;=AnalysisPeriod,PreFinancingInstalledCostTotal*'Inputs &amp; Results'!$J$12*(1+Inflation)^AN$2,0)</f>
        <v>0</v>
      </c>
      <c r="AP40" s="209">
        <f>IF(AP$2&lt;=AnalysisPeriod,PreFinancingInstalledCostTotal*'Inputs &amp; Results'!$J$12*(1+Inflation)^AO$2,0)</f>
        <v>0</v>
      </c>
    </row>
    <row r="41" spans="1:42">
      <c r="A41" s="37" t="s">
        <v>74</v>
      </c>
      <c r="C41" s="164">
        <f t="shared" ref="C41:AP41" si="37">C23+C27+C31+C39+C40</f>
        <v>777254.19374999998</v>
      </c>
      <c r="D41" s="164">
        <f t="shared" si="37"/>
        <v>771730.84531250002</v>
      </c>
      <c r="E41" s="164">
        <f t="shared" si="37"/>
        <v>766376.23850343737</v>
      </c>
      <c r="F41" s="164">
        <f t="shared" si="37"/>
        <v>761193.77251473407</v>
      </c>
      <c r="G41" s="164">
        <f t="shared" si="37"/>
        <v>756186.91758800286</v>
      </c>
      <c r="H41" s="164">
        <f t="shared" si="37"/>
        <v>751359.21653930179</v>
      </c>
      <c r="I41" s="164">
        <f t="shared" si="37"/>
        <v>746714.28631722322</v>
      </c>
      <c r="J41" s="164">
        <f t="shared" si="37"/>
        <v>742255.81959505379</v>
      </c>
      <c r="K41" s="164">
        <f t="shared" si="37"/>
        <v>737987.58639776008</v>
      </c>
      <c r="L41" s="164">
        <f t="shared" si="37"/>
        <v>733913.4357645741</v>
      </c>
      <c r="M41" s="164">
        <f t="shared" si="37"/>
        <v>730037.29744796408</v>
      </c>
      <c r="N41" s="164">
        <f t="shared" si="37"/>
        <v>726363.18364979955</v>
      </c>
      <c r="O41" s="164">
        <f t="shared" si="37"/>
        <v>722895.19079553359</v>
      </c>
      <c r="P41" s="164">
        <f t="shared" si="37"/>
        <v>719637.50134724576</v>
      </c>
      <c r="Q41" s="164">
        <f t="shared" si="37"/>
        <v>716594.38565640873</v>
      </c>
      <c r="R41" s="164">
        <f t="shared" si="37"/>
        <v>713770.2038572568</v>
      </c>
      <c r="S41" s="164">
        <f t="shared" si="37"/>
        <v>711169.40780165966</v>
      </c>
      <c r="T41" s="164">
        <f t="shared" si="37"/>
        <v>708796.54303642223</v>
      </c>
      <c r="U41" s="164">
        <f t="shared" si="37"/>
        <v>706656.25082394935</v>
      </c>
      <c r="V41" s="164">
        <f t="shared" si="37"/>
        <v>704753.27020724164</v>
      </c>
      <c r="W41" s="164">
        <f t="shared" si="37"/>
        <v>703092.440120204</v>
      </c>
      <c r="X41" s="164">
        <f t="shared" si="37"/>
        <v>716009.62373177486</v>
      </c>
      <c r="Y41" s="164">
        <f t="shared" si="37"/>
        <v>729178.94408740243</v>
      </c>
      <c r="Z41" s="164">
        <f t="shared" si="37"/>
        <v>742605.55292392347</v>
      </c>
      <c r="AA41" s="164">
        <f t="shared" si="37"/>
        <v>756294.71078391466</v>
      </c>
      <c r="AB41" s="164">
        <f t="shared" si="37"/>
        <v>770251.78936812212</v>
      </c>
      <c r="AC41" s="164">
        <f t="shared" si="37"/>
        <v>784482.27393958764</v>
      </c>
      <c r="AD41" s="164">
        <f t="shared" si="37"/>
        <v>798991.765780624</v>
      </c>
      <c r="AE41" s="164">
        <f t="shared" si="37"/>
        <v>813785.98470381368</v>
      </c>
      <c r="AF41" s="164">
        <f t="shared" si="37"/>
        <v>828870.77161823248</v>
      </c>
      <c r="AG41" s="164">
        <f t="shared" si="37"/>
        <v>0</v>
      </c>
      <c r="AH41" s="164">
        <f t="shared" si="37"/>
        <v>0</v>
      </c>
      <c r="AI41" s="164">
        <f t="shared" si="37"/>
        <v>0</v>
      </c>
      <c r="AJ41" s="164">
        <f t="shared" si="37"/>
        <v>0</v>
      </c>
      <c r="AK41" s="164">
        <f t="shared" si="37"/>
        <v>0</v>
      </c>
      <c r="AL41" s="164">
        <f t="shared" si="37"/>
        <v>0</v>
      </c>
      <c r="AM41" s="164">
        <f t="shared" si="37"/>
        <v>0</v>
      </c>
      <c r="AN41" s="164">
        <f t="shared" si="37"/>
        <v>0</v>
      </c>
      <c r="AO41" s="164">
        <f t="shared" si="37"/>
        <v>0</v>
      </c>
      <c r="AP41" s="164">
        <f t="shared" si="37"/>
        <v>0</v>
      </c>
    </row>
    <row r="43" spans="1:42" ht="13.5" thickBot="1">
      <c r="A43" s="204" t="s">
        <v>117</v>
      </c>
      <c r="C43" s="215">
        <f t="shared" ref="C43:AP43" si="38">C20-C41</f>
        <v>6433806.5606211331</v>
      </c>
      <c r="D43" s="215">
        <f t="shared" si="38"/>
        <v>6475024.6597927697</v>
      </c>
      <c r="E43" s="215">
        <f t="shared" si="38"/>
        <v>6516250.7063521035</v>
      </c>
      <c r="F43" s="215">
        <f t="shared" si="38"/>
        <v>6557482.1757178409</v>
      </c>
      <c r="G43" s="215">
        <f t="shared" si="38"/>
        <v>6598716.4765883237</v>
      </c>
      <c r="H43" s="215">
        <f t="shared" si="38"/>
        <v>6639950.9494381966</v>
      </c>
      <c r="I43" s="215">
        <f t="shared" si="38"/>
        <v>6681182.8649818655</v>
      </c>
      <c r="J43" s="215">
        <f t="shared" si="38"/>
        <v>6722409.4226029636</v>
      </c>
      <c r="K43" s="215">
        <f t="shared" si="38"/>
        <v>6763627.7487491388</v>
      </c>
      <c r="L43" s="215">
        <f t="shared" si="38"/>
        <v>6804834.8952913042</v>
      </c>
      <c r="M43" s="215">
        <f t="shared" si="38"/>
        <v>6846027.8378466405</v>
      </c>
      <c r="N43" s="215">
        <f t="shared" si="38"/>
        <v>6887203.4740645112</v>
      </c>
      <c r="O43" s="215">
        <f t="shared" si="38"/>
        <v>6928358.6218744637</v>
      </c>
      <c r="P43" s="215">
        <f t="shared" si="38"/>
        <v>6969490.0176954679</v>
      </c>
      <c r="Q43" s="215">
        <f t="shared" si="38"/>
        <v>7010594.3146055676</v>
      </c>
      <c r="R43" s="215">
        <f t="shared" si="38"/>
        <v>7051668.0804710137</v>
      </c>
      <c r="S43" s="215">
        <f t="shared" si="38"/>
        <v>7092707.796034039</v>
      </c>
      <c r="T43" s="215">
        <f t="shared" si="38"/>
        <v>7133709.852958262</v>
      </c>
      <c r="U43" s="215">
        <f t="shared" si="38"/>
        <v>7174670.5518309092</v>
      </c>
      <c r="V43" s="215">
        <f t="shared" si="38"/>
        <v>7215586.1001207568</v>
      </c>
      <c r="W43" s="215">
        <f t="shared" si="38"/>
        <v>7256452.6100909179</v>
      </c>
      <c r="X43" s="215">
        <f t="shared" si="38"/>
        <v>7282935.1744778911</v>
      </c>
      <c r="Y43" s="215">
        <f t="shared" si="38"/>
        <v>7309360.6308734044</v>
      </c>
      <c r="Z43" s="215">
        <f t="shared" si="38"/>
        <v>7335724.792932936</v>
      </c>
      <c r="AA43" s="215">
        <f t="shared" si="38"/>
        <v>7362023.3702849401</v>
      </c>
      <c r="AB43" s="215">
        <f t="shared" si="38"/>
        <v>7388251.9662020244</v>
      </c>
      <c r="AC43" s="215">
        <f t="shared" si="38"/>
        <v>7414406.0752206314</v>
      </c>
      <c r="AD43" s="215">
        <f t="shared" si="38"/>
        <v>7440481.0807079338</v>
      </c>
      <c r="AE43" s="215">
        <f t="shared" si="38"/>
        <v>7466472.2523748623</v>
      </c>
      <c r="AF43" s="215">
        <f t="shared" si="38"/>
        <v>11515089.743733983</v>
      </c>
      <c r="AG43" s="215">
        <f t="shared" si="38"/>
        <v>0</v>
      </c>
      <c r="AH43" s="215">
        <f t="shared" si="38"/>
        <v>0</v>
      </c>
      <c r="AI43" s="215">
        <f t="shared" si="38"/>
        <v>0</v>
      </c>
      <c r="AJ43" s="215">
        <f t="shared" si="38"/>
        <v>0</v>
      </c>
      <c r="AK43" s="215">
        <f t="shared" si="38"/>
        <v>0</v>
      </c>
      <c r="AL43" s="215">
        <f t="shared" si="38"/>
        <v>0</v>
      </c>
      <c r="AM43" s="215">
        <f t="shared" si="38"/>
        <v>0</v>
      </c>
      <c r="AN43" s="215">
        <f t="shared" si="38"/>
        <v>0</v>
      </c>
      <c r="AO43" s="215">
        <f t="shared" si="38"/>
        <v>0</v>
      </c>
      <c r="AP43" s="215">
        <f t="shared" si="38"/>
        <v>0</v>
      </c>
    </row>
    <row r="44" spans="1:42" ht="13.5" thickTop="1">
      <c r="C44" s="208"/>
      <c r="D44" s="208"/>
      <c r="E44" s="208"/>
      <c r="F44" s="208"/>
      <c r="G44" s="208"/>
      <c r="H44" s="208"/>
      <c r="I44" s="208"/>
      <c r="J44" s="208"/>
      <c r="K44" s="208"/>
      <c r="L44" s="208"/>
      <c r="M44" s="208"/>
      <c r="N44" s="208"/>
      <c r="O44" s="208"/>
      <c r="P44" s="208"/>
      <c r="Q44" s="208"/>
      <c r="R44" s="208"/>
      <c r="S44" s="208"/>
      <c r="T44" s="208"/>
      <c r="U44" s="208"/>
      <c r="V44" s="208"/>
      <c r="W44" s="208"/>
      <c r="X44" s="208"/>
      <c r="Y44" s="208"/>
      <c r="Z44" s="208"/>
      <c r="AA44" s="208"/>
      <c r="AB44" s="208"/>
      <c r="AC44" s="208"/>
      <c r="AD44" s="208"/>
      <c r="AE44" s="208"/>
      <c r="AF44" s="208"/>
      <c r="AG44" s="208"/>
      <c r="AH44" s="208"/>
      <c r="AI44" s="208"/>
      <c r="AJ44" s="208"/>
      <c r="AK44" s="208"/>
      <c r="AL44" s="208"/>
      <c r="AM44" s="208"/>
      <c r="AN44" s="208"/>
      <c r="AO44" s="208"/>
      <c r="AP44" s="208"/>
    </row>
    <row r="45" spans="1:42">
      <c r="A45" s="201" t="s">
        <v>294</v>
      </c>
      <c r="B45" s="119"/>
      <c r="C45" s="146"/>
      <c r="D45" s="146"/>
      <c r="E45" s="208"/>
      <c r="F45" s="208"/>
      <c r="G45" s="208"/>
      <c r="H45" s="208"/>
      <c r="I45" s="208"/>
      <c r="J45" s="208"/>
      <c r="K45" s="208"/>
      <c r="L45" s="208"/>
      <c r="M45" s="208"/>
      <c r="N45" s="208"/>
      <c r="O45" s="208"/>
      <c r="P45" s="208"/>
      <c r="Q45" s="208"/>
      <c r="R45" s="208"/>
      <c r="S45" s="208"/>
      <c r="T45" s="208"/>
      <c r="U45" s="208"/>
      <c r="V45" s="208"/>
      <c r="W45" s="208"/>
      <c r="X45" s="208"/>
      <c r="Y45" s="208"/>
      <c r="Z45" s="208"/>
      <c r="AA45" s="208"/>
      <c r="AB45" s="208"/>
      <c r="AC45" s="208"/>
      <c r="AD45" s="208"/>
      <c r="AE45" s="208"/>
      <c r="AF45" s="208"/>
      <c r="AG45" s="208"/>
      <c r="AH45" s="208"/>
      <c r="AI45" s="208"/>
      <c r="AJ45" s="208"/>
      <c r="AK45" s="208"/>
      <c r="AL45" s="208"/>
      <c r="AM45" s="208"/>
      <c r="AN45" s="208"/>
      <c r="AO45" s="208"/>
      <c r="AP45" s="208"/>
    </row>
    <row r="46" spans="1:42">
      <c r="A46" s="204" t="s">
        <v>198</v>
      </c>
      <c r="B46" s="164"/>
      <c r="C46" s="164"/>
      <c r="D46" s="164"/>
      <c r="E46" s="164"/>
      <c r="F46" s="164"/>
      <c r="G46" s="208"/>
      <c r="H46" s="208"/>
      <c r="I46" s="208"/>
      <c r="J46" s="208"/>
      <c r="K46" s="208"/>
      <c r="L46" s="208"/>
      <c r="M46" s="208"/>
      <c r="N46" s="208"/>
      <c r="O46" s="208"/>
      <c r="P46" s="208"/>
      <c r="Q46" s="208"/>
      <c r="R46" s="208"/>
      <c r="S46" s="208"/>
      <c r="T46" s="208"/>
      <c r="U46" s="208"/>
      <c r="V46" s="208"/>
      <c r="W46" s="208"/>
      <c r="X46" s="208"/>
      <c r="Y46" s="208"/>
      <c r="Z46" s="208"/>
      <c r="AA46" s="208"/>
      <c r="AB46" s="208"/>
      <c r="AC46" s="208"/>
      <c r="AD46" s="208"/>
      <c r="AE46" s="208"/>
      <c r="AF46" s="208"/>
      <c r="AG46" s="208"/>
      <c r="AH46" s="208"/>
      <c r="AI46" s="208"/>
      <c r="AJ46" s="208"/>
      <c r="AK46" s="208"/>
      <c r="AL46" s="208"/>
      <c r="AM46" s="208"/>
      <c r="AN46" s="208"/>
      <c r="AO46" s="208"/>
      <c r="AP46" s="208"/>
    </row>
    <row r="47" spans="1:42">
      <c r="A47" s="202" t="s">
        <v>117</v>
      </c>
      <c r="B47" s="164">
        <v>0</v>
      </c>
      <c r="C47" s="164">
        <f>C43</f>
        <v>6433806.5606211331</v>
      </c>
      <c r="D47" s="164">
        <f t="shared" ref="D47:AP47" si="39">D43</f>
        <v>6475024.6597927697</v>
      </c>
      <c r="E47" s="164">
        <f t="shared" si="39"/>
        <v>6516250.7063521035</v>
      </c>
      <c r="F47" s="164">
        <f t="shared" si="39"/>
        <v>6557482.1757178409</v>
      </c>
      <c r="G47" s="164">
        <f t="shared" si="39"/>
        <v>6598716.4765883237</v>
      </c>
      <c r="H47" s="164">
        <f t="shared" si="39"/>
        <v>6639950.9494381966</v>
      </c>
      <c r="I47" s="164">
        <f t="shared" si="39"/>
        <v>6681182.8649818655</v>
      </c>
      <c r="J47" s="164">
        <f t="shared" si="39"/>
        <v>6722409.4226029636</v>
      </c>
      <c r="K47" s="164">
        <f t="shared" si="39"/>
        <v>6763627.7487491388</v>
      </c>
      <c r="L47" s="164">
        <f t="shared" si="39"/>
        <v>6804834.8952913042</v>
      </c>
      <c r="M47" s="164">
        <f t="shared" si="39"/>
        <v>6846027.8378466405</v>
      </c>
      <c r="N47" s="164">
        <f t="shared" si="39"/>
        <v>6887203.4740645112</v>
      </c>
      <c r="O47" s="164">
        <f t="shared" si="39"/>
        <v>6928358.6218744637</v>
      </c>
      <c r="P47" s="164">
        <f t="shared" si="39"/>
        <v>6969490.0176954679</v>
      </c>
      <c r="Q47" s="164">
        <f t="shared" si="39"/>
        <v>7010594.3146055676</v>
      </c>
      <c r="R47" s="164">
        <f t="shared" si="39"/>
        <v>7051668.0804710137</v>
      </c>
      <c r="S47" s="164">
        <f t="shared" si="39"/>
        <v>7092707.796034039</v>
      </c>
      <c r="T47" s="164">
        <f t="shared" si="39"/>
        <v>7133709.852958262</v>
      </c>
      <c r="U47" s="164">
        <f t="shared" si="39"/>
        <v>7174670.5518309092</v>
      </c>
      <c r="V47" s="164">
        <f t="shared" si="39"/>
        <v>7215586.1001207568</v>
      </c>
      <c r="W47" s="164">
        <f t="shared" si="39"/>
        <v>7256452.6100909179</v>
      </c>
      <c r="X47" s="164">
        <f t="shared" si="39"/>
        <v>7282935.1744778911</v>
      </c>
      <c r="Y47" s="164">
        <f t="shared" si="39"/>
        <v>7309360.6308734044</v>
      </c>
      <c r="Z47" s="164">
        <f t="shared" si="39"/>
        <v>7335724.792932936</v>
      </c>
      <c r="AA47" s="164">
        <f t="shared" si="39"/>
        <v>7362023.3702849401</v>
      </c>
      <c r="AB47" s="164">
        <f t="shared" si="39"/>
        <v>7388251.9662020244</v>
      </c>
      <c r="AC47" s="164">
        <f t="shared" si="39"/>
        <v>7414406.0752206314</v>
      </c>
      <c r="AD47" s="164">
        <f t="shared" si="39"/>
        <v>7440481.0807079338</v>
      </c>
      <c r="AE47" s="164">
        <f t="shared" si="39"/>
        <v>7466472.2523748623</v>
      </c>
      <c r="AF47" s="164">
        <f t="shared" si="39"/>
        <v>11515089.743733983</v>
      </c>
      <c r="AG47" s="164">
        <f t="shared" si="39"/>
        <v>0</v>
      </c>
      <c r="AH47" s="164">
        <f t="shared" si="39"/>
        <v>0</v>
      </c>
      <c r="AI47" s="164">
        <f t="shared" si="39"/>
        <v>0</v>
      </c>
      <c r="AJ47" s="164">
        <f t="shared" si="39"/>
        <v>0</v>
      </c>
      <c r="AK47" s="164">
        <f t="shared" si="39"/>
        <v>0</v>
      </c>
      <c r="AL47" s="164">
        <f t="shared" si="39"/>
        <v>0</v>
      </c>
      <c r="AM47" s="164">
        <f t="shared" si="39"/>
        <v>0</v>
      </c>
      <c r="AN47" s="164">
        <f t="shared" si="39"/>
        <v>0</v>
      </c>
      <c r="AO47" s="164">
        <f t="shared" si="39"/>
        <v>0</v>
      </c>
      <c r="AP47" s="164">
        <f t="shared" si="39"/>
        <v>0</v>
      </c>
    </row>
    <row r="48" spans="1:42">
      <c r="A48" s="202" t="s">
        <v>130</v>
      </c>
      <c r="B48" s="209">
        <v>0</v>
      </c>
      <c r="C48" s="209">
        <f t="shared" ref="C48:AP48" si="40">C771</f>
        <v>2625.0000000000005</v>
      </c>
      <c r="D48" s="209">
        <f t="shared" si="40"/>
        <v>14705.811846654169</v>
      </c>
      <c r="E48" s="209">
        <f t="shared" si="40"/>
        <v>26786.623693308338</v>
      </c>
      <c r="F48" s="209">
        <f t="shared" si="40"/>
        <v>37064.541789962517</v>
      </c>
      <c r="G48" s="209">
        <f t="shared" si="40"/>
        <v>49172.804722215893</v>
      </c>
      <c r="H48" s="209">
        <f t="shared" si="40"/>
        <v>61281.067654469291</v>
      </c>
      <c r="I48" s="209">
        <f t="shared" si="40"/>
        <v>71504.083579925034</v>
      </c>
      <c r="J48" s="209">
        <f t="shared" si="40"/>
        <v>83641.051518759807</v>
      </c>
      <c r="K48" s="209">
        <f t="shared" si="40"/>
        <v>95778.01945759455</v>
      </c>
      <c r="L48" s="209">
        <f t="shared" si="40"/>
        <v>105943.62536988755</v>
      </c>
      <c r="M48" s="209">
        <f t="shared" si="40"/>
        <v>118110.60951335869</v>
      </c>
      <c r="N48" s="209">
        <f t="shared" si="40"/>
        <v>130277.59365682983</v>
      </c>
      <c r="O48" s="209">
        <f t="shared" si="40"/>
        <v>88847.901148577046</v>
      </c>
      <c r="P48" s="209">
        <f t="shared" si="40"/>
        <v>101886.37546337843</v>
      </c>
      <c r="Q48" s="209">
        <f t="shared" si="40"/>
        <v>114924.84977817982</v>
      </c>
      <c r="R48" s="209">
        <f t="shared" si="40"/>
        <v>18029.125128545482</v>
      </c>
      <c r="S48" s="209">
        <f t="shared" si="40"/>
        <v>32898.398355727615</v>
      </c>
      <c r="T48" s="209">
        <f t="shared" si="40"/>
        <v>47767.671582909745</v>
      </c>
      <c r="U48" s="209">
        <f t="shared" si="40"/>
        <v>60382.909231071135</v>
      </c>
      <c r="V48" s="209">
        <f t="shared" si="40"/>
        <v>75286.502685733882</v>
      </c>
      <c r="W48" s="209">
        <f t="shared" si="40"/>
        <v>90190.096140396621</v>
      </c>
      <c r="X48" s="209">
        <f t="shared" si="40"/>
        <v>102736.69333359678</v>
      </c>
      <c r="Y48" s="209">
        <f t="shared" si="40"/>
        <v>117676.17470796108</v>
      </c>
      <c r="Z48" s="209">
        <f t="shared" si="40"/>
        <v>132615.65608232541</v>
      </c>
      <c r="AA48" s="209">
        <f t="shared" si="40"/>
        <v>83473.976921940499</v>
      </c>
      <c r="AB48" s="209">
        <f t="shared" si="40"/>
        <v>93316.277141678642</v>
      </c>
      <c r="AC48" s="209">
        <f t="shared" si="40"/>
        <v>103158.57736141678</v>
      </c>
      <c r="AD48" s="209">
        <f t="shared" si="40"/>
        <v>110423.63589592067</v>
      </c>
      <c r="AE48" s="209">
        <f t="shared" si="40"/>
        <v>120305.1775197134</v>
      </c>
      <c r="AF48" s="209">
        <f t="shared" si="40"/>
        <v>130186.71914350611</v>
      </c>
      <c r="AG48" s="209">
        <f t="shared" si="40"/>
        <v>0</v>
      </c>
      <c r="AH48" s="209">
        <f t="shared" si="40"/>
        <v>0</v>
      </c>
      <c r="AI48" s="209">
        <f t="shared" si="40"/>
        <v>0</v>
      </c>
      <c r="AJ48" s="209">
        <f t="shared" si="40"/>
        <v>0</v>
      </c>
      <c r="AK48" s="209">
        <f t="shared" si="40"/>
        <v>0</v>
      </c>
      <c r="AL48" s="209">
        <f t="shared" si="40"/>
        <v>0</v>
      </c>
      <c r="AM48" s="209">
        <f t="shared" si="40"/>
        <v>0</v>
      </c>
      <c r="AN48" s="209">
        <f t="shared" si="40"/>
        <v>0</v>
      </c>
      <c r="AO48" s="209">
        <f t="shared" si="40"/>
        <v>0</v>
      </c>
      <c r="AP48" s="209">
        <f t="shared" si="40"/>
        <v>0</v>
      </c>
    </row>
    <row r="49" spans="1:42">
      <c r="A49" s="202" t="s">
        <v>53</v>
      </c>
      <c r="B49" s="164">
        <f>SUM(B47:B48)</f>
        <v>0</v>
      </c>
      <c r="C49" s="164">
        <f t="shared" ref="C49:AP49" si="41">SUM(C47:C48)</f>
        <v>6436431.5606211331</v>
      </c>
      <c r="D49" s="164">
        <f t="shared" si="41"/>
        <v>6489730.4716394236</v>
      </c>
      <c r="E49" s="164">
        <f t="shared" si="41"/>
        <v>6543037.3300454123</v>
      </c>
      <c r="F49" s="164">
        <f t="shared" si="41"/>
        <v>6594546.7175078038</v>
      </c>
      <c r="G49" s="164">
        <f t="shared" si="41"/>
        <v>6647889.2813105397</v>
      </c>
      <c r="H49" s="164">
        <f t="shared" si="41"/>
        <v>6701232.0170926657</v>
      </c>
      <c r="I49" s="164">
        <f t="shared" si="41"/>
        <v>6752686.9485617904</v>
      </c>
      <c r="J49" s="164">
        <f t="shared" si="41"/>
        <v>6806050.4741217233</v>
      </c>
      <c r="K49" s="164">
        <f t="shared" si="41"/>
        <v>6859405.7682067333</v>
      </c>
      <c r="L49" s="164">
        <f t="shared" si="41"/>
        <v>6910778.520661192</v>
      </c>
      <c r="M49" s="164">
        <f t="shared" si="41"/>
        <v>6964138.4473599996</v>
      </c>
      <c r="N49" s="164">
        <f t="shared" si="41"/>
        <v>7017481.0677213408</v>
      </c>
      <c r="O49" s="164">
        <f t="shared" si="41"/>
        <v>7017206.523023041</v>
      </c>
      <c r="P49" s="164">
        <f t="shared" si="41"/>
        <v>7071376.3931588465</v>
      </c>
      <c r="Q49" s="164">
        <f t="shared" si="41"/>
        <v>7125519.1643837476</v>
      </c>
      <c r="R49" s="164">
        <f t="shared" si="41"/>
        <v>7069697.2055995595</v>
      </c>
      <c r="S49" s="164">
        <f t="shared" si="41"/>
        <v>7125606.194389767</v>
      </c>
      <c r="T49" s="164">
        <f t="shared" si="41"/>
        <v>7181477.5245411713</v>
      </c>
      <c r="U49" s="164">
        <f t="shared" si="41"/>
        <v>7235053.4610619806</v>
      </c>
      <c r="V49" s="164">
        <f t="shared" si="41"/>
        <v>7290872.6028064908</v>
      </c>
      <c r="W49" s="164">
        <f t="shared" si="41"/>
        <v>7346642.7062313147</v>
      </c>
      <c r="X49" s="164">
        <f t="shared" si="41"/>
        <v>7385671.867811488</v>
      </c>
      <c r="Y49" s="164">
        <f t="shared" si="41"/>
        <v>7427036.8055813657</v>
      </c>
      <c r="Z49" s="164">
        <f t="shared" si="41"/>
        <v>7468340.4490152616</v>
      </c>
      <c r="AA49" s="164">
        <f t="shared" si="41"/>
        <v>7445497.3472068803</v>
      </c>
      <c r="AB49" s="164">
        <f t="shared" si="41"/>
        <v>7481568.2433437034</v>
      </c>
      <c r="AC49" s="164">
        <f t="shared" si="41"/>
        <v>7517564.6525820484</v>
      </c>
      <c r="AD49" s="164">
        <f t="shared" si="41"/>
        <v>7550904.7166038547</v>
      </c>
      <c r="AE49" s="164">
        <f t="shared" si="41"/>
        <v>7586777.4298945758</v>
      </c>
      <c r="AF49" s="164">
        <f t="shared" si="41"/>
        <v>11645276.46287749</v>
      </c>
      <c r="AG49" s="164">
        <f t="shared" si="41"/>
        <v>0</v>
      </c>
      <c r="AH49" s="164">
        <f t="shared" si="41"/>
        <v>0</v>
      </c>
      <c r="AI49" s="164">
        <f t="shared" si="41"/>
        <v>0</v>
      </c>
      <c r="AJ49" s="164">
        <f t="shared" si="41"/>
        <v>0</v>
      </c>
      <c r="AK49" s="164">
        <f t="shared" si="41"/>
        <v>0</v>
      </c>
      <c r="AL49" s="164">
        <f t="shared" si="41"/>
        <v>0</v>
      </c>
      <c r="AM49" s="164">
        <f t="shared" si="41"/>
        <v>0</v>
      </c>
      <c r="AN49" s="164">
        <f t="shared" si="41"/>
        <v>0</v>
      </c>
      <c r="AO49" s="164">
        <f t="shared" si="41"/>
        <v>0</v>
      </c>
      <c r="AP49" s="164">
        <f t="shared" si="41"/>
        <v>0</v>
      </c>
    </row>
    <row r="50" spans="1:42">
      <c r="A50" s="202"/>
      <c r="B50" s="164"/>
      <c r="C50" s="164"/>
      <c r="D50" s="164"/>
      <c r="E50" s="164"/>
      <c r="F50" s="164"/>
      <c r="G50" s="164"/>
      <c r="H50" s="164"/>
      <c r="I50" s="164"/>
      <c r="J50" s="164"/>
      <c r="K50" s="164"/>
      <c r="L50" s="164"/>
      <c r="M50" s="164"/>
      <c r="N50" s="164"/>
      <c r="O50" s="164"/>
      <c r="P50" s="164"/>
      <c r="Q50" s="164"/>
      <c r="R50" s="164"/>
      <c r="S50" s="164"/>
      <c r="T50" s="164"/>
      <c r="U50" s="164"/>
      <c r="V50" s="164"/>
      <c r="W50" s="164"/>
      <c r="X50" s="164"/>
      <c r="Y50" s="164"/>
      <c r="Z50" s="164"/>
      <c r="AA50" s="164"/>
      <c r="AB50" s="164"/>
      <c r="AC50" s="164"/>
      <c r="AD50" s="164"/>
      <c r="AE50" s="164"/>
      <c r="AF50" s="164"/>
      <c r="AG50" s="164"/>
      <c r="AH50" s="164"/>
      <c r="AI50" s="164"/>
      <c r="AJ50" s="164"/>
      <c r="AK50" s="164"/>
      <c r="AL50" s="164"/>
      <c r="AM50" s="164"/>
      <c r="AN50" s="164"/>
      <c r="AO50" s="164"/>
      <c r="AP50" s="164"/>
    </row>
    <row r="51" spans="1:42">
      <c r="A51" s="204" t="s">
        <v>191</v>
      </c>
      <c r="B51" s="164"/>
      <c r="C51" s="164"/>
      <c r="D51" s="164"/>
      <c r="E51" s="164"/>
      <c r="F51" s="164"/>
      <c r="G51" s="164"/>
      <c r="H51" s="164"/>
      <c r="I51" s="164"/>
      <c r="J51" s="164"/>
      <c r="K51" s="164"/>
      <c r="L51" s="164"/>
      <c r="M51" s="164"/>
      <c r="N51" s="164"/>
      <c r="O51" s="164"/>
      <c r="P51" s="164"/>
      <c r="Q51" s="164"/>
      <c r="R51" s="164"/>
      <c r="S51" s="164"/>
      <c r="T51" s="164"/>
      <c r="U51" s="164"/>
      <c r="V51" s="164"/>
      <c r="W51" s="164"/>
      <c r="X51" s="164"/>
      <c r="Y51" s="164"/>
      <c r="Z51" s="164"/>
      <c r="AA51" s="164"/>
      <c r="AB51" s="164"/>
      <c r="AC51" s="164"/>
      <c r="AD51" s="164"/>
      <c r="AE51" s="164"/>
      <c r="AF51" s="164"/>
      <c r="AG51" s="164"/>
      <c r="AH51" s="164"/>
      <c r="AI51" s="164"/>
      <c r="AJ51" s="164"/>
      <c r="AK51" s="164"/>
      <c r="AL51" s="164"/>
      <c r="AM51" s="164"/>
      <c r="AN51" s="164"/>
      <c r="AO51" s="164"/>
      <c r="AP51" s="164"/>
    </row>
    <row r="52" spans="1:42">
      <c r="A52" s="202" t="s">
        <v>192</v>
      </c>
      <c r="B52" s="164">
        <f>-AEPFInstalledCostTotal+'Inputs &amp; Results'!B147</f>
        <v>-42606688.5</v>
      </c>
      <c r="C52" s="164">
        <v>0</v>
      </c>
      <c r="D52" s="164">
        <v>0</v>
      </c>
      <c r="E52" s="164">
        <v>0</v>
      </c>
      <c r="F52" s="164">
        <v>0</v>
      </c>
      <c r="G52" s="164">
        <v>0</v>
      </c>
      <c r="H52" s="164">
        <v>0</v>
      </c>
      <c r="I52" s="164">
        <v>0</v>
      </c>
      <c r="J52" s="164">
        <v>0</v>
      </c>
      <c r="K52" s="164">
        <v>0</v>
      </c>
      <c r="L52" s="164">
        <v>0</v>
      </c>
      <c r="M52" s="164">
        <v>0</v>
      </c>
      <c r="N52" s="164">
        <v>0</v>
      </c>
      <c r="O52" s="164">
        <v>0</v>
      </c>
      <c r="P52" s="164">
        <v>0</v>
      </c>
      <c r="Q52" s="164">
        <v>0</v>
      </c>
      <c r="R52" s="164">
        <v>0</v>
      </c>
      <c r="S52" s="164">
        <v>0</v>
      </c>
      <c r="T52" s="164">
        <v>0</v>
      </c>
      <c r="U52" s="164">
        <v>0</v>
      </c>
      <c r="V52" s="164">
        <v>0</v>
      </c>
      <c r="W52" s="164">
        <v>0</v>
      </c>
      <c r="X52" s="164">
        <v>0</v>
      </c>
      <c r="Y52" s="164">
        <v>0</v>
      </c>
      <c r="Z52" s="164">
        <v>0</v>
      </c>
      <c r="AA52" s="164">
        <v>0</v>
      </c>
      <c r="AB52" s="164">
        <v>0</v>
      </c>
      <c r="AC52" s="164">
        <v>0</v>
      </c>
      <c r="AD52" s="164">
        <v>0</v>
      </c>
      <c r="AE52" s="164">
        <v>0</v>
      </c>
      <c r="AF52" s="164">
        <v>0</v>
      </c>
      <c r="AG52" s="164">
        <v>0</v>
      </c>
      <c r="AH52" s="164">
        <v>0</v>
      </c>
      <c r="AI52" s="164">
        <v>0</v>
      </c>
      <c r="AJ52" s="164">
        <v>0</v>
      </c>
      <c r="AK52" s="164">
        <v>0</v>
      </c>
      <c r="AL52" s="164">
        <v>0</v>
      </c>
      <c r="AM52" s="164">
        <v>0</v>
      </c>
      <c r="AN52" s="164">
        <v>0</v>
      </c>
      <c r="AO52" s="164">
        <v>0</v>
      </c>
      <c r="AP52" s="164">
        <v>0</v>
      </c>
    </row>
    <row r="53" spans="1:42">
      <c r="A53" s="202" t="s">
        <v>193</v>
      </c>
      <c r="B53" s="164"/>
      <c r="C53" s="164"/>
      <c r="D53" s="164"/>
      <c r="E53" s="164"/>
      <c r="F53" s="164"/>
      <c r="G53" s="164"/>
      <c r="H53" s="164"/>
      <c r="I53" s="164"/>
      <c r="J53" s="164"/>
      <c r="K53" s="164"/>
      <c r="L53" s="164"/>
      <c r="M53" s="164"/>
      <c r="N53" s="164"/>
      <c r="O53" s="164"/>
      <c r="P53" s="164"/>
      <c r="Q53" s="164"/>
      <c r="R53" s="164"/>
      <c r="S53" s="164"/>
      <c r="T53" s="164"/>
      <c r="U53" s="164"/>
      <c r="V53" s="164"/>
      <c r="W53" s="164"/>
      <c r="X53" s="164"/>
      <c r="Y53" s="164"/>
      <c r="Z53" s="164"/>
      <c r="AA53" s="164"/>
      <c r="AB53" s="164"/>
      <c r="AC53" s="164"/>
      <c r="AD53" s="164"/>
      <c r="AE53" s="164"/>
      <c r="AF53" s="164"/>
      <c r="AG53" s="164"/>
      <c r="AH53" s="164"/>
      <c r="AI53" s="164"/>
      <c r="AJ53" s="164"/>
      <c r="AK53" s="164"/>
      <c r="AL53" s="164"/>
      <c r="AM53" s="164"/>
      <c r="AN53" s="164"/>
      <c r="AO53" s="164"/>
      <c r="AP53" s="164"/>
    </row>
    <row r="54" spans="1:42">
      <c r="A54" s="206" t="s">
        <v>200</v>
      </c>
      <c r="B54" s="164">
        <f t="shared" ref="B54:AP54" si="42">-B669-B670</f>
        <v>-150000</v>
      </c>
      <c r="C54" s="164">
        <f t="shared" si="42"/>
        <v>0</v>
      </c>
      <c r="D54" s="164">
        <f t="shared" si="42"/>
        <v>0</v>
      </c>
      <c r="E54" s="164">
        <f t="shared" si="42"/>
        <v>0</v>
      </c>
      <c r="F54" s="164">
        <f t="shared" si="42"/>
        <v>0</v>
      </c>
      <c r="G54" s="164">
        <f t="shared" si="42"/>
        <v>0</v>
      </c>
      <c r="H54" s="164">
        <f t="shared" si="42"/>
        <v>0</v>
      </c>
      <c r="I54" s="164">
        <f t="shared" si="42"/>
        <v>0</v>
      </c>
      <c r="J54" s="164">
        <f t="shared" si="42"/>
        <v>0</v>
      </c>
      <c r="K54" s="164">
        <f t="shared" si="42"/>
        <v>0</v>
      </c>
      <c r="L54" s="164">
        <f t="shared" si="42"/>
        <v>0</v>
      </c>
      <c r="M54" s="164">
        <f t="shared" si="42"/>
        <v>0</v>
      </c>
      <c r="N54" s="164">
        <f t="shared" si="42"/>
        <v>0</v>
      </c>
      <c r="O54" s="164">
        <f t="shared" si="42"/>
        <v>0</v>
      </c>
      <c r="P54" s="164">
        <f t="shared" si="42"/>
        <v>0</v>
      </c>
      <c r="Q54" s="164">
        <f t="shared" si="42"/>
        <v>0</v>
      </c>
      <c r="R54" s="164">
        <f t="shared" si="42"/>
        <v>0</v>
      </c>
      <c r="S54" s="164">
        <f t="shared" si="42"/>
        <v>0</v>
      </c>
      <c r="T54" s="164">
        <f t="shared" si="42"/>
        <v>0</v>
      </c>
      <c r="U54" s="164">
        <f t="shared" si="42"/>
        <v>0</v>
      </c>
      <c r="V54" s="164">
        <f t="shared" si="42"/>
        <v>0</v>
      </c>
      <c r="W54" s="164">
        <f t="shared" si="42"/>
        <v>0</v>
      </c>
      <c r="X54" s="164">
        <f t="shared" si="42"/>
        <v>0</v>
      </c>
      <c r="Y54" s="164">
        <f t="shared" si="42"/>
        <v>0</v>
      </c>
      <c r="Z54" s="164">
        <f t="shared" si="42"/>
        <v>0</v>
      </c>
      <c r="AA54" s="164">
        <f t="shared" si="42"/>
        <v>0</v>
      </c>
      <c r="AB54" s="164">
        <f t="shared" si="42"/>
        <v>0</v>
      </c>
      <c r="AC54" s="164">
        <f t="shared" si="42"/>
        <v>0</v>
      </c>
      <c r="AD54" s="164">
        <f t="shared" si="42"/>
        <v>0</v>
      </c>
      <c r="AE54" s="164">
        <f t="shared" si="42"/>
        <v>0</v>
      </c>
      <c r="AF54" s="164">
        <f t="shared" si="42"/>
        <v>150000</v>
      </c>
      <c r="AG54" s="164">
        <f t="shared" si="42"/>
        <v>0</v>
      </c>
      <c r="AH54" s="164">
        <f t="shared" si="42"/>
        <v>0</v>
      </c>
      <c r="AI54" s="164">
        <f t="shared" si="42"/>
        <v>0</v>
      </c>
      <c r="AJ54" s="164">
        <f t="shared" si="42"/>
        <v>0</v>
      </c>
      <c r="AK54" s="164">
        <f t="shared" si="42"/>
        <v>0</v>
      </c>
      <c r="AL54" s="164">
        <f t="shared" si="42"/>
        <v>0</v>
      </c>
      <c r="AM54" s="164">
        <f t="shared" si="42"/>
        <v>0</v>
      </c>
      <c r="AN54" s="164">
        <f t="shared" si="42"/>
        <v>0</v>
      </c>
      <c r="AO54" s="164">
        <f t="shared" si="42"/>
        <v>0</v>
      </c>
      <c r="AP54" s="164">
        <f t="shared" si="42"/>
        <v>0</v>
      </c>
    </row>
    <row r="55" spans="1:42">
      <c r="A55" s="206" t="s">
        <v>372</v>
      </c>
      <c r="B55" s="208">
        <f>-B675-B676</f>
        <v>0</v>
      </c>
      <c r="C55" s="208">
        <f t="shared" ref="C55:AP55" si="43">-C675-C676</f>
        <v>-245406.02862510949</v>
      </c>
      <c r="D55" s="208">
        <f t="shared" si="43"/>
        <v>-245406.02862510949</v>
      </c>
      <c r="E55" s="208">
        <f t="shared" si="43"/>
        <v>-245406.02862510949</v>
      </c>
      <c r="F55" s="208">
        <f t="shared" si="43"/>
        <v>-245406.02862510949</v>
      </c>
      <c r="G55" s="208">
        <f t="shared" si="43"/>
        <v>-245406.02862510949</v>
      </c>
      <c r="H55" s="208">
        <f t="shared" si="43"/>
        <v>-245406.02862510949</v>
      </c>
      <c r="I55" s="208">
        <f t="shared" si="43"/>
        <v>-245406.02862510949</v>
      </c>
      <c r="J55" s="208">
        <f t="shared" si="43"/>
        <v>-245406.02862510949</v>
      </c>
      <c r="K55" s="208">
        <f t="shared" si="43"/>
        <v>-245406.02862510949</v>
      </c>
      <c r="L55" s="208">
        <f t="shared" si="43"/>
        <v>-245406.02862510949</v>
      </c>
      <c r="M55" s="208">
        <f t="shared" si="43"/>
        <v>-245406.02862510949</v>
      </c>
      <c r="N55" s="208">
        <f t="shared" si="43"/>
        <v>2699466.3148762044</v>
      </c>
      <c r="O55" s="208">
        <f t="shared" si="43"/>
        <v>-293411.90721039008</v>
      </c>
      <c r="P55" s="208">
        <f t="shared" si="43"/>
        <v>-293411.90721039008</v>
      </c>
      <c r="Q55" s="208">
        <f t="shared" si="43"/>
        <v>-293411.90721039008</v>
      </c>
      <c r="R55" s="208">
        <f t="shared" si="43"/>
        <v>-293411.90721039008</v>
      </c>
      <c r="S55" s="208">
        <f t="shared" si="43"/>
        <v>-293411.90721039008</v>
      </c>
      <c r="T55" s="208">
        <f t="shared" si="43"/>
        <v>-293411.90721039008</v>
      </c>
      <c r="U55" s="208">
        <f t="shared" si="43"/>
        <v>-293411.90721039008</v>
      </c>
      <c r="V55" s="208">
        <f t="shared" si="43"/>
        <v>-293411.90721039008</v>
      </c>
      <c r="W55" s="208">
        <f t="shared" si="43"/>
        <v>-293411.90721039008</v>
      </c>
      <c r="X55" s="208">
        <f t="shared" si="43"/>
        <v>-293411.90721039008</v>
      </c>
      <c r="Y55" s="208">
        <f t="shared" si="43"/>
        <v>-293411.90721039008</v>
      </c>
      <c r="Z55" s="208">
        <f t="shared" si="43"/>
        <v>3227530.9793142909</v>
      </c>
      <c r="AA55" s="208">
        <f t="shared" si="43"/>
        <v>0</v>
      </c>
      <c r="AB55" s="208">
        <f t="shared" si="43"/>
        <v>0</v>
      </c>
      <c r="AC55" s="208">
        <f t="shared" si="43"/>
        <v>0</v>
      </c>
      <c r="AD55" s="208">
        <f t="shared" si="43"/>
        <v>0</v>
      </c>
      <c r="AE55" s="208">
        <f t="shared" si="43"/>
        <v>0</v>
      </c>
      <c r="AF55" s="208">
        <f t="shared" si="43"/>
        <v>0</v>
      </c>
      <c r="AG55" s="208">
        <f t="shared" si="43"/>
        <v>0</v>
      </c>
      <c r="AH55" s="208">
        <f t="shared" si="43"/>
        <v>0</v>
      </c>
      <c r="AI55" s="208">
        <f t="shared" si="43"/>
        <v>0</v>
      </c>
      <c r="AJ55" s="208">
        <f t="shared" si="43"/>
        <v>0</v>
      </c>
      <c r="AK55" s="208">
        <f t="shared" si="43"/>
        <v>0</v>
      </c>
      <c r="AL55" s="208">
        <f t="shared" si="43"/>
        <v>0</v>
      </c>
      <c r="AM55" s="208">
        <f t="shared" si="43"/>
        <v>0</v>
      </c>
      <c r="AN55" s="208">
        <f t="shared" si="43"/>
        <v>0</v>
      </c>
      <c r="AO55" s="208">
        <f t="shared" si="43"/>
        <v>0</v>
      </c>
      <c r="AP55" s="208">
        <f t="shared" si="43"/>
        <v>0</v>
      </c>
    </row>
    <row r="56" spans="1:42">
      <c r="A56" s="206" t="s">
        <v>373</v>
      </c>
      <c r="B56" s="208">
        <f>-B707-B708</f>
        <v>0</v>
      </c>
      <c r="C56" s="208">
        <f t="shared" ref="C56:AP56" si="44">-C707-C708</f>
        <v>-410585.24356465257</v>
      </c>
      <c r="D56" s="208">
        <f t="shared" si="44"/>
        <v>-410585.24356465257</v>
      </c>
      <c r="E56" s="208">
        <f t="shared" si="44"/>
        <v>-410585.24356465257</v>
      </c>
      <c r="F56" s="208">
        <f t="shared" si="44"/>
        <v>-410585.24356465257</v>
      </c>
      <c r="G56" s="208">
        <f t="shared" si="44"/>
        <v>-410585.24356465257</v>
      </c>
      <c r="H56" s="208">
        <f t="shared" si="44"/>
        <v>-410585.24356465257</v>
      </c>
      <c r="I56" s="208">
        <f t="shared" si="44"/>
        <v>-410585.24356465257</v>
      </c>
      <c r="J56" s="208">
        <f t="shared" si="44"/>
        <v>-410585.24356465257</v>
      </c>
      <c r="K56" s="208">
        <f t="shared" si="44"/>
        <v>-410585.24356465257</v>
      </c>
      <c r="L56" s="208">
        <f t="shared" si="44"/>
        <v>-410585.24356465257</v>
      </c>
      <c r="M56" s="208">
        <f t="shared" si="44"/>
        <v>-410585.24356465257</v>
      </c>
      <c r="N56" s="208">
        <f t="shared" si="44"/>
        <v>-410585.24356465257</v>
      </c>
      <c r="O56" s="208">
        <f t="shared" si="44"/>
        <v>-410585.24356465257</v>
      </c>
      <c r="P56" s="208">
        <f t="shared" si="44"/>
        <v>-410585.24356465257</v>
      </c>
      <c r="Q56" s="208">
        <f t="shared" si="44"/>
        <v>5748193.4099051366</v>
      </c>
      <c r="R56" s="208">
        <f t="shared" si="44"/>
        <v>-513326.83759962226</v>
      </c>
      <c r="S56" s="208">
        <f t="shared" si="44"/>
        <v>-513326.83759962226</v>
      </c>
      <c r="T56" s="208">
        <f t="shared" si="44"/>
        <v>-513326.83759962226</v>
      </c>
      <c r="U56" s="208">
        <f t="shared" si="44"/>
        <v>-513326.83759962226</v>
      </c>
      <c r="V56" s="208">
        <f t="shared" si="44"/>
        <v>-513326.83759962226</v>
      </c>
      <c r="W56" s="208">
        <f t="shared" si="44"/>
        <v>-513326.83759962226</v>
      </c>
      <c r="X56" s="208">
        <f t="shared" si="44"/>
        <v>-513326.83759962226</v>
      </c>
      <c r="Y56" s="208">
        <f t="shared" si="44"/>
        <v>-513326.83759962226</v>
      </c>
      <c r="Z56" s="208">
        <f t="shared" si="44"/>
        <v>-513326.83759962226</v>
      </c>
      <c r="AA56" s="208">
        <f t="shared" si="44"/>
        <v>-513326.83759962226</v>
      </c>
      <c r="AB56" s="208">
        <f t="shared" si="44"/>
        <v>-513326.83759962226</v>
      </c>
      <c r="AC56" s="208">
        <f t="shared" si="44"/>
        <v>-513326.83759962226</v>
      </c>
      <c r="AD56" s="208">
        <f t="shared" si="44"/>
        <v>-513326.83759962226</v>
      </c>
      <c r="AE56" s="208">
        <f t="shared" si="44"/>
        <v>-513326.83759962226</v>
      </c>
      <c r="AF56" s="208">
        <f t="shared" si="44"/>
        <v>7186575.726394712</v>
      </c>
      <c r="AG56" s="208">
        <f t="shared" si="44"/>
        <v>0</v>
      </c>
      <c r="AH56" s="208">
        <f t="shared" si="44"/>
        <v>0</v>
      </c>
      <c r="AI56" s="208">
        <f t="shared" si="44"/>
        <v>0</v>
      </c>
      <c r="AJ56" s="208">
        <f t="shared" si="44"/>
        <v>0</v>
      </c>
      <c r="AK56" s="208">
        <f t="shared" si="44"/>
        <v>0</v>
      </c>
      <c r="AL56" s="208">
        <f t="shared" si="44"/>
        <v>0</v>
      </c>
      <c r="AM56" s="208">
        <f t="shared" si="44"/>
        <v>0</v>
      </c>
      <c r="AN56" s="208">
        <f t="shared" si="44"/>
        <v>0</v>
      </c>
      <c r="AO56" s="208">
        <f t="shared" si="44"/>
        <v>0</v>
      </c>
      <c r="AP56" s="208">
        <f t="shared" si="44"/>
        <v>0</v>
      </c>
    </row>
    <row r="57" spans="1:42">
      <c r="A57" s="206" t="s">
        <v>374</v>
      </c>
      <c r="B57" s="209">
        <f>-B739-B740</f>
        <v>0</v>
      </c>
      <c r="C57" s="209">
        <f t="shared" ref="C57:AP57" si="45">-C739-C740</f>
        <v>-34340.833333333321</v>
      </c>
      <c r="D57" s="209">
        <f t="shared" si="45"/>
        <v>-34340.833333333321</v>
      </c>
      <c r="E57" s="209">
        <f t="shared" si="45"/>
        <v>68681.666666666657</v>
      </c>
      <c r="F57" s="209">
        <f t="shared" si="45"/>
        <v>-35909.466796145811</v>
      </c>
      <c r="G57" s="209">
        <f t="shared" si="45"/>
        <v>-35909.466796145811</v>
      </c>
      <c r="H57" s="209">
        <f t="shared" si="45"/>
        <v>71818.933592291607</v>
      </c>
      <c r="I57" s="209">
        <f t="shared" si="45"/>
        <v>-37549.752886510192</v>
      </c>
      <c r="J57" s="209">
        <f t="shared" si="45"/>
        <v>-37549.752886510192</v>
      </c>
      <c r="K57" s="209">
        <f t="shared" si="45"/>
        <v>75099.505773020384</v>
      </c>
      <c r="L57" s="209">
        <f t="shared" si="45"/>
        <v>-39264.96458001752</v>
      </c>
      <c r="M57" s="209">
        <f t="shared" si="45"/>
        <v>-39264.96458001752</v>
      </c>
      <c r="N57" s="209">
        <f t="shared" si="45"/>
        <v>78529.929160035041</v>
      </c>
      <c r="O57" s="209">
        <f t="shared" si="45"/>
        <v>-41058.524356465256</v>
      </c>
      <c r="P57" s="209">
        <f t="shared" si="45"/>
        <v>-41058.524356465256</v>
      </c>
      <c r="Q57" s="209">
        <f t="shared" si="45"/>
        <v>82117.048712930526</v>
      </c>
      <c r="R57" s="209">
        <f t="shared" si="45"/>
        <v>-42934.011028966495</v>
      </c>
      <c r="S57" s="209">
        <f t="shared" si="45"/>
        <v>-42934.011028966495</v>
      </c>
      <c r="T57" s="209">
        <f t="shared" si="45"/>
        <v>85868.022057932976</v>
      </c>
      <c r="U57" s="209">
        <f t="shared" si="45"/>
        <v>-44895.166885001738</v>
      </c>
      <c r="V57" s="209">
        <f t="shared" si="45"/>
        <v>-44895.166885001738</v>
      </c>
      <c r="W57" s="209">
        <f t="shared" si="45"/>
        <v>89790.33377000349</v>
      </c>
      <c r="X57" s="209">
        <f t="shared" si="45"/>
        <v>-46945.90515366241</v>
      </c>
      <c r="Y57" s="209">
        <f t="shared" si="45"/>
        <v>-46945.90515366241</v>
      </c>
      <c r="Z57" s="209">
        <f t="shared" si="45"/>
        <v>93891.810307324835</v>
      </c>
      <c r="AA57" s="209">
        <f t="shared" si="45"/>
        <v>-49090.317813985828</v>
      </c>
      <c r="AB57" s="209">
        <f t="shared" si="45"/>
        <v>-49090.317813985828</v>
      </c>
      <c r="AC57" s="209">
        <f t="shared" si="45"/>
        <v>98180.635627971642</v>
      </c>
      <c r="AD57" s="209">
        <f t="shared" si="45"/>
        <v>-51332.68375996223</v>
      </c>
      <c r="AE57" s="209">
        <f t="shared" si="45"/>
        <v>-51332.68375996223</v>
      </c>
      <c r="AF57" s="209">
        <f t="shared" si="45"/>
        <v>102665.36751992445</v>
      </c>
      <c r="AG57" s="209">
        <f t="shared" si="45"/>
        <v>0</v>
      </c>
      <c r="AH57" s="209">
        <f t="shared" si="45"/>
        <v>0</v>
      </c>
      <c r="AI57" s="209">
        <f t="shared" si="45"/>
        <v>0</v>
      </c>
      <c r="AJ57" s="209">
        <f t="shared" si="45"/>
        <v>0</v>
      </c>
      <c r="AK57" s="209">
        <f t="shared" si="45"/>
        <v>0</v>
      </c>
      <c r="AL57" s="209">
        <f t="shared" si="45"/>
        <v>0</v>
      </c>
      <c r="AM57" s="209">
        <f t="shared" si="45"/>
        <v>0</v>
      </c>
      <c r="AN57" s="209">
        <f t="shared" si="45"/>
        <v>0</v>
      </c>
      <c r="AO57" s="209">
        <f t="shared" si="45"/>
        <v>0</v>
      </c>
      <c r="AP57" s="209">
        <f t="shared" si="45"/>
        <v>0</v>
      </c>
    </row>
    <row r="58" spans="1:42">
      <c r="A58" s="206" t="s">
        <v>53</v>
      </c>
      <c r="B58" s="164">
        <f t="shared" ref="B58:AP58" si="46">SUM(B54:B57)</f>
        <v>-150000</v>
      </c>
      <c r="C58" s="164">
        <f t="shared" si="46"/>
        <v>-690332.10552309547</v>
      </c>
      <c r="D58" s="164">
        <f t="shared" si="46"/>
        <v>-690332.10552309547</v>
      </c>
      <c r="E58" s="164">
        <f t="shared" si="46"/>
        <v>-587309.60552309547</v>
      </c>
      <c r="F58" s="164">
        <f t="shared" si="46"/>
        <v>-691900.73898590787</v>
      </c>
      <c r="G58" s="164">
        <f t="shared" si="46"/>
        <v>-691900.73898590787</v>
      </c>
      <c r="H58" s="164">
        <f t="shared" si="46"/>
        <v>-584172.33859747043</v>
      </c>
      <c r="I58" s="164">
        <f t="shared" si="46"/>
        <v>-693541.02507627232</v>
      </c>
      <c r="J58" s="164">
        <f t="shared" si="46"/>
        <v>-693541.02507627232</v>
      </c>
      <c r="K58" s="164">
        <f t="shared" si="46"/>
        <v>-580891.76641674177</v>
      </c>
      <c r="L58" s="164">
        <f t="shared" si="46"/>
        <v>-695256.23676977959</v>
      </c>
      <c r="M58" s="164">
        <f t="shared" si="46"/>
        <v>-695256.23676977959</v>
      </c>
      <c r="N58" s="164">
        <f t="shared" si="46"/>
        <v>2367411.0004715868</v>
      </c>
      <c r="O58" s="164">
        <f t="shared" si="46"/>
        <v>-745055.6751315078</v>
      </c>
      <c r="P58" s="164">
        <f t="shared" si="46"/>
        <v>-745055.6751315078</v>
      </c>
      <c r="Q58" s="164">
        <f t="shared" si="46"/>
        <v>5536898.5514076771</v>
      </c>
      <c r="R58" s="164">
        <f t="shared" si="46"/>
        <v>-849672.75583897892</v>
      </c>
      <c r="S58" s="164">
        <f t="shared" si="46"/>
        <v>-849672.75583897892</v>
      </c>
      <c r="T58" s="164">
        <f t="shared" si="46"/>
        <v>-720870.72275207937</v>
      </c>
      <c r="U58" s="164">
        <f t="shared" si="46"/>
        <v>-851633.9116950141</v>
      </c>
      <c r="V58" s="164">
        <f t="shared" si="46"/>
        <v>-851633.9116950141</v>
      </c>
      <c r="W58" s="164">
        <f t="shared" si="46"/>
        <v>-716948.41104000888</v>
      </c>
      <c r="X58" s="164">
        <f t="shared" si="46"/>
        <v>-853684.64996367483</v>
      </c>
      <c r="Y58" s="164">
        <f t="shared" si="46"/>
        <v>-853684.64996367483</v>
      </c>
      <c r="Z58" s="164">
        <f t="shared" si="46"/>
        <v>2808095.9520219937</v>
      </c>
      <c r="AA58" s="164">
        <f t="shared" si="46"/>
        <v>-562417.15541360807</v>
      </c>
      <c r="AB58" s="164">
        <f t="shared" si="46"/>
        <v>-562417.15541360807</v>
      </c>
      <c r="AC58" s="164">
        <f t="shared" si="46"/>
        <v>-415146.20197165059</v>
      </c>
      <c r="AD58" s="164">
        <f t="shared" si="46"/>
        <v>-564659.52135958453</v>
      </c>
      <c r="AE58" s="164">
        <f t="shared" si="46"/>
        <v>-564659.52135958453</v>
      </c>
      <c r="AF58" s="164">
        <f t="shared" si="46"/>
        <v>7439241.0939146364</v>
      </c>
      <c r="AG58" s="164">
        <f t="shared" si="46"/>
        <v>0</v>
      </c>
      <c r="AH58" s="164">
        <f t="shared" si="46"/>
        <v>0</v>
      </c>
      <c r="AI58" s="164">
        <f t="shared" si="46"/>
        <v>0</v>
      </c>
      <c r="AJ58" s="164">
        <f t="shared" si="46"/>
        <v>0</v>
      </c>
      <c r="AK58" s="164">
        <f t="shared" si="46"/>
        <v>0</v>
      </c>
      <c r="AL58" s="164">
        <f t="shared" si="46"/>
        <v>0</v>
      </c>
      <c r="AM58" s="164">
        <f t="shared" si="46"/>
        <v>0</v>
      </c>
      <c r="AN58" s="164">
        <f t="shared" si="46"/>
        <v>0</v>
      </c>
      <c r="AO58" s="164">
        <f t="shared" si="46"/>
        <v>0</v>
      </c>
      <c r="AP58" s="164">
        <f t="shared" si="46"/>
        <v>0</v>
      </c>
    </row>
    <row r="59" spans="1:42">
      <c r="A59" s="202" t="s">
        <v>212</v>
      </c>
    </row>
    <row r="60" spans="1:42">
      <c r="A60" s="206" t="s">
        <v>380</v>
      </c>
      <c r="B60" s="208">
        <f>B676</f>
        <v>0</v>
      </c>
      <c r="C60" s="208">
        <f t="shared" ref="C60:AP60" si="47">C676</f>
        <v>0</v>
      </c>
      <c r="D60" s="208">
        <f t="shared" si="47"/>
        <v>0</v>
      </c>
      <c r="E60" s="208">
        <f t="shared" si="47"/>
        <v>0</v>
      </c>
      <c r="F60" s="208">
        <f t="shared" si="47"/>
        <v>0</v>
      </c>
      <c r="G60" s="208">
        <f t="shared" si="47"/>
        <v>0</v>
      </c>
      <c r="H60" s="208">
        <f t="shared" si="47"/>
        <v>0</v>
      </c>
      <c r="I60" s="208">
        <f t="shared" si="47"/>
        <v>0</v>
      </c>
      <c r="J60" s="208">
        <f t="shared" si="47"/>
        <v>0</v>
      </c>
      <c r="K60" s="208">
        <f t="shared" si="47"/>
        <v>0</v>
      </c>
      <c r="L60" s="208">
        <f t="shared" si="47"/>
        <v>0</v>
      </c>
      <c r="M60" s="208">
        <f t="shared" si="47"/>
        <v>0</v>
      </c>
      <c r="N60" s="208">
        <f t="shared" si="47"/>
        <v>-2944872.3435013141</v>
      </c>
      <c r="O60" s="208">
        <f t="shared" si="47"/>
        <v>0</v>
      </c>
      <c r="P60" s="208">
        <f t="shared" si="47"/>
        <v>0</v>
      </c>
      <c r="Q60" s="208">
        <f t="shared" si="47"/>
        <v>0</v>
      </c>
      <c r="R60" s="208">
        <f t="shared" si="47"/>
        <v>0</v>
      </c>
      <c r="S60" s="208">
        <f t="shared" si="47"/>
        <v>0</v>
      </c>
      <c r="T60" s="208">
        <f t="shared" si="47"/>
        <v>0</v>
      </c>
      <c r="U60" s="208">
        <f t="shared" si="47"/>
        <v>0</v>
      </c>
      <c r="V60" s="208">
        <f t="shared" si="47"/>
        <v>0</v>
      </c>
      <c r="W60" s="208">
        <f t="shared" si="47"/>
        <v>0</v>
      </c>
      <c r="X60" s="208">
        <f t="shared" si="47"/>
        <v>0</v>
      </c>
      <c r="Y60" s="208">
        <f t="shared" si="47"/>
        <v>0</v>
      </c>
      <c r="Z60" s="208">
        <f t="shared" si="47"/>
        <v>-3520942.886524681</v>
      </c>
      <c r="AA60" s="208">
        <f t="shared" si="47"/>
        <v>0</v>
      </c>
      <c r="AB60" s="208">
        <f t="shared" si="47"/>
        <v>0</v>
      </c>
      <c r="AC60" s="208">
        <f t="shared" si="47"/>
        <v>0</v>
      </c>
      <c r="AD60" s="208">
        <f t="shared" si="47"/>
        <v>0</v>
      </c>
      <c r="AE60" s="208">
        <f t="shared" si="47"/>
        <v>0</v>
      </c>
      <c r="AF60" s="208">
        <f t="shared" si="47"/>
        <v>0</v>
      </c>
      <c r="AG60" s="208">
        <f t="shared" si="47"/>
        <v>0</v>
      </c>
      <c r="AH60" s="208">
        <f t="shared" si="47"/>
        <v>0</v>
      </c>
      <c r="AI60" s="208">
        <f t="shared" si="47"/>
        <v>0</v>
      </c>
      <c r="AJ60" s="208">
        <f t="shared" si="47"/>
        <v>0</v>
      </c>
      <c r="AK60" s="208">
        <f t="shared" si="47"/>
        <v>0</v>
      </c>
      <c r="AL60" s="208">
        <f t="shared" si="47"/>
        <v>0</v>
      </c>
      <c r="AM60" s="208">
        <f t="shared" si="47"/>
        <v>0</v>
      </c>
      <c r="AN60" s="208">
        <f t="shared" si="47"/>
        <v>0</v>
      </c>
      <c r="AO60" s="208">
        <f t="shared" si="47"/>
        <v>0</v>
      </c>
      <c r="AP60" s="208">
        <f t="shared" si="47"/>
        <v>0</v>
      </c>
    </row>
    <row r="61" spans="1:42">
      <c r="A61" s="206" t="s">
        <v>381</v>
      </c>
      <c r="B61" s="208">
        <f>B708</f>
        <v>0</v>
      </c>
      <c r="C61" s="208">
        <f t="shared" ref="C61:AP61" si="48">C708</f>
        <v>0</v>
      </c>
      <c r="D61" s="208">
        <f t="shared" si="48"/>
        <v>0</v>
      </c>
      <c r="E61" s="208">
        <f t="shared" si="48"/>
        <v>0</v>
      </c>
      <c r="F61" s="208">
        <f t="shared" si="48"/>
        <v>0</v>
      </c>
      <c r="G61" s="208">
        <f t="shared" si="48"/>
        <v>0</v>
      </c>
      <c r="H61" s="208">
        <f t="shared" si="48"/>
        <v>0</v>
      </c>
      <c r="I61" s="208">
        <f t="shared" si="48"/>
        <v>0</v>
      </c>
      <c r="J61" s="208">
        <f t="shared" si="48"/>
        <v>0</v>
      </c>
      <c r="K61" s="208">
        <f t="shared" si="48"/>
        <v>0</v>
      </c>
      <c r="L61" s="208">
        <f t="shared" si="48"/>
        <v>0</v>
      </c>
      <c r="M61" s="208">
        <f t="shared" si="48"/>
        <v>0</v>
      </c>
      <c r="N61" s="208">
        <f t="shared" si="48"/>
        <v>0</v>
      </c>
      <c r="O61" s="208">
        <f t="shared" si="48"/>
        <v>0</v>
      </c>
      <c r="P61" s="208">
        <f t="shared" si="48"/>
        <v>0</v>
      </c>
      <c r="Q61" s="208">
        <f t="shared" si="48"/>
        <v>-6158778.6534697888</v>
      </c>
      <c r="R61" s="208">
        <f t="shared" si="48"/>
        <v>0</v>
      </c>
      <c r="S61" s="208">
        <f t="shared" si="48"/>
        <v>0</v>
      </c>
      <c r="T61" s="208">
        <f t="shared" si="48"/>
        <v>0</v>
      </c>
      <c r="U61" s="208">
        <f t="shared" si="48"/>
        <v>0</v>
      </c>
      <c r="V61" s="208">
        <f t="shared" si="48"/>
        <v>0</v>
      </c>
      <c r="W61" s="208">
        <f t="shared" si="48"/>
        <v>0</v>
      </c>
      <c r="X61" s="208">
        <f t="shared" si="48"/>
        <v>0</v>
      </c>
      <c r="Y61" s="208">
        <f t="shared" si="48"/>
        <v>0</v>
      </c>
      <c r="Z61" s="208">
        <f t="shared" si="48"/>
        <v>0</v>
      </c>
      <c r="AA61" s="208">
        <f t="shared" si="48"/>
        <v>0</v>
      </c>
      <c r="AB61" s="208">
        <f t="shared" si="48"/>
        <v>0</v>
      </c>
      <c r="AC61" s="208">
        <f t="shared" si="48"/>
        <v>0</v>
      </c>
      <c r="AD61" s="208">
        <f t="shared" si="48"/>
        <v>0</v>
      </c>
      <c r="AE61" s="208">
        <f t="shared" si="48"/>
        <v>0</v>
      </c>
      <c r="AF61" s="208">
        <f t="shared" si="48"/>
        <v>-7699902.5639943341</v>
      </c>
      <c r="AG61" s="208">
        <f t="shared" si="48"/>
        <v>0</v>
      </c>
      <c r="AH61" s="208">
        <f t="shared" si="48"/>
        <v>0</v>
      </c>
      <c r="AI61" s="208">
        <f t="shared" si="48"/>
        <v>0</v>
      </c>
      <c r="AJ61" s="208">
        <f t="shared" si="48"/>
        <v>0</v>
      </c>
      <c r="AK61" s="208">
        <f t="shared" si="48"/>
        <v>0</v>
      </c>
      <c r="AL61" s="208">
        <f t="shared" si="48"/>
        <v>0</v>
      </c>
      <c r="AM61" s="208">
        <f t="shared" si="48"/>
        <v>0</v>
      </c>
      <c r="AN61" s="208">
        <f t="shared" si="48"/>
        <v>0</v>
      </c>
      <c r="AO61" s="208">
        <f t="shared" si="48"/>
        <v>0</v>
      </c>
      <c r="AP61" s="208">
        <f t="shared" si="48"/>
        <v>0</v>
      </c>
    </row>
    <row r="62" spans="1:42">
      <c r="A62" s="206" t="s">
        <v>382</v>
      </c>
      <c r="B62" s="209">
        <f>B740</f>
        <v>0</v>
      </c>
      <c r="C62" s="209">
        <f t="shared" ref="C62:AP62" si="49">C740</f>
        <v>0</v>
      </c>
      <c r="D62" s="209">
        <f t="shared" si="49"/>
        <v>0</v>
      </c>
      <c r="E62" s="209">
        <f t="shared" si="49"/>
        <v>-103022.49999999997</v>
      </c>
      <c r="F62" s="209">
        <f t="shared" si="49"/>
        <v>0</v>
      </c>
      <c r="G62" s="209">
        <f t="shared" si="49"/>
        <v>0</v>
      </c>
      <c r="H62" s="209">
        <f t="shared" si="49"/>
        <v>-107728.40038843743</v>
      </c>
      <c r="I62" s="209">
        <f t="shared" si="49"/>
        <v>0</v>
      </c>
      <c r="J62" s="209">
        <f t="shared" si="49"/>
        <v>0</v>
      </c>
      <c r="K62" s="209">
        <f t="shared" si="49"/>
        <v>-112649.25865953058</v>
      </c>
      <c r="L62" s="209">
        <f t="shared" si="49"/>
        <v>0</v>
      </c>
      <c r="M62" s="209">
        <f t="shared" si="49"/>
        <v>0</v>
      </c>
      <c r="N62" s="209">
        <f t="shared" si="49"/>
        <v>-117794.89374005256</v>
      </c>
      <c r="O62" s="209">
        <f t="shared" si="49"/>
        <v>0</v>
      </c>
      <c r="P62" s="209">
        <f t="shared" si="49"/>
        <v>0</v>
      </c>
      <c r="Q62" s="209">
        <f t="shared" si="49"/>
        <v>-123175.57306939577</v>
      </c>
      <c r="R62" s="209">
        <f t="shared" si="49"/>
        <v>0</v>
      </c>
      <c r="S62" s="209">
        <f t="shared" si="49"/>
        <v>0</v>
      </c>
      <c r="T62" s="209">
        <f t="shared" si="49"/>
        <v>-128802.03308689948</v>
      </c>
      <c r="U62" s="209">
        <f t="shared" si="49"/>
        <v>0</v>
      </c>
      <c r="V62" s="209">
        <f t="shared" si="49"/>
        <v>0</v>
      </c>
      <c r="W62" s="209">
        <f t="shared" si="49"/>
        <v>-134685.50065500522</v>
      </c>
      <c r="X62" s="209">
        <f t="shared" si="49"/>
        <v>0</v>
      </c>
      <c r="Y62" s="209">
        <f t="shared" si="49"/>
        <v>0</v>
      </c>
      <c r="Z62" s="209">
        <f t="shared" si="49"/>
        <v>-140837.71546098724</v>
      </c>
      <c r="AA62" s="209">
        <f t="shared" si="49"/>
        <v>0</v>
      </c>
      <c r="AB62" s="209">
        <f t="shared" si="49"/>
        <v>0</v>
      </c>
      <c r="AC62" s="209">
        <f t="shared" si="49"/>
        <v>-147270.95344195748</v>
      </c>
      <c r="AD62" s="209">
        <f t="shared" si="49"/>
        <v>0</v>
      </c>
      <c r="AE62" s="209">
        <f t="shared" si="49"/>
        <v>0</v>
      </c>
      <c r="AF62" s="209">
        <f t="shared" si="49"/>
        <v>-153998.05127988668</v>
      </c>
      <c r="AG62" s="209">
        <f t="shared" si="49"/>
        <v>0</v>
      </c>
      <c r="AH62" s="209">
        <f t="shared" si="49"/>
        <v>0</v>
      </c>
      <c r="AI62" s="209">
        <f t="shared" si="49"/>
        <v>0</v>
      </c>
      <c r="AJ62" s="209">
        <f t="shared" si="49"/>
        <v>0</v>
      </c>
      <c r="AK62" s="209">
        <f t="shared" si="49"/>
        <v>0</v>
      </c>
      <c r="AL62" s="209">
        <f t="shared" si="49"/>
        <v>0</v>
      </c>
      <c r="AM62" s="209">
        <f t="shared" si="49"/>
        <v>0</v>
      </c>
      <c r="AN62" s="209">
        <f t="shared" si="49"/>
        <v>0</v>
      </c>
      <c r="AO62" s="209">
        <f t="shared" si="49"/>
        <v>0</v>
      </c>
      <c r="AP62" s="209">
        <f t="shared" si="49"/>
        <v>0</v>
      </c>
    </row>
    <row r="63" spans="1:42">
      <c r="A63" s="206" t="s">
        <v>53</v>
      </c>
      <c r="B63" s="291">
        <f>SUM(B60:B62)</f>
        <v>0</v>
      </c>
      <c r="C63" s="291">
        <f t="shared" ref="C63:AP63" si="50">SUM(C60:C62)</f>
        <v>0</v>
      </c>
      <c r="D63" s="291">
        <f t="shared" si="50"/>
        <v>0</v>
      </c>
      <c r="E63" s="291">
        <f t="shared" si="50"/>
        <v>-103022.49999999997</v>
      </c>
      <c r="F63" s="291">
        <f t="shared" si="50"/>
        <v>0</v>
      </c>
      <c r="G63" s="291">
        <f t="shared" si="50"/>
        <v>0</v>
      </c>
      <c r="H63" s="291">
        <f t="shared" si="50"/>
        <v>-107728.40038843743</v>
      </c>
      <c r="I63" s="291">
        <f t="shared" si="50"/>
        <v>0</v>
      </c>
      <c r="J63" s="291">
        <f t="shared" si="50"/>
        <v>0</v>
      </c>
      <c r="K63" s="291">
        <f t="shared" si="50"/>
        <v>-112649.25865953058</v>
      </c>
      <c r="L63" s="291">
        <f t="shared" si="50"/>
        <v>0</v>
      </c>
      <c r="M63" s="291">
        <f t="shared" si="50"/>
        <v>0</v>
      </c>
      <c r="N63" s="291">
        <f t="shared" si="50"/>
        <v>-3062667.2372413664</v>
      </c>
      <c r="O63" s="291">
        <f t="shared" si="50"/>
        <v>0</v>
      </c>
      <c r="P63" s="291">
        <f t="shared" si="50"/>
        <v>0</v>
      </c>
      <c r="Q63" s="291">
        <f t="shared" si="50"/>
        <v>-6281954.2265391843</v>
      </c>
      <c r="R63" s="291">
        <f t="shared" si="50"/>
        <v>0</v>
      </c>
      <c r="S63" s="291">
        <f t="shared" si="50"/>
        <v>0</v>
      </c>
      <c r="T63" s="291">
        <f t="shared" si="50"/>
        <v>-128802.03308689948</v>
      </c>
      <c r="U63" s="291">
        <f t="shared" si="50"/>
        <v>0</v>
      </c>
      <c r="V63" s="291">
        <f t="shared" si="50"/>
        <v>0</v>
      </c>
      <c r="W63" s="291">
        <f t="shared" si="50"/>
        <v>-134685.50065500522</v>
      </c>
      <c r="X63" s="291">
        <f t="shared" si="50"/>
        <v>0</v>
      </c>
      <c r="Y63" s="291">
        <f t="shared" si="50"/>
        <v>0</v>
      </c>
      <c r="Z63" s="291">
        <f t="shared" si="50"/>
        <v>-3661780.6019856683</v>
      </c>
      <c r="AA63" s="291">
        <f t="shared" si="50"/>
        <v>0</v>
      </c>
      <c r="AB63" s="291">
        <f t="shared" si="50"/>
        <v>0</v>
      </c>
      <c r="AC63" s="291">
        <f t="shared" si="50"/>
        <v>-147270.95344195748</v>
      </c>
      <c r="AD63" s="291">
        <f t="shared" si="50"/>
        <v>0</v>
      </c>
      <c r="AE63" s="291">
        <f t="shared" si="50"/>
        <v>0</v>
      </c>
      <c r="AF63" s="291">
        <f t="shared" si="50"/>
        <v>-7853900.6152742207</v>
      </c>
      <c r="AG63" s="291">
        <f t="shared" si="50"/>
        <v>0</v>
      </c>
      <c r="AH63" s="291">
        <f t="shared" si="50"/>
        <v>0</v>
      </c>
      <c r="AI63" s="291">
        <f t="shared" si="50"/>
        <v>0</v>
      </c>
      <c r="AJ63" s="291">
        <f t="shared" si="50"/>
        <v>0</v>
      </c>
      <c r="AK63" s="291">
        <f t="shared" si="50"/>
        <v>0</v>
      </c>
      <c r="AL63" s="291">
        <f t="shared" si="50"/>
        <v>0</v>
      </c>
      <c r="AM63" s="291">
        <f t="shared" si="50"/>
        <v>0</v>
      </c>
      <c r="AN63" s="291">
        <f t="shared" si="50"/>
        <v>0</v>
      </c>
      <c r="AO63" s="291">
        <f t="shared" si="50"/>
        <v>0</v>
      </c>
      <c r="AP63" s="291">
        <f t="shared" si="50"/>
        <v>0</v>
      </c>
    </row>
    <row r="64" spans="1:42">
      <c r="A64" s="202" t="s">
        <v>53</v>
      </c>
      <c r="B64" s="164">
        <f t="shared" ref="B64:AP64" si="51">B52+B58+B63</f>
        <v>-42756688.5</v>
      </c>
      <c r="C64" s="164">
        <f t="shared" si="51"/>
        <v>-690332.10552309547</v>
      </c>
      <c r="D64" s="164">
        <f t="shared" si="51"/>
        <v>-690332.10552309547</v>
      </c>
      <c r="E64" s="164">
        <f t="shared" si="51"/>
        <v>-690332.10552309547</v>
      </c>
      <c r="F64" s="164">
        <f t="shared" si="51"/>
        <v>-691900.73898590787</v>
      </c>
      <c r="G64" s="164">
        <f t="shared" si="51"/>
        <v>-691900.73898590787</v>
      </c>
      <c r="H64" s="164">
        <f t="shared" si="51"/>
        <v>-691900.73898590787</v>
      </c>
      <c r="I64" s="164">
        <f t="shared" si="51"/>
        <v>-693541.02507627232</v>
      </c>
      <c r="J64" s="164">
        <f t="shared" si="51"/>
        <v>-693541.02507627232</v>
      </c>
      <c r="K64" s="164">
        <f t="shared" si="51"/>
        <v>-693541.02507627232</v>
      </c>
      <c r="L64" s="164">
        <f t="shared" si="51"/>
        <v>-695256.23676977959</v>
      </c>
      <c r="M64" s="164">
        <f t="shared" si="51"/>
        <v>-695256.23676977959</v>
      </c>
      <c r="N64" s="164">
        <f t="shared" si="51"/>
        <v>-695256.23676977959</v>
      </c>
      <c r="O64" s="164">
        <f t="shared" si="51"/>
        <v>-745055.6751315078</v>
      </c>
      <c r="P64" s="164">
        <f t="shared" si="51"/>
        <v>-745055.6751315078</v>
      </c>
      <c r="Q64" s="164">
        <f t="shared" si="51"/>
        <v>-745055.67513150722</v>
      </c>
      <c r="R64" s="164">
        <f t="shared" si="51"/>
        <v>-849672.75583897892</v>
      </c>
      <c r="S64" s="164">
        <f t="shared" si="51"/>
        <v>-849672.75583897892</v>
      </c>
      <c r="T64" s="164">
        <f t="shared" si="51"/>
        <v>-849672.7558389788</v>
      </c>
      <c r="U64" s="164">
        <f t="shared" si="51"/>
        <v>-851633.9116950141</v>
      </c>
      <c r="V64" s="164">
        <f t="shared" si="51"/>
        <v>-851633.9116950141</v>
      </c>
      <c r="W64" s="164">
        <f t="shared" si="51"/>
        <v>-851633.9116950141</v>
      </c>
      <c r="X64" s="164">
        <f t="shared" si="51"/>
        <v>-853684.64996367483</v>
      </c>
      <c r="Y64" s="164">
        <f t="shared" si="51"/>
        <v>-853684.64996367483</v>
      </c>
      <c r="Z64" s="164">
        <f t="shared" si="51"/>
        <v>-853684.6499636746</v>
      </c>
      <c r="AA64" s="164">
        <f t="shared" si="51"/>
        <v>-562417.15541360807</v>
      </c>
      <c r="AB64" s="164">
        <f t="shared" si="51"/>
        <v>-562417.15541360807</v>
      </c>
      <c r="AC64" s="164">
        <f t="shared" si="51"/>
        <v>-562417.15541360807</v>
      </c>
      <c r="AD64" s="164">
        <f t="shared" si="51"/>
        <v>-564659.52135958453</v>
      </c>
      <c r="AE64" s="164">
        <f t="shared" si="51"/>
        <v>-564659.52135958453</v>
      </c>
      <c r="AF64" s="164">
        <f t="shared" si="51"/>
        <v>-414659.52135958429</v>
      </c>
      <c r="AG64" s="164">
        <f t="shared" si="51"/>
        <v>0</v>
      </c>
      <c r="AH64" s="164">
        <f t="shared" si="51"/>
        <v>0</v>
      </c>
      <c r="AI64" s="164">
        <f t="shared" si="51"/>
        <v>0</v>
      </c>
      <c r="AJ64" s="164">
        <f t="shared" si="51"/>
        <v>0</v>
      </c>
      <c r="AK64" s="164">
        <f t="shared" si="51"/>
        <v>0</v>
      </c>
      <c r="AL64" s="164">
        <f t="shared" si="51"/>
        <v>0</v>
      </c>
      <c r="AM64" s="164">
        <f t="shared" si="51"/>
        <v>0</v>
      </c>
      <c r="AN64" s="164">
        <f t="shared" si="51"/>
        <v>0</v>
      </c>
      <c r="AO64" s="164">
        <f t="shared" si="51"/>
        <v>0</v>
      </c>
      <c r="AP64" s="164">
        <f t="shared" si="51"/>
        <v>0</v>
      </c>
    </row>
    <row r="65" spans="1:42">
      <c r="A65" s="202"/>
      <c r="B65" s="164"/>
      <c r="C65" s="164"/>
      <c r="D65" s="164"/>
      <c r="E65" s="164"/>
      <c r="F65" s="164"/>
      <c r="G65" s="164"/>
      <c r="H65" s="164"/>
      <c r="I65" s="164"/>
      <c r="J65" s="164"/>
      <c r="K65" s="164"/>
      <c r="L65" s="164"/>
      <c r="M65" s="164"/>
      <c r="N65" s="164"/>
      <c r="O65" s="164"/>
      <c r="P65" s="164"/>
      <c r="Q65" s="164"/>
      <c r="R65" s="164"/>
      <c r="S65" s="164"/>
      <c r="T65" s="164"/>
      <c r="U65" s="164"/>
      <c r="V65" s="164"/>
      <c r="W65" s="164"/>
      <c r="X65" s="164"/>
      <c r="Y65" s="164"/>
      <c r="Z65" s="164"/>
      <c r="AA65" s="164"/>
      <c r="AB65" s="164"/>
      <c r="AC65" s="164"/>
      <c r="AD65" s="164"/>
      <c r="AE65" s="164"/>
      <c r="AF65" s="164"/>
      <c r="AG65" s="164"/>
      <c r="AH65" s="164"/>
      <c r="AI65" s="164"/>
      <c r="AJ65" s="164"/>
      <c r="AK65" s="164"/>
      <c r="AL65" s="164"/>
      <c r="AM65" s="164"/>
      <c r="AN65" s="164"/>
      <c r="AO65" s="164"/>
      <c r="AP65" s="164"/>
    </row>
    <row r="66" spans="1:42">
      <c r="A66" s="204" t="s">
        <v>195</v>
      </c>
      <c r="B66" s="164"/>
      <c r="C66" s="164"/>
      <c r="D66" s="164"/>
      <c r="E66" s="164"/>
      <c r="F66" s="164"/>
      <c r="G66" s="164"/>
      <c r="H66" s="164"/>
      <c r="I66" s="164"/>
      <c r="J66" s="164"/>
      <c r="K66" s="164"/>
      <c r="L66" s="164"/>
      <c r="M66" s="164"/>
      <c r="N66" s="164"/>
      <c r="O66" s="164"/>
      <c r="P66" s="164"/>
      <c r="Q66" s="164"/>
      <c r="R66" s="164"/>
      <c r="S66" s="164"/>
      <c r="T66" s="164"/>
      <c r="U66" s="164"/>
      <c r="V66" s="164"/>
      <c r="W66" s="164"/>
      <c r="X66" s="164"/>
      <c r="Y66" s="164"/>
      <c r="Z66" s="164"/>
      <c r="AA66" s="164"/>
      <c r="AB66" s="164"/>
      <c r="AC66" s="164"/>
      <c r="AD66" s="164"/>
      <c r="AE66" s="164"/>
      <c r="AF66" s="164"/>
      <c r="AG66" s="164"/>
      <c r="AH66" s="164"/>
      <c r="AI66" s="164"/>
      <c r="AJ66" s="164"/>
      <c r="AK66" s="164"/>
      <c r="AL66" s="164"/>
      <c r="AM66" s="164"/>
      <c r="AN66" s="164"/>
      <c r="AO66" s="164"/>
      <c r="AP66" s="164"/>
    </row>
    <row r="67" spans="1:42">
      <c r="A67" s="202" t="s">
        <v>214</v>
      </c>
      <c r="B67" s="164"/>
      <c r="C67" s="164"/>
      <c r="D67" s="164"/>
      <c r="E67" s="164"/>
      <c r="F67" s="164"/>
      <c r="G67" s="164"/>
      <c r="H67" s="164"/>
      <c r="I67" s="164"/>
      <c r="J67" s="164"/>
      <c r="K67" s="164"/>
      <c r="L67" s="164"/>
      <c r="M67" s="164"/>
      <c r="N67" s="164"/>
      <c r="O67" s="164"/>
      <c r="P67" s="164"/>
      <c r="Q67" s="164"/>
      <c r="R67" s="164"/>
      <c r="S67" s="164"/>
      <c r="T67" s="164"/>
      <c r="U67" s="164"/>
      <c r="V67" s="164"/>
      <c r="W67" s="164"/>
      <c r="X67" s="164"/>
      <c r="Y67" s="164"/>
      <c r="Z67" s="164"/>
      <c r="AA67" s="164"/>
      <c r="AB67" s="164"/>
      <c r="AC67" s="164"/>
      <c r="AD67" s="164"/>
      <c r="AE67" s="164"/>
      <c r="AF67" s="164"/>
      <c r="AG67" s="164"/>
      <c r="AH67" s="164"/>
      <c r="AI67" s="164"/>
      <c r="AJ67" s="164"/>
      <c r="AK67" s="164"/>
      <c r="AL67" s="164"/>
      <c r="AM67" s="164"/>
      <c r="AN67" s="164"/>
      <c r="AO67" s="164"/>
      <c r="AP67" s="164"/>
    </row>
    <row r="68" spans="1:42">
      <c r="A68" s="206" t="s">
        <v>215</v>
      </c>
      <c r="B68" s="164">
        <f>'Inputs &amp; Results'!B161+'Inputs &amp; Results'!B162</f>
        <v>6641229.75</v>
      </c>
      <c r="C68" s="164">
        <v>0</v>
      </c>
      <c r="D68" s="164">
        <v>0</v>
      </c>
      <c r="E68" s="164">
        <v>0</v>
      </c>
      <c r="F68" s="164">
        <v>0</v>
      </c>
      <c r="G68" s="164">
        <v>0</v>
      </c>
      <c r="H68" s="164">
        <v>0</v>
      </c>
      <c r="I68" s="164">
        <v>0</v>
      </c>
      <c r="J68" s="164">
        <v>0</v>
      </c>
      <c r="K68" s="164">
        <v>0</v>
      </c>
      <c r="L68" s="164">
        <v>0</v>
      </c>
      <c r="M68" s="164">
        <v>0</v>
      </c>
      <c r="N68" s="164">
        <v>0</v>
      </c>
      <c r="O68" s="164">
        <v>0</v>
      </c>
      <c r="P68" s="164">
        <v>0</v>
      </c>
      <c r="Q68" s="164">
        <v>0</v>
      </c>
      <c r="R68" s="164">
        <v>0</v>
      </c>
      <c r="S68" s="164">
        <v>0</v>
      </c>
      <c r="T68" s="164">
        <v>0</v>
      </c>
      <c r="U68" s="164">
        <v>0</v>
      </c>
      <c r="V68" s="164">
        <v>0</v>
      </c>
      <c r="W68" s="164">
        <v>0</v>
      </c>
      <c r="X68" s="164">
        <v>0</v>
      </c>
      <c r="Y68" s="164">
        <v>0</v>
      </c>
      <c r="Z68" s="164">
        <v>0</v>
      </c>
      <c r="AA68" s="164">
        <v>0</v>
      </c>
      <c r="AB68" s="164">
        <v>0</v>
      </c>
      <c r="AC68" s="164">
        <v>0</v>
      </c>
      <c r="AD68" s="164">
        <v>0</v>
      </c>
      <c r="AE68" s="164">
        <v>0</v>
      </c>
      <c r="AF68" s="164">
        <v>0</v>
      </c>
      <c r="AG68" s="164">
        <v>0</v>
      </c>
      <c r="AH68" s="164">
        <v>0</v>
      </c>
      <c r="AI68" s="164">
        <v>0</v>
      </c>
      <c r="AJ68" s="164">
        <v>0</v>
      </c>
      <c r="AK68" s="164">
        <v>0</v>
      </c>
      <c r="AL68" s="164">
        <v>0</v>
      </c>
      <c r="AM68" s="164">
        <v>0</v>
      </c>
      <c r="AN68" s="164">
        <v>0</v>
      </c>
      <c r="AO68" s="164">
        <v>0</v>
      </c>
      <c r="AP68" s="164">
        <v>0</v>
      </c>
    </row>
    <row r="69" spans="1:42">
      <c r="A69" s="206" t="s">
        <v>189</v>
      </c>
      <c r="B69" s="209">
        <f>'Inputs &amp; Results'!B163</f>
        <v>7150000</v>
      </c>
      <c r="C69" s="209">
        <v>0</v>
      </c>
      <c r="D69" s="209">
        <v>0</v>
      </c>
      <c r="E69" s="209">
        <v>0</v>
      </c>
      <c r="F69" s="209">
        <v>0</v>
      </c>
      <c r="G69" s="209">
        <v>0</v>
      </c>
      <c r="H69" s="209">
        <v>0</v>
      </c>
      <c r="I69" s="209">
        <v>0</v>
      </c>
      <c r="J69" s="209">
        <v>0</v>
      </c>
      <c r="K69" s="209">
        <v>0</v>
      </c>
      <c r="L69" s="209">
        <v>0</v>
      </c>
      <c r="M69" s="209">
        <v>0</v>
      </c>
      <c r="N69" s="209">
        <v>0</v>
      </c>
      <c r="O69" s="209">
        <v>0</v>
      </c>
      <c r="P69" s="209">
        <v>0</v>
      </c>
      <c r="Q69" s="209">
        <v>0</v>
      </c>
      <c r="R69" s="209">
        <v>0</v>
      </c>
      <c r="S69" s="209">
        <v>0</v>
      </c>
      <c r="T69" s="209">
        <v>0</v>
      </c>
      <c r="U69" s="209">
        <v>0</v>
      </c>
      <c r="V69" s="209">
        <v>0</v>
      </c>
      <c r="W69" s="209">
        <v>0</v>
      </c>
      <c r="X69" s="209">
        <v>0</v>
      </c>
      <c r="Y69" s="209">
        <v>0</v>
      </c>
      <c r="Z69" s="209">
        <v>0</v>
      </c>
      <c r="AA69" s="209">
        <v>0</v>
      </c>
      <c r="AB69" s="209">
        <v>0</v>
      </c>
      <c r="AC69" s="209">
        <v>0</v>
      </c>
      <c r="AD69" s="209">
        <v>0</v>
      </c>
      <c r="AE69" s="209">
        <v>0</v>
      </c>
      <c r="AF69" s="209">
        <v>0</v>
      </c>
      <c r="AG69" s="209">
        <v>0</v>
      </c>
      <c r="AH69" s="209">
        <v>0</v>
      </c>
      <c r="AI69" s="209">
        <v>0</v>
      </c>
      <c r="AJ69" s="209">
        <v>0</v>
      </c>
      <c r="AK69" s="209">
        <v>0</v>
      </c>
      <c r="AL69" s="209">
        <v>0</v>
      </c>
      <c r="AM69" s="209">
        <v>0</v>
      </c>
      <c r="AN69" s="209">
        <v>0</v>
      </c>
      <c r="AO69" s="209">
        <v>0</v>
      </c>
      <c r="AP69" s="209">
        <v>0</v>
      </c>
    </row>
    <row r="70" spans="1:42">
      <c r="A70" s="206" t="s">
        <v>53</v>
      </c>
      <c r="B70" s="164">
        <f>SUM(B68:B69)</f>
        <v>13791229.75</v>
      </c>
      <c r="C70" s="164">
        <f t="shared" ref="C70:AP70" si="52">SUM(C68:C69)</f>
        <v>0</v>
      </c>
      <c r="D70" s="164">
        <f t="shared" si="52"/>
        <v>0</v>
      </c>
      <c r="E70" s="164">
        <f t="shared" si="52"/>
        <v>0</v>
      </c>
      <c r="F70" s="164">
        <f t="shared" si="52"/>
        <v>0</v>
      </c>
      <c r="G70" s="164">
        <f t="shared" si="52"/>
        <v>0</v>
      </c>
      <c r="H70" s="164">
        <f t="shared" si="52"/>
        <v>0</v>
      </c>
      <c r="I70" s="164">
        <f t="shared" si="52"/>
        <v>0</v>
      </c>
      <c r="J70" s="164">
        <f t="shared" si="52"/>
        <v>0</v>
      </c>
      <c r="K70" s="164">
        <f t="shared" si="52"/>
        <v>0</v>
      </c>
      <c r="L70" s="164">
        <f t="shared" si="52"/>
        <v>0</v>
      </c>
      <c r="M70" s="164">
        <f t="shared" si="52"/>
        <v>0</v>
      </c>
      <c r="N70" s="164">
        <f t="shared" si="52"/>
        <v>0</v>
      </c>
      <c r="O70" s="164">
        <f t="shared" si="52"/>
        <v>0</v>
      </c>
      <c r="P70" s="164">
        <f t="shared" si="52"/>
        <v>0</v>
      </c>
      <c r="Q70" s="164">
        <f t="shared" si="52"/>
        <v>0</v>
      </c>
      <c r="R70" s="164">
        <f t="shared" si="52"/>
        <v>0</v>
      </c>
      <c r="S70" s="164">
        <f t="shared" si="52"/>
        <v>0</v>
      </c>
      <c r="T70" s="164">
        <f t="shared" si="52"/>
        <v>0</v>
      </c>
      <c r="U70" s="164">
        <f t="shared" si="52"/>
        <v>0</v>
      </c>
      <c r="V70" s="164">
        <f t="shared" si="52"/>
        <v>0</v>
      </c>
      <c r="W70" s="164">
        <f t="shared" si="52"/>
        <v>0</v>
      </c>
      <c r="X70" s="164">
        <f t="shared" si="52"/>
        <v>0</v>
      </c>
      <c r="Y70" s="164">
        <f t="shared" si="52"/>
        <v>0</v>
      </c>
      <c r="Z70" s="164">
        <f t="shared" si="52"/>
        <v>0</v>
      </c>
      <c r="AA70" s="164">
        <f t="shared" si="52"/>
        <v>0</v>
      </c>
      <c r="AB70" s="164">
        <f t="shared" si="52"/>
        <v>0</v>
      </c>
      <c r="AC70" s="164">
        <f t="shared" si="52"/>
        <v>0</v>
      </c>
      <c r="AD70" s="164">
        <f t="shared" si="52"/>
        <v>0</v>
      </c>
      <c r="AE70" s="164">
        <f t="shared" si="52"/>
        <v>0</v>
      </c>
      <c r="AF70" s="164">
        <f t="shared" si="52"/>
        <v>0</v>
      </c>
      <c r="AG70" s="164">
        <f t="shared" si="52"/>
        <v>0</v>
      </c>
      <c r="AH70" s="164">
        <f t="shared" si="52"/>
        <v>0</v>
      </c>
      <c r="AI70" s="164">
        <f t="shared" si="52"/>
        <v>0</v>
      </c>
      <c r="AJ70" s="164">
        <f t="shared" si="52"/>
        <v>0</v>
      </c>
      <c r="AK70" s="164">
        <f t="shared" si="52"/>
        <v>0</v>
      </c>
      <c r="AL70" s="164">
        <f t="shared" si="52"/>
        <v>0</v>
      </c>
      <c r="AM70" s="164">
        <f t="shared" si="52"/>
        <v>0</v>
      </c>
      <c r="AN70" s="164">
        <f t="shared" si="52"/>
        <v>0</v>
      </c>
      <c r="AO70" s="164">
        <f t="shared" si="52"/>
        <v>0</v>
      </c>
      <c r="AP70" s="164">
        <f t="shared" si="52"/>
        <v>0</v>
      </c>
    </row>
    <row r="71" spans="1:42">
      <c r="A71" s="202" t="s">
        <v>390</v>
      </c>
      <c r="B71" s="209">
        <f>'Inputs &amp; Results'!$B$159</f>
        <v>28965458.75</v>
      </c>
      <c r="C71" s="164">
        <v>0</v>
      </c>
      <c r="D71" s="164">
        <v>0</v>
      </c>
      <c r="E71" s="164">
        <v>0</v>
      </c>
      <c r="F71" s="164">
        <v>0</v>
      </c>
      <c r="G71" s="164">
        <v>0</v>
      </c>
      <c r="H71" s="164">
        <v>0</v>
      </c>
      <c r="I71" s="164">
        <v>0</v>
      </c>
      <c r="J71" s="164">
        <v>0</v>
      </c>
      <c r="K71" s="164">
        <v>0</v>
      </c>
      <c r="L71" s="164">
        <v>0</v>
      </c>
      <c r="M71" s="164">
        <v>0</v>
      </c>
      <c r="N71" s="164">
        <v>0</v>
      </c>
      <c r="O71" s="164">
        <v>0</v>
      </c>
      <c r="P71" s="164">
        <v>0</v>
      </c>
      <c r="Q71" s="164">
        <v>0</v>
      </c>
      <c r="R71" s="164">
        <v>0</v>
      </c>
      <c r="S71" s="164">
        <v>0</v>
      </c>
      <c r="T71" s="164">
        <v>0</v>
      </c>
      <c r="U71" s="164">
        <v>0</v>
      </c>
      <c r="V71" s="164">
        <v>0</v>
      </c>
      <c r="W71" s="164">
        <v>0</v>
      </c>
      <c r="X71" s="164">
        <v>0</v>
      </c>
      <c r="Y71" s="164">
        <v>0</v>
      </c>
      <c r="Z71" s="164">
        <v>0</v>
      </c>
      <c r="AA71" s="164">
        <v>0</v>
      </c>
      <c r="AB71" s="164">
        <v>0</v>
      </c>
      <c r="AC71" s="164">
        <v>0</v>
      </c>
      <c r="AD71" s="164">
        <v>0</v>
      </c>
      <c r="AE71" s="164">
        <v>0</v>
      </c>
      <c r="AF71" s="164">
        <v>0</v>
      </c>
      <c r="AG71" s="164">
        <v>0</v>
      </c>
      <c r="AH71" s="164">
        <v>0</v>
      </c>
      <c r="AI71" s="164">
        <v>0</v>
      </c>
      <c r="AJ71" s="164">
        <v>0</v>
      </c>
      <c r="AK71" s="164">
        <v>0</v>
      </c>
      <c r="AL71" s="164">
        <v>0</v>
      </c>
      <c r="AM71" s="164">
        <v>0</v>
      </c>
      <c r="AN71" s="164">
        <v>0</v>
      </c>
      <c r="AO71" s="164">
        <v>0</v>
      </c>
      <c r="AP71" s="164">
        <v>0</v>
      </c>
    </row>
    <row r="72" spans="1:42">
      <c r="A72" s="202" t="s">
        <v>53</v>
      </c>
      <c r="B72" s="209">
        <f t="shared" ref="B72:AP72" si="53">SUM(B70:B71)</f>
        <v>42756688.5</v>
      </c>
      <c r="C72" s="216">
        <f t="shared" si="53"/>
        <v>0</v>
      </c>
      <c r="D72" s="216">
        <f t="shared" si="53"/>
        <v>0</v>
      </c>
      <c r="E72" s="216">
        <f t="shared" si="53"/>
        <v>0</v>
      </c>
      <c r="F72" s="216">
        <f t="shared" si="53"/>
        <v>0</v>
      </c>
      <c r="G72" s="216">
        <f t="shared" si="53"/>
        <v>0</v>
      </c>
      <c r="H72" s="216">
        <f t="shared" si="53"/>
        <v>0</v>
      </c>
      <c r="I72" s="216">
        <f t="shared" si="53"/>
        <v>0</v>
      </c>
      <c r="J72" s="216">
        <f t="shared" si="53"/>
        <v>0</v>
      </c>
      <c r="K72" s="216">
        <f t="shared" si="53"/>
        <v>0</v>
      </c>
      <c r="L72" s="216">
        <f t="shared" si="53"/>
        <v>0</v>
      </c>
      <c r="M72" s="216">
        <f t="shared" si="53"/>
        <v>0</v>
      </c>
      <c r="N72" s="216">
        <f t="shared" si="53"/>
        <v>0</v>
      </c>
      <c r="O72" s="216">
        <f t="shared" si="53"/>
        <v>0</v>
      </c>
      <c r="P72" s="216">
        <f t="shared" si="53"/>
        <v>0</v>
      </c>
      <c r="Q72" s="216">
        <f t="shared" si="53"/>
        <v>0</v>
      </c>
      <c r="R72" s="216">
        <f t="shared" si="53"/>
        <v>0</v>
      </c>
      <c r="S72" s="216">
        <f t="shared" si="53"/>
        <v>0</v>
      </c>
      <c r="T72" s="216">
        <f t="shared" si="53"/>
        <v>0</v>
      </c>
      <c r="U72" s="216">
        <f t="shared" si="53"/>
        <v>0</v>
      </c>
      <c r="V72" s="216">
        <f t="shared" si="53"/>
        <v>0</v>
      </c>
      <c r="W72" s="216">
        <f t="shared" si="53"/>
        <v>0</v>
      </c>
      <c r="X72" s="216">
        <f t="shared" si="53"/>
        <v>0</v>
      </c>
      <c r="Y72" s="216">
        <f t="shared" si="53"/>
        <v>0</v>
      </c>
      <c r="Z72" s="216">
        <f t="shared" si="53"/>
        <v>0</v>
      </c>
      <c r="AA72" s="216">
        <f t="shared" si="53"/>
        <v>0</v>
      </c>
      <c r="AB72" s="216">
        <f t="shared" si="53"/>
        <v>0</v>
      </c>
      <c r="AC72" s="216">
        <f t="shared" si="53"/>
        <v>0</v>
      </c>
      <c r="AD72" s="216">
        <f t="shared" si="53"/>
        <v>0</v>
      </c>
      <c r="AE72" s="216">
        <f t="shared" si="53"/>
        <v>0</v>
      </c>
      <c r="AF72" s="216">
        <f t="shared" si="53"/>
        <v>0</v>
      </c>
      <c r="AG72" s="216">
        <f t="shared" si="53"/>
        <v>0</v>
      </c>
      <c r="AH72" s="216">
        <f t="shared" si="53"/>
        <v>0</v>
      </c>
      <c r="AI72" s="216">
        <f t="shared" si="53"/>
        <v>0</v>
      </c>
      <c r="AJ72" s="216">
        <f t="shared" si="53"/>
        <v>0</v>
      </c>
      <c r="AK72" s="216">
        <f t="shared" si="53"/>
        <v>0</v>
      </c>
      <c r="AL72" s="216">
        <f t="shared" si="53"/>
        <v>0</v>
      </c>
      <c r="AM72" s="216">
        <f t="shared" si="53"/>
        <v>0</v>
      </c>
      <c r="AN72" s="216">
        <f t="shared" si="53"/>
        <v>0</v>
      </c>
      <c r="AO72" s="216">
        <f t="shared" si="53"/>
        <v>0</v>
      </c>
      <c r="AP72" s="216">
        <f t="shared" si="53"/>
        <v>0</v>
      </c>
    </row>
    <row r="73" spans="1:42" ht="13.5" thickBot="1">
      <c r="A73" s="204" t="s">
        <v>197</v>
      </c>
      <c r="B73" s="215">
        <f t="shared" ref="B73:AP73" si="54">B49+B64+B72</f>
        <v>0</v>
      </c>
      <c r="C73" s="215">
        <f t="shared" si="54"/>
        <v>5746099.4550980376</v>
      </c>
      <c r="D73" s="215">
        <f t="shared" si="54"/>
        <v>5799398.3661163282</v>
      </c>
      <c r="E73" s="215">
        <f t="shared" si="54"/>
        <v>5852705.2245223168</v>
      </c>
      <c r="F73" s="215">
        <f t="shared" si="54"/>
        <v>5902645.9785218956</v>
      </c>
      <c r="G73" s="215">
        <f t="shared" si="54"/>
        <v>5955988.5423246315</v>
      </c>
      <c r="H73" s="215">
        <f t="shared" si="54"/>
        <v>6009331.2781067574</v>
      </c>
      <c r="I73" s="215">
        <f t="shared" si="54"/>
        <v>6059145.9234855184</v>
      </c>
      <c r="J73" s="215">
        <f t="shared" si="54"/>
        <v>6112509.4490454514</v>
      </c>
      <c r="K73" s="215">
        <f t="shared" si="54"/>
        <v>6165864.7431304613</v>
      </c>
      <c r="L73" s="215">
        <f t="shared" si="54"/>
        <v>6215522.2838914124</v>
      </c>
      <c r="M73" s="215">
        <f t="shared" si="54"/>
        <v>6268882.2105902201</v>
      </c>
      <c r="N73" s="215">
        <f t="shared" si="54"/>
        <v>6322224.8309515612</v>
      </c>
      <c r="O73" s="215">
        <f t="shared" si="54"/>
        <v>6272150.8478915328</v>
      </c>
      <c r="P73" s="215">
        <f t="shared" si="54"/>
        <v>6326320.7180273384</v>
      </c>
      <c r="Q73" s="215">
        <f t="shared" si="54"/>
        <v>6380463.4892522404</v>
      </c>
      <c r="R73" s="215">
        <f t="shared" si="54"/>
        <v>6220024.4497605804</v>
      </c>
      <c r="S73" s="215">
        <f t="shared" si="54"/>
        <v>6275933.438550788</v>
      </c>
      <c r="T73" s="215">
        <f t="shared" si="54"/>
        <v>6331804.7687021922</v>
      </c>
      <c r="U73" s="215">
        <f t="shared" si="54"/>
        <v>6383419.5493669668</v>
      </c>
      <c r="V73" s="215">
        <f t="shared" si="54"/>
        <v>6439238.6911114771</v>
      </c>
      <c r="W73" s="215">
        <f t="shared" si="54"/>
        <v>6495008.7945363009</v>
      </c>
      <c r="X73" s="215">
        <f t="shared" si="54"/>
        <v>6531987.2178478129</v>
      </c>
      <c r="Y73" s="215">
        <f t="shared" si="54"/>
        <v>6573352.1556176906</v>
      </c>
      <c r="Z73" s="215">
        <f t="shared" si="54"/>
        <v>6614655.7990515865</v>
      </c>
      <c r="AA73" s="215">
        <f t="shared" si="54"/>
        <v>6883080.1917932723</v>
      </c>
      <c r="AB73" s="215">
        <f t="shared" si="54"/>
        <v>6919151.0879300954</v>
      </c>
      <c r="AC73" s="215">
        <f t="shared" si="54"/>
        <v>6955147.4971684404</v>
      </c>
      <c r="AD73" s="215">
        <f t="shared" si="54"/>
        <v>6986245.1952442704</v>
      </c>
      <c r="AE73" s="215">
        <f t="shared" si="54"/>
        <v>7022117.9085349916</v>
      </c>
      <c r="AF73" s="215">
        <f t="shared" si="54"/>
        <v>11230616.941517904</v>
      </c>
      <c r="AG73" s="215">
        <f t="shared" si="54"/>
        <v>0</v>
      </c>
      <c r="AH73" s="215">
        <f t="shared" si="54"/>
        <v>0</v>
      </c>
      <c r="AI73" s="215">
        <f t="shared" si="54"/>
        <v>0</v>
      </c>
      <c r="AJ73" s="215">
        <f t="shared" si="54"/>
        <v>0</v>
      </c>
      <c r="AK73" s="215">
        <f t="shared" si="54"/>
        <v>0</v>
      </c>
      <c r="AL73" s="215">
        <f t="shared" si="54"/>
        <v>0</v>
      </c>
      <c r="AM73" s="215">
        <f t="shared" si="54"/>
        <v>0</v>
      </c>
      <c r="AN73" s="215">
        <f t="shared" si="54"/>
        <v>0</v>
      </c>
      <c r="AO73" s="215">
        <f t="shared" si="54"/>
        <v>0</v>
      </c>
      <c r="AP73" s="215">
        <f t="shared" si="54"/>
        <v>0</v>
      </c>
    </row>
    <row r="74" spans="1:42" ht="13.5" thickTop="1">
      <c r="B74" s="164"/>
      <c r="C74" s="164"/>
      <c r="D74" s="164"/>
      <c r="E74" s="164"/>
      <c r="F74" s="164"/>
      <c r="G74" s="208"/>
      <c r="H74" s="208"/>
      <c r="I74" s="208"/>
      <c r="J74" s="208"/>
      <c r="K74" s="208"/>
      <c r="L74" s="208"/>
      <c r="M74" s="208"/>
      <c r="N74" s="208"/>
      <c r="O74" s="208"/>
      <c r="P74" s="208"/>
      <c r="Q74" s="208"/>
      <c r="R74" s="208"/>
      <c r="S74" s="208"/>
      <c r="T74" s="208"/>
      <c r="U74" s="208"/>
      <c r="V74" s="208"/>
      <c r="W74" s="208"/>
      <c r="X74" s="208"/>
      <c r="Y74" s="208"/>
      <c r="Z74" s="208"/>
      <c r="AA74" s="208"/>
      <c r="AB74" s="208"/>
      <c r="AC74" s="208"/>
      <c r="AD74" s="208"/>
      <c r="AE74" s="208"/>
      <c r="AF74" s="208"/>
      <c r="AG74" s="208"/>
      <c r="AH74" s="208"/>
      <c r="AI74" s="208"/>
      <c r="AJ74" s="208"/>
      <c r="AK74" s="208"/>
      <c r="AL74" s="208"/>
      <c r="AM74" s="208"/>
      <c r="AN74" s="208"/>
      <c r="AO74" s="208"/>
      <c r="AP74" s="208"/>
    </row>
    <row r="75" spans="1:42">
      <c r="A75" s="201" t="s">
        <v>257</v>
      </c>
      <c r="B75" s="164"/>
      <c r="C75" s="164"/>
      <c r="D75" s="164"/>
      <c r="E75" s="164"/>
      <c r="F75" s="164"/>
      <c r="G75" s="208"/>
      <c r="H75" s="208"/>
      <c r="I75" s="208"/>
      <c r="J75" s="208"/>
      <c r="K75" s="208"/>
      <c r="L75" s="208"/>
      <c r="M75" s="208"/>
      <c r="N75" s="208"/>
      <c r="O75" s="208"/>
      <c r="P75" s="208"/>
      <c r="Q75" s="208"/>
      <c r="R75" s="208"/>
      <c r="S75" s="208"/>
      <c r="T75" s="208"/>
      <c r="U75" s="208"/>
      <c r="V75" s="208"/>
      <c r="W75" s="208"/>
      <c r="X75" s="208"/>
      <c r="Y75" s="208"/>
      <c r="Z75" s="208"/>
      <c r="AA75" s="208"/>
      <c r="AB75" s="208"/>
      <c r="AC75" s="208"/>
      <c r="AD75" s="208"/>
      <c r="AE75" s="208"/>
      <c r="AF75" s="208"/>
      <c r="AG75" s="208"/>
      <c r="AH75" s="208"/>
      <c r="AI75" s="208"/>
      <c r="AJ75" s="208"/>
      <c r="AK75" s="208"/>
      <c r="AL75" s="208"/>
      <c r="AM75" s="208"/>
      <c r="AN75" s="208"/>
      <c r="AO75" s="208"/>
      <c r="AP75" s="208"/>
    </row>
    <row r="76" spans="1:42">
      <c r="A76" s="217" t="s">
        <v>223</v>
      </c>
      <c r="B76" s="164"/>
      <c r="C76" s="164"/>
      <c r="D76" s="164"/>
      <c r="E76" s="164"/>
      <c r="F76" s="164"/>
      <c r="G76" s="208"/>
      <c r="H76" s="208"/>
      <c r="I76" s="208"/>
      <c r="J76" s="208"/>
      <c r="K76" s="208"/>
      <c r="L76" s="208"/>
      <c r="M76" s="208"/>
      <c r="N76" s="208"/>
      <c r="O76" s="208"/>
      <c r="P76" s="208"/>
      <c r="Q76" s="208"/>
      <c r="R76" s="208"/>
      <c r="S76" s="208"/>
      <c r="T76" s="208"/>
      <c r="U76" s="208"/>
      <c r="V76" s="208"/>
      <c r="W76" s="208"/>
      <c r="X76" s="208"/>
      <c r="Y76" s="208"/>
      <c r="Z76" s="208"/>
      <c r="AA76" s="208"/>
      <c r="AB76" s="208"/>
      <c r="AC76" s="208"/>
      <c r="AD76" s="208"/>
      <c r="AE76" s="208"/>
      <c r="AF76" s="208"/>
      <c r="AG76" s="208"/>
      <c r="AH76" s="208"/>
      <c r="AI76" s="208"/>
      <c r="AJ76" s="208"/>
      <c r="AK76" s="208"/>
      <c r="AL76" s="208"/>
      <c r="AM76" s="208"/>
      <c r="AN76" s="208"/>
      <c r="AO76" s="208"/>
      <c r="AP76" s="208"/>
    </row>
    <row r="77" spans="1:42">
      <c r="A77" s="202" t="s">
        <v>224</v>
      </c>
      <c r="B77" s="208">
        <f>-B71</f>
        <v>-28965458.75</v>
      </c>
      <c r="C77" s="208">
        <f t="shared" ref="C77:AP77" si="55">-C71</f>
        <v>0</v>
      </c>
      <c r="D77" s="208">
        <f t="shared" si="55"/>
        <v>0</v>
      </c>
      <c r="E77" s="208">
        <f t="shared" si="55"/>
        <v>0</v>
      </c>
      <c r="F77" s="208">
        <f t="shared" si="55"/>
        <v>0</v>
      </c>
      <c r="G77" s="208">
        <f t="shared" si="55"/>
        <v>0</v>
      </c>
      <c r="H77" s="208">
        <f t="shared" si="55"/>
        <v>0</v>
      </c>
      <c r="I77" s="208">
        <f t="shared" si="55"/>
        <v>0</v>
      </c>
      <c r="J77" s="208">
        <f t="shared" si="55"/>
        <v>0</v>
      </c>
      <c r="K77" s="208">
        <f t="shared" si="55"/>
        <v>0</v>
      </c>
      <c r="L77" s="208">
        <f t="shared" si="55"/>
        <v>0</v>
      </c>
      <c r="M77" s="208">
        <f t="shared" si="55"/>
        <v>0</v>
      </c>
      <c r="N77" s="208">
        <f t="shared" si="55"/>
        <v>0</v>
      </c>
      <c r="O77" s="208">
        <f t="shared" si="55"/>
        <v>0</v>
      </c>
      <c r="P77" s="208">
        <f t="shared" si="55"/>
        <v>0</v>
      </c>
      <c r="Q77" s="208">
        <f t="shared" si="55"/>
        <v>0</v>
      </c>
      <c r="R77" s="208">
        <f t="shared" si="55"/>
        <v>0</v>
      </c>
      <c r="S77" s="208">
        <f t="shared" si="55"/>
        <v>0</v>
      </c>
      <c r="T77" s="208">
        <f t="shared" si="55"/>
        <v>0</v>
      </c>
      <c r="U77" s="208">
        <f t="shared" si="55"/>
        <v>0</v>
      </c>
      <c r="V77" s="208">
        <f t="shared" si="55"/>
        <v>0</v>
      </c>
      <c r="W77" s="208">
        <f t="shared" si="55"/>
        <v>0</v>
      </c>
      <c r="X77" s="208">
        <f t="shared" si="55"/>
        <v>0</v>
      </c>
      <c r="Y77" s="208">
        <f t="shared" si="55"/>
        <v>0</v>
      </c>
      <c r="Z77" s="208">
        <f t="shared" si="55"/>
        <v>0</v>
      </c>
      <c r="AA77" s="208">
        <f t="shared" si="55"/>
        <v>0</v>
      </c>
      <c r="AB77" s="208">
        <f t="shared" si="55"/>
        <v>0</v>
      </c>
      <c r="AC77" s="208">
        <f t="shared" si="55"/>
        <v>0</v>
      </c>
      <c r="AD77" s="208">
        <f t="shared" si="55"/>
        <v>0</v>
      </c>
      <c r="AE77" s="208">
        <f t="shared" si="55"/>
        <v>0</v>
      </c>
      <c r="AF77" s="208">
        <f t="shared" si="55"/>
        <v>0</v>
      </c>
      <c r="AG77" s="208">
        <f t="shared" si="55"/>
        <v>0</v>
      </c>
      <c r="AH77" s="208">
        <f t="shared" si="55"/>
        <v>0</v>
      </c>
      <c r="AI77" s="208">
        <f t="shared" si="55"/>
        <v>0</v>
      </c>
      <c r="AJ77" s="208">
        <f t="shared" si="55"/>
        <v>0</v>
      </c>
      <c r="AK77" s="208">
        <f t="shared" si="55"/>
        <v>0</v>
      </c>
      <c r="AL77" s="208">
        <f t="shared" si="55"/>
        <v>0</v>
      </c>
      <c r="AM77" s="208">
        <f t="shared" si="55"/>
        <v>0</v>
      </c>
      <c r="AN77" s="208">
        <f t="shared" si="55"/>
        <v>0</v>
      </c>
      <c r="AO77" s="208">
        <f t="shared" si="55"/>
        <v>0</v>
      </c>
      <c r="AP77" s="208">
        <f t="shared" si="55"/>
        <v>0</v>
      </c>
    </row>
    <row r="78" spans="1:42">
      <c r="A78" s="202" t="s">
        <v>225</v>
      </c>
      <c r="B78" s="209">
        <f>B73</f>
        <v>0</v>
      </c>
      <c r="C78" s="209">
        <f t="shared" ref="C78:AP78" si="56">C73</f>
        <v>5746099.4550980376</v>
      </c>
      <c r="D78" s="209">
        <f t="shared" si="56"/>
        <v>5799398.3661163282</v>
      </c>
      <c r="E78" s="209">
        <f t="shared" si="56"/>
        <v>5852705.2245223168</v>
      </c>
      <c r="F78" s="209">
        <f t="shared" si="56"/>
        <v>5902645.9785218956</v>
      </c>
      <c r="G78" s="209">
        <f t="shared" si="56"/>
        <v>5955988.5423246315</v>
      </c>
      <c r="H78" s="209">
        <f t="shared" si="56"/>
        <v>6009331.2781067574</v>
      </c>
      <c r="I78" s="209">
        <f t="shared" si="56"/>
        <v>6059145.9234855184</v>
      </c>
      <c r="J78" s="209">
        <f t="shared" si="56"/>
        <v>6112509.4490454514</v>
      </c>
      <c r="K78" s="209">
        <f t="shared" si="56"/>
        <v>6165864.7431304613</v>
      </c>
      <c r="L78" s="209">
        <f t="shared" si="56"/>
        <v>6215522.2838914124</v>
      </c>
      <c r="M78" s="209">
        <f t="shared" si="56"/>
        <v>6268882.2105902201</v>
      </c>
      <c r="N78" s="209">
        <f t="shared" si="56"/>
        <v>6322224.8309515612</v>
      </c>
      <c r="O78" s="209">
        <f t="shared" si="56"/>
        <v>6272150.8478915328</v>
      </c>
      <c r="P78" s="209">
        <f t="shared" si="56"/>
        <v>6326320.7180273384</v>
      </c>
      <c r="Q78" s="209">
        <f t="shared" si="56"/>
        <v>6380463.4892522404</v>
      </c>
      <c r="R78" s="209">
        <f t="shared" si="56"/>
        <v>6220024.4497605804</v>
      </c>
      <c r="S78" s="209">
        <f t="shared" si="56"/>
        <v>6275933.438550788</v>
      </c>
      <c r="T78" s="209">
        <f t="shared" si="56"/>
        <v>6331804.7687021922</v>
      </c>
      <c r="U78" s="209">
        <f t="shared" si="56"/>
        <v>6383419.5493669668</v>
      </c>
      <c r="V78" s="209">
        <f t="shared" si="56"/>
        <v>6439238.6911114771</v>
      </c>
      <c r="W78" s="209">
        <f t="shared" si="56"/>
        <v>6495008.7945363009</v>
      </c>
      <c r="X78" s="209">
        <f t="shared" si="56"/>
        <v>6531987.2178478129</v>
      </c>
      <c r="Y78" s="209">
        <f t="shared" si="56"/>
        <v>6573352.1556176906</v>
      </c>
      <c r="Z78" s="209">
        <f t="shared" si="56"/>
        <v>6614655.7990515865</v>
      </c>
      <c r="AA78" s="209">
        <f t="shared" si="56"/>
        <v>6883080.1917932723</v>
      </c>
      <c r="AB78" s="209">
        <f t="shared" si="56"/>
        <v>6919151.0879300954</v>
      </c>
      <c r="AC78" s="209">
        <f t="shared" si="56"/>
        <v>6955147.4971684404</v>
      </c>
      <c r="AD78" s="209">
        <f t="shared" si="56"/>
        <v>6986245.1952442704</v>
      </c>
      <c r="AE78" s="209">
        <f t="shared" si="56"/>
        <v>7022117.9085349916</v>
      </c>
      <c r="AF78" s="209">
        <f t="shared" si="56"/>
        <v>11230616.941517904</v>
      </c>
      <c r="AG78" s="209">
        <f t="shared" si="56"/>
        <v>0</v>
      </c>
      <c r="AH78" s="209">
        <f t="shared" si="56"/>
        <v>0</v>
      </c>
      <c r="AI78" s="209">
        <f t="shared" si="56"/>
        <v>0</v>
      </c>
      <c r="AJ78" s="209">
        <f t="shared" si="56"/>
        <v>0</v>
      </c>
      <c r="AK78" s="209">
        <f t="shared" si="56"/>
        <v>0</v>
      </c>
      <c r="AL78" s="209">
        <f t="shared" si="56"/>
        <v>0</v>
      </c>
      <c r="AM78" s="209">
        <f t="shared" si="56"/>
        <v>0</v>
      </c>
      <c r="AN78" s="209">
        <f t="shared" si="56"/>
        <v>0</v>
      </c>
      <c r="AO78" s="209">
        <f t="shared" si="56"/>
        <v>0</v>
      </c>
      <c r="AP78" s="209">
        <f t="shared" si="56"/>
        <v>0</v>
      </c>
    </row>
    <row r="79" spans="1:42">
      <c r="A79" s="202" t="s">
        <v>53</v>
      </c>
      <c r="B79" s="164">
        <f>SUM(B77:B78)</f>
        <v>-28965458.75</v>
      </c>
      <c r="C79" s="164">
        <f t="shared" ref="C79:AP79" si="57">SUM(C77:C78)</f>
        <v>5746099.4550980376</v>
      </c>
      <c r="D79" s="164">
        <f t="shared" si="57"/>
        <v>5799398.3661163282</v>
      </c>
      <c r="E79" s="164">
        <f t="shared" si="57"/>
        <v>5852705.2245223168</v>
      </c>
      <c r="F79" s="164">
        <f t="shared" si="57"/>
        <v>5902645.9785218956</v>
      </c>
      <c r="G79" s="164">
        <f t="shared" si="57"/>
        <v>5955988.5423246315</v>
      </c>
      <c r="H79" s="164">
        <f t="shared" si="57"/>
        <v>6009331.2781067574</v>
      </c>
      <c r="I79" s="164">
        <f t="shared" si="57"/>
        <v>6059145.9234855184</v>
      </c>
      <c r="J79" s="164">
        <f t="shared" si="57"/>
        <v>6112509.4490454514</v>
      </c>
      <c r="K79" s="164">
        <f t="shared" si="57"/>
        <v>6165864.7431304613</v>
      </c>
      <c r="L79" s="164">
        <f t="shared" si="57"/>
        <v>6215522.2838914124</v>
      </c>
      <c r="M79" s="164">
        <f t="shared" si="57"/>
        <v>6268882.2105902201</v>
      </c>
      <c r="N79" s="164">
        <f t="shared" si="57"/>
        <v>6322224.8309515612</v>
      </c>
      <c r="O79" s="164">
        <f t="shared" si="57"/>
        <v>6272150.8478915328</v>
      </c>
      <c r="P79" s="164">
        <f t="shared" si="57"/>
        <v>6326320.7180273384</v>
      </c>
      <c r="Q79" s="164">
        <f t="shared" si="57"/>
        <v>6380463.4892522404</v>
      </c>
      <c r="R79" s="164">
        <f t="shared" si="57"/>
        <v>6220024.4497605804</v>
      </c>
      <c r="S79" s="164">
        <f t="shared" si="57"/>
        <v>6275933.438550788</v>
      </c>
      <c r="T79" s="164">
        <f t="shared" si="57"/>
        <v>6331804.7687021922</v>
      </c>
      <c r="U79" s="164">
        <f t="shared" si="57"/>
        <v>6383419.5493669668</v>
      </c>
      <c r="V79" s="164">
        <f t="shared" si="57"/>
        <v>6439238.6911114771</v>
      </c>
      <c r="W79" s="164">
        <f t="shared" si="57"/>
        <v>6495008.7945363009</v>
      </c>
      <c r="X79" s="164">
        <f t="shared" si="57"/>
        <v>6531987.2178478129</v>
      </c>
      <c r="Y79" s="164">
        <f t="shared" si="57"/>
        <v>6573352.1556176906</v>
      </c>
      <c r="Z79" s="164">
        <f t="shared" si="57"/>
        <v>6614655.7990515865</v>
      </c>
      <c r="AA79" s="164">
        <f t="shared" si="57"/>
        <v>6883080.1917932723</v>
      </c>
      <c r="AB79" s="164">
        <f t="shared" si="57"/>
        <v>6919151.0879300954</v>
      </c>
      <c r="AC79" s="164">
        <f t="shared" si="57"/>
        <v>6955147.4971684404</v>
      </c>
      <c r="AD79" s="164">
        <f t="shared" si="57"/>
        <v>6986245.1952442704</v>
      </c>
      <c r="AE79" s="164">
        <f t="shared" si="57"/>
        <v>7022117.9085349916</v>
      </c>
      <c r="AF79" s="164">
        <f t="shared" si="57"/>
        <v>11230616.941517904</v>
      </c>
      <c r="AG79" s="164">
        <f t="shared" si="57"/>
        <v>0</v>
      </c>
      <c r="AH79" s="164">
        <f t="shared" si="57"/>
        <v>0</v>
      </c>
      <c r="AI79" s="164">
        <f t="shared" si="57"/>
        <v>0</v>
      </c>
      <c r="AJ79" s="164">
        <f t="shared" si="57"/>
        <v>0</v>
      </c>
      <c r="AK79" s="164">
        <f t="shared" si="57"/>
        <v>0</v>
      </c>
      <c r="AL79" s="164">
        <f t="shared" si="57"/>
        <v>0</v>
      </c>
      <c r="AM79" s="164">
        <f t="shared" si="57"/>
        <v>0</v>
      </c>
      <c r="AN79" s="164">
        <f t="shared" si="57"/>
        <v>0</v>
      </c>
      <c r="AO79" s="164">
        <f t="shared" si="57"/>
        <v>0</v>
      </c>
      <c r="AP79" s="164">
        <f t="shared" si="57"/>
        <v>0</v>
      </c>
    </row>
    <row r="80" spans="1:42">
      <c r="A80" s="202"/>
      <c r="B80" s="164"/>
      <c r="C80" s="164"/>
      <c r="D80" s="164"/>
      <c r="E80" s="164"/>
      <c r="F80" s="164"/>
      <c r="G80" s="164"/>
      <c r="H80" s="164"/>
      <c r="I80" s="164"/>
      <c r="J80" s="164"/>
      <c r="K80" s="164"/>
      <c r="L80" s="164"/>
      <c r="M80" s="164"/>
      <c r="N80" s="164"/>
      <c r="O80" s="164"/>
      <c r="P80" s="164"/>
      <c r="Q80" s="164"/>
      <c r="R80" s="164"/>
      <c r="S80" s="164"/>
      <c r="T80" s="164"/>
      <c r="U80" s="164"/>
      <c r="V80" s="164"/>
      <c r="W80" s="164"/>
      <c r="X80" s="164"/>
      <c r="Y80" s="164"/>
      <c r="Z80" s="164"/>
      <c r="AA80" s="164"/>
      <c r="AB80" s="164"/>
      <c r="AC80" s="164"/>
      <c r="AD80" s="164"/>
      <c r="AE80" s="164"/>
      <c r="AF80" s="164"/>
      <c r="AG80" s="164"/>
      <c r="AH80" s="164"/>
      <c r="AI80" s="164"/>
      <c r="AJ80" s="164"/>
      <c r="AK80" s="164"/>
      <c r="AL80" s="164"/>
      <c r="AM80" s="164"/>
      <c r="AN80" s="164"/>
      <c r="AO80" s="164"/>
      <c r="AP80" s="164"/>
    </row>
    <row r="81" spans="1:42">
      <c r="A81" s="202" t="s">
        <v>418</v>
      </c>
      <c r="B81" s="223">
        <f>ROUND(IF(ISERROR(IRR($B79:B$79)),0,IRR($B79:B$79)),4)</f>
        <v>0</v>
      </c>
      <c r="C81" s="223">
        <f>ROUND(IF(ISERROR(IRR($B79:C$79)),0,IRR($B79:C$79)),4)</f>
        <v>0</v>
      </c>
      <c r="D81" s="223">
        <f>ROUND(IF(ISERROR(IRR($B79:D$79)),0,IRR($B79:D$79)),4)</f>
        <v>0</v>
      </c>
      <c r="E81" s="223">
        <f>ROUND(IF(ISERROR(IRR($B79:E$79)),0,IRR($B79:E$79)),4)</f>
        <v>-0.2167</v>
      </c>
      <c r="F81" s="223">
        <f>ROUND(IF(ISERROR(IRR($B79:F$79)),0,IRR($B79:F$79)),4)</f>
        <v>-8.14E-2</v>
      </c>
      <c r="G81" s="223">
        <f>ROUND(IF(ISERROR(IRR($B79:G$79)),0,IRR($B79:G$79)),4)</f>
        <v>3.3E-3</v>
      </c>
      <c r="H81" s="223">
        <f>ROUND(IF(ISERROR(IRR($B79:H$79)),0,IRR($B79:H$79)),4)</f>
        <v>5.8799999999999998E-2</v>
      </c>
      <c r="I81" s="223">
        <f>ROUND(IF(ISERROR(IRR($B79:I$79)),0,IRR($B79:I$79)),4)</f>
        <v>9.6699999999999994E-2</v>
      </c>
      <c r="J81" s="223">
        <f>ROUND(IF(ISERROR(IRR($B79:J$79)),0,IRR($B79:J$79)),4)</f>
        <v>0.12330000000000001</v>
      </c>
      <c r="K81" s="223">
        <f>ROUND(IF(ISERROR(IRR($B79:K$79)),0,IRR($B79:K$79)),4)</f>
        <v>0.1426</v>
      </c>
      <c r="L81" s="223">
        <f>ROUND(IF(ISERROR(IRR($B79:L$79)),0,IRR($B79:L$79)),4)</f>
        <v>0.15679999999999999</v>
      </c>
      <c r="M81" s="223">
        <f>ROUND(IF(ISERROR(IRR($B79:M$79)),0,IRR($B79:M$79)),4)</f>
        <v>0.16750000000000001</v>
      </c>
      <c r="N81" s="223">
        <f>ROUND(IF(ISERROR(IRR($B79:N$79)),0,IRR($B79:N$79)),4)</f>
        <v>0.17560000000000001</v>
      </c>
      <c r="O81" s="223">
        <f>ROUND(IF(ISERROR(IRR($B79:O$79)),0,IRR($B79:O$79)),4)</f>
        <v>0.18179999999999999</v>
      </c>
      <c r="P81" s="223">
        <f>ROUND(IF(ISERROR(IRR($B79:P$79)),0,IRR($B79:P$79)),4)</f>
        <v>0.1867</v>
      </c>
      <c r="Q81" s="223">
        <f>ROUND(IF(ISERROR(IRR($B79:Q$79)),0,IRR($B79:Q$79)),4)</f>
        <v>0.1905</v>
      </c>
      <c r="R81" s="223">
        <f>ROUND(IF(ISERROR(IRR($B79:R$79)),0,IRR($B79:R$79)),4)</f>
        <v>0.19350000000000001</v>
      </c>
      <c r="S81" s="223">
        <f>ROUND(IF(ISERROR(IRR($B79:S$79)),0,IRR($B79:S$79)),4)</f>
        <v>0.1958</v>
      </c>
      <c r="T81" s="223">
        <f>ROUND(IF(ISERROR(IRR($B79:T$79)),0,IRR($B79:T$79)),4)</f>
        <v>0.19769999999999999</v>
      </c>
      <c r="U81" s="223">
        <f>ROUND(IF(ISERROR(IRR($B79:U$79)),0,IRR($B79:U$79)),4)</f>
        <v>0.1993</v>
      </c>
      <c r="V81" s="223">
        <f>ROUND(IF(ISERROR(IRR($B79:V$79)),0,IRR($B79:V$79)),4)</f>
        <v>0.20050000000000001</v>
      </c>
      <c r="W81" s="223">
        <f>ROUND(IF(ISERROR(IRR($B79:W$79)),0,IRR($B79:W$79)),4)</f>
        <v>0.2016</v>
      </c>
      <c r="X81" s="223">
        <f>ROUND(IF(ISERROR(IRR($B79:X$79)),0,IRR($B79:X$79)),4)</f>
        <v>0.2024</v>
      </c>
      <c r="Y81" s="223">
        <f>ROUND(IF(ISERROR(IRR($B79:Y$79)),0,IRR($B79:Y$79)),4)</f>
        <v>0.2031</v>
      </c>
      <c r="Z81" s="223">
        <f>ROUND(IF(ISERROR(IRR($B79:Z$79)),0,IRR($B79:Z$79)),4)</f>
        <v>0.2036</v>
      </c>
      <c r="AA81" s="223">
        <f>ROUND(IF(ISERROR(IRR($B79:AA$79)),0,IRR($B79:AA$79)),4)</f>
        <v>0.2041</v>
      </c>
      <c r="AB81" s="223">
        <f>ROUND(IF(ISERROR(IRR($B79:AB$79)),0,IRR($B79:AB$79)),4)</f>
        <v>0.20449999999999999</v>
      </c>
      <c r="AC81" s="223">
        <f>ROUND(IF(ISERROR(IRR($B79:AC$79)),0,IRR($B79:AC$79)),4)</f>
        <v>0.20480000000000001</v>
      </c>
      <c r="AD81" s="223">
        <f>ROUND(IF(ISERROR(IRR($B79:AD$79)),0,IRR($B79:AD$79)),4)</f>
        <v>0.2051</v>
      </c>
      <c r="AE81" s="223">
        <f>ROUND(IF(ISERROR(IRR($B79:AE$79)),0,IRR($B79:AE$79)),4)</f>
        <v>0.20530000000000001</v>
      </c>
      <c r="AF81" s="223">
        <f>ROUND(IF(ISERROR(IRR($B79:AF$79)),0,IRR($B79:AF$79)),4)</f>
        <v>0.2056</v>
      </c>
      <c r="AG81" s="223">
        <f>ROUND(IF(ISERROR(IRR($B79:AG$79)),0,IRR($B79:AG$79)),4)</f>
        <v>0.2056</v>
      </c>
      <c r="AH81" s="223">
        <f>ROUND(IF(ISERROR(IRR($B79:AH$79)),0,IRR($B79:AH$79)),4)</f>
        <v>0.2056</v>
      </c>
      <c r="AI81" s="223">
        <f>ROUND(IF(ISERROR(IRR($B79:AI$79)),0,IRR($B79:AI$79)),4)</f>
        <v>0.2056</v>
      </c>
      <c r="AJ81" s="223">
        <f>ROUND(IF(ISERROR(IRR($B79:AJ$79)),0,IRR($B79:AJ$79)),4)</f>
        <v>0.2056</v>
      </c>
      <c r="AK81" s="223">
        <f>ROUND(IF(ISERROR(IRR($B79:AK$79)),0,IRR($B79:AK$79)),4)</f>
        <v>0.2056</v>
      </c>
      <c r="AL81" s="223">
        <f>ROUND(IF(ISERROR(IRR($B79:AL$79)),0,IRR($B79:AL$79)),4)</f>
        <v>0.2056</v>
      </c>
      <c r="AM81" s="223">
        <f>ROUND(IF(ISERROR(IRR($B79:AM$79)),0,IRR($B79:AM$79)),4)</f>
        <v>0.2056</v>
      </c>
      <c r="AN81" s="223">
        <f>ROUND(IF(ISERROR(IRR($B79:AN$79)),0,IRR($B79:AN$79)),4)</f>
        <v>0.2056</v>
      </c>
      <c r="AO81" s="223">
        <f>ROUND(IF(ISERROR(IRR($B79:AO$79)),0,IRR($B79:AO$79)),4)</f>
        <v>0.2056</v>
      </c>
      <c r="AP81" s="223">
        <f>ROUND(IF(ISERROR(IRR($B79:AP$79)),0,IRR($B79:AP$79)),4)</f>
        <v>0.2056</v>
      </c>
    </row>
    <row r="82" spans="1:42">
      <c r="A82" s="202" t="s">
        <v>419</v>
      </c>
      <c r="B82" s="291">
        <f>B79</f>
        <v>-28965458.75</v>
      </c>
      <c r="C82" s="291">
        <f>NPV(DiscountRate,$C79:C79)+$B$79</f>
        <v>-23644996.291575894</v>
      </c>
      <c r="D82" s="291">
        <f>NPV(DiscountRate,$C79:D79)+$B$79</f>
        <v>-18672946.937909633</v>
      </c>
      <c r="E82" s="291">
        <f>NPV(DiscountRate,$C79:E79)+$B$79</f>
        <v>-14026880.833496625</v>
      </c>
      <c r="F82" s="291">
        <f>NPV(DiscountRate,$C79:F79)+$B$79</f>
        <v>-9688259.8287940994</v>
      </c>
      <c r="G82" s="291">
        <f>NPV(DiscountRate,$C79:G79)+$B$79</f>
        <v>-5634714.105162397</v>
      </c>
      <c r="H82" s="291">
        <f>NPV(DiscountRate,$C79:H79)+$B$79</f>
        <v>-1847816.0558208935</v>
      </c>
      <c r="I82" s="291">
        <f>NPV(DiscountRate,$C79:I79)+$B$79</f>
        <v>1687637.394024618</v>
      </c>
      <c r="J82" s="291">
        <f>NPV(DiscountRate,$C79:J79)+$B$79</f>
        <v>4990036.0555681959</v>
      </c>
      <c r="K82" s="291">
        <f>NPV(DiscountRate,$C79:K79)+$B$79</f>
        <v>8074503.5247914866</v>
      </c>
      <c r="L82" s="291">
        <f>NPV(DiscountRate,$C79:L79)+$B$79</f>
        <v>10953492.971735224</v>
      </c>
      <c r="M82" s="291">
        <f>NPV(DiscountRate,$C79:M79)+$B$79</f>
        <v>13642109.099064216</v>
      </c>
      <c r="N82" s="291">
        <f>NPV(DiscountRate,$C79:N79)+$B$79</f>
        <v>16152751.564688407</v>
      </c>
      <c r="O82" s="291">
        <f>NPV(DiscountRate,$C79:O79)+$B$79</f>
        <v>18459008.414689191</v>
      </c>
      <c r="P82" s="291">
        <f>NPV(DiscountRate,$C79:P79)+$B$79</f>
        <v>20612874.154346116</v>
      </c>
      <c r="Q82" s="291">
        <f>NPV(DiscountRate,$C79:Q79)+$B$79</f>
        <v>22624262.343170606</v>
      </c>
      <c r="R82" s="291">
        <f>NPV(DiscountRate,$C79:R79)+$B$79</f>
        <v>24439828.188052133</v>
      </c>
      <c r="S82" s="291">
        <f>NPV(DiscountRate,$C79:S79)+$B$79</f>
        <v>26136018.13783025</v>
      </c>
      <c r="T82" s="291">
        <f>NPV(DiscountRate,$C79:T79)+$B$79</f>
        <v>27720546.13375061</v>
      </c>
      <c r="U82" s="291">
        <f>NPV(DiscountRate,$C79:U79)+$B$79</f>
        <v>29199661.452889279</v>
      </c>
      <c r="V82" s="291">
        <f>NPV(DiscountRate,$C79:V79)+$B$79</f>
        <v>30581188.571114086</v>
      </c>
      <c r="W82" s="291">
        <f>NPV(DiscountRate,$C79:W79)+$B$79</f>
        <v>31871459.398837551</v>
      </c>
      <c r="X82" s="291">
        <f>NPV(DiscountRate,$C79:X79)+$B$79</f>
        <v>33072956.439625837</v>
      </c>
      <c r="Y82" s="291">
        <f>NPV(DiscountRate,$C79:Y79)+$B$79</f>
        <v>34192498.780750923</v>
      </c>
      <c r="Z82" s="291">
        <f>NPV(DiscountRate,$C79:Z79)+$B$79</f>
        <v>35235625.616768293</v>
      </c>
      <c r="AA82" s="291">
        <f>NPV(DiscountRate,$C79:AA79)+$B$79</f>
        <v>36240678.565721519</v>
      </c>
      <c r="AB82" s="291">
        <f>NPV(DiscountRate,$C79:AB79)+$B$79</f>
        <v>37176159.996865451</v>
      </c>
      <c r="AC82" s="291">
        <f>NPV(DiscountRate,$C79:AC79)+$B$79</f>
        <v>38046852.783128165</v>
      </c>
      <c r="AD82" s="291">
        <f>NPV(DiscountRate,$C79:AD79)+$B$79</f>
        <v>38856654.457334235</v>
      </c>
      <c r="AE82" s="291">
        <f>NPV(DiscountRate,$C79:AE79)+$B$79</f>
        <v>39610320.95166266</v>
      </c>
      <c r="AF82" s="291">
        <f>NPV(DiscountRate,$C79:AF79)+$B$79</f>
        <v>40726389.706199318</v>
      </c>
      <c r="AG82" s="291">
        <f>NPV(DiscountRate,$C79:AG79)+$B$79</f>
        <v>40726389.706199318</v>
      </c>
      <c r="AH82" s="291">
        <f>NPV(DiscountRate,$C79:AH79)+$B$79</f>
        <v>40726389.706199318</v>
      </c>
      <c r="AI82" s="291">
        <f>NPV(DiscountRate,$C79:AI79)+$B$79</f>
        <v>40726389.706199318</v>
      </c>
      <c r="AJ82" s="291">
        <f>NPV(DiscountRate,$C79:AJ79)+$B$79</f>
        <v>40726389.706199318</v>
      </c>
      <c r="AK82" s="291">
        <f>NPV(DiscountRate,$C79:AK79)+$B$79</f>
        <v>40726389.706199318</v>
      </c>
      <c r="AL82" s="291">
        <f>NPV(DiscountRate,$C79:AL79)+$B$79</f>
        <v>40726389.706199318</v>
      </c>
      <c r="AM82" s="291">
        <f>NPV(DiscountRate,$C79:AM79)+$B$79</f>
        <v>40726389.706199318</v>
      </c>
      <c r="AN82" s="291">
        <f>NPV(DiscountRate,$C79:AN79)+$B$79</f>
        <v>40726389.706199318</v>
      </c>
      <c r="AO82" s="291">
        <f>NPV(DiscountRate,$C79:AO79)+$B$79</f>
        <v>40726389.706199318</v>
      </c>
      <c r="AP82" s="291">
        <f>NPV(DiscountRate,$C79:AP79)+$B$79</f>
        <v>40726389.706199318</v>
      </c>
    </row>
    <row r="83" spans="1:42">
      <c r="A83" s="202"/>
      <c r="B83" s="164"/>
      <c r="C83" s="164"/>
      <c r="D83" s="164"/>
      <c r="E83" s="164"/>
      <c r="F83" s="164"/>
      <c r="G83" s="208"/>
      <c r="H83" s="208"/>
      <c r="I83" s="208"/>
      <c r="J83" s="208"/>
      <c r="K83" s="208"/>
      <c r="L83" s="208"/>
      <c r="M83" s="208"/>
      <c r="N83" s="208"/>
      <c r="O83" s="208"/>
      <c r="P83" s="208"/>
      <c r="Q83" s="208"/>
      <c r="R83" s="208"/>
      <c r="S83" s="208"/>
      <c r="T83" s="208"/>
      <c r="U83" s="208"/>
      <c r="V83" s="208"/>
      <c r="W83" s="208"/>
      <c r="X83" s="208"/>
      <c r="Y83" s="208"/>
      <c r="Z83" s="208"/>
      <c r="AA83" s="208"/>
      <c r="AB83" s="208"/>
      <c r="AC83" s="208"/>
      <c r="AD83" s="208"/>
      <c r="AE83" s="208"/>
      <c r="AF83" s="208"/>
      <c r="AG83" s="208"/>
      <c r="AH83" s="208"/>
      <c r="AI83" s="208"/>
      <c r="AJ83" s="208"/>
      <c r="AK83" s="208"/>
      <c r="AL83" s="208"/>
      <c r="AM83" s="208"/>
      <c r="AN83" s="208"/>
      <c r="AO83" s="208"/>
      <c r="AP83" s="208"/>
    </row>
    <row r="84" spans="1:42">
      <c r="A84" s="217" t="s">
        <v>228</v>
      </c>
      <c r="B84" s="164"/>
      <c r="C84" s="164"/>
      <c r="D84" s="164"/>
      <c r="E84" s="164"/>
      <c r="F84" s="164"/>
      <c r="G84" s="208"/>
      <c r="H84" s="208"/>
      <c r="I84" s="208"/>
      <c r="J84" s="208"/>
      <c r="K84" s="208"/>
      <c r="L84" s="208"/>
      <c r="M84" s="208"/>
      <c r="N84" s="208"/>
      <c r="O84" s="208"/>
      <c r="P84" s="208"/>
      <c r="Q84" s="208"/>
      <c r="R84" s="208"/>
      <c r="S84" s="208"/>
      <c r="T84" s="208"/>
      <c r="U84" s="208"/>
      <c r="V84" s="208"/>
      <c r="W84" s="208"/>
      <c r="X84" s="208"/>
      <c r="Y84" s="208"/>
      <c r="Z84" s="208"/>
      <c r="AA84" s="208"/>
      <c r="AB84" s="208"/>
      <c r="AC84" s="208"/>
      <c r="AD84" s="208"/>
      <c r="AE84" s="208"/>
      <c r="AF84" s="208"/>
      <c r="AG84" s="208"/>
      <c r="AH84" s="208"/>
      <c r="AI84" s="208"/>
      <c r="AJ84" s="208"/>
      <c r="AK84" s="208"/>
      <c r="AL84" s="208"/>
      <c r="AM84" s="208"/>
      <c r="AN84" s="208"/>
      <c r="AO84" s="208"/>
      <c r="AP84" s="208"/>
    </row>
    <row r="85" spans="1:42" s="119" customFormat="1">
      <c r="A85" s="219" t="s">
        <v>229</v>
      </c>
      <c r="B85" s="220"/>
      <c r="C85" s="220"/>
      <c r="D85" s="220"/>
      <c r="E85" s="220"/>
      <c r="F85" s="220"/>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46"/>
      <c r="AK85" s="146"/>
      <c r="AL85" s="146"/>
      <c r="AM85" s="146"/>
      <c r="AN85" s="146"/>
      <c r="AO85" s="146"/>
      <c r="AP85" s="146"/>
    </row>
    <row r="86" spans="1:42">
      <c r="A86" s="206" t="s">
        <v>224</v>
      </c>
      <c r="B86" s="208">
        <f>B77</f>
        <v>-28965458.75</v>
      </c>
      <c r="C86" s="208">
        <f t="shared" ref="C86:AP87" si="58">C77</f>
        <v>0</v>
      </c>
      <c r="D86" s="208">
        <f t="shared" si="58"/>
        <v>0</v>
      </c>
      <c r="E86" s="208">
        <f t="shared" si="58"/>
        <v>0</v>
      </c>
      <c r="F86" s="208">
        <f t="shared" si="58"/>
        <v>0</v>
      </c>
      <c r="G86" s="208">
        <f t="shared" si="58"/>
        <v>0</v>
      </c>
      <c r="H86" s="208">
        <f t="shared" si="58"/>
        <v>0</v>
      </c>
      <c r="I86" s="208">
        <f t="shared" si="58"/>
        <v>0</v>
      </c>
      <c r="J86" s="208">
        <f t="shared" si="58"/>
        <v>0</v>
      </c>
      <c r="K86" s="208">
        <f t="shared" si="58"/>
        <v>0</v>
      </c>
      <c r="L86" s="208">
        <f t="shared" si="58"/>
        <v>0</v>
      </c>
      <c r="M86" s="208">
        <f t="shared" si="58"/>
        <v>0</v>
      </c>
      <c r="N86" s="208">
        <f t="shared" si="58"/>
        <v>0</v>
      </c>
      <c r="O86" s="208">
        <f t="shared" si="58"/>
        <v>0</v>
      </c>
      <c r="P86" s="208">
        <f t="shared" si="58"/>
        <v>0</v>
      </c>
      <c r="Q86" s="208">
        <f t="shared" si="58"/>
        <v>0</v>
      </c>
      <c r="R86" s="208">
        <f t="shared" si="58"/>
        <v>0</v>
      </c>
      <c r="S86" s="208">
        <f t="shared" si="58"/>
        <v>0</v>
      </c>
      <c r="T86" s="208">
        <f t="shared" si="58"/>
        <v>0</v>
      </c>
      <c r="U86" s="208">
        <f t="shared" si="58"/>
        <v>0</v>
      </c>
      <c r="V86" s="208">
        <f t="shared" si="58"/>
        <v>0</v>
      </c>
      <c r="W86" s="208">
        <f t="shared" si="58"/>
        <v>0</v>
      </c>
      <c r="X86" s="208">
        <f t="shared" si="58"/>
        <v>0</v>
      </c>
      <c r="Y86" s="208">
        <f t="shared" si="58"/>
        <v>0</v>
      </c>
      <c r="Z86" s="208">
        <f t="shared" si="58"/>
        <v>0</v>
      </c>
      <c r="AA86" s="208">
        <f t="shared" si="58"/>
        <v>0</v>
      </c>
      <c r="AB86" s="208">
        <f t="shared" si="58"/>
        <v>0</v>
      </c>
      <c r="AC86" s="208">
        <f t="shared" si="58"/>
        <v>0</v>
      </c>
      <c r="AD86" s="208">
        <f t="shared" si="58"/>
        <v>0</v>
      </c>
      <c r="AE86" s="208">
        <f t="shared" si="58"/>
        <v>0</v>
      </c>
      <c r="AF86" s="208">
        <f t="shared" si="58"/>
        <v>0</v>
      </c>
      <c r="AG86" s="208">
        <f t="shared" si="58"/>
        <v>0</v>
      </c>
      <c r="AH86" s="208">
        <f t="shared" si="58"/>
        <v>0</v>
      </c>
      <c r="AI86" s="208">
        <f t="shared" si="58"/>
        <v>0</v>
      </c>
      <c r="AJ86" s="208">
        <f t="shared" si="58"/>
        <v>0</v>
      </c>
      <c r="AK86" s="208">
        <f t="shared" si="58"/>
        <v>0</v>
      </c>
      <c r="AL86" s="208">
        <f t="shared" si="58"/>
        <v>0</v>
      </c>
      <c r="AM86" s="208">
        <f t="shared" si="58"/>
        <v>0</v>
      </c>
      <c r="AN86" s="208">
        <f t="shared" si="58"/>
        <v>0</v>
      </c>
      <c r="AO86" s="208">
        <f t="shared" si="58"/>
        <v>0</v>
      </c>
      <c r="AP86" s="208">
        <f t="shared" si="58"/>
        <v>0</v>
      </c>
    </row>
    <row r="87" spans="1:42">
      <c r="A87" s="206" t="s">
        <v>225</v>
      </c>
      <c r="B87" s="209">
        <f>B78</f>
        <v>0</v>
      </c>
      <c r="C87" s="209">
        <f t="shared" si="58"/>
        <v>5746099.4550980376</v>
      </c>
      <c r="D87" s="209">
        <f t="shared" si="58"/>
        <v>5799398.3661163282</v>
      </c>
      <c r="E87" s="209">
        <f t="shared" si="58"/>
        <v>5852705.2245223168</v>
      </c>
      <c r="F87" s="209">
        <f t="shared" si="58"/>
        <v>5902645.9785218956</v>
      </c>
      <c r="G87" s="209">
        <f t="shared" si="58"/>
        <v>5955988.5423246315</v>
      </c>
      <c r="H87" s="209">
        <f t="shared" si="58"/>
        <v>6009331.2781067574</v>
      </c>
      <c r="I87" s="209">
        <f t="shared" si="58"/>
        <v>6059145.9234855184</v>
      </c>
      <c r="J87" s="209">
        <f t="shared" si="58"/>
        <v>6112509.4490454514</v>
      </c>
      <c r="K87" s="209">
        <f t="shared" si="58"/>
        <v>6165864.7431304613</v>
      </c>
      <c r="L87" s="209">
        <f t="shared" si="58"/>
        <v>6215522.2838914124</v>
      </c>
      <c r="M87" s="209">
        <f t="shared" si="58"/>
        <v>6268882.2105902201</v>
      </c>
      <c r="N87" s="209">
        <f t="shared" si="58"/>
        <v>6322224.8309515612</v>
      </c>
      <c r="O87" s="209">
        <f t="shared" si="58"/>
        <v>6272150.8478915328</v>
      </c>
      <c r="P87" s="209">
        <f t="shared" si="58"/>
        <v>6326320.7180273384</v>
      </c>
      <c r="Q87" s="209">
        <f t="shared" si="58"/>
        <v>6380463.4892522404</v>
      </c>
      <c r="R87" s="209">
        <f t="shared" si="58"/>
        <v>6220024.4497605804</v>
      </c>
      <c r="S87" s="209">
        <f t="shared" si="58"/>
        <v>6275933.438550788</v>
      </c>
      <c r="T87" s="209">
        <f t="shared" si="58"/>
        <v>6331804.7687021922</v>
      </c>
      <c r="U87" s="209">
        <f t="shared" si="58"/>
        <v>6383419.5493669668</v>
      </c>
      <c r="V87" s="209">
        <f t="shared" si="58"/>
        <v>6439238.6911114771</v>
      </c>
      <c r="W87" s="209">
        <f t="shared" si="58"/>
        <v>6495008.7945363009</v>
      </c>
      <c r="X87" s="209">
        <f t="shared" si="58"/>
        <v>6531987.2178478129</v>
      </c>
      <c r="Y87" s="209">
        <f t="shared" si="58"/>
        <v>6573352.1556176906</v>
      </c>
      <c r="Z87" s="209">
        <f t="shared" si="58"/>
        <v>6614655.7990515865</v>
      </c>
      <c r="AA87" s="209">
        <f t="shared" si="58"/>
        <v>6883080.1917932723</v>
      </c>
      <c r="AB87" s="209">
        <f t="shared" si="58"/>
        <v>6919151.0879300954</v>
      </c>
      <c r="AC87" s="209">
        <f t="shared" si="58"/>
        <v>6955147.4971684404</v>
      </c>
      <c r="AD87" s="209">
        <f t="shared" si="58"/>
        <v>6986245.1952442704</v>
      </c>
      <c r="AE87" s="209">
        <f t="shared" si="58"/>
        <v>7022117.9085349916</v>
      </c>
      <c r="AF87" s="209">
        <f t="shared" si="58"/>
        <v>11230616.941517904</v>
      </c>
      <c r="AG87" s="209">
        <f t="shared" si="58"/>
        <v>0</v>
      </c>
      <c r="AH87" s="209">
        <f t="shared" si="58"/>
        <v>0</v>
      </c>
      <c r="AI87" s="209">
        <f t="shared" si="58"/>
        <v>0</v>
      </c>
      <c r="AJ87" s="209">
        <f t="shared" si="58"/>
        <v>0</v>
      </c>
      <c r="AK87" s="209">
        <f t="shared" si="58"/>
        <v>0</v>
      </c>
      <c r="AL87" s="209">
        <f t="shared" si="58"/>
        <v>0</v>
      </c>
      <c r="AM87" s="209">
        <f t="shared" si="58"/>
        <v>0</v>
      </c>
      <c r="AN87" s="209">
        <f t="shared" si="58"/>
        <v>0</v>
      </c>
      <c r="AO87" s="209">
        <f t="shared" si="58"/>
        <v>0</v>
      </c>
      <c r="AP87" s="209">
        <f t="shared" si="58"/>
        <v>0</v>
      </c>
    </row>
    <row r="88" spans="1:42">
      <c r="A88" s="206" t="s">
        <v>230</v>
      </c>
      <c r="B88" s="164">
        <f>SUM(B86:B87)</f>
        <v>-28965458.75</v>
      </c>
      <c r="C88" s="164">
        <f t="shared" ref="C88:AP88" si="59">SUM(C86:C87)</f>
        <v>5746099.4550980376</v>
      </c>
      <c r="D88" s="164">
        <f t="shared" si="59"/>
        <v>5799398.3661163282</v>
      </c>
      <c r="E88" s="164">
        <f t="shared" si="59"/>
        <v>5852705.2245223168</v>
      </c>
      <c r="F88" s="164">
        <f t="shared" si="59"/>
        <v>5902645.9785218956</v>
      </c>
      <c r="G88" s="164">
        <f t="shared" si="59"/>
        <v>5955988.5423246315</v>
      </c>
      <c r="H88" s="164">
        <f t="shared" si="59"/>
        <v>6009331.2781067574</v>
      </c>
      <c r="I88" s="164">
        <f t="shared" si="59"/>
        <v>6059145.9234855184</v>
      </c>
      <c r="J88" s="164">
        <f t="shared" si="59"/>
        <v>6112509.4490454514</v>
      </c>
      <c r="K88" s="164">
        <f t="shared" si="59"/>
        <v>6165864.7431304613</v>
      </c>
      <c r="L88" s="164">
        <f t="shared" si="59"/>
        <v>6215522.2838914124</v>
      </c>
      <c r="M88" s="164">
        <f t="shared" si="59"/>
        <v>6268882.2105902201</v>
      </c>
      <c r="N88" s="164">
        <f t="shared" si="59"/>
        <v>6322224.8309515612</v>
      </c>
      <c r="O88" s="164">
        <f t="shared" si="59"/>
        <v>6272150.8478915328</v>
      </c>
      <c r="P88" s="164">
        <f t="shared" si="59"/>
        <v>6326320.7180273384</v>
      </c>
      <c r="Q88" s="164">
        <f t="shared" si="59"/>
        <v>6380463.4892522404</v>
      </c>
      <c r="R88" s="164">
        <f t="shared" si="59"/>
        <v>6220024.4497605804</v>
      </c>
      <c r="S88" s="164">
        <f t="shared" si="59"/>
        <v>6275933.438550788</v>
      </c>
      <c r="T88" s="164">
        <f t="shared" si="59"/>
        <v>6331804.7687021922</v>
      </c>
      <c r="U88" s="164">
        <f t="shared" si="59"/>
        <v>6383419.5493669668</v>
      </c>
      <c r="V88" s="164">
        <f t="shared" si="59"/>
        <v>6439238.6911114771</v>
      </c>
      <c r="W88" s="164">
        <f t="shared" si="59"/>
        <v>6495008.7945363009</v>
      </c>
      <c r="X88" s="164">
        <f t="shared" si="59"/>
        <v>6531987.2178478129</v>
      </c>
      <c r="Y88" s="164">
        <f t="shared" si="59"/>
        <v>6573352.1556176906</v>
      </c>
      <c r="Z88" s="164">
        <f t="shared" si="59"/>
        <v>6614655.7990515865</v>
      </c>
      <c r="AA88" s="164">
        <f t="shared" si="59"/>
        <v>6883080.1917932723</v>
      </c>
      <c r="AB88" s="164">
        <f t="shared" si="59"/>
        <v>6919151.0879300954</v>
      </c>
      <c r="AC88" s="164">
        <f t="shared" si="59"/>
        <v>6955147.4971684404</v>
      </c>
      <c r="AD88" s="164">
        <f t="shared" si="59"/>
        <v>6986245.1952442704</v>
      </c>
      <c r="AE88" s="164">
        <f t="shared" si="59"/>
        <v>7022117.9085349916</v>
      </c>
      <c r="AF88" s="164">
        <f t="shared" si="59"/>
        <v>11230616.941517904</v>
      </c>
      <c r="AG88" s="164">
        <f t="shared" si="59"/>
        <v>0</v>
      </c>
      <c r="AH88" s="164">
        <f t="shared" si="59"/>
        <v>0</v>
      </c>
      <c r="AI88" s="164">
        <f t="shared" si="59"/>
        <v>0</v>
      </c>
      <c r="AJ88" s="164">
        <f t="shared" si="59"/>
        <v>0</v>
      </c>
      <c r="AK88" s="164">
        <f t="shared" si="59"/>
        <v>0</v>
      </c>
      <c r="AL88" s="164">
        <f t="shared" si="59"/>
        <v>0</v>
      </c>
      <c r="AM88" s="164">
        <f t="shared" si="59"/>
        <v>0</v>
      </c>
      <c r="AN88" s="164">
        <f t="shared" si="59"/>
        <v>0</v>
      </c>
      <c r="AO88" s="164">
        <f t="shared" si="59"/>
        <v>0</v>
      </c>
      <c r="AP88" s="164">
        <f t="shared" si="59"/>
        <v>0</v>
      </c>
    </row>
    <row r="89" spans="1:42">
      <c r="A89" s="202" t="s">
        <v>33</v>
      </c>
      <c r="B89" s="164"/>
      <c r="C89" s="164"/>
      <c r="D89" s="164"/>
      <c r="E89" s="164"/>
      <c r="F89" s="164"/>
      <c r="G89" s="208"/>
      <c r="H89" s="208"/>
      <c r="I89" s="208"/>
      <c r="J89" s="208"/>
      <c r="K89" s="208"/>
      <c r="L89" s="208"/>
      <c r="M89" s="208"/>
      <c r="N89" s="208"/>
      <c r="O89" s="208"/>
      <c r="P89" s="208"/>
      <c r="Q89" s="208"/>
      <c r="R89" s="208"/>
      <c r="S89" s="208"/>
      <c r="T89" s="208"/>
      <c r="U89" s="208"/>
      <c r="V89" s="208"/>
      <c r="W89" s="208"/>
      <c r="X89" s="208"/>
      <c r="Y89" s="208"/>
      <c r="Z89" s="208"/>
      <c r="AA89" s="208"/>
      <c r="AB89" s="208"/>
      <c r="AC89" s="208"/>
      <c r="AD89" s="208"/>
      <c r="AE89" s="208"/>
      <c r="AF89" s="208"/>
      <c r="AG89" s="208"/>
      <c r="AH89" s="208"/>
      <c r="AI89" s="208"/>
      <c r="AJ89" s="208"/>
      <c r="AK89" s="208"/>
      <c r="AL89" s="208"/>
      <c r="AM89" s="208"/>
      <c r="AN89" s="208"/>
      <c r="AO89" s="208"/>
      <c r="AP89" s="208"/>
    </row>
    <row r="90" spans="1:42">
      <c r="A90" s="206" t="s">
        <v>37</v>
      </c>
      <c r="B90" s="164">
        <v>0</v>
      </c>
      <c r="C90" s="164">
        <f>H553+J553</f>
        <v>20000</v>
      </c>
      <c r="D90" s="164">
        <v>0</v>
      </c>
      <c r="E90" s="164">
        <v>0</v>
      </c>
      <c r="F90" s="164">
        <v>0</v>
      </c>
      <c r="G90" s="164">
        <v>0</v>
      </c>
      <c r="H90" s="164">
        <v>0</v>
      </c>
      <c r="I90" s="164">
        <v>0</v>
      </c>
      <c r="J90" s="164">
        <v>0</v>
      </c>
      <c r="K90" s="164">
        <v>0</v>
      </c>
      <c r="L90" s="164">
        <v>0</v>
      </c>
      <c r="M90" s="164">
        <v>0</v>
      </c>
      <c r="N90" s="164">
        <v>0</v>
      </c>
      <c r="O90" s="164">
        <v>0</v>
      </c>
      <c r="P90" s="164">
        <v>0</v>
      </c>
      <c r="Q90" s="164">
        <v>0</v>
      </c>
      <c r="R90" s="164">
        <v>0</v>
      </c>
      <c r="S90" s="164">
        <v>0</v>
      </c>
      <c r="T90" s="164">
        <v>0</v>
      </c>
      <c r="U90" s="164">
        <v>0</v>
      </c>
      <c r="V90" s="164">
        <v>0</v>
      </c>
      <c r="W90" s="164">
        <v>0</v>
      </c>
      <c r="X90" s="164">
        <v>0</v>
      </c>
      <c r="Y90" s="164">
        <v>0</v>
      </c>
      <c r="Z90" s="164">
        <v>0</v>
      </c>
      <c r="AA90" s="164">
        <v>0</v>
      </c>
      <c r="AB90" s="164">
        <v>0</v>
      </c>
      <c r="AC90" s="164">
        <v>0</v>
      </c>
      <c r="AD90" s="164">
        <v>0</v>
      </c>
      <c r="AE90" s="164">
        <v>0</v>
      </c>
      <c r="AF90" s="164">
        <v>0</v>
      </c>
      <c r="AG90" s="164">
        <v>0</v>
      </c>
      <c r="AH90" s="164">
        <v>0</v>
      </c>
      <c r="AI90" s="164">
        <v>0</v>
      </c>
      <c r="AJ90" s="164">
        <v>0</v>
      </c>
      <c r="AK90" s="164">
        <v>0</v>
      </c>
      <c r="AL90" s="164">
        <v>0</v>
      </c>
      <c r="AM90" s="164">
        <v>0</v>
      </c>
      <c r="AN90" s="164">
        <v>0</v>
      </c>
      <c r="AO90" s="164">
        <v>0</v>
      </c>
      <c r="AP90" s="164">
        <v>0</v>
      </c>
    </row>
    <row r="91" spans="1:42">
      <c r="A91" s="206" t="s">
        <v>36</v>
      </c>
      <c r="B91" s="209">
        <v>0</v>
      </c>
      <c r="C91" s="209">
        <f>H588+J588</f>
        <v>10000</v>
      </c>
      <c r="D91" s="209">
        <v>0</v>
      </c>
      <c r="E91" s="209">
        <v>0</v>
      </c>
      <c r="F91" s="209">
        <v>0</v>
      </c>
      <c r="G91" s="209">
        <v>0</v>
      </c>
      <c r="H91" s="209">
        <v>0</v>
      </c>
      <c r="I91" s="209">
        <v>0</v>
      </c>
      <c r="J91" s="209">
        <v>0</v>
      </c>
      <c r="K91" s="209">
        <v>0</v>
      </c>
      <c r="L91" s="209">
        <v>0</v>
      </c>
      <c r="M91" s="209">
        <v>0</v>
      </c>
      <c r="N91" s="209">
        <v>0</v>
      </c>
      <c r="O91" s="209">
        <v>0</v>
      </c>
      <c r="P91" s="209">
        <v>0</v>
      </c>
      <c r="Q91" s="209">
        <v>0</v>
      </c>
      <c r="R91" s="209">
        <v>0</v>
      </c>
      <c r="S91" s="209">
        <v>0</v>
      </c>
      <c r="T91" s="209">
        <v>0</v>
      </c>
      <c r="U91" s="209">
        <v>0</v>
      </c>
      <c r="V91" s="209">
        <v>0</v>
      </c>
      <c r="W91" s="209">
        <v>0</v>
      </c>
      <c r="X91" s="209">
        <v>0</v>
      </c>
      <c r="Y91" s="209">
        <v>0</v>
      </c>
      <c r="Z91" s="209">
        <v>0</v>
      </c>
      <c r="AA91" s="209">
        <v>0</v>
      </c>
      <c r="AB91" s="209">
        <v>0</v>
      </c>
      <c r="AC91" s="209">
        <v>0</v>
      </c>
      <c r="AD91" s="209">
        <v>0</v>
      </c>
      <c r="AE91" s="209">
        <v>0</v>
      </c>
      <c r="AF91" s="209">
        <v>0</v>
      </c>
      <c r="AG91" s="209">
        <v>0</v>
      </c>
      <c r="AH91" s="209">
        <v>0</v>
      </c>
      <c r="AI91" s="209">
        <v>0</v>
      </c>
      <c r="AJ91" s="209">
        <v>0</v>
      </c>
      <c r="AK91" s="209">
        <v>0</v>
      </c>
      <c r="AL91" s="209">
        <v>0</v>
      </c>
      <c r="AM91" s="209">
        <v>0</v>
      </c>
      <c r="AN91" s="209">
        <v>0</v>
      </c>
      <c r="AO91" s="209">
        <v>0</v>
      </c>
      <c r="AP91" s="209">
        <v>0</v>
      </c>
    </row>
    <row r="92" spans="1:42">
      <c r="A92" s="206" t="s">
        <v>53</v>
      </c>
      <c r="B92" s="164">
        <f>SUM(B90:B91)</f>
        <v>0</v>
      </c>
      <c r="C92" s="164">
        <f>SUM(C90:C91)</f>
        <v>30000</v>
      </c>
      <c r="D92" s="164">
        <f>SUM(D90:D91)</f>
        <v>0</v>
      </c>
      <c r="E92" s="164">
        <f t="shared" ref="E92:AP92" si="60">SUM(E90:E91)</f>
        <v>0</v>
      </c>
      <c r="F92" s="164">
        <f t="shared" si="60"/>
        <v>0</v>
      </c>
      <c r="G92" s="164">
        <f t="shared" si="60"/>
        <v>0</v>
      </c>
      <c r="H92" s="164">
        <f t="shared" si="60"/>
        <v>0</v>
      </c>
      <c r="I92" s="164">
        <f t="shared" si="60"/>
        <v>0</v>
      </c>
      <c r="J92" s="164">
        <f t="shared" si="60"/>
        <v>0</v>
      </c>
      <c r="K92" s="164">
        <f t="shared" si="60"/>
        <v>0</v>
      </c>
      <c r="L92" s="164">
        <f t="shared" si="60"/>
        <v>0</v>
      </c>
      <c r="M92" s="164">
        <f t="shared" si="60"/>
        <v>0</v>
      </c>
      <c r="N92" s="164">
        <f t="shared" si="60"/>
        <v>0</v>
      </c>
      <c r="O92" s="164">
        <f t="shared" si="60"/>
        <v>0</v>
      </c>
      <c r="P92" s="164">
        <f t="shared" si="60"/>
        <v>0</v>
      </c>
      <c r="Q92" s="164">
        <f t="shared" si="60"/>
        <v>0</v>
      </c>
      <c r="R92" s="164">
        <f t="shared" si="60"/>
        <v>0</v>
      </c>
      <c r="S92" s="164">
        <f t="shared" si="60"/>
        <v>0</v>
      </c>
      <c r="T92" s="164">
        <f t="shared" si="60"/>
        <v>0</v>
      </c>
      <c r="U92" s="164">
        <f t="shared" si="60"/>
        <v>0</v>
      </c>
      <c r="V92" s="164">
        <f t="shared" si="60"/>
        <v>0</v>
      </c>
      <c r="W92" s="164">
        <f t="shared" si="60"/>
        <v>0</v>
      </c>
      <c r="X92" s="164">
        <f t="shared" si="60"/>
        <v>0</v>
      </c>
      <c r="Y92" s="164">
        <f t="shared" si="60"/>
        <v>0</v>
      </c>
      <c r="Z92" s="164">
        <f t="shared" si="60"/>
        <v>0</v>
      </c>
      <c r="AA92" s="164">
        <f t="shared" si="60"/>
        <v>0</v>
      </c>
      <c r="AB92" s="164">
        <f t="shared" si="60"/>
        <v>0</v>
      </c>
      <c r="AC92" s="164">
        <f t="shared" si="60"/>
        <v>0</v>
      </c>
      <c r="AD92" s="164">
        <f t="shared" si="60"/>
        <v>0</v>
      </c>
      <c r="AE92" s="164">
        <f t="shared" si="60"/>
        <v>0</v>
      </c>
      <c r="AF92" s="164">
        <f t="shared" si="60"/>
        <v>0</v>
      </c>
      <c r="AG92" s="164">
        <f t="shared" si="60"/>
        <v>0</v>
      </c>
      <c r="AH92" s="164">
        <f t="shared" si="60"/>
        <v>0</v>
      </c>
      <c r="AI92" s="164">
        <f t="shared" si="60"/>
        <v>0</v>
      </c>
      <c r="AJ92" s="164">
        <f t="shared" si="60"/>
        <v>0</v>
      </c>
      <c r="AK92" s="164">
        <f t="shared" si="60"/>
        <v>0</v>
      </c>
      <c r="AL92" s="164">
        <f t="shared" si="60"/>
        <v>0</v>
      </c>
      <c r="AM92" s="164">
        <f t="shared" si="60"/>
        <v>0</v>
      </c>
      <c r="AN92" s="164">
        <f t="shared" si="60"/>
        <v>0</v>
      </c>
      <c r="AO92" s="164">
        <f t="shared" si="60"/>
        <v>0</v>
      </c>
      <c r="AP92" s="164">
        <f t="shared" si="60"/>
        <v>0</v>
      </c>
    </row>
    <row r="93" spans="1:42">
      <c r="A93" s="202" t="s">
        <v>38</v>
      </c>
      <c r="B93" s="164"/>
      <c r="C93" s="164"/>
      <c r="D93" s="164"/>
      <c r="E93" s="164"/>
      <c r="F93" s="164"/>
      <c r="G93" s="208"/>
      <c r="H93" s="208"/>
      <c r="I93" s="208"/>
      <c r="J93" s="208"/>
      <c r="K93" s="208"/>
      <c r="L93" s="208"/>
      <c r="M93" s="208"/>
      <c r="N93" s="208"/>
      <c r="O93" s="208"/>
      <c r="P93" s="208"/>
      <c r="Q93" s="208"/>
      <c r="R93" s="208"/>
      <c r="S93" s="208"/>
      <c r="T93" s="208"/>
      <c r="U93" s="208"/>
      <c r="V93" s="208"/>
      <c r="W93" s="208"/>
      <c r="X93" s="208"/>
      <c r="Y93" s="208"/>
      <c r="Z93" s="208"/>
      <c r="AA93" s="208"/>
      <c r="AB93" s="208"/>
      <c r="AC93" s="208"/>
      <c r="AD93" s="208"/>
      <c r="AE93" s="208"/>
      <c r="AF93" s="208"/>
      <c r="AG93" s="208"/>
      <c r="AH93" s="208"/>
      <c r="AI93" s="208"/>
      <c r="AJ93" s="208"/>
      <c r="AK93" s="208"/>
      <c r="AL93" s="208"/>
      <c r="AM93" s="208"/>
      <c r="AN93" s="208"/>
      <c r="AO93" s="208"/>
      <c r="AP93" s="208"/>
    </row>
    <row r="94" spans="1:42">
      <c r="A94" s="206" t="s">
        <v>37</v>
      </c>
      <c r="B94" s="164">
        <f>B618</f>
        <v>0</v>
      </c>
      <c r="C94" s="164">
        <f t="shared" ref="C94:AO94" si="61">C618</f>
        <v>0</v>
      </c>
      <c r="D94" s="164">
        <f t="shared" si="61"/>
        <v>0</v>
      </c>
      <c r="E94" s="164">
        <f t="shared" si="61"/>
        <v>0</v>
      </c>
      <c r="F94" s="164">
        <f t="shared" si="61"/>
        <v>0</v>
      </c>
      <c r="G94" s="164">
        <f t="shared" si="61"/>
        <v>0</v>
      </c>
      <c r="H94" s="164">
        <f t="shared" si="61"/>
        <v>0</v>
      </c>
      <c r="I94" s="164">
        <f t="shared" si="61"/>
        <v>0</v>
      </c>
      <c r="J94" s="164">
        <f t="shared" si="61"/>
        <v>0</v>
      </c>
      <c r="K94" s="164">
        <f t="shared" si="61"/>
        <v>0</v>
      </c>
      <c r="L94" s="164">
        <f t="shared" si="61"/>
        <v>0</v>
      </c>
      <c r="M94" s="164">
        <f t="shared" si="61"/>
        <v>0</v>
      </c>
      <c r="N94" s="164">
        <f t="shared" si="61"/>
        <v>0</v>
      </c>
      <c r="O94" s="164">
        <f t="shared" si="61"/>
        <v>0</v>
      </c>
      <c r="P94" s="164">
        <f t="shared" si="61"/>
        <v>0</v>
      </c>
      <c r="Q94" s="164">
        <f t="shared" si="61"/>
        <v>0</v>
      </c>
      <c r="R94" s="164">
        <f t="shared" si="61"/>
        <v>0</v>
      </c>
      <c r="S94" s="164">
        <f t="shared" si="61"/>
        <v>0</v>
      </c>
      <c r="T94" s="164">
        <f t="shared" si="61"/>
        <v>0</v>
      </c>
      <c r="U94" s="164">
        <f t="shared" si="61"/>
        <v>0</v>
      </c>
      <c r="V94" s="164">
        <f t="shared" si="61"/>
        <v>0</v>
      </c>
      <c r="W94" s="164">
        <f t="shared" si="61"/>
        <v>0</v>
      </c>
      <c r="X94" s="164">
        <f t="shared" si="61"/>
        <v>0</v>
      </c>
      <c r="Y94" s="164">
        <f t="shared" si="61"/>
        <v>0</v>
      </c>
      <c r="Z94" s="164">
        <f t="shared" si="61"/>
        <v>0</v>
      </c>
      <c r="AA94" s="164">
        <f t="shared" si="61"/>
        <v>0</v>
      </c>
      <c r="AB94" s="164">
        <f t="shared" si="61"/>
        <v>0</v>
      </c>
      <c r="AC94" s="164">
        <f t="shared" si="61"/>
        <v>0</v>
      </c>
      <c r="AD94" s="164">
        <f t="shared" si="61"/>
        <v>0</v>
      </c>
      <c r="AE94" s="164">
        <f t="shared" si="61"/>
        <v>0</v>
      </c>
      <c r="AF94" s="164">
        <f t="shared" si="61"/>
        <v>0</v>
      </c>
      <c r="AG94" s="164">
        <f t="shared" si="61"/>
        <v>0</v>
      </c>
      <c r="AH94" s="164">
        <f t="shared" si="61"/>
        <v>0</v>
      </c>
      <c r="AI94" s="164">
        <f t="shared" si="61"/>
        <v>0</v>
      </c>
      <c r="AJ94" s="164">
        <f t="shared" si="61"/>
        <v>0</v>
      </c>
      <c r="AK94" s="164">
        <f t="shared" si="61"/>
        <v>0</v>
      </c>
      <c r="AL94" s="164">
        <f t="shared" si="61"/>
        <v>0</v>
      </c>
      <c r="AM94" s="164">
        <f t="shared" si="61"/>
        <v>0</v>
      </c>
      <c r="AN94" s="164">
        <f t="shared" si="61"/>
        <v>0</v>
      </c>
      <c r="AO94" s="164">
        <f t="shared" si="61"/>
        <v>0</v>
      </c>
      <c r="AP94" s="164">
        <f>AP618</f>
        <v>0</v>
      </c>
    </row>
    <row r="95" spans="1:42">
      <c r="A95" s="206" t="s">
        <v>36</v>
      </c>
      <c r="B95" s="209">
        <f>B624</f>
        <v>0</v>
      </c>
      <c r="C95" s="209">
        <f t="shared" ref="C95:AO95" si="62">C624</f>
        <v>0</v>
      </c>
      <c r="D95" s="209">
        <f t="shared" si="62"/>
        <v>0</v>
      </c>
      <c r="E95" s="209">
        <f t="shared" si="62"/>
        <v>0</v>
      </c>
      <c r="F95" s="209">
        <f t="shared" si="62"/>
        <v>0</v>
      </c>
      <c r="G95" s="209">
        <f t="shared" si="62"/>
        <v>0</v>
      </c>
      <c r="H95" s="209">
        <f t="shared" si="62"/>
        <v>0</v>
      </c>
      <c r="I95" s="209">
        <f t="shared" si="62"/>
        <v>0</v>
      </c>
      <c r="J95" s="209">
        <f t="shared" si="62"/>
        <v>0</v>
      </c>
      <c r="K95" s="209">
        <f t="shared" si="62"/>
        <v>0</v>
      </c>
      <c r="L95" s="209">
        <f t="shared" si="62"/>
        <v>0</v>
      </c>
      <c r="M95" s="209">
        <f t="shared" si="62"/>
        <v>0</v>
      </c>
      <c r="N95" s="209">
        <f t="shared" si="62"/>
        <v>0</v>
      </c>
      <c r="O95" s="209">
        <f t="shared" si="62"/>
        <v>0</v>
      </c>
      <c r="P95" s="209">
        <f t="shared" si="62"/>
        <v>0</v>
      </c>
      <c r="Q95" s="209">
        <f t="shared" si="62"/>
        <v>0</v>
      </c>
      <c r="R95" s="209">
        <f t="shared" si="62"/>
        <v>0</v>
      </c>
      <c r="S95" s="209">
        <f t="shared" si="62"/>
        <v>0</v>
      </c>
      <c r="T95" s="209">
        <f t="shared" si="62"/>
        <v>0</v>
      </c>
      <c r="U95" s="209">
        <f t="shared" si="62"/>
        <v>0</v>
      </c>
      <c r="V95" s="209">
        <f t="shared" si="62"/>
        <v>0</v>
      </c>
      <c r="W95" s="209">
        <f t="shared" si="62"/>
        <v>0</v>
      </c>
      <c r="X95" s="209">
        <f t="shared" si="62"/>
        <v>0</v>
      </c>
      <c r="Y95" s="209">
        <f t="shared" si="62"/>
        <v>0</v>
      </c>
      <c r="Z95" s="209">
        <f t="shared" si="62"/>
        <v>0</v>
      </c>
      <c r="AA95" s="209">
        <f t="shared" si="62"/>
        <v>0</v>
      </c>
      <c r="AB95" s="209">
        <f t="shared" si="62"/>
        <v>0</v>
      </c>
      <c r="AC95" s="209">
        <f t="shared" si="62"/>
        <v>0</v>
      </c>
      <c r="AD95" s="209">
        <f t="shared" si="62"/>
        <v>0</v>
      </c>
      <c r="AE95" s="209">
        <f t="shared" si="62"/>
        <v>0</v>
      </c>
      <c r="AF95" s="209">
        <f t="shared" si="62"/>
        <v>0</v>
      </c>
      <c r="AG95" s="209">
        <f t="shared" si="62"/>
        <v>0</v>
      </c>
      <c r="AH95" s="209">
        <f t="shared" si="62"/>
        <v>0</v>
      </c>
      <c r="AI95" s="209">
        <f t="shared" si="62"/>
        <v>0</v>
      </c>
      <c r="AJ95" s="209">
        <f t="shared" si="62"/>
        <v>0</v>
      </c>
      <c r="AK95" s="209">
        <f t="shared" si="62"/>
        <v>0</v>
      </c>
      <c r="AL95" s="209">
        <f t="shared" si="62"/>
        <v>0</v>
      </c>
      <c r="AM95" s="209">
        <f t="shared" si="62"/>
        <v>0</v>
      </c>
      <c r="AN95" s="209">
        <f t="shared" si="62"/>
        <v>0</v>
      </c>
      <c r="AO95" s="209">
        <f t="shared" si="62"/>
        <v>0</v>
      </c>
      <c r="AP95" s="209">
        <f>AP624</f>
        <v>0</v>
      </c>
    </row>
    <row r="96" spans="1:42">
      <c r="A96" s="206" t="s">
        <v>53</v>
      </c>
      <c r="B96" s="164">
        <f>SUM(B94:B95)</f>
        <v>0</v>
      </c>
      <c r="C96" s="164">
        <f>SUM(C94:C95)</f>
        <v>0</v>
      </c>
      <c r="D96" s="164">
        <f>SUM(D94:D95)</f>
        <v>0</v>
      </c>
      <c r="E96" s="164">
        <f t="shared" ref="E96:AP96" si="63">SUM(E94:E95)</f>
        <v>0</v>
      </c>
      <c r="F96" s="164">
        <f t="shared" si="63"/>
        <v>0</v>
      </c>
      <c r="G96" s="164">
        <f t="shared" si="63"/>
        <v>0</v>
      </c>
      <c r="H96" s="164">
        <f t="shared" si="63"/>
        <v>0</v>
      </c>
      <c r="I96" s="164">
        <f t="shared" si="63"/>
        <v>0</v>
      </c>
      <c r="J96" s="164">
        <f t="shared" si="63"/>
        <v>0</v>
      </c>
      <c r="K96" s="164">
        <f t="shared" si="63"/>
        <v>0</v>
      </c>
      <c r="L96" s="164">
        <f t="shared" si="63"/>
        <v>0</v>
      </c>
      <c r="M96" s="164">
        <f t="shared" si="63"/>
        <v>0</v>
      </c>
      <c r="N96" s="164">
        <f t="shared" si="63"/>
        <v>0</v>
      </c>
      <c r="O96" s="164">
        <f t="shared" si="63"/>
        <v>0</v>
      </c>
      <c r="P96" s="164">
        <f t="shared" si="63"/>
        <v>0</v>
      </c>
      <c r="Q96" s="164">
        <f t="shared" si="63"/>
        <v>0</v>
      </c>
      <c r="R96" s="164">
        <f t="shared" si="63"/>
        <v>0</v>
      </c>
      <c r="S96" s="164">
        <f t="shared" si="63"/>
        <v>0</v>
      </c>
      <c r="T96" s="164">
        <f t="shared" si="63"/>
        <v>0</v>
      </c>
      <c r="U96" s="164">
        <f t="shared" si="63"/>
        <v>0</v>
      </c>
      <c r="V96" s="164">
        <f t="shared" si="63"/>
        <v>0</v>
      </c>
      <c r="W96" s="164">
        <f t="shared" si="63"/>
        <v>0</v>
      </c>
      <c r="X96" s="164">
        <f t="shared" si="63"/>
        <v>0</v>
      </c>
      <c r="Y96" s="164">
        <f t="shared" si="63"/>
        <v>0</v>
      </c>
      <c r="Z96" s="164">
        <f t="shared" si="63"/>
        <v>0</v>
      </c>
      <c r="AA96" s="164">
        <f t="shared" si="63"/>
        <v>0</v>
      </c>
      <c r="AB96" s="164">
        <f t="shared" si="63"/>
        <v>0</v>
      </c>
      <c r="AC96" s="164">
        <f t="shared" si="63"/>
        <v>0</v>
      </c>
      <c r="AD96" s="164">
        <f t="shared" si="63"/>
        <v>0</v>
      </c>
      <c r="AE96" s="164">
        <f t="shared" si="63"/>
        <v>0</v>
      </c>
      <c r="AF96" s="164">
        <f t="shared" si="63"/>
        <v>0</v>
      </c>
      <c r="AG96" s="164">
        <f t="shared" si="63"/>
        <v>0</v>
      </c>
      <c r="AH96" s="164">
        <f t="shared" si="63"/>
        <v>0</v>
      </c>
      <c r="AI96" s="164">
        <f t="shared" si="63"/>
        <v>0</v>
      </c>
      <c r="AJ96" s="164">
        <f t="shared" si="63"/>
        <v>0</v>
      </c>
      <c r="AK96" s="164">
        <f t="shared" si="63"/>
        <v>0</v>
      </c>
      <c r="AL96" s="164">
        <f t="shared" si="63"/>
        <v>0</v>
      </c>
      <c r="AM96" s="164">
        <f t="shared" si="63"/>
        <v>0</v>
      </c>
      <c r="AN96" s="164">
        <f t="shared" si="63"/>
        <v>0</v>
      </c>
      <c r="AO96" s="164">
        <f t="shared" si="63"/>
        <v>0</v>
      </c>
      <c r="AP96" s="164">
        <f t="shared" si="63"/>
        <v>0</v>
      </c>
    </row>
    <row r="97" spans="1:42">
      <c r="A97" s="202" t="s">
        <v>233</v>
      </c>
      <c r="B97" s="164"/>
      <c r="C97" s="164"/>
      <c r="D97" s="164"/>
      <c r="E97" s="164"/>
      <c r="F97" s="164"/>
      <c r="G97" s="164"/>
      <c r="H97" s="164"/>
      <c r="I97" s="164"/>
      <c r="J97" s="164"/>
      <c r="K97" s="164"/>
      <c r="L97" s="164"/>
      <c r="M97" s="164"/>
      <c r="N97" s="164"/>
      <c r="O97" s="164"/>
      <c r="P97" s="164"/>
      <c r="Q97" s="164"/>
      <c r="R97" s="164"/>
      <c r="S97" s="164"/>
      <c r="T97" s="164"/>
      <c r="U97" s="164"/>
      <c r="V97" s="164"/>
      <c r="W97" s="164"/>
      <c r="X97" s="164"/>
      <c r="Y97" s="164"/>
      <c r="Z97" s="164"/>
      <c r="AA97" s="164"/>
      <c r="AB97" s="164"/>
      <c r="AC97" s="164"/>
      <c r="AD97" s="164"/>
      <c r="AE97" s="164"/>
      <c r="AF97" s="164"/>
      <c r="AG97" s="164"/>
      <c r="AH97" s="164"/>
      <c r="AI97" s="164"/>
      <c r="AJ97" s="164"/>
      <c r="AK97" s="164"/>
      <c r="AL97" s="164"/>
      <c r="AM97" s="164"/>
      <c r="AN97" s="164"/>
      <c r="AO97" s="164"/>
      <c r="AP97" s="164"/>
    </row>
    <row r="98" spans="1:42">
      <c r="A98" s="206" t="s">
        <v>37</v>
      </c>
      <c r="B98" s="164">
        <f>B234</f>
        <v>0</v>
      </c>
      <c r="C98" s="164">
        <f>C234</f>
        <v>-588563.34227899986</v>
      </c>
      <c r="D98" s="164">
        <f t="shared" ref="D98:AP98" si="64">D234</f>
        <v>310130.87465129519</v>
      </c>
      <c r="E98" s="164">
        <f t="shared" si="64"/>
        <v>44983.82531988711</v>
      </c>
      <c r="F98" s="164">
        <f t="shared" si="64"/>
        <v>-115277.06221242667</v>
      </c>
      <c r="G98" s="164">
        <f t="shared" si="64"/>
        <v>-119207.79348527339</v>
      </c>
      <c r="H98" s="164">
        <f t="shared" si="64"/>
        <v>-239994.70979793699</v>
      </c>
      <c r="I98" s="164">
        <f t="shared" si="64"/>
        <v>-360586.12000344839</v>
      </c>
      <c r="J98" s="164">
        <f t="shared" si="64"/>
        <v>-364609.42455478059</v>
      </c>
      <c r="K98" s="164">
        <f t="shared" si="64"/>
        <v>-367079.18907383957</v>
      </c>
      <c r="L98" s="164">
        <f t="shared" si="64"/>
        <v>-369168.2602052844</v>
      </c>
      <c r="M98" s="164">
        <f t="shared" si="64"/>
        <v>-373230.33567350992</v>
      </c>
      <c r="N98" s="164">
        <f t="shared" si="64"/>
        <v>-343299.00907833962</v>
      </c>
      <c r="O98" s="164">
        <f t="shared" si="64"/>
        <v>-323063.25050053763</v>
      </c>
      <c r="P98" s="164">
        <f t="shared" si="64"/>
        <v>-347967.69841322204</v>
      </c>
      <c r="Q98" s="164">
        <f t="shared" si="64"/>
        <v>-295130.57874659903</v>
      </c>
      <c r="R98" s="164">
        <f t="shared" si="64"/>
        <v>-252821.75200309753</v>
      </c>
      <c r="S98" s="164">
        <f t="shared" si="64"/>
        <v>-312039.45798016043</v>
      </c>
      <c r="T98" s="164">
        <f t="shared" si="64"/>
        <v>-349933.06323501392</v>
      </c>
      <c r="U98" s="164">
        <f t="shared" si="64"/>
        <v>-352029.64632528491</v>
      </c>
      <c r="V98" s="164">
        <f t="shared" si="64"/>
        <v>-375907.69642384088</v>
      </c>
      <c r="W98" s="164">
        <f t="shared" si="64"/>
        <v>-399702.51578306133</v>
      </c>
      <c r="X98" s="164">
        <f t="shared" si="64"/>
        <v>-402723.90876627289</v>
      </c>
      <c r="Y98" s="164">
        <f t="shared" si="64"/>
        <v>-406355.21110904665</v>
      </c>
      <c r="Z98" s="164">
        <f t="shared" si="64"/>
        <v>-369324.28127165459</v>
      </c>
      <c r="AA98" s="164">
        <f t="shared" si="64"/>
        <v>-343900.15869908826</v>
      </c>
      <c r="AB98" s="164">
        <f t="shared" si="64"/>
        <v>-372089.67709066771</v>
      </c>
      <c r="AC98" s="164">
        <f t="shared" si="64"/>
        <v>-388343.54403977765</v>
      </c>
      <c r="AD98" s="164">
        <f t="shared" si="64"/>
        <v>-389205.2592682601</v>
      </c>
      <c r="AE98" s="164">
        <f t="shared" si="64"/>
        <v>-403815.56695857167</v>
      </c>
      <c r="AF98" s="164">
        <f t="shared" si="64"/>
        <v>-552862.70045904489</v>
      </c>
      <c r="AG98" s="164">
        <f t="shared" si="64"/>
        <v>0</v>
      </c>
      <c r="AH98" s="164">
        <f t="shared" si="64"/>
        <v>0</v>
      </c>
      <c r="AI98" s="164">
        <f t="shared" si="64"/>
        <v>0</v>
      </c>
      <c r="AJ98" s="164">
        <f t="shared" si="64"/>
        <v>0</v>
      </c>
      <c r="AK98" s="164">
        <f t="shared" si="64"/>
        <v>0</v>
      </c>
      <c r="AL98" s="164">
        <f t="shared" si="64"/>
        <v>0</v>
      </c>
      <c r="AM98" s="164">
        <f t="shared" si="64"/>
        <v>0</v>
      </c>
      <c r="AN98" s="164">
        <f t="shared" si="64"/>
        <v>0</v>
      </c>
      <c r="AO98" s="164">
        <f t="shared" si="64"/>
        <v>0</v>
      </c>
      <c r="AP98" s="164">
        <f t="shared" si="64"/>
        <v>0</v>
      </c>
    </row>
    <row r="99" spans="1:42">
      <c r="A99" s="206" t="s">
        <v>36</v>
      </c>
      <c r="B99" s="209">
        <f>B270</f>
        <v>0</v>
      </c>
      <c r="C99" s="209">
        <f>C270</f>
        <v>-2988349.7695523486</v>
      </c>
      <c r="D99" s="209">
        <f t="shared" ref="D99:AP99" si="65">D270</f>
        <v>1645291.8461373798</v>
      </c>
      <c r="E99" s="209">
        <f t="shared" si="65"/>
        <v>138682.89222793945</v>
      </c>
      <c r="F99" s="209">
        <f t="shared" si="65"/>
        <v>-772334.41850854014</v>
      </c>
      <c r="G99" s="209">
        <f t="shared" si="65"/>
        <v>-795972.40702661371</v>
      </c>
      <c r="H99" s="209">
        <f t="shared" si="65"/>
        <v>-1482790.9565685897</v>
      </c>
      <c r="I99" s="209">
        <f t="shared" si="65"/>
        <v>-2168433.8034752826</v>
      </c>
      <c r="J99" s="209">
        <f t="shared" si="65"/>
        <v>-2192628.4940271578</v>
      </c>
      <c r="K99" s="209">
        <f t="shared" si="65"/>
        <v>-2207480.7597485897</v>
      </c>
      <c r="L99" s="209">
        <f t="shared" si="65"/>
        <v>-2220043.673870869</v>
      </c>
      <c r="M99" s="209">
        <f t="shared" si="65"/>
        <v>-2244471.5186184254</v>
      </c>
      <c r="N99" s="209">
        <f t="shared" si="65"/>
        <v>-2064475.404593833</v>
      </c>
      <c r="O99" s="209">
        <f t="shared" si="65"/>
        <v>-1942784.9109645966</v>
      </c>
      <c r="P99" s="209">
        <f t="shared" si="65"/>
        <v>-2092551.2045486034</v>
      </c>
      <c r="Q99" s="209">
        <f t="shared" si="65"/>
        <v>-1774807.980371593</v>
      </c>
      <c r="R99" s="209">
        <f t="shared" si="65"/>
        <v>-1520378.0813640817</v>
      </c>
      <c r="S99" s="209">
        <f t="shared" si="65"/>
        <v>-1876491.8313988736</v>
      </c>
      <c r="T99" s="209">
        <f t="shared" si="65"/>
        <v>-2104370.1939087426</v>
      </c>
      <c r="U99" s="209">
        <f t="shared" si="65"/>
        <v>-2116978.2822197815</v>
      </c>
      <c r="V99" s="209">
        <f t="shared" si="65"/>
        <v>-2260572.1925851884</v>
      </c>
      <c r="W99" s="209">
        <f t="shared" si="65"/>
        <v>-2403665.5835499549</v>
      </c>
      <c r="X99" s="209">
        <f t="shared" si="65"/>
        <v>-2421835.142262632</v>
      </c>
      <c r="Y99" s="209">
        <f t="shared" si="65"/>
        <v>-2443672.4740784941</v>
      </c>
      <c r="Z99" s="209">
        <f t="shared" si="65"/>
        <v>-2220981.9278290868</v>
      </c>
      <c r="AA99" s="209">
        <f t="shared" si="65"/>
        <v>-2068090.4998131534</v>
      </c>
      <c r="AB99" s="209">
        <f t="shared" si="65"/>
        <v>-2237612.0126861511</v>
      </c>
      <c r="AC99" s="209">
        <f t="shared" si="65"/>
        <v>-2335356.8580210265</v>
      </c>
      <c r="AD99" s="209">
        <f t="shared" si="65"/>
        <v>-2340538.9000541274</v>
      </c>
      <c r="AE99" s="209">
        <f t="shared" si="65"/>
        <v>-2428399.9776645014</v>
      </c>
      <c r="AF99" s="209">
        <f t="shared" si="65"/>
        <v>-3324715.2395787113</v>
      </c>
      <c r="AG99" s="209">
        <f t="shared" si="65"/>
        <v>0</v>
      </c>
      <c r="AH99" s="209">
        <f t="shared" si="65"/>
        <v>0</v>
      </c>
      <c r="AI99" s="209">
        <f t="shared" si="65"/>
        <v>0</v>
      </c>
      <c r="AJ99" s="209">
        <f t="shared" si="65"/>
        <v>0</v>
      </c>
      <c r="AK99" s="209">
        <f t="shared" si="65"/>
        <v>0</v>
      </c>
      <c r="AL99" s="209">
        <f t="shared" si="65"/>
        <v>0</v>
      </c>
      <c r="AM99" s="209">
        <f t="shared" si="65"/>
        <v>0</v>
      </c>
      <c r="AN99" s="209">
        <f t="shared" si="65"/>
        <v>0</v>
      </c>
      <c r="AO99" s="209">
        <f t="shared" si="65"/>
        <v>0</v>
      </c>
      <c r="AP99" s="209">
        <f t="shared" si="65"/>
        <v>0</v>
      </c>
    </row>
    <row r="100" spans="1:42">
      <c r="A100" s="206" t="s">
        <v>53</v>
      </c>
      <c r="B100" s="216">
        <f>SUM(B98:B99)</f>
        <v>0</v>
      </c>
      <c r="C100" s="216">
        <f>SUM(C98:C99)</f>
        <v>-3576913.1118313484</v>
      </c>
      <c r="D100" s="216">
        <f>SUM(D98:D99)</f>
        <v>1955422.7207886749</v>
      </c>
      <c r="E100" s="216">
        <f t="shared" ref="E100:AP100" si="66">SUM(E98:E99)</f>
        <v>183666.71754782656</v>
      </c>
      <c r="F100" s="216">
        <f t="shared" si="66"/>
        <v>-887611.48072096682</v>
      </c>
      <c r="G100" s="216">
        <f t="shared" si="66"/>
        <v>-915180.20051188709</v>
      </c>
      <c r="H100" s="216">
        <f t="shared" si="66"/>
        <v>-1722785.6663665266</v>
      </c>
      <c r="I100" s="216">
        <f t="shared" si="66"/>
        <v>-2529019.923478731</v>
      </c>
      <c r="J100" s="216">
        <f t="shared" si="66"/>
        <v>-2557237.9185819384</v>
      </c>
      <c r="K100" s="216">
        <f t="shared" si="66"/>
        <v>-2574559.9488224294</v>
      </c>
      <c r="L100" s="216">
        <f t="shared" si="66"/>
        <v>-2589211.9340761532</v>
      </c>
      <c r="M100" s="216">
        <f t="shared" si="66"/>
        <v>-2617701.8542919355</v>
      </c>
      <c r="N100" s="216">
        <f t="shared" si="66"/>
        <v>-2407774.4136721725</v>
      </c>
      <c r="O100" s="216">
        <f t="shared" si="66"/>
        <v>-2265848.161465134</v>
      </c>
      <c r="P100" s="216">
        <f t="shared" si="66"/>
        <v>-2440518.9029618255</v>
      </c>
      <c r="Q100" s="216">
        <f t="shared" si="66"/>
        <v>-2069938.5591181922</v>
      </c>
      <c r="R100" s="216">
        <f t="shared" si="66"/>
        <v>-1773199.8333671791</v>
      </c>
      <c r="S100" s="216">
        <f t="shared" si="66"/>
        <v>-2188531.2893790342</v>
      </c>
      <c r="T100" s="216">
        <f t="shared" si="66"/>
        <v>-2454303.2571437564</v>
      </c>
      <c r="U100" s="216">
        <f t="shared" si="66"/>
        <v>-2469007.9285450666</v>
      </c>
      <c r="V100" s="216">
        <f t="shared" si="66"/>
        <v>-2636479.8890090291</v>
      </c>
      <c r="W100" s="216">
        <f t="shared" si="66"/>
        <v>-2803368.0993330162</v>
      </c>
      <c r="X100" s="216">
        <f t="shared" si="66"/>
        <v>-2824559.051028905</v>
      </c>
      <c r="Y100" s="216">
        <f t="shared" si="66"/>
        <v>-2850027.6851875409</v>
      </c>
      <c r="Z100" s="216">
        <f t="shared" si="66"/>
        <v>-2590306.2091007414</v>
      </c>
      <c r="AA100" s="216">
        <f t="shared" si="66"/>
        <v>-2411990.6585122417</v>
      </c>
      <c r="AB100" s="216">
        <f t="shared" si="66"/>
        <v>-2609701.6897768187</v>
      </c>
      <c r="AC100" s="216">
        <f t="shared" si="66"/>
        <v>-2723700.402060804</v>
      </c>
      <c r="AD100" s="216">
        <f t="shared" si="66"/>
        <v>-2729744.1593223875</v>
      </c>
      <c r="AE100" s="216">
        <f t="shared" si="66"/>
        <v>-2832215.5446230732</v>
      </c>
      <c r="AF100" s="216">
        <f t="shared" si="66"/>
        <v>-3877577.9400377562</v>
      </c>
      <c r="AG100" s="216">
        <f t="shared" si="66"/>
        <v>0</v>
      </c>
      <c r="AH100" s="216">
        <f t="shared" si="66"/>
        <v>0</v>
      </c>
      <c r="AI100" s="216">
        <f t="shared" si="66"/>
        <v>0</v>
      </c>
      <c r="AJ100" s="216">
        <f t="shared" si="66"/>
        <v>0</v>
      </c>
      <c r="AK100" s="216">
        <f t="shared" si="66"/>
        <v>0</v>
      </c>
      <c r="AL100" s="216">
        <f t="shared" si="66"/>
        <v>0</v>
      </c>
      <c r="AM100" s="216">
        <f t="shared" si="66"/>
        <v>0</v>
      </c>
      <c r="AN100" s="216">
        <f t="shared" si="66"/>
        <v>0</v>
      </c>
      <c r="AO100" s="216">
        <f t="shared" si="66"/>
        <v>0</v>
      </c>
      <c r="AP100" s="216">
        <f t="shared" si="66"/>
        <v>0</v>
      </c>
    </row>
    <row r="101" spans="1:42">
      <c r="A101" s="202" t="s">
        <v>53</v>
      </c>
      <c r="B101" s="164">
        <f>B88+B92+B96+B100</f>
        <v>-28965458.75</v>
      </c>
      <c r="C101" s="164">
        <f t="shared" ref="C101:AP101" si="67">C88+C92+C96+C100</f>
        <v>2199186.3432666892</v>
      </c>
      <c r="D101" s="164">
        <f t="shared" si="67"/>
        <v>7754821.0869050026</v>
      </c>
      <c r="E101" s="164">
        <f t="shared" si="67"/>
        <v>6036371.9420701433</v>
      </c>
      <c r="F101" s="164">
        <f t="shared" si="67"/>
        <v>5015034.4978009285</v>
      </c>
      <c r="G101" s="164">
        <f t="shared" si="67"/>
        <v>5040808.3418127447</v>
      </c>
      <c r="H101" s="164">
        <f t="shared" si="67"/>
        <v>4286545.6117402306</v>
      </c>
      <c r="I101" s="164">
        <f t="shared" si="67"/>
        <v>3530126.0000067875</v>
      </c>
      <c r="J101" s="164">
        <f t="shared" si="67"/>
        <v>3555271.530463513</v>
      </c>
      <c r="K101" s="164">
        <f t="shared" si="67"/>
        <v>3591304.7943080319</v>
      </c>
      <c r="L101" s="164">
        <f t="shared" si="67"/>
        <v>3626310.3498152592</v>
      </c>
      <c r="M101" s="164">
        <f t="shared" si="67"/>
        <v>3651180.3562982846</v>
      </c>
      <c r="N101" s="164">
        <f t="shared" si="67"/>
        <v>3914450.4172793888</v>
      </c>
      <c r="O101" s="164">
        <f t="shared" si="67"/>
        <v>4006302.6864263988</v>
      </c>
      <c r="P101" s="164">
        <f t="shared" si="67"/>
        <v>3885801.8150655129</v>
      </c>
      <c r="Q101" s="164">
        <f t="shared" si="67"/>
        <v>4310524.9301340487</v>
      </c>
      <c r="R101" s="164">
        <f t="shared" si="67"/>
        <v>4446824.6163934013</v>
      </c>
      <c r="S101" s="164">
        <f t="shared" si="67"/>
        <v>4087402.1491717538</v>
      </c>
      <c r="T101" s="164">
        <f t="shared" si="67"/>
        <v>3877501.5115584359</v>
      </c>
      <c r="U101" s="164">
        <f t="shared" si="67"/>
        <v>3914411.6208219002</v>
      </c>
      <c r="V101" s="164">
        <f t="shared" si="67"/>
        <v>3802758.802102448</v>
      </c>
      <c r="W101" s="164">
        <f t="shared" si="67"/>
        <v>3691640.6952032847</v>
      </c>
      <c r="X101" s="164">
        <f t="shared" si="67"/>
        <v>3707428.166818908</v>
      </c>
      <c r="Y101" s="164">
        <f t="shared" si="67"/>
        <v>3723324.4704301497</v>
      </c>
      <c r="Z101" s="164">
        <f t="shared" si="67"/>
        <v>4024349.5899508451</v>
      </c>
      <c r="AA101" s="164">
        <f t="shared" si="67"/>
        <v>4471089.5332810301</v>
      </c>
      <c r="AB101" s="164">
        <f t="shared" si="67"/>
        <v>4309449.3981532771</v>
      </c>
      <c r="AC101" s="164">
        <f t="shared" si="67"/>
        <v>4231447.0951076364</v>
      </c>
      <c r="AD101" s="164">
        <f t="shared" si="67"/>
        <v>4256501.0359218828</v>
      </c>
      <c r="AE101" s="164">
        <f t="shared" si="67"/>
        <v>4189902.3639119184</v>
      </c>
      <c r="AF101" s="164">
        <f t="shared" si="67"/>
        <v>7353039.0014801482</v>
      </c>
      <c r="AG101" s="164">
        <f t="shared" si="67"/>
        <v>0</v>
      </c>
      <c r="AH101" s="164">
        <f t="shared" si="67"/>
        <v>0</v>
      </c>
      <c r="AI101" s="164">
        <f t="shared" si="67"/>
        <v>0</v>
      </c>
      <c r="AJ101" s="164">
        <f t="shared" si="67"/>
        <v>0</v>
      </c>
      <c r="AK101" s="164">
        <f t="shared" si="67"/>
        <v>0</v>
      </c>
      <c r="AL101" s="164">
        <f t="shared" si="67"/>
        <v>0</v>
      </c>
      <c r="AM101" s="164">
        <f t="shared" si="67"/>
        <v>0</v>
      </c>
      <c r="AN101" s="164">
        <f t="shared" si="67"/>
        <v>0</v>
      </c>
      <c r="AO101" s="164">
        <f t="shared" si="67"/>
        <v>0</v>
      </c>
      <c r="AP101" s="164">
        <f t="shared" si="67"/>
        <v>0</v>
      </c>
    </row>
    <row r="102" spans="1:42">
      <c r="A102" s="206"/>
      <c r="B102" s="164"/>
      <c r="C102" s="164"/>
      <c r="D102" s="164"/>
      <c r="E102" s="164"/>
      <c r="F102" s="164"/>
      <c r="G102" s="164"/>
      <c r="H102" s="164"/>
      <c r="I102" s="164"/>
      <c r="J102" s="164"/>
      <c r="K102" s="164"/>
      <c r="L102" s="164"/>
      <c r="M102" s="164"/>
      <c r="N102" s="164"/>
      <c r="O102" s="164"/>
      <c r="P102" s="164"/>
      <c r="Q102" s="164"/>
      <c r="R102" s="164"/>
      <c r="S102" s="164"/>
      <c r="T102" s="164"/>
      <c r="U102" s="164"/>
      <c r="V102" s="164"/>
      <c r="W102" s="164"/>
      <c r="X102" s="164"/>
      <c r="Y102" s="164"/>
      <c r="Z102" s="164"/>
      <c r="AA102" s="164"/>
      <c r="AB102" s="164"/>
      <c r="AC102" s="164"/>
      <c r="AD102" s="164"/>
      <c r="AE102" s="164"/>
      <c r="AF102" s="164"/>
      <c r="AG102" s="164"/>
      <c r="AH102" s="164"/>
      <c r="AI102" s="164"/>
      <c r="AJ102" s="164"/>
      <c r="AK102" s="164"/>
      <c r="AL102" s="164"/>
      <c r="AM102" s="164"/>
      <c r="AN102" s="164"/>
      <c r="AO102" s="164"/>
      <c r="AP102" s="164"/>
    </row>
    <row r="103" spans="1:42">
      <c r="A103" s="202" t="s">
        <v>418</v>
      </c>
      <c r="B103" s="223">
        <f>ROUND(IF(ISERROR(IRR($B101:B101)),0,IRR($B101:B101)),4)</f>
        <v>0</v>
      </c>
      <c r="C103" s="223">
        <f>ROUND(IF(ISERROR(IRR($B101:C101)),0,IRR($B101:C101)),4)</f>
        <v>0</v>
      </c>
      <c r="D103" s="223">
        <f>ROUND(IF(ISERROR(IRR($B101:D101)),0,IRR($B101:D101)),4)</f>
        <v>0</v>
      </c>
      <c r="E103" s="223">
        <f>ROUND(IF(ISERROR(IRR($B101:E101)),0,IRR($B101:E101)),4)</f>
        <v>-0.2278</v>
      </c>
      <c r="F103" s="223">
        <f>ROUND(IF(ISERROR(IRR($B101:F101)),0,IRR($B101:F101)),4)</f>
        <v>-0.11169999999999999</v>
      </c>
      <c r="G103" s="223">
        <f>ROUND(IF(ISERROR(IRR($B101:G101)),0,IRR($B101:G101)),4)</f>
        <v>-3.3300000000000003E-2</v>
      </c>
      <c r="H103" s="223">
        <f>ROUND(IF(ISERROR(IRR($B101:H101)),0,IRR($B101:H101)),4)</f>
        <v>1.32E-2</v>
      </c>
      <c r="I103" s="223">
        <f>ROUND(IF(ISERROR(IRR($B101:I101)),0,IRR($B101:I101)),4)</f>
        <v>4.1799999999999997E-2</v>
      </c>
      <c r="J103" s="223">
        <f>ROUND(IF(ISERROR(IRR($B101:J101)),0,IRR($B101:J101)),4)</f>
        <v>6.3799999999999996E-2</v>
      </c>
      <c r="K103" s="223">
        <f>ROUND(IF(ISERROR(IRR($B101:K101)),0,IRR($B101:K101)),4)</f>
        <v>8.09E-2</v>
      </c>
      <c r="L103" s="223">
        <f>ROUND(IF(ISERROR(IRR($B101:L101)),0,IRR($B101:L101)),4)</f>
        <v>9.4399999999999998E-2</v>
      </c>
      <c r="M103" s="223">
        <f>ROUND(IF(ISERROR(IRR($B101:M101)),0,IRR($B101:M101)),4)</f>
        <v>0.105</v>
      </c>
      <c r="N103" s="223">
        <f>ROUND(IF(ISERROR(IRR($B101:N101)),0,IRR($B101:N101)),4)</f>
        <v>0.114</v>
      </c>
      <c r="O103" s="223">
        <f>ROUND(IF(ISERROR(IRR($B101:O101)),0,IRR($B101:O101)),4)</f>
        <v>0.1212</v>
      </c>
      <c r="P103" s="223">
        <f>ROUND(IF(ISERROR(IRR($B101:P101)),0,IRR($B101:P101)),4)</f>
        <v>0.12690000000000001</v>
      </c>
      <c r="Q103" s="223">
        <f>ROUND(IF(ISERROR(IRR($B101:Q101)),0,IRR($B101:Q101)),4)</f>
        <v>0.13200000000000001</v>
      </c>
      <c r="R103" s="223">
        <f>ROUND(IF(ISERROR(IRR($B101:R101)),0,IRR($B101:R101)),4)</f>
        <v>0.13619999999999999</v>
      </c>
      <c r="S103" s="223">
        <f>ROUND(IF(ISERROR(IRR($B101:S101)),0,IRR($B101:S101)),4)</f>
        <v>0.13930000000000001</v>
      </c>
      <c r="T103" s="223">
        <f>ROUND(IF(ISERROR(IRR($B101:T101)),0,IRR($B101:T101)),4)</f>
        <v>0.14180000000000001</v>
      </c>
      <c r="U103" s="223">
        <f>ROUND(IF(ISERROR(IRR($B101:U101)),0,IRR($B101:U101)),4)</f>
        <v>0.1439</v>
      </c>
      <c r="V103" s="223">
        <f>ROUND(IF(ISERROR(IRR($B101:V101)),0,IRR($B101:V101)),4)</f>
        <v>0.14560000000000001</v>
      </c>
      <c r="W103" s="223">
        <f>ROUND(IF(ISERROR(IRR($B101:W101)),0,IRR($B101:W101)),4)</f>
        <v>0.1469</v>
      </c>
      <c r="X103" s="223">
        <f>ROUND(IF(ISERROR(IRR($B101:X101)),0,IRR($B101:X101)),4)</f>
        <v>0.14810000000000001</v>
      </c>
      <c r="Y103" s="223">
        <f>ROUND(IF(ISERROR(IRR($B101:Y101)),0,IRR($B101:Y101)),4)</f>
        <v>0.14910000000000001</v>
      </c>
      <c r="Z103" s="223">
        <f>ROUND(IF(ISERROR(IRR($B101:Z101)),0,IRR($B101:Z101)),4)</f>
        <v>0.15</v>
      </c>
      <c r="AA103" s="223">
        <f>ROUND(IF(ISERROR(IRR($B101:AA101)),0,IRR($B101:AA101)),4)</f>
        <v>0.15079999999999999</v>
      </c>
      <c r="AB103" s="223">
        <f>ROUND(IF(ISERROR(IRR($B101:AB101)),0,IRR($B101:AB101)),4)</f>
        <v>0.1515</v>
      </c>
      <c r="AC103" s="223">
        <f>ROUND(IF(ISERROR(IRR($B101:AC101)),0,IRR($B101:AC101)),4)</f>
        <v>0.15210000000000001</v>
      </c>
      <c r="AD103" s="223">
        <f>ROUND(IF(ISERROR(IRR($B101:AD101)),0,IRR($B101:AD101)),4)</f>
        <v>0.1525</v>
      </c>
      <c r="AE103" s="223">
        <f>ROUND(IF(ISERROR(IRR($B101:AE101)),0,IRR($B101:AE101)),4)</f>
        <v>0.153</v>
      </c>
      <c r="AF103" s="223">
        <f>ROUND(IF(ISERROR(IRR($B101:AF101)),0,IRR($B101:AF101)),4)</f>
        <v>0.15359999999999999</v>
      </c>
      <c r="AG103" s="223">
        <f>ROUND(IF(ISERROR(IRR($B101:AG101)),0,IRR($B101:AG101)),4)</f>
        <v>0.15359999999999999</v>
      </c>
      <c r="AH103" s="223">
        <f>ROUND(IF(ISERROR(IRR($B101:AH101)),0,IRR($B101:AH101)),4)</f>
        <v>0.15359999999999999</v>
      </c>
      <c r="AI103" s="223">
        <f>ROUND(IF(ISERROR(IRR($B101:AI101)),0,IRR($B101:AI101)),4)</f>
        <v>0.15359999999999999</v>
      </c>
      <c r="AJ103" s="223">
        <f>ROUND(IF(ISERROR(IRR($B101:AJ101)),0,IRR($B101:AJ101)),4)</f>
        <v>0.15359999999999999</v>
      </c>
      <c r="AK103" s="223">
        <f>ROUND(IF(ISERROR(IRR($B101:AK101)),0,IRR($B101:AK101)),4)</f>
        <v>0.15359999999999999</v>
      </c>
      <c r="AL103" s="223">
        <f>ROUND(IF(ISERROR(IRR($B101:AL101)),0,IRR($B101:AL101)),4)</f>
        <v>0.15359999999999999</v>
      </c>
      <c r="AM103" s="223">
        <f>ROUND(IF(ISERROR(IRR($B101:AM101)),0,IRR($B101:AM101)),4)</f>
        <v>0.15359999999999999</v>
      </c>
      <c r="AN103" s="223">
        <f>ROUND(IF(ISERROR(IRR($B101:AN101)),0,IRR($B101:AN101)),4)</f>
        <v>0.15359999999999999</v>
      </c>
      <c r="AO103" s="223">
        <f>ROUND(IF(ISERROR(IRR($B101:AO101)),0,IRR($B101:AO101)),4)</f>
        <v>0.15359999999999999</v>
      </c>
      <c r="AP103" s="223">
        <f>ROUND(IF(ISERROR(IRR($B101:AP101)),0,IRR($B101:AP101)),4)</f>
        <v>0.15359999999999999</v>
      </c>
    </row>
    <row r="104" spans="1:42">
      <c r="A104" s="202" t="s">
        <v>419</v>
      </c>
      <c r="B104" s="291">
        <f>B101</f>
        <v>-28965458.75</v>
      </c>
      <c r="C104" s="291">
        <f>NPV(DiscountRate,$C101:C101)+$B101</f>
        <v>-26929175.098827139</v>
      </c>
      <c r="D104" s="291">
        <f>NPV(DiscountRate,$C101:D101)+$B101</f>
        <v>-20280665.936528616</v>
      </c>
      <c r="E104" s="291">
        <f>NPV(DiscountRate,$C101:E101)+$B101</f>
        <v>-15488799.270123798</v>
      </c>
      <c r="F104" s="291">
        <f>NPV(DiscountRate,$C101:F101)+$B101</f>
        <v>-11802599.201436047</v>
      </c>
      <c r="G104" s="291">
        <f>NPV(DiscountRate,$C101:G101)+$B101</f>
        <v>-8371909.7445307188</v>
      </c>
      <c r="H104" s="291">
        <f>NPV(DiscountRate,$C101:H101)+$B101</f>
        <v>-5670658.8957629688</v>
      </c>
      <c r="I104" s="291">
        <f>NPV(DiscountRate,$C101:I101)+$B101</f>
        <v>-3610864.28069387</v>
      </c>
      <c r="J104" s="291">
        <f>NPV(DiscountRate,$C101:J101)+$B101</f>
        <v>-1690061.6968287155</v>
      </c>
      <c r="K104" s="291">
        <f>NPV(DiscountRate,$C101:K101)+$B101</f>
        <v>106484.81717813388</v>
      </c>
      <c r="L104" s="291">
        <f>NPV(DiscountRate,$C101:L101)+$B101</f>
        <v>1786168.1569866575</v>
      </c>
      <c r="M104" s="291">
        <f>NPV(DiscountRate,$C101:M101)+$B101</f>
        <v>3352096.8281533979</v>
      </c>
      <c r="N104" s="291">
        <f>NPV(DiscountRate,$C101:N101)+$B101</f>
        <v>4906578.9463925809</v>
      </c>
      <c r="O104" s="291">
        <f>NPV(DiscountRate,$C101:O101)+$B101</f>
        <v>6379688.1298002899</v>
      </c>
      <c r="P104" s="291">
        <f>NPV(DiscountRate,$C101:P101)+$B101</f>
        <v>7702652.2622883543</v>
      </c>
      <c r="Q104" s="291">
        <f>NPV(DiscountRate,$C101:Q101)+$B101</f>
        <v>9061509.4905617833</v>
      </c>
      <c r="R104" s="291">
        <f>NPV(DiscountRate,$C101:R101)+$B101</f>
        <v>10359495.207002655</v>
      </c>
      <c r="S104" s="291">
        <f>NPV(DiscountRate,$C101:S101)+$B101</f>
        <v>11464193.099994898</v>
      </c>
      <c r="T104" s="291">
        <f>NPV(DiscountRate,$C101:T101)+$B101</f>
        <v>12434534.088658571</v>
      </c>
      <c r="U104" s="291">
        <f>NPV(DiscountRate,$C101:U101)+$B101</f>
        <v>13341550.484650627</v>
      </c>
      <c r="V104" s="291">
        <f>NPV(DiscountRate,$C101:V101)+$B101</f>
        <v>14157425.568831705</v>
      </c>
      <c r="W104" s="291">
        <f>NPV(DiscountRate,$C101:W101)+$B101</f>
        <v>14890791.210994415</v>
      </c>
      <c r="X104" s="291">
        <f>NPV(DiscountRate,$C101:X101)+$B101</f>
        <v>15572737.427789941</v>
      </c>
      <c r="Y104" s="291">
        <f>NPV(DiscountRate,$C101:Y101)+$B101</f>
        <v>16206876.493476741</v>
      </c>
      <c r="Z104" s="291">
        <f>NPV(DiscountRate,$C101:Z101)+$B101</f>
        <v>16841513.756899446</v>
      </c>
      <c r="AA104" s="291">
        <f>NPV(DiscountRate,$C101:AA101)+$B101</f>
        <v>17494372.883227199</v>
      </c>
      <c r="AB104" s="291">
        <f>NPV(DiscountRate,$C101:AB101)+$B101</f>
        <v>18077018.042899936</v>
      </c>
      <c r="AC104" s="291">
        <f>NPV(DiscountRate,$C101:AC101)+$B101</f>
        <v>18606739.441714622</v>
      </c>
      <c r="AD104" s="291">
        <f>NPV(DiscountRate,$C101:AD101)+$B101</f>
        <v>19100126.313892514</v>
      </c>
      <c r="AE104" s="291">
        <f>NPV(DiscountRate,$C101:AE101)+$B101</f>
        <v>19549818.140107766</v>
      </c>
      <c r="AF104" s="291">
        <f>NPV(DiscountRate,$C101:AF101)+$B101</f>
        <v>20280543.542209513</v>
      </c>
      <c r="AG104" s="291">
        <f>NPV(DiscountRate,$C101:AG101)+$B101</f>
        <v>20280543.542209513</v>
      </c>
      <c r="AH104" s="291">
        <f>NPV(DiscountRate,$C101:AH101)+$B101</f>
        <v>20280543.542209513</v>
      </c>
      <c r="AI104" s="291">
        <f>NPV(DiscountRate,$C101:AI101)+$B101</f>
        <v>20280543.542209513</v>
      </c>
      <c r="AJ104" s="291">
        <f>NPV(DiscountRate,$C101:AJ101)+$B101</f>
        <v>20280543.542209513</v>
      </c>
      <c r="AK104" s="291">
        <f>NPV(DiscountRate,$C101:AK101)+$B101</f>
        <v>20280543.542209513</v>
      </c>
      <c r="AL104" s="291">
        <f>NPV(DiscountRate,$C101:AL101)+$B101</f>
        <v>20280543.542209513</v>
      </c>
      <c r="AM104" s="291">
        <f>NPV(DiscountRate,$C101:AM101)+$B101</f>
        <v>20280543.542209513</v>
      </c>
      <c r="AN104" s="291">
        <f>NPV(DiscountRate,$C101:AN101)+$B101</f>
        <v>20280543.542209513</v>
      </c>
      <c r="AO104" s="291">
        <f>NPV(DiscountRate,$C101:AO101)+$B101</f>
        <v>20280543.542209513</v>
      </c>
      <c r="AP104" s="291">
        <f>NPV(DiscountRate,$C101:AP101)+$B101</f>
        <v>20280543.542209513</v>
      </c>
    </row>
    <row r="105" spans="1:42">
      <c r="A105" s="206"/>
      <c r="B105" s="164"/>
      <c r="C105" s="164"/>
      <c r="D105" s="164"/>
      <c r="E105" s="164"/>
      <c r="F105" s="164"/>
      <c r="G105" s="164"/>
      <c r="H105" s="164"/>
      <c r="I105" s="164"/>
      <c r="J105" s="164"/>
      <c r="K105" s="164"/>
      <c r="L105" s="164"/>
      <c r="M105" s="164"/>
      <c r="N105" s="164"/>
      <c r="O105" s="164"/>
      <c r="P105" s="164"/>
      <c r="Q105" s="164"/>
      <c r="R105" s="164"/>
      <c r="S105" s="164"/>
      <c r="T105" s="164"/>
      <c r="U105" s="164"/>
      <c r="V105" s="164"/>
      <c r="W105" s="164"/>
      <c r="X105" s="164"/>
      <c r="Y105" s="164"/>
      <c r="Z105" s="164"/>
      <c r="AA105" s="164"/>
      <c r="AB105" s="164"/>
      <c r="AC105" s="164"/>
      <c r="AD105" s="164"/>
      <c r="AE105" s="164"/>
      <c r="AF105" s="164"/>
      <c r="AG105" s="164"/>
      <c r="AH105" s="164"/>
      <c r="AI105" s="164"/>
      <c r="AJ105" s="164"/>
      <c r="AK105" s="164"/>
      <c r="AL105" s="164"/>
      <c r="AM105" s="164"/>
      <c r="AN105" s="164"/>
      <c r="AO105" s="164"/>
      <c r="AP105" s="164"/>
    </row>
    <row r="106" spans="1:42">
      <c r="A106" s="201" t="s">
        <v>261</v>
      </c>
      <c r="B106" s="164"/>
      <c r="C106" s="164"/>
      <c r="D106" s="164"/>
      <c r="E106" s="164"/>
      <c r="F106" s="164"/>
      <c r="G106" s="208"/>
      <c r="H106" s="208"/>
      <c r="I106" s="208"/>
      <c r="J106" s="208"/>
      <c r="K106" s="208"/>
      <c r="L106" s="208"/>
      <c r="M106" s="208"/>
      <c r="N106" s="208"/>
      <c r="O106" s="208"/>
      <c r="P106" s="208"/>
      <c r="Q106" s="208"/>
      <c r="R106" s="208"/>
      <c r="S106" s="208"/>
      <c r="T106" s="208"/>
      <c r="U106" s="208"/>
      <c r="V106" s="208"/>
      <c r="W106" s="208"/>
      <c r="X106" s="208"/>
      <c r="Y106" s="208"/>
      <c r="Z106" s="208"/>
      <c r="AA106" s="208"/>
      <c r="AB106" s="208"/>
      <c r="AC106" s="208"/>
      <c r="AD106" s="208"/>
      <c r="AE106" s="208"/>
      <c r="AF106" s="208"/>
      <c r="AG106" s="208"/>
      <c r="AH106" s="208"/>
      <c r="AI106" s="208"/>
      <c r="AJ106" s="208"/>
      <c r="AK106" s="208"/>
      <c r="AL106" s="208"/>
      <c r="AM106" s="208"/>
      <c r="AN106" s="208"/>
      <c r="AO106" s="208"/>
      <c r="AP106" s="208"/>
    </row>
    <row r="107" spans="1:42">
      <c r="A107" s="202" t="s">
        <v>459</v>
      </c>
      <c r="B107" s="218">
        <f>SUM(C107:AP107)</f>
        <v>232600995.20850044</v>
      </c>
      <c r="C107" s="164">
        <f t="shared" ref="C107:AP107" si="68">C12</f>
        <v>7211060.7543711327</v>
      </c>
      <c r="D107" s="164">
        <f t="shared" si="68"/>
        <v>7246755.5051052701</v>
      </c>
      <c r="E107" s="164">
        <f t="shared" si="68"/>
        <v>7282626.944855541</v>
      </c>
      <c r="F107" s="164">
        <f t="shared" si="68"/>
        <v>7318675.9482325753</v>
      </c>
      <c r="G107" s="164">
        <f t="shared" si="68"/>
        <v>7354903.3941763267</v>
      </c>
      <c r="H107" s="164">
        <f t="shared" si="68"/>
        <v>7391310.1659774985</v>
      </c>
      <c r="I107" s="164">
        <f t="shared" si="68"/>
        <v>7427897.1512990892</v>
      </c>
      <c r="J107" s="164">
        <f t="shared" si="68"/>
        <v>7464665.2421980174</v>
      </c>
      <c r="K107" s="164">
        <f t="shared" si="68"/>
        <v>7501615.3351468993</v>
      </c>
      <c r="L107" s="164">
        <f t="shared" si="68"/>
        <v>7538748.3310558787</v>
      </c>
      <c r="M107" s="164">
        <f t="shared" si="68"/>
        <v>7576065.1352946041</v>
      </c>
      <c r="N107" s="164">
        <f t="shared" si="68"/>
        <v>7613566.657714311</v>
      </c>
      <c r="O107" s="164">
        <f t="shared" si="68"/>
        <v>7651253.8126699971</v>
      </c>
      <c r="P107" s="164">
        <f t="shared" si="68"/>
        <v>7689127.5190427136</v>
      </c>
      <c r="Q107" s="164">
        <f t="shared" si="68"/>
        <v>7727188.7002619766</v>
      </c>
      <c r="R107" s="164">
        <f t="shared" si="68"/>
        <v>7765438.2843282707</v>
      </c>
      <c r="S107" s="164">
        <f t="shared" si="68"/>
        <v>7803877.2038356988</v>
      </c>
      <c r="T107" s="164">
        <f t="shared" si="68"/>
        <v>7842506.3959946847</v>
      </c>
      <c r="U107" s="164">
        <f t="shared" si="68"/>
        <v>7881326.8026548587</v>
      </c>
      <c r="V107" s="164">
        <f t="shared" si="68"/>
        <v>7920339.370327998</v>
      </c>
      <c r="W107" s="164">
        <f t="shared" si="68"/>
        <v>7959545.0502111223</v>
      </c>
      <c r="X107" s="164">
        <f t="shared" si="68"/>
        <v>7998944.7982096663</v>
      </c>
      <c r="Y107" s="164">
        <f t="shared" si="68"/>
        <v>8038539.5749608064</v>
      </c>
      <c r="Z107" s="164">
        <f t="shared" si="68"/>
        <v>8078330.3458568593</v>
      </c>
      <c r="AA107" s="164">
        <f t="shared" si="68"/>
        <v>8118318.0810688548</v>
      </c>
      <c r="AB107" s="164">
        <f t="shared" si="68"/>
        <v>8158503.7555701463</v>
      </c>
      <c r="AC107" s="164">
        <f t="shared" si="68"/>
        <v>8198888.3491602186</v>
      </c>
      <c r="AD107" s="164">
        <f t="shared" si="68"/>
        <v>8239472.8464885578</v>
      </c>
      <c r="AE107" s="164">
        <f t="shared" si="68"/>
        <v>8280258.237078676</v>
      </c>
      <c r="AF107" s="164">
        <f t="shared" si="68"/>
        <v>8321245.5153522156</v>
      </c>
      <c r="AG107" s="164">
        <f t="shared" si="68"/>
        <v>0</v>
      </c>
      <c r="AH107" s="164">
        <f t="shared" si="68"/>
        <v>0</v>
      </c>
      <c r="AI107" s="164">
        <f t="shared" si="68"/>
        <v>0</v>
      </c>
      <c r="AJ107" s="164">
        <f t="shared" si="68"/>
        <v>0</v>
      </c>
      <c r="AK107" s="164">
        <f t="shared" si="68"/>
        <v>0</v>
      </c>
      <c r="AL107" s="164">
        <f t="shared" si="68"/>
        <v>0</v>
      </c>
      <c r="AM107" s="164">
        <f t="shared" si="68"/>
        <v>0</v>
      </c>
      <c r="AN107" s="164">
        <f t="shared" si="68"/>
        <v>0</v>
      </c>
      <c r="AO107" s="164">
        <f t="shared" si="68"/>
        <v>0</v>
      </c>
      <c r="AP107" s="164">
        <f t="shared" si="68"/>
        <v>0</v>
      </c>
    </row>
    <row r="108" spans="1:42">
      <c r="A108" s="202" t="s">
        <v>128</v>
      </c>
      <c r="B108" s="218">
        <f>SUM(C108:AP108)</f>
        <v>474693747.49003303</v>
      </c>
      <c r="C108" s="164">
        <f t="shared" ref="C108:AP108" si="69">C5</f>
        <v>17000000</v>
      </c>
      <c r="D108" s="164">
        <f t="shared" si="69"/>
        <v>16915000</v>
      </c>
      <c r="E108" s="164">
        <f t="shared" si="69"/>
        <v>16830425</v>
      </c>
      <c r="F108" s="164">
        <f t="shared" si="69"/>
        <v>16746272.875</v>
      </c>
      <c r="G108" s="164">
        <f t="shared" si="69"/>
        <v>16662541.510624999</v>
      </c>
      <c r="H108" s="164">
        <f t="shared" si="69"/>
        <v>16579228.803071873</v>
      </c>
      <c r="I108" s="164">
        <f t="shared" si="69"/>
        <v>16496332.659056515</v>
      </c>
      <c r="J108" s="164">
        <f t="shared" si="69"/>
        <v>16413850.995761232</v>
      </c>
      <c r="K108" s="164">
        <f t="shared" si="69"/>
        <v>16331781.740782427</v>
      </c>
      <c r="L108" s="164">
        <f t="shared" si="69"/>
        <v>16250122.832078515</v>
      </c>
      <c r="M108" s="164">
        <f t="shared" si="69"/>
        <v>16168872.217918122</v>
      </c>
      <c r="N108" s="164">
        <f t="shared" si="69"/>
        <v>16088027.856828531</v>
      </c>
      <c r="O108" s="164">
        <f t="shared" si="69"/>
        <v>16007587.717544388</v>
      </c>
      <c r="P108" s="164">
        <f t="shared" si="69"/>
        <v>15927549.778956667</v>
      </c>
      <c r="Q108" s="164">
        <f t="shared" si="69"/>
        <v>15847912.030061884</v>
      </c>
      <c r="R108" s="164">
        <f t="shared" si="69"/>
        <v>15768672.469911573</v>
      </c>
      <c r="S108" s="164">
        <f t="shared" si="69"/>
        <v>15689829.107562015</v>
      </c>
      <c r="T108" s="164">
        <f t="shared" si="69"/>
        <v>15611379.962024204</v>
      </c>
      <c r="U108" s="164">
        <f t="shared" si="69"/>
        <v>15533323.062214084</v>
      </c>
      <c r="V108" s="164">
        <f t="shared" si="69"/>
        <v>15455656.446903013</v>
      </c>
      <c r="W108" s="164">
        <f t="shared" si="69"/>
        <v>15378378.164668497</v>
      </c>
      <c r="X108" s="164">
        <f t="shared" si="69"/>
        <v>15301486.273845155</v>
      </c>
      <c r="Y108" s="164">
        <f t="shared" si="69"/>
        <v>15224978.842475928</v>
      </c>
      <c r="Z108" s="164">
        <f t="shared" si="69"/>
        <v>15148853.948263548</v>
      </c>
      <c r="AA108" s="164">
        <f t="shared" si="69"/>
        <v>15073109.678522231</v>
      </c>
      <c r="AB108" s="164">
        <f t="shared" si="69"/>
        <v>14997744.13012962</v>
      </c>
      <c r="AC108" s="164">
        <f t="shared" si="69"/>
        <v>14922755.409478972</v>
      </c>
      <c r="AD108" s="164">
        <f t="shared" si="69"/>
        <v>14848141.632431576</v>
      </c>
      <c r="AE108" s="164">
        <f t="shared" si="69"/>
        <v>14773900.924269417</v>
      </c>
      <c r="AF108" s="164">
        <f t="shared" si="69"/>
        <v>14700031.41964807</v>
      </c>
      <c r="AG108" s="164">
        <f t="shared" si="69"/>
        <v>0</v>
      </c>
      <c r="AH108" s="164">
        <f t="shared" si="69"/>
        <v>0</v>
      </c>
      <c r="AI108" s="164">
        <f t="shared" si="69"/>
        <v>0</v>
      </c>
      <c r="AJ108" s="164">
        <f t="shared" si="69"/>
        <v>0</v>
      </c>
      <c r="AK108" s="164">
        <f t="shared" si="69"/>
        <v>0</v>
      </c>
      <c r="AL108" s="164">
        <f t="shared" si="69"/>
        <v>0</v>
      </c>
      <c r="AM108" s="164">
        <f t="shared" si="69"/>
        <v>0</v>
      </c>
      <c r="AN108" s="164">
        <f t="shared" si="69"/>
        <v>0</v>
      </c>
      <c r="AO108" s="164">
        <f t="shared" si="69"/>
        <v>0</v>
      </c>
      <c r="AP108" s="164">
        <f t="shared" si="69"/>
        <v>0</v>
      </c>
    </row>
    <row r="109" spans="1:42">
      <c r="B109" s="164"/>
      <c r="C109" s="164"/>
      <c r="D109" s="164"/>
      <c r="E109" s="164"/>
      <c r="F109" s="164"/>
      <c r="G109" s="208"/>
      <c r="H109" s="208"/>
      <c r="I109" s="208"/>
      <c r="J109" s="208"/>
      <c r="K109" s="208"/>
      <c r="L109" s="208"/>
      <c r="M109" s="208"/>
      <c r="N109" s="208"/>
      <c r="O109" s="208"/>
      <c r="P109" s="208"/>
      <c r="Q109" s="208"/>
      <c r="R109" s="208"/>
      <c r="S109" s="208"/>
      <c r="T109" s="208"/>
      <c r="U109" s="208"/>
      <c r="V109" s="208"/>
      <c r="W109" s="208"/>
      <c r="X109" s="208"/>
      <c r="Y109" s="208"/>
      <c r="Z109" s="208"/>
      <c r="AA109" s="208"/>
      <c r="AB109" s="208"/>
      <c r="AC109" s="208"/>
      <c r="AD109" s="208"/>
      <c r="AE109" s="208"/>
      <c r="AF109" s="208"/>
      <c r="AG109" s="208"/>
      <c r="AH109" s="208"/>
      <c r="AI109" s="208"/>
      <c r="AJ109" s="208"/>
      <c r="AK109" s="208"/>
      <c r="AL109" s="208"/>
      <c r="AM109" s="208"/>
      <c r="AN109" s="208"/>
      <c r="AO109" s="208"/>
      <c r="AP109" s="208"/>
    </row>
    <row r="110" spans="1:42">
      <c r="A110" s="37" t="s">
        <v>457</v>
      </c>
      <c r="B110" s="218">
        <f>NPV(DiscountRate,C107:AP107)</f>
        <v>85010315.826895803</v>
      </c>
      <c r="C110" s="164"/>
      <c r="D110" s="164"/>
      <c r="E110" s="164"/>
      <c r="F110" s="164"/>
      <c r="G110" s="208"/>
      <c r="H110" s="208"/>
      <c r="I110" s="208"/>
      <c r="J110" s="208"/>
      <c r="K110" s="208"/>
      <c r="L110" s="208"/>
      <c r="M110" s="208"/>
      <c r="N110" s="208"/>
      <c r="O110" s="208"/>
      <c r="P110" s="208"/>
      <c r="Q110" s="208"/>
      <c r="R110" s="208"/>
      <c r="S110" s="208"/>
      <c r="T110" s="208"/>
      <c r="U110" s="208"/>
      <c r="V110" s="208"/>
      <c r="W110" s="208"/>
      <c r="X110" s="208"/>
      <c r="Y110" s="208"/>
      <c r="Z110" s="208"/>
      <c r="AA110" s="208"/>
      <c r="AB110" s="208"/>
      <c r="AC110" s="208"/>
      <c r="AD110" s="208"/>
      <c r="AE110" s="208"/>
      <c r="AF110" s="208"/>
      <c r="AG110" s="208"/>
      <c r="AH110" s="208"/>
      <c r="AI110" s="208"/>
      <c r="AJ110" s="208"/>
      <c r="AK110" s="208"/>
      <c r="AL110" s="208"/>
      <c r="AM110" s="208"/>
      <c r="AN110" s="208"/>
      <c r="AO110" s="208"/>
      <c r="AP110" s="208"/>
    </row>
    <row r="111" spans="1:42">
      <c r="A111" s="37" t="s">
        <v>458</v>
      </c>
      <c r="B111" s="218">
        <f>NPV(DiscountRate,C108:AP108)</f>
        <v>182899462.80790007</v>
      </c>
      <c r="C111" s="164"/>
      <c r="D111" s="164"/>
      <c r="E111" s="164"/>
      <c r="F111" s="164"/>
      <c r="G111" s="208"/>
      <c r="H111" s="208"/>
      <c r="I111" s="208"/>
      <c r="J111" s="208"/>
      <c r="K111" s="208"/>
      <c r="L111" s="208"/>
      <c r="M111" s="208"/>
      <c r="N111" s="208"/>
      <c r="O111" s="208"/>
      <c r="P111" s="208"/>
      <c r="Q111" s="208"/>
      <c r="R111" s="208"/>
      <c r="S111" s="208"/>
      <c r="T111" s="208"/>
      <c r="U111" s="208"/>
      <c r="V111" s="208"/>
      <c r="W111" s="208"/>
      <c r="X111" s="208"/>
      <c r="Y111" s="208"/>
      <c r="Z111" s="208"/>
      <c r="AA111" s="208"/>
      <c r="AB111" s="208"/>
      <c r="AC111" s="208"/>
      <c r="AD111" s="208"/>
      <c r="AE111" s="208"/>
      <c r="AF111" s="208"/>
      <c r="AG111" s="208"/>
      <c r="AH111" s="208"/>
      <c r="AI111" s="208"/>
      <c r="AJ111" s="208"/>
      <c r="AK111" s="208"/>
      <c r="AL111" s="208"/>
      <c r="AM111" s="208"/>
      <c r="AN111" s="208"/>
      <c r="AO111" s="208"/>
      <c r="AP111" s="208"/>
    </row>
    <row r="112" spans="1:42">
      <c r="A112" s="37" t="s">
        <v>389</v>
      </c>
      <c r="B112" s="221">
        <f>B110/B111</f>
        <v>0.46479259436744452</v>
      </c>
      <c r="C112" s="164"/>
      <c r="D112" s="164"/>
      <c r="E112" s="164"/>
      <c r="F112" s="164"/>
      <c r="G112" s="208"/>
      <c r="H112" s="208"/>
      <c r="I112" s="208"/>
      <c r="J112" s="208"/>
      <c r="K112" s="208"/>
      <c r="L112" s="208"/>
      <c r="M112" s="208"/>
      <c r="N112" s="208"/>
      <c r="O112" s="208"/>
      <c r="P112" s="208"/>
      <c r="Q112" s="208"/>
      <c r="R112" s="208"/>
      <c r="S112" s="208"/>
      <c r="T112" s="208"/>
      <c r="U112" s="208"/>
      <c r="V112" s="208"/>
      <c r="W112" s="208"/>
      <c r="X112" s="208"/>
      <c r="Y112" s="208"/>
      <c r="Z112" s="208"/>
      <c r="AA112" s="208"/>
      <c r="AB112" s="208"/>
      <c r="AC112" s="208"/>
      <c r="AD112" s="208"/>
      <c r="AE112" s="208"/>
      <c r="AF112" s="208"/>
      <c r="AG112" s="208"/>
      <c r="AH112" s="208"/>
      <c r="AI112" s="208"/>
      <c r="AJ112" s="208"/>
      <c r="AK112" s="208"/>
      <c r="AL112" s="208"/>
      <c r="AM112" s="208"/>
      <c r="AN112" s="208"/>
      <c r="AO112" s="208"/>
      <c r="AP112" s="208"/>
    </row>
    <row r="113" spans="1:42">
      <c r="B113" s="164"/>
      <c r="C113" s="164"/>
      <c r="D113" s="164"/>
      <c r="E113" s="164"/>
      <c r="F113" s="164"/>
      <c r="G113" s="208"/>
      <c r="H113" s="208"/>
      <c r="I113" s="208"/>
      <c r="J113" s="208"/>
      <c r="K113" s="208"/>
      <c r="L113" s="208"/>
      <c r="M113" s="208"/>
      <c r="N113" s="208"/>
      <c r="O113" s="208"/>
      <c r="P113" s="208"/>
      <c r="Q113" s="208"/>
      <c r="R113" s="208"/>
      <c r="S113" s="208"/>
      <c r="T113" s="208"/>
      <c r="U113" s="208"/>
      <c r="V113" s="208"/>
      <c r="W113" s="208"/>
      <c r="X113" s="208"/>
      <c r="Y113" s="208"/>
      <c r="Z113" s="208"/>
      <c r="AA113" s="208"/>
      <c r="AB113" s="208"/>
      <c r="AC113" s="208"/>
      <c r="AD113" s="208"/>
      <c r="AE113" s="208"/>
      <c r="AF113" s="208"/>
      <c r="AG113" s="208"/>
      <c r="AH113" s="208"/>
      <c r="AI113" s="208"/>
      <c r="AJ113" s="208"/>
      <c r="AK113" s="208"/>
      <c r="AL113" s="208"/>
      <c r="AM113" s="208"/>
      <c r="AN113" s="208"/>
      <c r="AO113" s="208"/>
      <c r="AP113" s="208"/>
    </row>
    <row r="114" spans="1:42">
      <c r="A114" s="201" t="s">
        <v>258</v>
      </c>
      <c r="B114" s="164"/>
      <c r="C114" s="164"/>
      <c r="D114" s="164"/>
      <c r="E114" s="164"/>
      <c r="F114" s="164"/>
      <c r="G114" s="208"/>
      <c r="H114" s="208"/>
      <c r="I114" s="208"/>
      <c r="J114" s="208"/>
      <c r="K114" s="208"/>
      <c r="L114" s="208"/>
      <c r="M114" s="208"/>
      <c r="N114" s="208"/>
      <c r="O114" s="208"/>
      <c r="P114" s="208"/>
      <c r="Q114" s="208"/>
      <c r="R114" s="208"/>
      <c r="S114" s="208"/>
      <c r="T114" s="208"/>
      <c r="U114" s="208"/>
      <c r="V114" s="208"/>
      <c r="W114" s="208"/>
      <c r="X114" s="208"/>
      <c r="Y114" s="208"/>
      <c r="Z114" s="208"/>
      <c r="AA114" s="208"/>
      <c r="AB114" s="208"/>
      <c r="AC114" s="208"/>
      <c r="AD114" s="208"/>
      <c r="AE114" s="208"/>
      <c r="AF114" s="208"/>
      <c r="AG114" s="208"/>
      <c r="AH114" s="208"/>
      <c r="AI114" s="208"/>
      <c r="AJ114" s="208"/>
      <c r="AK114" s="208"/>
      <c r="AL114" s="208"/>
      <c r="AM114" s="208"/>
      <c r="AN114" s="208"/>
      <c r="AO114" s="208"/>
      <c r="AP114" s="208"/>
    </row>
    <row r="115" spans="1:42" s="119" customFormat="1">
      <c r="A115" s="217" t="s">
        <v>254</v>
      </c>
      <c r="B115" s="220"/>
      <c r="C115" s="220"/>
      <c r="D115" s="220"/>
      <c r="E115" s="220"/>
      <c r="F115" s="220"/>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46"/>
      <c r="AK115" s="146"/>
      <c r="AL115" s="146"/>
      <c r="AM115" s="146"/>
      <c r="AN115" s="146"/>
      <c r="AO115" s="146"/>
      <c r="AP115" s="146"/>
    </row>
    <row r="116" spans="1:42">
      <c r="A116" s="202" t="s">
        <v>224</v>
      </c>
      <c r="B116" s="208">
        <f>B125</f>
        <v>-17379275.25</v>
      </c>
      <c r="C116" s="208">
        <f t="shared" ref="C116:AP117" si="70">C125</f>
        <v>0</v>
      </c>
      <c r="D116" s="208">
        <f t="shared" si="70"/>
        <v>0</v>
      </c>
      <c r="E116" s="208">
        <f t="shared" si="70"/>
        <v>0</v>
      </c>
      <c r="F116" s="208">
        <f t="shared" si="70"/>
        <v>0</v>
      </c>
      <c r="G116" s="208">
        <f t="shared" si="70"/>
        <v>0</v>
      </c>
      <c r="H116" s="208">
        <f t="shared" si="70"/>
        <v>0</v>
      </c>
      <c r="I116" s="208">
        <f t="shared" si="70"/>
        <v>0</v>
      </c>
      <c r="J116" s="208">
        <f t="shared" si="70"/>
        <v>0</v>
      </c>
      <c r="K116" s="208">
        <f t="shared" si="70"/>
        <v>0</v>
      </c>
      <c r="L116" s="208">
        <f t="shared" si="70"/>
        <v>0</v>
      </c>
      <c r="M116" s="208">
        <f t="shared" si="70"/>
        <v>0</v>
      </c>
      <c r="N116" s="208">
        <f t="shared" si="70"/>
        <v>0</v>
      </c>
      <c r="O116" s="208">
        <f t="shared" si="70"/>
        <v>0</v>
      </c>
      <c r="P116" s="208">
        <f t="shared" si="70"/>
        <v>0</v>
      </c>
      <c r="Q116" s="208">
        <f t="shared" si="70"/>
        <v>0</v>
      </c>
      <c r="R116" s="208">
        <f t="shared" si="70"/>
        <v>0</v>
      </c>
      <c r="S116" s="208">
        <f t="shared" si="70"/>
        <v>0</v>
      </c>
      <c r="T116" s="208">
        <f t="shared" si="70"/>
        <v>0</v>
      </c>
      <c r="U116" s="208">
        <f t="shared" si="70"/>
        <v>0</v>
      </c>
      <c r="V116" s="208">
        <f t="shared" si="70"/>
        <v>0</v>
      </c>
      <c r="W116" s="208">
        <f t="shared" si="70"/>
        <v>0</v>
      </c>
      <c r="X116" s="208">
        <f t="shared" si="70"/>
        <v>0</v>
      </c>
      <c r="Y116" s="208">
        <f t="shared" si="70"/>
        <v>0</v>
      </c>
      <c r="Z116" s="208">
        <f t="shared" si="70"/>
        <v>0</v>
      </c>
      <c r="AA116" s="208">
        <f t="shared" si="70"/>
        <v>0</v>
      </c>
      <c r="AB116" s="208">
        <f t="shared" si="70"/>
        <v>0</v>
      </c>
      <c r="AC116" s="208">
        <f t="shared" si="70"/>
        <v>0</v>
      </c>
      <c r="AD116" s="208">
        <f t="shared" si="70"/>
        <v>0</v>
      </c>
      <c r="AE116" s="208">
        <f t="shared" si="70"/>
        <v>0</v>
      </c>
      <c r="AF116" s="208">
        <f t="shared" si="70"/>
        <v>0</v>
      </c>
      <c r="AG116" s="208">
        <f t="shared" si="70"/>
        <v>0</v>
      </c>
      <c r="AH116" s="208">
        <f t="shared" si="70"/>
        <v>0</v>
      </c>
      <c r="AI116" s="208">
        <f t="shared" si="70"/>
        <v>0</v>
      </c>
      <c r="AJ116" s="208">
        <f t="shared" si="70"/>
        <v>0</v>
      </c>
      <c r="AK116" s="208">
        <f t="shared" si="70"/>
        <v>0</v>
      </c>
      <c r="AL116" s="208">
        <f t="shared" si="70"/>
        <v>0</v>
      </c>
      <c r="AM116" s="208">
        <f t="shared" si="70"/>
        <v>0</v>
      </c>
      <c r="AN116" s="208">
        <f t="shared" si="70"/>
        <v>0</v>
      </c>
      <c r="AO116" s="208">
        <f t="shared" si="70"/>
        <v>0</v>
      </c>
      <c r="AP116" s="208">
        <f t="shared" si="70"/>
        <v>0</v>
      </c>
    </row>
    <row r="117" spans="1:42">
      <c r="A117" s="202" t="s">
        <v>225</v>
      </c>
      <c r="B117" s="209">
        <f>B126</f>
        <v>0</v>
      </c>
      <c r="C117" s="209">
        <f t="shared" si="70"/>
        <v>0</v>
      </c>
      <c r="D117" s="209">
        <f t="shared" si="70"/>
        <v>0</v>
      </c>
      <c r="E117" s="209">
        <f t="shared" si="70"/>
        <v>5812019.5457366826</v>
      </c>
      <c r="F117" s="209">
        <f t="shared" si="70"/>
        <v>5902645.9785218956</v>
      </c>
      <c r="G117" s="209">
        <f t="shared" si="70"/>
        <v>5955988.5423246315</v>
      </c>
      <c r="H117" s="209">
        <f t="shared" si="70"/>
        <v>6009331.2781067574</v>
      </c>
      <c r="I117" s="209">
        <f t="shared" si="70"/>
        <v>6059145.9234855184</v>
      </c>
      <c r="J117" s="209">
        <f t="shared" si="70"/>
        <v>6112509.4490454514</v>
      </c>
      <c r="K117" s="209">
        <f t="shared" si="70"/>
        <v>6165864.7431304613</v>
      </c>
      <c r="L117" s="209">
        <f t="shared" si="70"/>
        <v>621552.22838914127</v>
      </c>
      <c r="M117" s="209">
        <f t="shared" si="70"/>
        <v>626888.22105902201</v>
      </c>
      <c r="N117" s="209">
        <f t="shared" si="70"/>
        <v>632222.48309515615</v>
      </c>
      <c r="O117" s="209">
        <f t="shared" si="70"/>
        <v>627215.0847891533</v>
      </c>
      <c r="P117" s="209">
        <f t="shared" si="70"/>
        <v>632632.07180273393</v>
      </c>
      <c r="Q117" s="209">
        <f t="shared" si="70"/>
        <v>638046.34892522404</v>
      </c>
      <c r="R117" s="209">
        <f t="shared" si="70"/>
        <v>622002.44497605809</v>
      </c>
      <c r="S117" s="209">
        <f t="shared" si="70"/>
        <v>627593.3438550788</v>
      </c>
      <c r="T117" s="209">
        <f t="shared" si="70"/>
        <v>633180.47687021922</v>
      </c>
      <c r="U117" s="209">
        <f t="shared" si="70"/>
        <v>638341.95493669668</v>
      </c>
      <c r="V117" s="209">
        <f t="shared" si="70"/>
        <v>643923.86911114771</v>
      </c>
      <c r="W117" s="209">
        <f t="shared" si="70"/>
        <v>649500.87945363019</v>
      </c>
      <c r="X117" s="209">
        <f t="shared" si="70"/>
        <v>653198.72178478132</v>
      </c>
      <c r="Y117" s="209">
        <f t="shared" si="70"/>
        <v>657335.21556176909</v>
      </c>
      <c r="Z117" s="209">
        <f t="shared" si="70"/>
        <v>661465.57990515872</v>
      </c>
      <c r="AA117" s="209">
        <f t="shared" si="70"/>
        <v>688308.0191793273</v>
      </c>
      <c r="AB117" s="209">
        <f t="shared" si="70"/>
        <v>691915.10879300954</v>
      </c>
      <c r="AC117" s="209">
        <f t="shared" si="70"/>
        <v>695514.74971684406</v>
      </c>
      <c r="AD117" s="209">
        <f t="shared" si="70"/>
        <v>698624.51952442713</v>
      </c>
      <c r="AE117" s="209">
        <f t="shared" si="70"/>
        <v>702211.7908534992</v>
      </c>
      <c r="AF117" s="209">
        <f t="shared" si="70"/>
        <v>1123061.6941517906</v>
      </c>
      <c r="AG117" s="209">
        <f t="shared" si="70"/>
        <v>0</v>
      </c>
      <c r="AH117" s="209">
        <f t="shared" si="70"/>
        <v>0</v>
      </c>
      <c r="AI117" s="209">
        <f t="shared" si="70"/>
        <v>0</v>
      </c>
      <c r="AJ117" s="209">
        <f t="shared" si="70"/>
        <v>0</v>
      </c>
      <c r="AK117" s="209">
        <f t="shared" si="70"/>
        <v>0</v>
      </c>
      <c r="AL117" s="209">
        <f t="shared" si="70"/>
        <v>0</v>
      </c>
      <c r="AM117" s="209">
        <f t="shared" si="70"/>
        <v>0</v>
      </c>
      <c r="AN117" s="209">
        <f t="shared" si="70"/>
        <v>0</v>
      </c>
      <c r="AO117" s="209">
        <f t="shared" si="70"/>
        <v>0</v>
      </c>
      <c r="AP117" s="209">
        <f t="shared" si="70"/>
        <v>0</v>
      </c>
    </row>
    <row r="118" spans="1:42">
      <c r="A118" s="202" t="s">
        <v>53</v>
      </c>
      <c r="B118" s="164">
        <f>SUM(B116:B117)</f>
        <v>-17379275.25</v>
      </c>
      <c r="C118" s="164">
        <f t="shared" ref="C118:AP118" si="71">SUM(C116:C117)</f>
        <v>0</v>
      </c>
      <c r="D118" s="164">
        <f t="shared" si="71"/>
        <v>0</v>
      </c>
      <c r="E118" s="164">
        <f t="shared" si="71"/>
        <v>5812019.5457366826</v>
      </c>
      <c r="F118" s="164">
        <f t="shared" si="71"/>
        <v>5902645.9785218956</v>
      </c>
      <c r="G118" s="164">
        <f t="shared" si="71"/>
        <v>5955988.5423246315</v>
      </c>
      <c r="H118" s="164">
        <f t="shared" si="71"/>
        <v>6009331.2781067574</v>
      </c>
      <c r="I118" s="164">
        <f t="shared" si="71"/>
        <v>6059145.9234855184</v>
      </c>
      <c r="J118" s="164">
        <f t="shared" si="71"/>
        <v>6112509.4490454514</v>
      </c>
      <c r="K118" s="164">
        <f t="shared" si="71"/>
        <v>6165864.7431304613</v>
      </c>
      <c r="L118" s="164">
        <f t="shared" si="71"/>
        <v>621552.22838914127</v>
      </c>
      <c r="M118" s="164">
        <f t="shared" si="71"/>
        <v>626888.22105902201</v>
      </c>
      <c r="N118" s="164">
        <f t="shared" si="71"/>
        <v>632222.48309515615</v>
      </c>
      <c r="O118" s="164">
        <f t="shared" si="71"/>
        <v>627215.0847891533</v>
      </c>
      <c r="P118" s="164">
        <f t="shared" si="71"/>
        <v>632632.07180273393</v>
      </c>
      <c r="Q118" s="164">
        <f t="shared" si="71"/>
        <v>638046.34892522404</v>
      </c>
      <c r="R118" s="164">
        <f t="shared" si="71"/>
        <v>622002.44497605809</v>
      </c>
      <c r="S118" s="164">
        <f t="shared" si="71"/>
        <v>627593.3438550788</v>
      </c>
      <c r="T118" s="164">
        <f t="shared" si="71"/>
        <v>633180.47687021922</v>
      </c>
      <c r="U118" s="164">
        <f t="shared" si="71"/>
        <v>638341.95493669668</v>
      </c>
      <c r="V118" s="164">
        <f t="shared" si="71"/>
        <v>643923.86911114771</v>
      </c>
      <c r="W118" s="164">
        <f t="shared" si="71"/>
        <v>649500.87945363019</v>
      </c>
      <c r="X118" s="164">
        <f t="shared" si="71"/>
        <v>653198.72178478132</v>
      </c>
      <c r="Y118" s="164">
        <f t="shared" si="71"/>
        <v>657335.21556176909</v>
      </c>
      <c r="Z118" s="164">
        <f t="shared" si="71"/>
        <v>661465.57990515872</v>
      </c>
      <c r="AA118" s="164">
        <f t="shared" si="71"/>
        <v>688308.0191793273</v>
      </c>
      <c r="AB118" s="164">
        <f t="shared" si="71"/>
        <v>691915.10879300954</v>
      </c>
      <c r="AC118" s="164">
        <f t="shared" si="71"/>
        <v>695514.74971684406</v>
      </c>
      <c r="AD118" s="164">
        <f t="shared" si="71"/>
        <v>698624.51952442713</v>
      </c>
      <c r="AE118" s="164">
        <f t="shared" si="71"/>
        <v>702211.7908534992</v>
      </c>
      <c r="AF118" s="164">
        <f t="shared" si="71"/>
        <v>1123061.6941517906</v>
      </c>
      <c r="AG118" s="164">
        <f t="shared" si="71"/>
        <v>0</v>
      </c>
      <c r="AH118" s="164">
        <f t="shared" si="71"/>
        <v>0</v>
      </c>
      <c r="AI118" s="164">
        <f t="shared" si="71"/>
        <v>0</v>
      </c>
      <c r="AJ118" s="164">
        <f t="shared" si="71"/>
        <v>0</v>
      </c>
      <c r="AK118" s="164">
        <f t="shared" si="71"/>
        <v>0</v>
      </c>
      <c r="AL118" s="164">
        <f t="shared" si="71"/>
        <v>0</v>
      </c>
      <c r="AM118" s="164">
        <f t="shared" si="71"/>
        <v>0</v>
      </c>
      <c r="AN118" s="164">
        <f t="shared" si="71"/>
        <v>0</v>
      </c>
      <c r="AO118" s="164">
        <f t="shared" si="71"/>
        <v>0</v>
      </c>
      <c r="AP118" s="164">
        <f t="shared" si="71"/>
        <v>0</v>
      </c>
    </row>
    <row r="119" spans="1:42">
      <c r="A119" s="202"/>
      <c r="B119" s="164"/>
      <c r="C119" s="164"/>
      <c r="D119" s="164"/>
      <c r="E119" s="164"/>
      <c r="F119" s="164"/>
      <c r="G119" s="208"/>
      <c r="H119" s="208"/>
      <c r="I119" s="208"/>
      <c r="J119" s="208"/>
      <c r="K119" s="208"/>
      <c r="L119" s="208"/>
      <c r="M119" s="208"/>
      <c r="N119" s="208"/>
      <c r="O119" s="208"/>
      <c r="P119" s="208"/>
      <c r="Q119" s="208"/>
      <c r="R119" s="208"/>
      <c r="S119" s="208"/>
      <c r="T119" s="208"/>
      <c r="U119" s="208"/>
      <c r="V119" s="208"/>
      <c r="W119" s="208"/>
      <c r="X119" s="208"/>
      <c r="Y119" s="208"/>
      <c r="Z119" s="208"/>
      <c r="AA119" s="208"/>
      <c r="AB119" s="208"/>
      <c r="AC119" s="208"/>
      <c r="AD119" s="208"/>
      <c r="AE119" s="208"/>
      <c r="AF119" s="208"/>
      <c r="AG119" s="208"/>
      <c r="AH119" s="208"/>
      <c r="AI119" s="208"/>
      <c r="AJ119" s="208"/>
      <c r="AK119" s="208"/>
      <c r="AL119" s="208"/>
      <c r="AM119" s="208"/>
      <c r="AN119" s="208"/>
      <c r="AO119" s="208"/>
      <c r="AP119" s="208"/>
    </row>
    <row r="120" spans="1:42">
      <c r="A120" s="202" t="s">
        <v>418</v>
      </c>
      <c r="B120" s="223">
        <f>ROUND(IF(ISERROR(IRR($B118:B118)),0,IRR($B118:B118)),4)</f>
        <v>0</v>
      </c>
      <c r="C120" s="223">
        <f>ROUND(IF(ISERROR(IRR($B118:C118)),0,IRR($B118:C118)),4)</f>
        <v>0</v>
      </c>
      <c r="D120" s="223">
        <f>ROUND(IF(ISERROR(IRR($B118:D118)),0,IRR($B118:D118)),4)</f>
        <v>0</v>
      </c>
      <c r="E120" s="223">
        <f>ROUND(IF(ISERROR(IRR($B118:E118)),0,IRR($B118:E118)),4)</f>
        <v>0</v>
      </c>
      <c r="F120" s="223">
        <f>ROUND(IF(ISERROR(IRR($B118:F118)),0,IRR($B118:F118)),4)</f>
        <v>-0.1061</v>
      </c>
      <c r="G120" s="223">
        <f>ROUND(IF(ISERROR(IRR($B118:G118)),0,IRR($B118:G118)),4)</f>
        <v>4.1999999999999997E-3</v>
      </c>
      <c r="H120" s="223">
        <f>ROUND(IF(ISERROR(IRR($B118:H118)),0,IRR($B118:H118)),4)</f>
        <v>7.1599999999999997E-2</v>
      </c>
      <c r="I120" s="223">
        <f>ROUND(IF(ISERROR(IRR($B118:I118)),0,IRR($B118:I118)),4)</f>
        <v>0.11559999999999999</v>
      </c>
      <c r="J120" s="223">
        <f>ROUND(IF(ISERROR(IRR($B118:J118)),0,IRR($B118:J118)),4)</f>
        <v>0.14549999999999999</v>
      </c>
      <c r="K120" s="223">
        <f>ROUND(IF(ISERROR(IRR($B118:K118)),0,IRR($B118:K118)),4)</f>
        <v>0.16650000000000001</v>
      </c>
      <c r="L120" s="223">
        <f>ROUND(IF(ISERROR(IRR($B118:L118)),0,IRR($B118:L118)),4)</f>
        <v>0.1681</v>
      </c>
      <c r="M120" s="223">
        <f>ROUND(IF(ISERROR(IRR($B118:M118)),0,IRR($B118:M118)),4)</f>
        <v>0.16950000000000001</v>
      </c>
      <c r="N120" s="223">
        <f>ROUND(IF(ISERROR(IRR($B118:N118)),0,IRR($B118:N118)),4)</f>
        <v>0.17069999999999999</v>
      </c>
      <c r="O120" s="223">
        <f>ROUND(IF(ISERROR(IRR($B118:O118)),0,IRR($B118:O118)),4)</f>
        <v>0.17169999999999999</v>
      </c>
      <c r="P120" s="223">
        <f>ROUND(IF(ISERROR(IRR($B118:P118)),0,IRR($B118:P118)),4)</f>
        <v>0.17249999999999999</v>
      </c>
      <c r="Q120" s="223">
        <f>ROUND(IF(ISERROR(IRR($B118:Q118)),0,IRR($B118:Q118)),4)</f>
        <v>0.17319999999999999</v>
      </c>
      <c r="R120" s="223">
        <f>ROUND(IF(ISERROR(IRR($B118:R118)),0,IRR($B118:R118)),4)</f>
        <v>0.17380000000000001</v>
      </c>
      <c r="S120" s="223">
        <f>ROUND(IF(ISERROR(IRR($B118:S118)),0,IRR($B118:S118)),4)</f>
        <v>0.17430000000000001</v>
      </c>
      <c r="T120" s="223">
        <f>ROUND(IF(ISERROR(IRR($B118:T118)),0,IRR($B118:T118)),4)</f>
        <v>0.17469999999999999</v>
      </c>
      <c r="U120" s="223">
        <f>ROUND(IF(ISERROR(IRR($B118:U118)),0,IRR($B118:U118)),4)</f>
        <v>0.17499999999999999</v>
      </c>
      <c r="V120" s="223">
        <f>ROUND(IF(ISERROR(IRR($B118:V118)),0,IRR($B118:V118)),4)</f>
        <v>0.17530000000000001</v>
      </c>
      <c r="W120" s="223">
        <f>ROUND(IF(ISERROR(IRR($B118:W118)),0,IRR($B118:W118)),4)</f>
        <v>0.17560000000000001</v>
      </c>
      <c r="X120" s="223">
        <f>ROUND(IF(ISERROR(IRR($B118:X118)),0,IRR($B118:X118)),4)</f>
        <v>0.17580000000000001</v>
      </c>
      <c r="Y120" s="223">
        <f>ROUND(IF(ISERROR(IRR($B118:Y118)),0,IRR($B118:Y118)),4)</f>
        <v>0.17599999999999999</v>
      </c>
      <c r="Z120" s="223">
        <f>ROUND(IF(ISERROR(IRR($B118:Z118)),0,IRR($B118:Z118)),4)</f>
        <v>0.1762</v>
      </c>
      <c r="AA120" s="223">
        <f>ROUND(IF(ISERROR(IRR($B118:AA118)),0,IRR($B118:AA118)),4)</f>
        <v>0.17630000000000001</v>
      </c>
      <c r="AB120" s="223">
        <f>ROUND(IF(ISERROR(IRR($B118:AB118)),0,IRR($B118:AB118)),4)</f>
        <v>0.1764</v>
      </c>
      <c r="AC120" s="223">
        <f>ROUND(IF(ISERROR(IRR($B118:AC118)),0,IRR($B118:AC118)),4)</f>
        <v>0.17649999999999999</v>
      </c>
      <c r="AD120" s="223">
        <f>ROUND(IF(ISERROR(IRR($B118:AD118)),0,IRR($B118:AD118)),4)</f>
        <v>0.17660000000000001</v>
      </c>
      <c r="AE120" s="223">
        <f>ROUND(IF(ISERROR(IRR($B118:AE118)),0,IRR($B118:AE118)),4)</f>
        <v>0.1767</v>
      </c>
      <c r="AF120" s="223">
        <f>ROUND(IF(ISERROR(IRR($B118:AF118)),0,IRR($B118:AF118)),4)</f>
        <v>0.17680000000000001</v>
      </c>
      <c r="AG120" s="223">
        <f>ROUND(IF(ISERROR(IRR($B118:AG118)),0,IRR($B118:AG118)),4)</f>
        <v>0.17680000000000001</v>
      </c>
      <c r="AH120" s="223">
        <f>ROUND(IF(ISERROR(IRR($B118:AH118)),0,IRR($B118:AH118)),4)</f>
        <v>0.17680000000000001</v>
      </c>
      <c r="AI120" s="223">
        <f>ROUND(IF(ISERROR(IRR($B118:AI118)),0,IRR($B118:AI118)),4)</f>
        <v>0.17680000000000001</v>
      </c>
      <c r="AJ120" s="223">
        <f>ROUND(IF(ISERROR(IRR($B118:AJ118)),0,IRR($B118:AJ118)),4)</f>
        <v>0.17680000000000001</v>
      </c>
      <c r="AK120" s="223">
        <f>ROUND(IF(ISERROR(IRR($B118:AK118)),0,IRR($B118:AK118)),4)</f>
        <v>0.17680000000000001</v>
      </c>
      <c r="AL120" s="223">
        <f>ROUND(IF(ISERROR(IRR($B118:AL118)),0,IRR($B118:AL118)),4)</f>
        <v>0.17680000000000001</v>
      </c>
      <c r="AM120" s="223">
        <f>ROUND(IF(ISERROR(IRR($B118:AM118)),0,IRR($B118:AM118)),4)</f>
        <v>0.17680000000000001</v>
      </c>
      <c r="AN120" s="223">
        <f>ROUND(IF(ISERROR(IRR($B118:AN118)),0,IRR($B118:AN118)),4)</f>
        <v>0.17680000000000001</v>
      </c>
      <c r="AO120" s="223">
        <f>ROUND(IF(ISERROR(IRR($B118:AO118)),0,IRR($B118:AO118)),4)</f>
        <v>0.17680000000000001</v>
      </c>
      <c r="AP120" s="223">
        <f>ROUND(IF(ISERROR(IRR($B118:AP118)),0,IRR($B118:AP118)),4)</f>
        <v>0.17680000000000001</v>
      </c>
    </row>
    <row r="121" spans="1:42">
      <c r="A121" s="202" t="s">
        <v>419</v>
      </c>
      <c r="B121" s="291">
        <f>B118</f>
        <v>-17379275.25</v>
      </c>
      <c r="C121" s="291">
        <f>NPV(DiscountRate,$C118:C118)+$B$118</f>
        <v>-17379275.25</v>
      </c>
      <c r="D121" s="291">
        <f>NPV(DiscountRate,$C118:D118)+$B$118</f>
        <v>-17379275.25</v>
      </c>
      <c r="E121" s="291">
        <f>NPV(DiscountRate,$C118:E118)+$B$118</f>
        <v>-12765506.749154821</v>
      </c>
      <c r="F121" s="291">
        <f>NPV(DiscountRate,$C118:F118)+$B$118</f>
        <v>-8426885.744452294</v>
      </c>
      <c r="G121" s="291">
        <f>NPV(DiscountRate,$C118:G118)+$B$118</f>
        <v>-4373340.0208205953</v>
      </c>
      <c r="H121" s="291">
        <f>NPV(DiscountRate,$C118:H118)+$B$118</f>
        <v>-586441.97147908807</v>
      </c>
      <c r="I121" s="291">
        <f>NPV(DiscountRate,$C118:I118)+$B$118</f>
        <v>2949011.4783664234</v>
      </c>
      <c r="J121" s="291">
        <f>NPV(DiscountRate,$C118:J118)+$B$118</f>
        <v>6251410.1399099939</v>
      </c>
      <c r="K121" s="291">
        <f>NPV(DiscountRate,$C118:K118)+$B$118</f>
        <v>9335877.6091332883</v>
      </c>
      <c r="L121" s="291">
        <f>NPV(DiscountRate,$C118:L118)+$B$118</f>
        <v>9623776.553827662</v>
      </c>
      <c r="M121" s="291">
        <f>NPV(DiscountRate,$C118:M118)+$B$118</f>
        <v>9892638.1665605605</v>
      </c>
      <c r="N121" s="291">
        <f>NPV(DiscountRate,$C118:N118)+$B$118</f>
        <v>10143702.413122982</v>
      </c>
      <c r="O121" s="291">
        <f>NPV(DiscountRate,$C118:O118)+$B$118</f>
        <v>10374328.098123059</v>
      </c>
      <c r="P121" s="291">
        <f>NPV(DiscountRate,$C118:P118)+$B$118</f>
        <v>10589714.672088753</v>
      </c>
      <c r="Q121" s="291">
        <f>NPV(DiscountRate,$C118:Q118)+$B$118</f>
        <v>10790853.4909712</v>
      </c>
      <c r="R121" s="291">
        <f>NPV(DiscountRate,$C118:R118)+$B$118</f>
        <v>10972410.07545935</v>
      </c>
      <c r="S121" s="291">
        <f>NPV(DiscountRate,$C118:S118)+$B$118</f>
        <v>11142029.070437163</v>
      </c>
      <c r="T121" s="291">
        <f>NPV(DiscountRate,$C118:T118)+$B$118</f>
        <v>11300481.8700292</v>
      </c>
      <c r="U121" s="291">
        <f>NPV(DiscountRate,$C118:U118)+$B$118</f>
        <v>11448393.401943065</v>
      </c>
      <c r="V121" s="291">
        <f>NPV(DiscountRate,$C118:V118)+$B$118</f>
        <v>11586546.113765549</v>
      </c>
      <c r="W121" s="291">
        <f>NPV(DiscountRate,$C118:W118)+$B$118</f>
        <v>11715573.196537893</v>
      </c>
      <c r="X121" s="291">
        <f>NPV(DiscountRate,$C118:X118)+$B$118</f>
        <v>11835722.900616724</v>
      </c>
      <c r="Y121" s="291">
        <f>NPV(DiscountRate,$C118:Y118)+$B$118</f>
        <v>11947677.134729233</v>
      </c>
      <c r="Z121" s="291">
        <f>NPV(DiscountRate,$C118:Z118)+$B$118</f>
        <v>12051989.81833097</v>
      </c>
      <c r="AA121" s="291">
        <f>NPV(DiscountRate,$C118:AA118)+$B$118</f>
        <v>12152495.113226295</v>
      </c>
      <c r="AB121" s="291">
        <f>NPV(DiscountRate,$C118:AB118)+$B$118</f>
        <v>12246043.256340686</v>
      </c>
      <c r="AC121" s="291">
        <f>NPV(DiscountRate,$C118:AC118)+$B$118</f>
        <v>12333112.534966961</v>
      </c>
      <c r="AD121" s="291">
        <f>NPV(DiscountRate,$C118:AD118)+$B$118</f>
        <v>12414092.702387568</v>
      </c>
      <c r="AE121" s="291">
        <f>NPV(DiscountRate,$C118:AE118)+$B$118</f>
        <v>12489459.351820409</v>
      </c>
      <c r="AF121" s="291">
        <f>NPV(DiscountRate,$C118:AF118)+$B$118</f>
        <v>12601066.227274075</v>
      </c>
      <c r="AG121" s="291">
        <f>NPV(DiscountRate,$C118:AG118)+$B$118</f>
        <v>12601066.227274075</v>
      </c>
      <c r="AH121" s="291">
        <f>NPV(DiscountRate,$C118:AH118)+$B$118</f>
        <v>12601066.227274075</v>
      </c>
      <c r="AI121" s="291">
        <f>NPV(DiscountRate,$C118:AI118)+$B$118</f>
        <v>12601066.227274075</v>
      </c>
      <c r="AJ121" s="291">
        <f>NPV(DiscountRate,$C118:AJ118)+$B$118</f>
        <v>12601066.227274075</v>
      </c>
      <c r="AK121" s="291">
        <f>NPV(DiscountRate,$C118:AK118)+$B$118</f>
        <v>12601066.227274075</v>
      </c>
      <c r="AL121" s="291">
        <f>NPV(DiscountRate,$C118:AL118)+$B$118</f>
        <v>12601066.227274075</v>
      </c>
      <c r="AM121" s="291">
        <f>NPV(DiscountRate,$C118:AM118)+$B$118</f>
        <v>12601066.227274075</v>
      </c>
      <c r="AN121" s="291">
        <f>NPV(DiscountRate,$C118:AN118)+$B$118</f>
        <v>12601066.227274075</v>
      </c>
      <c r="AO121" s="291">
        <f>NPV(DiscountRate,$C118:AO118)+$B$118</f>
        <v>12601066.227274075</v>
      </c>
      <c r="AP121" s="291">
        <f>NPV(DiscountRate,$C118:AP118)+$B$118</f>
        <v>12601066.227274075</v>
      </c>
    </row>
    <row r="122" spans="1:42">
      <c r="A122" s="202"/>
      <c r="B122" s="164"/>
      <c r="C122" s="164"/>
      <c r="D122" s="164"/>
      <c r="E122" s="164"/>
      <c r="F122" s="164"/>
      <c r="G122" s="208"/>
      <c r="H122" s="208"/>
      <c r="I122" s="208"/>
      <c r="J122" s="208"/>
      <c r="K122" s="208"/>
      <c r="L122" s="208"/>
      <c r="M122" s="208"/>
      <c r="N122" s="208"/>
      <c r="O122" s="208"/>
      <c r="P122" s="208"/>
      <c r="Q122" s="208"/>
      <c r="R122" s="208"/>
      <c r="S122" s="208"/>
      <c r="T122" s="208"/>
      <c r="U122" s="208"/>
      <c r="V122" s="208"/>
      <c r="W122" s="208"/>
      <c r="X122" s="208"/>
      <c r="Y122" s="208"/>
      <c r="Z122" s="208"/>
      <c r="AA122" s="208"/>
      <c r="AB122" s="208"/>
      <c r="AC122" s="208"/>
      <c r="AD122" s="208"/>
      <c r="AE122" s="208"/>
      <c r="AF122" s="208"/>
      <c r="AG122" s="208"/>
      <c r="AH122" s="208"/>
      <c r="AI122" s="208"/>
      <c r="AJ122" s="208"/>
      <c r="AK122" s="208"/>
      <c r="AL122" s="208"/>
      <c r="AM122" s="208"/>
      <c r="AN122" s="208"/>
      <c r="AO122" s="208"/>
      <c r="AP122" s="208"/>
    </row>
    <row r="123" spans="1:42">
      <c r="A123" s="204" t="s">
        <v>253</v>
      </c>
      <c r="B123" s="164"/>
      <c r="C123" s="203"/>
      <c r="D123" s="203"/>
      <c r="E123" s="203"/>
      <c r="F123" s="203"/>
      <c r="G123" s="203"/>
      <c r="H123" s="203"/>
      <c r="I123" s="203"/>
      <c r="J123" s="203"/>
      <c r="K123" s="203"/>
      <c r="L123" s="203"/>
      <c r="M123" s="203"/>
      <c r="N123" s="203"/>
      <c r="O123" s="203"/>
      <c r="P123" s="203"/>
      <c r="Q123" s="208"/>
      <c r="R123" s="208"/>
      <c r="S123" s="208"/>
      <c r="T123" s="208"/>
      <c r="U123" s="208"/>
      <c r="V123" s="208"/>
      <c r="W123" s="208"/>
      <c r="X123" s="208"/>
      <c r="Y123" s="208"/>
      <c r="Z123" s="208"/>
      <c r="AA123" s="208"/>
      <c r="AB123" s="208"/>
      <c r="AC123" s="208"/>
      <c r="AD123" s="208"/>
      <c r="AE123" s="208"/>
      <c r="AF123" s="208"/>
      <c r="AG123" s="208"/>
      <c r="AH123" s="208"/>
      <c r="AI123" s="208"/>
      <c r="AJ123" s="208"/>
      <c r="AK123" s="208"/>
      <c r="AL123" s="208"/>
      <c r="AM123" s="208"/>
      <c r="AN123" s="208"/>
      <c r="AO123" s="208"/>
      <c r="AP123" s="208"/>
    </row>
    <row r="124" spans="1:42" s="119" customFormat="1">
      <c r="A124" s="219" t="s">
        <v>229</v>
      </c>
      <c r="B124" s="220"/>
      <c r="C124" s="220"/>
      <c r="D124" s="220"/>
      <c r="E124" s="220"/>
      <c r="F124" s="220"/>
      <c r="G124" s="148"/>
      <c r="H124" s="148"/>
      <c r="I124" s="148"/>
      <c r="J124" s="148"/>
      <c r="K124" s="148"/>
      <c r="L124" s="148"/>
      <c r="M124" s="148"/>
      <c r="N124" s="148"/>
      <c r="O124" s="148"/>
      <c r="P124" s="148"/>
      <c r="Q124" s="148"/>
      <c r="R124" s="146"/>
      <c r="S124" s="146"/>
      <c r="T124" s="146"/>
      <c r="U124" s="146"/>
      <c r="V124" s="146"/>
      <c r="W124" s="146"/>
      <c r="X124" s="146"/>
      <c r="Y124" s="146"/>
      <c r="Z124" s="146"/>
      <c r="AA124" s="146"/>
      <c r="AB124" s="146"/>
      <c r="AC124" s="146"/>
      <c r="AD124" s="146"/>
      <c r="AE124" s="146"/>
      <c r="AF124" s="146"/>
      <c r="AG124" s="146"/>
      <c r="AH124" s="146"/>
      <c r="AI124" s="146"/>
      <c r="AJ124" s="146"/>
      <c r="AK124" s="146"/>
      <c r="AL124" s="146"/>
      <c r="AM124" s="146"/>
      <c r="AN124" s="146"/>
      <c r="AO124" s="146"/>
      <c r="AP124" s="146"/>
    </row>
    <row r="125" spans="1:42">
      <c r="A125" s="206" t="s">
        <v>224</v>
      </c>
      <c r="B125" s="146">
        <f>-'Inputs &amp; Results'!$B$177</f>
        <v>-17379275.25</v>
      </c>
      <c r="C125" s="208">
        <v>0</v>
      </c>
      <c r="D125" s="208">
        <v>0</v>
      </c>
      <c r="E125" s="208">
        <v>0</v>
      </c>
      <c r="F125" s="208">
        <v>0</v>
      </c>
      <c r="G125" s="208">
        <v>0</v>
      </c>
      <c r="H125" s="208">
        <v>0</v>
      </c>
      <c r="I125" s="208">
        <v>0</v>
      </c>
      <c r="J125" s="208">
        <v>0</v>
      </c>
      <c r="K125" s="208">
        <v>0</v>
      </c>
      <c r="L125" s="208">
        <v>0</v>
      </c>
      <c r="M125" s="208">
        <v>0</v>
      </c>
      <c r="N125" s="208">
        <v>0</v>
      </c>
      <c r="O125" s="208">
        <v>0</v>
      </c>
      <c r="P125" s="208">
        <v>0</v>
      </c>
      <c r="Q125" s="208">
        <v>0</v>
      </c>
      <c r="R125" s="208">
        <v>0</v>
      </c>
      <c r="S125" s="208">
        <v>0</v>
      </c>
      <c r="T125" s="208">
        <v>0</v>
      </c>
      <c r="U125" s="208">
        <v>0</v>
      </c>
      <c r="V125" s="208">
        <v>0</v>
      </c>
      <c r="W125" s="208">
        <v>0</v>
      </c>
      <c r="X125" s="208">
        <v>0</v>
      </c>
      <c r="Y125" s="208">
        <v>0</v>
      </c>
      <c r="Z125" s="208">
        <v>0</v>
      </c>
      <c r="AA125" s="208">
        <v>0</v>
      </c>
      <c r="AB125" s="208">
        <v>0</v>
      </c>
      <c r="AC125" s="208">
        <v>0</v>
      </c>
      <c r="AD125" s="208">
        <v>0</v>
      </c>
      <c r="AE125" s="208">
        <v>0</v>
      </c>
      <c r="AF125" s="208">
        <v>0</v>
      </c>
      <c r="AG125" s="208">
        <v>0</v>
      </c>
      <c r="AH125" s="208">
        <v>0</v>
      </c>
      <c r="AI125" s="208">
        <v>0</v>
      </c>
      <c r="AJ125" s="208">
        <v>0</v>
      </c>
      <c r="AK125" s="208">
        <v>0</v>
      </c>
      <c r="AL125" s="208">
        <v>0</v>
      </c>
      <c r="AM125" s="208">
        <v>0</v>
      </c>
      <c r="AN125" s="208">
        <v>0</v>
      </c>
      <c r="AO125" s="208">
        <v>0</v>
      </c>
      <c r="AP125" s="208">
        <v>0</v>
      </c>
    </row>
    <row r="126" spans="1:42">
      <c r="A126" s="206" t="s">
        <v>225</v>
      </c>
      <c r="B126" s="209">
        <v>0</v>
      </c>
      <c r="C126" s="209">
        <f t="shared" ref="C126:AP126" si="72">IF(B$143&lt;AEPFFlipTarget,AEPFTEPreFlipCash*(C87+C151),AEPFTEPostFlipCash*(C87+C151))</f>
        <v>0</v>
      </c>
      <c r="D126" s="209">
        <f t="shared" si="72"/>
        <v>0</v>
      </c>
      <c r="E126" s="209">
        <f t="shared" si="72"/>
        <v>5812019.5457366826</v>
      </c>
      <c r="F126" s="209">
        <f t="shared" si="72"/>
        <v>5902645.9785218956</v>
      </c>
      <c r="G126" s="209">
        <f t="shared" si="72"/>
        <v>5955988.5423246315</v>
      </c>
      <c r="H126" s="209">
        <f t="shared" si="72"/>
        <v>6009331.2781067574</v>
      </c>
      <c r="I126" s="209">
        <f t="shared" si="72"/>
        <v>6059145.9234855184</v>
      </c>
      <c r="J126" s="209">
        <f t="shared" si="72"/>
        <v>6112509.4490454514</v>
      </c>
      <c r="K126" s="209">
        <f t="shared" si="72"/>
        <v>6165864.7431304613</v>
      </c>
      <c r="L126" s="209">
        <f t="shared" si="72"/>
        <v>621552.22838914127</v>
      </c>
      <c r="M126" s="209">
        <f t="shared" si="72"/>
        <v>626888.22105902201</v>
      </c>
      <c r="N126" s="209">
        <f t="shared" si="72"/>
        <v>632222.48309515615</v>
      </c>
      <c r="O126" s="209">
        <f t="shared" si="72"/>
        <v>627215.0847891533</v>
      </c>
      <c r="P126" s="209">
        <f t="shared" si="72"/>
        <v>632632.07180273393</v>
      </c>
      <c r="Q126" s="209">
        <f t="shared" si="72"/>
        <v>638046.34892522404</v>
      </c>
      <c r="R126" s="209">
        <f t="shared" si="72"/>
        <v>622002.44497605809</v>
      </c>
      <c r="S126" s="209">
        <f t="shared" si="72"/>
        <v>627593.3438550788</v>
      </c>
      <c r="T126" s="209">
        <f t="shared" si="72"/>
        <v>633180.47687021922</v>
      </c>
      <c r="U126" s="209">
        <f t="shared" si="72"/>
        <v>638341.95493669668</v>
      </c>
      <c r="V126" s="209">
        <f t="shared" si="72"/>
        <v>643923.86911114771</v>
      </c>
      <c r="W126" s="209">
        <f t="shared" si="72"/>
        <v>649500.87945363019</v>
      </c>
      <c r="X126" s="209">
        <f t="shared" si="72"/>
        <v>653198.72178478132</v>
      </c>
      <c r="Y126" s="209">
        <f t="shared" si="72"/>
        <v>657335.21556176909</v>
      </c>
      <c r="Z126" s="209">
        <f t="shared" si="72"/>
        <v>661465.57990515872</v>
      </c>
      <c r="AA126" s="209">
        <f t="shared" si="72"/>
        <v>688308.0191793273</v>
      </c>
      <c r="AB126" s="209">
        <f t="shared" si="72"/>
        <v>691915.10879300954</v>
      </c>
      <c r="AC126" s="209">
        <f t="shared" si="72"/>
        <v>695514.74971684406</v>
      </c>
      <c r="AD126" s="209">
        <f t="shared" si="72"/>
        <v>698624.51952442713</v>
      </c>
      <c r="AE126" s="209">
        <f t="shared" si="72"/>
        <v>702211.7908534992</v>
      </c>
      <c r="AF126" s="209">
        <f t="shared" si="72"/>
        <v>1123061.6941517906</v>
      </c>
      <c r="AG126" s="209">
        <f t="shared" si="72"/>
        <v>0</v>
      </c>
      <c r="AH126" s="209">
        <f t="shared" si="72"/>
        <v>0</v>
      </c>
      <c r="AI126" s="209">
        <f t="shared" si="72"/>
        <v>0</v>
      </c>
      <c r="AJ126" s="209">
        <f t="shared" si="72"/>
        <v>0</v>
      </c>
      <c r="AK126" s="209">
        <f t="shared" si="72"/>
        <v>0</v>
      </c>
      <c r="AL126" s="209">
        <f t="shared" si="72"/>
        <v>0</v>
      </c>
      <c r="AM126" s="209">
        <f t="shared" si="72"/>
        <v>0</v>
      </c>
      <c r="AN126" s="209">
        <f t="shared" si="72"/>
        <v>0</v>
      </c>
      <c r="AO126" s="209">
        <f t="shared" si="72"/>
        <v>0</v>
      </c>
      <c r="AP126" s="209">
        <f t="shared" si="72"/>
        <v>0</v>
      </c>
    </row>
    <row r="127" spans="1:42">
      <c r="A127" s="206" t="s">
        <v>230</v>
      </c>
      <c r="B127" s="164">
        <f>SUM(B125:B126)</f>
        <v>-17379275.25</v>
      </c>
      <c r="C127" s="164">
        <f t="shared" ref="C127:AP127" si="73">SUM(C125:C126)</f>
        <v>0</v>
      </c>
      <c r="D127" s="164">
        <f t="shared" si="73"/>
        <v>0</v>
      </c>
      <c r="E127" s="164">
        <f t="shared" si="73"/>
        <v>5812019.5457366826</v>
      </c>
      <c r="F127" s="164">
        <f t="shared" si="73"/>
        <v>5902645.9785218956</v>
      </c>
      <c r="G127" s="164">
        <f t="shared" si="73"/>
        <v>5955988.5423246315</v>
      </c>
      <c r="H127" s="164">
        <f t="shared" si="73"/>
        <v>6009331.2781067574</v>
      </c>
      <c r="I127" s="164">
        <f t="shared" si="73"/>
        <v>6059145.9234855184</v>
      </c>
      <c r="J127" s="164">
        <f t="shared" si="73"/>
        <v>6112509.4490454514</v>
      </c>
      <c r="K127" s="164">
        <f t="shared" si="73"/>
        <v>6165864.7431304613</v>
      </c>
      <c r="L127" s="164">
        <f t="shared" si="73"/>
        <v>621552.22838914127</v>
      </c>
      <c r="M127" s="164">
        <f t="shared" si="73"/>
        <v>626888.22105902201</v>
      </c>
      <c r="N127" s="164">
        <f t="shared" si="73"/>
        <v>632222.48309515615</v>
      </c>
      <c r="O127" s="164">
        <f t="shared" si="73"/>
        <v>627215.0847891533</v>
      </c>
      <c r="P127" s="164">
        <f t="shared" si="73"/>
        <v>632632.07180273393</v>
      </c>
      <c r="Q127" s="164">
        <f t="shared" si="73"/>
        <v>638046.34892522404</v>
      </c>
      <c r="R127" s="164">
        <f t="shared" si="73"/>
        <v>622002.44497605809</v>
      </c>
      <c r="S127" s="164">
        <f t="shared" si="73"/>
        <v>627593.3438550788</v>
      </c>
      <c r="T127" s="164">
        <f t="shared" si="73"/>
        <v>633180.47687021922</v>
      </c>
      <c r="U127" s="164">
        <f t="shared" si="73"/>
        <v>638341.95493669668</v>
      </c>
      <c r="V127" s="164">
        <f t="shared" si="73"/>
        <v>643923.86911114771</v>
      </c>
      <c r="W127" s="164">
        <f t="shared" si="73"/>
        <v>649500.87945363019</v>
      </c>
      <c r="X127" s="164">
        <f t="shared" si="73"/>
        <v>653198.72178478132</v>
      </c>
      <c r="Y127" s="164">
        <f t="shared" si="73"/>
        <v>657335.21556176909</v>
      </c>
      <c r="Z127" s="164">
        <f t="shared" si="73"/>
        <v>661465.57990515872</v>
      </c>
      <c r="AA127" s="164">
        <f t="shared" si="73"/>
        <v>688308.0191793273</v>
      </c>
      <c r="AB127" s="164">
        <f t="shared" si="73"/>
        <v>691915.10879300954</v>
      </c>
      <c r="AC127" s="164">
        <f t="shared" si="73"/>
        <v>695514.74971684406</v>
      </c>
      <c r="AD127" s="164">
        <f t="shared" si="73"/>
        <v>698624.51952442713</v>
      </c>
      <c r="AE127" s="164">
        <f t="shared" si="73"/>
        <v>702211.7908534992</v>
      </c>
      <c r="AF127" s="164">
        <f t="shared" si="73"/>
        <v>1123061.6941517906</v>
      </c>
      <c r="AG127" s="164">
        <f t="shared" si="73"/>
        <v>0</v>
      </c>
      <c r="AH127" s="164">
        <f t="shared" si="73"/>
        <v>0</v>
      </c>
      <c r="AI127" s="164">
        <f t="shared" si="73"/>
        <v>0</v>
      </c>
      <c r="AJ127" s="164">
        <f t="shared" si="73"/>
        <v>0</v>
      </c>
      <c r="AK127" s="164">
        <f t="shared" si="73"/>
        <v>0</v>
      </c>
      <c r="AL127" s="164">
        <f t="shared" si="73"/>
        <v>0</v>
      </c>
      <c r="AM127" s="164">
        <f t="shared" si="73"/>
        <v>0</v>
      </c>
      <c r="AN127" s="164">
        <f t="shared" si="73"/>
        <v>0</v>
      </c>
      <c r="AO127" s="164">
        <f t="shared" si="73"/>
        <v>0</v>
      </c>
      <c r="AP127" s="164">
        <f t="shared" si="73"/>
        <v>0</v>
      </c>
    </row>
    <row r="128" spans="1:42">
      <c r="A128" s="202" t="s">
        <v>33</v>
      </c>
      <c r="B128" s="164"/>
      <c r="C128" s="164"/>
      <c r="D128" s="164"/>
      <c r="E128" s="164"/>
      <c r="F128" s="164"/>
      <c r="G128" s="208"/>
      <c r="H128" s="208"/>
      <c r="I128" s="208"/>
      <c r="J128" s="208"/>
      <c r="K128" s="208"/>
      <c r="L128" s="208"/>
      <c r="M128" s="208"/>
      <c r="N128" s="208"/>
      <c r="O128" s="208"/>
      <c r="P128" s="208"/>
      <c r="Q128" s="208"/>
      <c r="R128" s="208"/>
      <c r="S128" s="208"/>
      <c r="T128" s="208"/>
      <c r="U128" s="208"/>
      <c r="V128" s="208"/>
      <c r="W128" s="208"/>
      <c r="X128" s="208"/>
      <c r="Y128" s="208"/>
      <c r="Z128" s="208"/>
      <c r="AA128" s="208"/>
      <c r="AB128" s="208"/>
      <c r="AC128" s="208"/>
      <c r="AD128" s="208"/>
      <c r="AE128" s="208"/>
      <c r="AF128" s="208"/>
      <c r="AG128" s="208"/>
      <c r="AH128" s="208"/>
      <c r="AI128" s="208"/>
      <c r="AJ128" s="208"/>
      <c r="AK128" s="208"/>
      <c r="AL128" s="208"/>
      <c r="AM128" s="208"/>
      <c r="AN128" s="208"/>
      <c r="AO128" s="208"/>
      <c r="AP128" s="208"/>
    </row>
    <row r="129" spans="1:42">
      <c r="A129" s="206" t="s">
        <v>37</v>
      </c>
      <c r="B129" s="164">
        <v>0</v>
      </c>
      <c r="C129" s="164">
        <f t="shared" ref="C129:AP129" si="74">IF(B$143&lt;AEPFFlipTarget,AEPFTEPreFlipTax*C90,AEPFTEPostFlipTax*C90)</f>
        <v>19800</v>
      </c>
      <c r="D129" s="164">
        <f t="shared" si="74"/>
        <v>0</v>
      </c>
      <c r="E129" s="164">
        <f t="shared" si="74"/>
        <v>0</v>
      </c>
      <c r="F129" s="164">
        <f t="shared" si="74"/>
        <v>0</v>
      </c>
      <c r="G129" s="164">
        <f t="shared" si="74"/>
        <v>0</v>
      </c>
      <c r="H129" s="164">
        <f t="shared" si="74"/>
        <v>0</v>
      </c>
      <c r="I129" s="164">
        <f t="shared" si="74"/>
        <v>0</v>
      </c>
      <c r="J129" s="164">
        <f t="shared" si="74"/>
        <v>0</v>
      </c>
      <c r="K129" s="164">
        <f t="shared" si="74"/>
        <v>0</v>
      </c>
      <c r="L129" s="164">
        <f t="shared" si="74"/>
        <v>0</v>
      </c>
      <c r="M129" s="164">
        <f t="shared" si="74"/>
        <v>0</v>
      </c>
      <c r="N129" s="164">
        <f t="shared" si="74"/>
        <v>0</v>
      </c>
      <c r="O129" s="164">
        <f t="shared" si="74"/>
        <v>0</v>
      </c>
      <c r="P129" s="164">
        <f t="shared" si="74"/>
        <v>0</v>
      </c>
      <c r="Q129" s="164">
        <f t="shared" si="74"/>
        <v>0</v>
      </c>
      <c r="R129" s="164">
        <f t="shared" si="74"/>
        <v>0</v>
      </c>
      <c r="S129" s="164">
        <f t="shared" si="74"/>
        <v>0</v>
      </c>
      <c r="T129" s="164">
        <f t="shared" si="74"/>
        <v>0</v>
      </c>
      <c r="U129" s="164">
        <f t="shared" si="74"/>
        <v>0</v>
      </c>
      <c r="V129" s="164">
        <f t="shared" si="74"/>
        <v>0</v>
      </c>
      <c r="W129" s="164">
        <f t="shared" si="74"/>
        <v>0</v>
      </c>
      <c r="X129" s="164">
        <f t="shared" si="74"/>
        <v>0</v>
      </c>
      <c r="Y129" s="164">
        <f t="shared" si="74"/>
        <v>0</v>
      </c>
      <c r="Z129" s="164">
        <f t="shared" si="74"/>
        <v>0</v>
      </c>
      <c r="AA129" s="164">
        <f t="shared" si="74"/>
        <v>0</v>
      </c>
      <c r="AB129" s="164">
        <f t="shared" si="74"/>
        <v>0</v>
      </c>
      <c r="AC129" s="164">
        <f t="shared" si="74"/>
        <v>0</v>
      </c>
      <c r="AD129" s="164">
        <f t="shared" si="74"/>
        <v>0</v>
      </c>
      <c r="AE129" s="164">
        <f t="shared" si="74"/>
        <v>0</v>
      </c>
      <c r="AF129" s="164">
        <f t="shared" si="74"/>
        <v>0</v>
      </c>
      <c r="AG129" s="164">
        <f t="shared" si="74"/>
        <v>0</v>
      </c>
      <c r="AH129" s="164">
        <f t="shared" si="74"/>
        <v>0</v>
      </c>
      <c r="AI129" s="164">
        <f t="shared" si="74"/>
        <v>0</v>
      </c>
      <c r="AJ129" s="164">
        <f t="shared" si="74"/>
        <v>0</v>
      </c>
      <c r="AK129" s="164">
        <f t="shared" si="74"/>
        <v>0</v>
      </c>
      <c r="AL129" s="164">
        <f t="shared" si="74"/>
        <v>0</v>
      </c>
      <c r="AM129" s="164">
        <f t="shared" si="74"/>
        <v>0</v>
      </c>
      <c r="AN129" s="164">
        <f t="shared" si="74"/>
        <v>0</v>
      </c>
      <c r="AO129" s="164">
        <f t="shared" si="74"/>
        <v>0</v>
      </c>
      <c r="AP129" s="164">
        <f t="shared" si="74"/>
        <v>0</v>
      </c>
    </row>
    <row r="130" spans="1:42">
      <c r="A130" s="206" t="s">
        <v>36</v>
      </c>
      <c r="B130" s="209">
        <v>0</v>
      </c>
      <c r="C130" s="209">
        <f t="shared" ref="C130:AP130" si="75">IF(B$143&lt;AEPFFlipTarget,AEPFTEPreFlipTax*C91,AEPFTEPostFlipTax*C91)</f>
        <v>9900</v>
      </c>
      <c r="D130" s="209">
        <f t="shared" si="75"/>
        <v>0</v>
      </c>
      <c r="E130" s="209">
        <f t="shared" si="75"/>
        <v>0</v>
      </c>
      <c r="F130" s="209">
        <f t="shared" si="75"/>
        <v>0</v>
      </c>
      <c r="G130" s="209">
        <f t="shared" si="75"/>
        <v>0</v>
      </c>
      <c r="H130" s="209">
        <f t="shared" si="75"/>
        <v>0</v>
      </c>
      <c r="I130" s="209">
        <f t="shared" si="75"/>
        <v>0</v>
      </c>
      <c r="J130" s="209">
        <f t="shared" si="75"/>
        <v>0</v>
      </c>
      <c r="K130" s="209">
        <f t="shared" si="75"/>
        <v>0</v>
      </c>
      <c r="L130" s="209">
        <f t="shared" si="75"/>
        <v>0</v>
      </c>
      <c r="M130" s="209">
        <f t="shared" si="75"/>
        <v>0</v>
      </c>
      <c r="N130" s="209">
        <f t="shared" si="75"/>
        <v>0</v>
      </c>
      <c r="O130" s="209">
        <f t="shared" si="75"/>
        <v>0</v>
      </c>
      <c r="P130" s="209">
        <f t="shared" si="75"/>
        <v>0</v>
      </c>
      <c r="Q130" s="209">
        <f t="shared" si="75"/>
        <v>0</v>
      </c>
      <c r="R130" s="209">
        <f t="shared" si="75"/>
        <v>0</v>
      </c>
      <c r="S130" s="209">
        <f t="shared" si="75"/>
        <v>0</v>
      </c>
      <c r="T130" s="209">
        <f t="shared" si="75"/>
        <v>0</v>
      </c>
      <c r="U130" s="209">
        <f t="shared" si="75"/>
        <v>0</v>
      </c>
      <c r="V130" s="209">
        <f t="shared" si="75"/>
        <v>0</v>
      </c>
      <c r="W130" s="209">
        <f t="shared" si="75"/>
        <v>0</v>
      </c>
      <c r="X130" s="209">
        <f t="shared" si="75"/>
        <v>0</v>
      </c>
      <c r="Y130" s="209">
        <f t="shared" si="75"/>
        <v>0</v>
      </c>
      <c r="Z130" s="209">
        <f t="shared" si="75"/>
        <v>0</v>
      </c>
      <c r="AA130" s="209">
        <f t="shared" si="75"/>
        <v>0</v>
      </c>
      <c r="AB130" s="209">
        <f t="shared" si="75"/>
        <v>0</v>
      </c>
      <c r="AC130" s="209">
        <f t="shared" si="75"/>
        <v>0</v>
      </c>
      <c r="AD130" s="209">
        <f t="shared" si="75"/>
        <v>0</v>
      </c>
      <c r="AE130" s="209">
        <f t="shared" si="75"/>
        <v>0</v>
      </c>
      <c r="AF130" s="209">
        <f t="shared" si="75"/>
        <v>0</v>
      </c>
      <c r="AG130" s="209">
        <f t="shared" si="75"/>
        <v>0</v>
      </c>
      <c r="AH130" s="209">
        <f t="shared" si="75"/>
        <v>0</v>
      </c>
      <c r="AI130" s="209">
        <f t="shared" si="75"/>
        <v>0</v>
      </c>
      <c r="AJ130" s="209">
        <f t="shared" si="75"/>
        <v>0</v>
      </c>
      <c r="AK130" s="209">
        <f t="shared" si="75"/>
        <v>0</v>
      </c>
      <c r="AL130" s="209">
        <f t="shared" si="75"/>
        <v>0</v>
      </c>
      <c r="AM130" s="209">
        <f t="shared" si="75"/>
        <v>0</v>
      </c>
      <c r="AN130" s="209">
        <f t="shared" si="75"/>
        <v>0</v>
      </c>
      <c r="AO130" s="209">
        <f t="shared" si="75"/>
        <v>0</v>
      </c>
      <c r="AP130" s="209">
        <f t="shared" si="75"/>
        <v>0</v>
      </c>
    </row>
    <row r="131" spans="1:42">
      <c r="A131" s="206" t="s">
        <v>53</v>
      </c>
      <c r="B131" s="164">
        <f>SUM(B129:B130)</f>
        <v>0</v>
      </c>
      <c r="C131" s="164">
        <f>SUM(C129:C130)</f>
        <v>29700</v>
      </c>
      <c r="D131" s="164">
        <f>SUM(D129:D130)</f>
        <v>0</v>
      </c>
      <c r="E131" s="164">
        <f t="shared" ref="E131:AP131" si="76">SUM(E129:E130)</f>
        <v>0</v>
      </c>
      <c r="F131" s="164">
        <f t="shared" si="76"/>
        <v>0</v>
      </c>
      <c r="G131" s="164">
        <f t="shared" si="76"/>
        <v>0</v>
      </c>
      <c r="H131" s="164">
        <f t="shared" si="76"/>
        <v>0</v>
      </c>
      <c r="I131" s="164">
        <f t="shared" si="76"/>
        <v>0</v>
      </c>
      <c r="J131" s="164">
        <f t="shared" si="76"/>
        <v>0</v>
      </c>
      <c r="K131" s="164">
        <f t="shared" si="76"/>
        <v>0</v>
      </c>
      <c r="L131" s="164">
        <f t="shared" si="76"/>
        <v>0</v>
      </c>
      <c r="M131" s="164">
        <f t="shared" si="76"/>
        <v>0</v>
      </c>
      <c r="N131" s="164">
        <f t="shared" si="76"/>
        <v>0</v>
      </c>
      <c r="O131" s="164">
        <f t="shared" si="76"/>
        <v>0</v>
      </c>
      <c r="P131" s="164">
        <f t="shared" si="76"/>
        <v>0</v>
      </c>
      <c r="Q131" s="164">
        <f t="shared" si="76"/>
        <v>0</v>
      </c>
      <c r="R131" s="164">
        <f t="shared" si="76"/>
        <v>0</v>
      </c>
      <c r="S131" s="164">
        <f t="shared" si="76"/>
        <v>0</v>
      </c>
      <c r="T131" s="164">
        <f t="shared" si="76"/>
        <v>0</v>
      </c>
      <c r="U131" s="164">
        <f t="shared" si="76"/>
        <v>0</v>
      </c>
      <c r="V131" s="164">
        <f t="shared" si="76"/>
        <v>0</v>
      </c>
      <c r="W131" s="164">
        <f t="shared" si="76"/>
        <v>0</v>
      </c>
      <c r="X131" s="164">
        <f t="shared" si="76"/>
        <v>0</v>
      </c>
      <c r="Y131" s="164">
        <f t="shared" si="76"/>
        <v>0</v>
      </c>
      <c r="Z131" s="164">
        <f t="shared" si="76"/>
        <v>0</v>
      </c>
      <c r="AA131" s="164">
        <f t="shared" si="76"/>
        <v>0</v>
      </c>
      <c r="AB131" s="164">
        <f t="shared" si="76"/>
        <v>0</v>
      </c>
      <c r="AC131" s="164">
        <f t="shared" si="76"/>
        <v>0</v>
      </c>
      <c r="AD131" s="164">
        <f t="shared" si="76"/>
        <v>0</v>
      </c>
      <c r="AE131" s="164">
        <f t="shared" si="76"/>
        <v>0</v>
      </c>
      <c r="AF131" s="164">
        <f t="shared" si="76"/>
        <v>0</v>
      </c>
      <c r="AG131" s="164">
        <f t="shared" si="76"/>
        <v>0</v>
      </c>
      <c r="AH131" s="164">
        <f t="shared" si="76"/>
        <v>0</v>
      </c>
      <c r="AI131" s="164">
        <f t="shared" si="76"/>
        <v>0</v>
      </c>
      <c r="AJ131" s="164">
        <f t="shared" si="76"/>
        <v>0</v>
      </c>
      <c r="AK131" s="164">
        <f t="shared" si="76"/>
        <v>0</v>
      </c>
      <c r="AL131" s="164">
        <f t="shared" si="76"/>
        <v>0</v>
      </c>
      <c r="AM131" s="164">
        <f t="shared" si="76"/>
        <v>0</v>
      </c>
      <c r="AN131" s="164">
        <f t="shared" si="76"/>
        <v>0</v>
      </c>
      <c r="AO131" s="164">
        <f t="shared" si="76"/>
        <v>0</v>
      </c>
      <c r="AP131" s="164">
        <f t="shared" si="76"/>
        <v>0</v>
      </c>
    </row>
    <row r="132" spans="1:42">
      <c r="A132" s="202" t="s">
        <v>38</v>
      </c>
      <c r="B132" s="164"/>
      <c r="C132" s="164"/>
      <c r="D132" s="164"/>
      <c r="E132" s="164"/>
      <c r="F132" s="164"/>
      <c r="G132" s="208"/>
      <c r="H132" s="208"/>
      <c r="I132" s="208"/>
      <c r="J132" s="208"/>
      <c r="K132" s="208"/>
      <c r="L132" s="208"/>
      <c r="M132" s="208"/>
      <c r="N132" s="208"/>
      <c r="O132" s="208"/>
      <c r="P132" s="208"/>
      <c r="Q132" s="208"/>
      <c r="R132" s="208"/>
      <c r="S132" s="208"/>
      <c r="T132" s="208"/>
      <c r="U132" s="208"/>
      <c r="V132" s="208"/>
      <c r="W132" s="208"/>
      <c r="X132" s="208"/>
      <c r="Y132" s="208"/>
      <c r="Z132" s="208"/>
      <c r="AA132" s="208"/>
      <c r="AB132" s="208"/>
      <c r="AC132" s="208"/>
      <c r="AD132" s="208"/>
      <c r="AE132" s="208"/>
      <c r="AF132" s="208"/>
      <c r="AG132" s="208"/>
      <c r="AH132" s="208"/>
      <c r="AI132" s="208"/>
      <c r="AJ132" s="208"/>
      <c r="AK132" s="208"/>
      <c r="AL132" s="208"/>
      <c r="AM132" s="208"/>
      <c r="AN132" s="208"/>
      <c r="AO132" s="208"/>
      <c r="AP132" s="208"/>
    </row>
    <row r="133" spans="1:42">
      <c r="A133" s="206" t="s">
        <v>37</v>
      </c>
      <c r="B133" s="164">
        <f>B642</f>
        <v>0</v>
      </c>
      <c r="C133" s="164">
        <f t="shared" ref="C133:AP133" si="77">IF(B$143&lt;AEPFFlipTarget,AEPFTEPreFlipTax*C94,AEPFTEPostFlipTax*C94)</f>
        <v>0</v>
      </c>
      <c r="D133" s="164">
        <f t="shared" si="77"/>
        <v>0</v>
      </c>
      <c r="E133" s="164">
        <f t="shared" si="77"/>
        <v>0</v>
      </c>
      <c r="F133" s="164">
        <f t="shared" si="77"/>
        <v>0</v>
      </c>
      <c r="G133" s="164">
        <f t="shared" si="77"/>
        <v>0</v>
      </c>
      <c r="H133" s="164">
        <f t="shared" si="77"/>
        <v>0</v>
      </c>
      <c r="I133" s="164">
        <f t="shared" si="77"/>
        <v>0</v>
      </c>
      <c r="J133" s="164">
        <f t="shared" si="77"/>
        <v>0</v>
      </c>
      <c r="K133" s="164">
        <f t="shared" si="77"/>
        <v>0</v>
      </c>
      <c r="L133" s="164">
        <f t="shared" si="77"/>
        <v>0</v>
      </c>
      <c r="M133" s="164">
        <f t="shared" si="77"/>
        <v>0</v>
      </c>
      <c r="N133" s="164">
        <f t="shared" si="77"/>
        <v>0</v>
      </c>
      <c r="O133" s="164">
        <f t="shared" si="77"/>
        <v>0</v>
      </c>
      <c r="P133" s="164">
        <f t="shared" si="77"/>
        <v>0</v>
      </c>
      <c r="Q133" s="164">
        <f t="shared" si="77"/>
        <v>0</v>
      </c>
      <c r="R133" s="164">
        <f t="shared" si="77"/>
        <v>0</v>
      </c>
      <c r="S133" s="164">
        <f t="shared" si="77"/>
        <v>0</v>
      </c>
      <c r="T133" s="164">
        <f t="shared" si="77"/>
        <v>0</v>
      </c>
      <c r="U133" s="164">
        <f t="shared" si="77"/>
        <v>0</v>
      </c>
      <c r="V133" s="164">
        <f t="shared" si="77"/>
        <v>0</v>
      </c>
      <c r="W133" s="164">
        <f t="shared" si="77"/>
        <v>0</v>
      </c>
      <c r="X133" s="164">
        <f t="shared" si="77"/>
        <v>0</v>
      </c>
      <c r="Y133" s="164">
        <f t="shared" si="77"/>
        <v>0</v>
      </c>
      <c r="Z133" s="164">
        <f t="shared" si="77"/>
        <v>0</v>
      </c>
      <c r="AA133" s="164">
        <f t="shared" si="77"/>
        <v>0</v>
      </c>
      <c r="AB133" s="164">
        <f t="shared" si="77"/>
        <v>0</v>
      </c>
      <c r="AC133" s="164">
        <f t="shared" si="77"/>
        <v>0</v>
      </c>
      <c r="AD133" s="164">
        <f t="shared" si="77"/>
        <v>0</v>
      </c>
      <c r="AE133" s="164">
        <f t="shared" si="77"/>
        <v>0</v>
      </c>
      <c r="AF133" s="164">
        <f t="shared" si="77"/>
        <v>0</v>
      </c>
      <c r="AG133" s="164">
        <f t="shared" si="77"/>
        <v>0</v>
      </c>
      <c r="AH133" s="164">
        <f t="shared" si="77"/>
        <v>0</v>
      </c>
      <c r="AI133" s="164">
        <f t="shared" si="77"/>
        <v>0</v>
      </c>
      <c r="AJ133" s="164">
        <f t="shared" si="77"/>
        <v>0</v>
      </c>
      <c r="AK133" s="164">
        <f t="shared" si="77"/>
        <v>0</v>
      </c>
      <c r="AL133" s="164">
        <f t="shared" si="77"/>
        <v>0</v>
      </c>
      <c r="AM133" s="164">
        <f t="shared" si="77"/>
        <v>0</v>
      </c>
      <c r="AN133" s="164">
        <f t="shared" si="77"/>
        <v>0</v>
      </c>
      <c r="AO133" s="164">
        <f t="shared" si="77"/>
        <v>0</v>
      </c>
      <c r="AP133" s="164">
        <f t="shared" si="77"/>
        <v>0</v>
      </c>
    </row>
    <row r="134" spans="1:42">
      <c r="A134" s="206" t="s">
        <v>36</v>
      </c>
      <c r="B134" s="209">
        <f>B648</f>
        <v>0</v>
      </c>
      <c r="C134" s="209">
        <f t="shared" ref="C134:AP134" si="78">IF(B$143&lt;AEPFFlipTarget,AEPFTEPreFlipTax*C95,AEPFTEPostFlipTax*C95)</f>
        <v>0</v>
      </c>
      <c r="D134" s="209">
        <f t="shared" si="78"/>
        <v>0</v>
      </c>
      <c r="E134" s="209">
        <f t="shared" si="78"/>
        <v>0</v>
      </c>
      <c r="F134" s="209">
        <f t="shared" si="78"/>
        <v>0</v>
      </c>
      <c r="G134" s="209">
        <f t="shared" si="78"/>
        <v>0</v>
      </c>
      <c r="H134" s="209">
        <f t="shared" si="78"/>
        <v>0</v>
      </c>
      <c r="I134" s="209">
        <f t="shared" si="78"/>
        <v>0</v>
      </c>
      <c r="J134" s="209">
        <f t="shared" si="78"/>
        <v>0</v>
      </c>
      <c r="K134" s="209">
        <f t="shared" si="78"/>
        <v>0</v>
      </c>
      <c r="L134" s="209">
        <f t="shared" si="78"/>
        <v>0</v>
      </c>
      <c r="M134" s="209">
        <f t="shared" si="78"/>
        <v>0</v>
      </c>
      <c r="N134" s="209">
        <f t="shared" si="78"/>
        <v>0</v>
      </c>
      <c r="O134" s="209">
        <f t="shared" si="78"/>
        <v>0</v>
      </c>
      <c r="P134" s="209">
        <f t="shared" si="78"/>
        <v>0</v>
      </c>
      <c r="Q134" s="209">
        <f t="shared" si="78"/>
        <v>0</v>
      </c>
      <c r="R134" s="209">
        <f t="shared" si="78"/>
        <v>0</v>
      </c>
      <c r="S134" s="209">
        <f t="shared" si="78"/>
        <v>0</v>
      </c>
      <c r="T134" s="209">
        <f t="shared" si="78"/>
        <v>0</v>
      </c>
      <c r="U134" s="209">
        <f t="shared" si="78"/>
        <v>0</v>
      </c>
      <c r="V134" s="209">
        <f t="shared" si="78"/>
        <v>0</v>
      </c>
      <c r="W134" s="209">
        <f t="shared" si="78"/>
        <v>0</v>
      </c>
      <c r="X134" s="209">
        <f t="shared" si="78"/>
        <v>0</v>
      </c>
      <c r="Y134" s="209">
        <f t="shared" si="78"/>
        <v>0</v>
      </c>
      <c r="Z134" s="209">
        <f t="shared" si="78"/>
        <v>0</v>
      </c>
      <c r="AA134" s="209">
        <f t="shared" si="78"/>
        <v>0</v>
      </c>
      <c r="AB134" s="209">
        <f t="shared" si="78"/>
        <v>0</v>
      </c>
      <c r="AC134" s="209">
        <f t="shared" si="78"/>
        <v>0</v>
      </c>
      <c r="AD134" s="209">
        <f t="shared" si="78"/>
        <v>0</v>
      </c>
      <c r="AE134" s="209">
        <f t="shared" si="78"/>
        <v>0</v>
      </c>
      <c r="AF134" s="209">
        <f t="shared" si="78"/>
        <v>0</v>
      </c>
      <c r="AG134" s="209">
        <f t="shared" si="78"/>
        <v>0</v>
      </c>
      <c r="AH134" s="209">
        <f t="shared" si="78"/>
        <v>0</v>
      </c>
      <c r="AI134" s="209">
        <f t="shared" si="78"/>
        <v>0</v>
      </c>
      <c r="AJ134" s="209">
        <f t="shared" si="78"/>
        <v>0</v>
      </c>
      <c r="AK134" s="209">
        <f t="shared" si="78"/>
        <v>0</v>
      </c>
      <c r="AL134" s="209">
        <f t="shared" si="78"/>
        <v>0</v>
      </c>
      <c r="AM134" s="209">
        <f t="shared" si="78"/>
        <v>0</v>
      </c>
      <c r="AN134" s="209">
        <f t="shared" si="78"/>
        <v>0</v>
      </c>
      <c r="AO134" s="209">
        <f t="shared" si="78"/>
        <v>0</v>
      </c>
      <c r="AP134" s="209">
        <f t="shared" si="78"/>
        <v>0</v>
      </c>
    </row>
    <row r="135" spans="1:42">
      <c r="A135" s="206" t="s">
        <v>53</v>
      </c>
      <c r="B135" s="164">
        <f>SUM(B133:B134)</f>
        <v>0</v>
      </c>
      <c r="C135" s="164">
        <f>SUM(C133:C134)</f>
        <v>0</v>
      </c>
      <c r="D135" s="164">
        <f>SUM(D133:D134)</f>
        <v>0</v>
      </c>
      <c r="E135" s="164">
        <f t="shared" ref="E135:AP135" si="79">SUM(E133:E134)</f>
        <v>0</v>
      </c>
      <c r="F135" s="164">
        <f t="shared" si="79"/>
        <v>0</v>
      </c>
      <c r="G135" s="164">
        <f t="shared" si="79"/>
        <v>0</v>
      </c>
      <c r="H135" s="164">
        <f t="shared" si="79"/>
        <v>0</v>
      </c>
      <c r="I135" s="164">
        <f t="shared" si="79"/>
        <v>0</v>
      </c>
      <c r="J135" s="164">
        <f t="shared" si="79"/>
        <v>0</v>
      </c>
      <c r="K135" s="164">
        <f t="shared" si="79"/>
        <v>0</v>
      </c>
      <c r="L135" s="164">
        <f t="shared" si="79"/>
        <v>0</v>
      </c>
      <c r="M135" s="164">
        <f t="shared" si="79"/>
        <v>0</v>
      </c>
      <c r="N135" s="164">
        <f t="shared" si="79"/>
        <v>0</v>
      </c>
      <c r="O135" s="164">
        <f t="shared" si="79"/>
        <v>0</v>
      </c>
      <c r="P135" s="164">
        <f t="shared" si="79"/>
        <v>0</v>
      </c>
      <c r="Q135" s="164">
        <f t="shared" si="79"/>
        <v>0</v>
      </c>
      <c r="R135" s="164">
        <f t="shared" si="79"/>
        <v>0</v>
      </c>
      <c r="S135" s="164">
        <f t="shared" si="79"/>
        <v>0</v>
      </c>
      <c r="T135" s="164">
        <f t="shared" si="79"/>
        <v>0</v>
      </c>
      <c r="U135" s="164">
        <f t="shared" si="79"/>
        <v>0</v>
      </c>
      <c r="V135" s="164">
        <f t="shared" si="79"/>
        <v>0</v>
      </c>
      <c r="W135" s="164">
        <f t="shared" si="79"/>
        <v>0</v>
      </c>
      <c r="X135" s="164">
        <f t="shared" si="79"/>
        <v>0</v>
      </c>
      <c r="Y135" s="164">
        <f t="shared" si="79"/>
        <v>0</v>
      </c>
      <c r="Z135" s="164">
        <f t="shared" si="79"/>
        <v>0</v>
      </c>
      <c r="AA135" s="164">
        <f t="shared" si="79"/>
        <v>0</v>
      </c>
      <c r="AB135" s="164">
        <f t="shared" si="79"/>
        <v>0</v>
      </c>
      <c r="AC135" s="164">
        <f t="shared" si="79"/>
        <v>0</v>
      </c>
      <c r="AD135" s="164">
        <f t="shared" si="79"/>
        <v>0</v>
      </c>
      <c r="AE135" s="164">
        <f t="shared" si="79"/>
        <v>0</v>
      </c>
      <c r="AF135" s="164">
        <f t="shared" si="79"/>
        <v>0</v>
      </c>
      <c r="AG135" s="164">
        <f t="shared" si="79"/>
        <v>0</v>
      </c>
      <c r="AH135" s="164">
        <f t="shared" si="79"/>
        <v>0</v>
      </c>
      <c r="AI135" s="164">
        <f t="shared" si="79"/>
        <v>0</v>
      </c>
      <c r="AJ135" s="164">
        <f t="shared" si="79"/>
        <v>0</v>
      </c>
      <c r="AK135" s="164">
        <f t="shared" si="79"/>
        <v>0</v>
      </c>
      <c r="AL135" s="164">
        <f t="shared" si="79"/>
        <v>0</v>
      </c>
      <c r="AM135" s="164">
        <f t="shared" si="79"/>
        <v>0</v>
      </c>
      <c r="AN135" s="164">
        <f t="shared" si="79"/>
        <v>0</v>
      </c>
      <c r="AO135" s="164">
        <f t="shared" si="79"/>
        <v>0</v>
      </c>
      <c r="AP135" s="164">
        <f t="shared" si="79"/>
        <v>0</v>
      </c>
    </row>
    <row r="136" spans="1:42">
      <c r="A136" s="202" t="s">
        <v>449</v>
      </c>
      <c r="B136" s="164"/>
      <c r="C136" s="164"/>
      <c r="D136" s="164"/>
      <c r="E136" s="164"/>
      <c r="F136" s="164"/>
      <c r="G136" s="164"/>
      <c r="H136" s="164"/>
      <c r="I136" s="164"/>
      <c r="J136" s="164"/>
      <c r="K136" s="164"/>
      <c r="L136" s="164"/>
      <c r="M136" s="164"/>
      <c r="N136" s="164"/>
      <c r="O136" s="164"/>
      <c r="P136" s="164"/>
      <c r="Q136" s="164"/>
      <c r="R136" s="164"/>
      <c r="S136" s="164"/>
      <c r="T136" s="164"/>
      <c r="U136" s="164"/>
      <c r="V136" s="164"/>
      <c r="W136" s="164"/>
      <c r="X136" s="164"/>
      <c r="Y136" s="164"/>
      <c r="Z136" s="164"/>
      <c r="AA136" s="164"/>
      <c r="AB136" s="164"/>
      <c r="AC136" s="164"/>
      <c r="AD136" s="164"/>
      <c r="AE136" s="164"/>
      <c r="AF136" s="164"/>
      <c r="AG136" s="164"/>
      <c r="AH136" s="164"/>
      <c r="AI136" s="164"/>
      <c r="AJ136" s="164"/>
      <c r="AK136" s="164"/>
      <c r="AL136" s="164"/>
      <c r="AM136" s="164"/>
      <c r="AN136" s="164"/>
      <c r="AO136" s="164"/>
      <c r="AP136" s="164"/>
    </row>
    <row r="137" spans="1:42">
      <c r="A137" s="206" t="s">
        <v>37</v>
      </c>
      <c r="B137" s="164">
        <v>0</v>
      </c>
      <c r="C137" s="164">
        <f t="shared" ref="C137:AP137" si="80">IF(B$143&lt;AEPFFlipTarget,AEPFTEPreFlipTax*C98,AEPFTEPostFlipTax*C98)</f>
        <v>-582677.70885620988</v>
      </c>
      <c r="D137" s="164">
        <f t="shared" si="80"/>
        <v>307029.56590478221</v>
      </c>
      <c r="E137" s="164">
        <f t="shared" si="80"/>
        <v>44533.987066688242</v>
      </c>
      <c r="F137" s="164">
        <f t="shared" si="80"/>
        <v>-114124.2915903024</v>
      </c>
      <c r="G137" s="164">
        <f t="shared" si="80"/>
        <v>-118015.71555042066</v>
      </c>
      <c r="H137" s="164">
        <f t="shared" si="80"/>
        <v>-237594.76269995762</v>
      </c>
      <c r="I137" s="164">
        <f t="shared" si="80"/>
        <v>-356980.25880341389</v>
      </c>
      <c r="J137" s="164">
        <f t="shared" si="80"/>
        <v>-360963.33030923276</v>
      </c>
      <c r="K137" s="164">
        <f t="shared" si="80"/>
        <v>-363408.39718310116</v>
      </c>
      <c r="L137" s="164">
        <f t="shared" si="80"/>
        <v>-36916.826020528439</v>
      </c>
      <c r="M137" s="164">
        <f t="shared" si="80"/>
        <v>-37323.033567350991</v>
      </c>
      <c r="N137" s="164">
        <f t="shared" si="80"/>
        <v>-34329.900907833966</v>
      </c>
      <c r="O137" s="164">
        <f t="shared" si="80"/>
        <v>-32306.325050053765</v>
      </c>
      <c r="P137" s="164">
        <f t="shared" si="80"/>
        <v>-34796.769841322202</v>
      </c>
      <c r="Q137" s="164">
        <f t="shared" si="80"/>
        <v>-29513.057874659906</v>
      </c>
      <c r="R137" s="164">
        <f t="shared" si="80"/>
        <v>-25282.175200309754</v>
      </c>
      <c r="S137" s="164">
        <f t="shared" si="80"/>
        <v>-31203.945798016044</v>
      </c>
      <c r="T137" s="164">
        <f t="shared" si="80"/>
        <v>-34993.306323501391</v>
      </c>
      <c r="U137" s="164">
        <f t="shared" si="80"/>
        <v>-35202.964632528492</v>
      </c>
      <c r="V137" s="164">
        <f t="shared" si="80"/>
        <v>-37590.76964238409</v>
      </c>
      <c r="W137" s="164">
        <f t="shared" si="80"/>
        <v>-39970.251578306139</v>
      </c>
      <c r="X137" s="164">
        <f t="shared" si="80"/>
        <v>-40272.390876627294</v>
      </c>
      <c r="Y137" s="164">
        <f t="shared" si="80"/>
        <v>-40635.521110904665</v>
      </c>
      <c r="Z137" s="164">
        <f t="shared" si="80"/>
        <v>-36932.428127165462</v>
      </c>
      <c r="AA137" s="164">
        <f t="shared" si="80"/>
        <v>-34390.015869908828</v>
      </c>
      <c r="AB137" s="164">
        <f t="shared" si="80"/>
        <v>-37208.967709066776</v>
      </c>
      <c r="AC137" s="164">
        <f t="shared" si="80"/>
        <v>-38834.35440397777</v>
      </c>
      <c r="AD137" s="164">
        <f t="shared" si="80"/>
        <v>-38920.525926826012</v>
      </c>
      <c r="AE137" s="164">
        <f t="shared" si="80"/>
        <v>-40381.556695857173</v>
      </c>
      <c r="AF137" s="164">
        <f t="shared" si="80"/>
        <v>-55286.270045904494</v>
      </c>
      <c r="AG137" s="164">
        <f t="shared" si="80"/>
        <v>0</v>
      </c>
      <c r="AH137" s="164">
        <f t="shared" si="80"/>
        <v>0</v>
      </c>
      <c r="AI137" s="164">
        <f t="shared" si="80"/>
        <v>0</v>
      </c>
      <c r="AJ137" s="164">
        <f t="shared" si="80"/>
        <v>0</v>
      </c>
      <c r="AK137" s="164">
        <f t="shared" si="80"/>
        <v>0</v>
      </c>
      <c r="AL137" s="164">
        <f t="shared" si="80"/>
        <v>0</v>
      </c>
      <c r="AM137" s="164">
        <f t="shared" si="80"/>
        <v>0</v>
      </c>
      <c r="AN137" s="164">
        <f t="shared" si="80"/>
        <v>0</v>
      </c>
      <c r="AO137" s="164">
        <f t="shared" si="80"/>
        <v>0</v>
      </c>
      <c r="AP137" s="164">
        <f t="shared" si="80"/>
        <v>0</v>
      </c>
    </row>
    <row r="138" spans="1:42">
      <c r="A138" s="206" t="s">
        <v>36</v>
      </c>
      <c r="B138" s="209">
        <v>0</v>
      </c>
      <c r="C138" s="209">
        <f t="shared" ref="C138:AP138" si="81">IF(B$143&lt;AEPFFlipTarget,AEPFTEPreFlipTax*C99,AEPFTEPostFlipTax*C99)</f>
        <v>-2958466.2718568253</v>
      </c>
      <c r="D138" s="209">
        <f t="shared" si="81"/>
        <v>1628838.927676006</v>
      </c>
      <c r="E138" s="209">
        <f t="shared" si="81"/>
        <v>137296.06330566006</v>
      </c>
      <c r="F138" s="209">
        <f t="shared" si="81"/>
        <v>-764611.07432345476</v>
      </c>
      <c r="G138" s="209">
        <f t="shared" si="81"/>
        <v>-788012.68295634759</v>
      </c>
      <c r="H138" s="209">
        <f t="shared" si="81"/>
        <v>-1467963.0470029037</v>
      </c>
      <c r="I138" s="209">
        <f t="shared" si="81"/>
        <v>-2146749.4654405299</v>
      </c>
      <c r="J138" s="209">
        <f t="shared" si="81"/>
        <v>-2170702.2090868861</v>
      </c>
      <c r="K138" s="209">
        <f t="shared" si="81"/>
        <v>-2185405.9521511039</v>
      </c>
      <c r="L138" s="209">
        <f t="shared" si="81"/>
        <v>-222004.36738708691</v>
      </c>
      <c r="M138" s="209">
        <f t="shared" si="81"/>
        <v>-224447.15186184255</v>
      </c>
      <c r="N138" s="209">
        <f t="shared" si="81"/>
        <v>-206447.54045938331</v>
      </c>
      <c r="O138" s="209">
        <f t="shared" si="81"/>
        <v>-194278.49109645968</v>
      </c>
      <c r="P138" s="209">
        <f t="shared" si="81"/>
        <v>-209255.12045486036</v>
      </c>
      <c r="Q138" s="209">
        <f t="shared" si="81"/>
        <v>-177480.79803715931</v>
      </c>
      <c r="R138" s="209">
        <f t="shared" si="81"/>
        <v>-152037.80813640819</v>
      </c>
      <c r="S138" s="209">
        <f t="shared" si="81"/>
        <v>-187649.18313988738</v>
      </c>
      <c r="T138" s="209">
        <f t="shared" si="81"/>
        <v>-210437.01939087428</v>
      </c>
      <c r="U138" s="209">
        <f t="shared" si="81"/>
        <v>-211697.82822197815</v>
      </c>
      <c r="V138" s="209">
        <f t="shared" si="81"/>
        <v>-226057.21925851886</v>
      </c>
      <c r="W138" s="209">
        <f t="shared" si="81"/>
        <v>-240366.5583549955</v>
      </c>
      <c r="X138" s="209">
        <f t="shared" si="81"/>
        <v>-242183.51422626321</v>
      </c>
      <c r="Y138" s="209">
        <f t="shared" si="81"/>
        <v>-244367.24740784941</v>
      </c>
      <c r="Z138" s="209">
        <f t="shared" si="81"/>
        <v>-222098.19278290868</v>
      </c>
      <c r="AA138" s="209">
        <f t="shared" si="81"/>
        <v>-206809.04998131536</v>
      </c>
      <c r="AB138" s="209">
        <f t="shared" si="81"/>
        <v>-223761.20126861511</v>
      </c>
      <c r="AC138" s="209">
        <f t="shared" si="81"/>
        <v>-233535.68580210267</v>
      </c>
      <c r="AD138" s="209">
        <f t="shared" si="81"/>
        <v>-234053.89000541274</v>
      </c>
      <c r="AE138" s="209">
        <f t="shared" si="81"/>
        <v>-242839.99776645016</v>
      </c>
      <c r="AF138" s="209">
        <f t="shared" si="81"/>
        <v>-332471.52395787113</v>
      </c>
      <c r="AG138" s="209">
        <f t="shared" si="81"/>
        <v>0</v>
      </c>
      <c r="AH138" s="209">
        <f t="shared" si="81"/>
        <v>0</v>
      </c>
      <c r="AI138" s="209">
        <f t="shared" si="81"/>
        <v>0</v>
      </c>
      <c r="AJ138" s="209">
        <f t="shared" si="81"/>
        <v>0</v>
      </c>
      <c r="AK138" s="209">
        <f t="shared" si="81"/>
        <v>0</v>
      </c>
      <c r="AL138" s="209">
        <f t="shared" si="81"/>
        <v>0</v>
      </c>
      <c r="AM138" s="209">
        <f t="shared" si="81"/>
        <v>0</v>
      </c>
      <c r="AN138" s="209">
        <f t="shared" si="81"/>
        <v>0</v>
      </c>
      <c r="AO138" s="209">
        <f t="shared" si="81"/>
        <v>0</v>
      </c>
      <c r="AP138" s="209">
        <f t="shared" si="81"/>
        <v>0</v>
      </c>
    </row>
    <row r="139" spans="1:42">
      <c r="A139" s="206" t="s">
        <v>53</v>
      </c>
      <c r="B139" s="216">
        <f>SUM(B137:B138)</f>
        <v>0</v>
      </c>
      <c r="C139" s="216">
        <f>SUM(C137:C138)</f>
        <v>-3541143.980713035</v>
      </c>
      <c r="D139" s="216">
        <f>SUM(D137:D138)</f>
        <v>1935868.4935807881</v>
      </c>
      <c r="E139" s="216">
        <f t="shared" ref="E139:AP139" si="82">SUM(E137:E138)</f>
        <v>181830.05037234831</v>
      </c>
      <c r="F139" s="216">
        <f t="shared" si="82"/>
        <v>-878735.36591375712</v>
      </c>
      <c r="G139" s="216">
        <f t="shared" si="82"/>
        <v>-906028.39850676828</v>
      </c>
      <c r="H139" s="216">
        <f t="shared" si="82"/>
        <v>-1705557.8097028614</v>
      </c>
      <c r="I139" s="216">
        <f t="shared" si="82"/>
        <v>-2503729.7242439436</v>
      </c>
      <c r="J139" s="216">
        <f t="shared" si="82"/>
        <v>-2531665.5393961188</v>
      </c>
      <c r="K139" s="216">
        <f t="shared" si="82"/>
        <v>-2548814.349334205</v>
      </c>
      <c r="L139" s="216">
        <f t="shared" si="82"/>
        <v>-258921.19340761536</v>
      </c>
      <c r="M139" s="216">
        <f t="shared" si="82"/>
        <v>-261770.18542919355</v>
      </c>
      <c r="N139" s="216">
        <f t="shared" si="82"/>
        <v>-240777.44136721728</v>
      </c>
      <c r="O139" s="216">
        <f t="shared" si="82"/>
        <v>-226584.81614651345</v>
      </c>
      <c r="P139" s="216">
        <f t="shared" si="82"/>
        <v>-244051.89029618257</v>
      </c>
      <c r="Q139" s="216">
        <f t="shared" si="82"/>
        <v>-206993.85591181921</v>
      </c>
      <c r="R139" s="216">
        <f t="shared" si="82"/>
        <v>-177319.98333671794</v>
      </c>
      <c r="S139" s="216">
        <f t="shared" si="82"/>
        <v>-218853.12893790341</v>
      </c>
      <c r="T139" s="216">
        <f t="shared" si="82"/>
        <v>-245430.32571437568</v>
      </c>
      <c r="U139" s="216">
        <f t="shared" si="82"/>
        <v>-246900.79285450664</v>
      </c>
      <c r="V139" s="216">
        <f t="shared" si="82"/>
        <v>-263647.98890090297</v>
      </c>
      <c r="W139" s="216">
        <f t="shared" si="82"/>
        <v>-280336.80993330164</v>
      </c>
      <c r="X139" s="216">
        <f t="shared" si="82"/>
        <v>-282455.90510289051</v>
      </c>
      <c r="Y139" s="216">
        <f t="shared" si="82"/>
        <v>-285002.76851875405</v>
      </c>
      <c r="Z139" s="216">
        <f t="shared" si="82"/>
        <v>-259030.62091007415</v>
      </c>
      <c r="AA139" s="216">
        <f t="shared" si="82"/>
        <v>-241199.06585122418</v>
      </c>
      <c r="AB139" s="216">
        <f t="shared" si="82"/>
        <v>-260970.1689776819</v>
      </c>
      <c r="AC139" s="216">
        <f t="shared" si="82"/>
        <v>-272370.04020608042</v>
      </c>
      <c r="AD139" s="216">
        <f t="shared" si="82"/>
        <v>-272974.41593223874</v>
      </c>
      <c r="AE139" s="216">
        <f t="shared" si="82"/>
        <v>-283221.55446230737</v>
      </c>
      <c r="AF139" s="216">
        <f t="shared" si="82"/>
        <v>-387757.79400377563</v>
      </c>
      <c r="AG139" s="216">
        <f t="shared" si="82"/>
        <v>0</v>
      </c>
      <c r="AH139" s="216">
        <f t="shared" si="82"/>
        <v>0</v>
      </c>
      <c r="AI139" s="216">
        <f t="shared" si="82"/>
        <v>0</v>
      </c>
      <c r="AJ139" s="216">
        <f t="shared" si="82"/>
        <v>0</v>
      </c>
      <c r="AK139" s="216">
        <f t="shared" si="82"/>
        <v>0</v>
      </c>
      <c r="AL139" s="216">
        <f t="shared" si="82"/>
        <v>0</v>
      </c>
      <c r="AM139" s="216">
        <f t="shared" si="82"/>
        <v>0</v>
      </c>
      <c r="AN139" s="216">
        <f t="shared" si="82"/>
        <v>0</v>
      </c>
      <c r="AO139" s="216">
        <f t="shared" si="82"/>
        <v>0</v>
      </c>
      <c r="AP139" s="216">
        <f t="shared" si="82"/>
        <v>0</v>
      </c>
    </row>
    <row r="140" spans="1:42">
      <c r="A140" s="202" t="s">
        <v>53</v>
      </c>
      <c r="B140" s="164">
        <f>B127+B131+B135+B139</f>
        <v>-17379275.25</v>
      </c>
      <c r="C140" s="164">
        <f t="shared" ref="C140:AP140" si="83">C127+C131+C135+C139</f>
        <v>-3511443.980713035</v>
      </c>
      <c r="D140" s="164">
        <f t="shared" si="83"/>
        <v>1935868.4935807881</v>
      </c>
      <c r="E140" s="164">
        <f t="shared" si="83"/>
        <v>5993849.5961090308</v>
      </c>
      <c r="F140" s="164">
        <f t="shared" si="83"/>
        <v>5023910.6126081385</v>
      </c>
      <c r="G140" s="164">
        <f t="shared" si="83"/>
        <v>5049960.1438178634</v>
      </c>
      <c r="H140" s="164">
        <f t="shared" si="83"/>
        <v>4303773.4684038963</v>
      </c>
      <c r="I140" s="164">
        <f t="shared" si="83"/>
        <v>3555416.1992415749</v>
      </c>
      <c r="J140" s="164">
        <f t="shared" si="83"/>
        <v>3580843.9096493325</v>
      </c>
      <c r="K140" s="164">
        <f t="shared" si="83"/>
        <v>3617050.3937962563</v>
      </c>
      <c r="L140" s="164">
        <f t="shared" si="83"/>
        <v>362631.03498152591</v>
      </c>
      <c r="M140" s="164">
        <f t="shared" si="83"/>
        <v>365118.03562982846</v>
      </c>
      <c r="N140" s="164">
        <f t="shared" si="83"/>
        <v>391445.04172793886</v>
      </c>
      <c r="O140" s="164">
        <f t="shared" si="83"/>
        <v>400630.26864263986</v>
      </c>
      <c r="P140" s="164">
        <f t="shared" si="83"/>
        <v>388580.18150655134</v>
      </c>
      <c r="Q140" s="164">
        <f t="shared" si="83"/>
        <v>431052.49301340483</v>
      </c>
      <c r="R140" s="164">
        <f t="shared" si="83"/>
        <v>444682.46163934015</v>
      </c>
      <c r="S140" s="164">
        <f t="shared" si="83"/>
        <v>408740.21491717536</v>
      </c>
      <c r="T140" s="164">
        <f t="shared" si="83"/>
        <v>387750.15115584352</v>
      </c>
      <c r="U140" s="164">
        <f t="shared" si="83"/>
        <v>391441.16208219004</v>
      </c>
      <c r="V140" s="164">
        <f t="shared" si="83"/>
        <v>380275.88021024474</v>
      </c>
      <c r="W140" s="164">
        <f t="shared" si="83"/>
        <v>369164.06952032854</v>
      </c>
      <c r="X140" s="164">
        <f t="shared" si="83"/>
        <v>370742.81668189081</v>
      </c>
      <c r="Y140" s="164">
        <f t="shared" si="83"/>
        <v>372332.44704301504</v>
      </c>
      <c r="Z140" s="164">
        <f t="shared" si="83"/>
        <v>402434.95899508457</v>
      </c>
      <c r="AA140" s="164">
        <f t="shared" si="83"/>
        <v>447108.95332810312</v>
      </c>
      <c r="AB140" s="164">
        <f t="shared" si="83"/>
        <v>430944.93981532764</v>
      </c>
      <c r="AC140" s="164">
        <f t="shared" si="83"/>
        <v>423144.70951076364</v>
      </c>
      <c r="AD140" s="164">
        <f t="shared" si="83"/>
        <v>425650.10359218839</v>
      </c>
      <c r="AE140" s="164">
        <f t="shared" si="83"/>
        <v>418990.23639119184</v>
      </c>
      <c r="AF140" s="164">
        <f t="shared" si="83"/>
        <v>735303.900148015</v>
      </c>
      <c r="AG140" s="164">
        <f t="shared" si="83"/>
        <v>0</v>
      </c>
      <c r="AH140" s="164">
        <f t="shared" si="83"/>
        <v>0</v>
      </c>
      <c r="AI140" s="164">
        <f t="shared" si="83"/>
        <v>0</v>
      </c>
      <c r="AJ140" s="164">
        <f t="shared" si="83"/>
        <v>0</v>
      </c>
      <c r="AK140" s="164">
        <f t="shared" si="83"/>
        <v>0</v>
      </c>
      <c r="AL140" s="164">
        <f t="shared" si="83"/>
        <v>0</v>
      </c>
      <c r="AM140" s="164">
        <f t="shared" si="83"/>
        <v>0</v>
      </c>
      <c r="AN140" s="164">
        <f t="shared" si="83"/>
        <v>0</v>
      </c>
      <c r="AO140" s="164">
        <f t="shared" si="83"/>
        <v>0</v>
      </c>
      <c r="AP140" s="164">
        <f t="shared" si="83"/>
        <v>0</v>
      </c>
    </row>
    <row r="141" spans="1:42">
      <c r="A141" s="222"/>
      <c r="B141" s="164"/>
      <c r="C141" s="164"/>
      <c r="D141" s="164"/>
      <c r="E141" s="164"/>
      <c r="F141" s="164"/>
      <c r="G141" s="164"/>
      <c r="H141" s="164"/>
      <c r="I141" s="164"/>
      <c r="J141" s="164"/>
      <c r="K141" s="164"/>
      <c r="L141" s="164"/>
      <c r="M141" s="164"/>
      <c r="N141" s="164"/>
      <c r="O141" s="164"/>
      <c r="P141" s="164"/>
      <c r="Q141" s="164"/>
      <c r="R141" s="164"/>
      <c r="S141" s="164"/>
      <c r="T141" s="164"/>
      <c r="U141" s="164"/>
      <c r="V141" s="164"/>
      <c r="W141" s="164"/>
      <c r="X141" s="164"/>
      <c r="Y141" s="164"/>
      <c r="Z141" s="164"/>
      <c r="AA141" s="164"/>
      <c r="AB141" s="164"/>
      <c r="AC141" s="164"/>
      <c r="AD141" s="164"/>
      <c r="AE141" s="164"/>
      <c r="AF141" s="164"/>
      <c r="AG141" s="164"/>
      <c r="AH141" s="164"/>
      <c r="AI141" s="164"/>
      <c r="AJ141" s="164"/>
      <c r="AK141" s="164"/>
      <c r="AL141" s="164"/>
      <c r="AM141" s="164"/>
      <c r="AN141" s="164"/>
      <c r="AO141" s="164"/>
      <c r="AP141" s="164"/>
    </row>
    <row r="142" spans="1:42">
      <c r="A142" s="202" t="s">
        <v>418</v>
      </c>
      <c r="B142" s="223">
        <f>ROUND(IF(ISERROR(IRR($B$140:B140)),0,IRR($B$140:B140)),4)</f>
        <v>0</v>
      </c>
      <c r="C142" s="223">
        <f>ROUND(IF(ISERROR(IRR($B$140:C140)),0,IRR($B$140:C140)),4)</f>
        <v>0</v>
      </c>
      <c r="D142" s="223">
        <f>ROUND(IF(ISERROR(IRR($B$140:D140)),0,IRR($B$140:D140)),4)</f>
        <v>0</v>
      </c>
      <c r="E142" s="223">
        <f>ROUND(IF(ISERROR(IRR($B$140:E140)),0,IRR($B$140:E140)),4)</f>
        <v>0</v>
      </c>
      <c r="F142" s="223">
        <f>ROUND(IF(ISERROR(IRR($B$140:F140)),0,IRR($B$140:F140)),4)</f>
        <v>-0.1431</v>
      </c>
      <c r="G142" s="223">
        <f>ROUND(IF(ISERROR(IRR($B$140:G140)),0,IRR($B$140:G140)),4)</f>
        <v>-4.07E-2</v>
      </c>
      <c r="H142" s="223">
        <f>ROUND(IF(ISERROR(IRR($B$140:H140)),0,IRR($B$140:H140)),4)</f>
        <v>1.66E-2</v>
      </c>
      <c r="I142" s="223">
        <f>ROUND(IF(ISERROR(IRR($B$140:I140)),0,IRR($B$140:I140)),4)</f>
        <v>5.0500000000000003E-2</v>
      </c>
      <c r="J142" s="223">
        <f>ROUND(IF(ISERROR(IRR($B$140:J140)),0,IRR($B$140:J140)),4)</f>
        <v>7.5800000000000006E-2</v>
      </c>
      <c r="K142" s="223">
        <f>ROUND(IF(ISERROR(IRR($B$140:K140)),0,IRR($B$140:K140)),4)</f>
        <v>9.5100000000000004E-2</v>
      </c>
      <c r="L142" s="223">
        <f>ROUND(IF(ISERROR(IRR($B$140:L140)),0,IRR($B$140:L140)),4)</f>
        <v>9.6699999999999994E-2</v>
      </c>
      <c r="M142" s="223">
        <f>ROUND(IF(ISERROR(IRR($B$140:M140)),0,IRR($B$140:M140)),4)</f>
        <v>9.8100000000000007E-2</v>
      </c>
      <c r="N142" s="223">
        <f>ROUND(IF(ISERROR(IRR($B$140:N140)),0,IRR($B$140:N140)),4)</f>
        <v>9.9500000000000005E-2</v>
      </c>
      <c r="O142" s="223">
        <f>ROUND(IF(ISERROR(IRR($B$140:O140)),0,IRR($B$140:O140)),4)</f>
        <v>0.1007</v>
      </c>
      <c r="P142" s="223">
        <f>ROUND(IF(ISERROR(IRR($B$140:P140)),0,IRR($B$140:P140)),4)</f>
        <v>0.1018</v>
      </c>
      <c r="Q142" s="223">
        <f>ROUND(IF(ISERROR(IRR($B$140:Q140)),0,IRR($B$140:Q140)),4)</f>
        <v>0.1028</v>
      </c>
      <c r="R142" s="223">
        <f>ROUND(IF(ISERROR(IRR($B$140:R140)),0,IRR($B$140:R140)),4)</f>
        <v>0.1038</v>
      </c>
      <c r="S142" s="223">
        <f>ROUND(IF(ISERROR(IRR($B$140:S140)),0,IRR($B$140:S140)),4)</f>
        <v>0.1046</v>
      </c>
      <c r="T142" s="223">
        <f>ROUND(IF(ISERROR(IRR($B$140:T140)),0,IRR($B$140:T140)),4)</f>
        <v>0.1053</v>
      </c>
      <c r="U142" s="223">
        <f>ROUND(IF(ISERROR(IRR($B$140:U140)),0,IRR($B$140:U140)),4)</f>
        <v>0.10589999999999999</v>
      </c>
      <c r="V142" s="223">
        <f>ROUND(IF(ISERROR(IRR($B$140:V140)),0,IRR($B$140:V140)),4)</f>
        <v>0.10639999999999999</v>
      </c>
      <c r="W142" s="223">
        <f>ROUND(IF(ISERROR(IRR($B$140:W140)),0,IRR($B$140:W140)),4)</f>
        <v>0.10680000000000001</v>
      </c>
      <c r="X142" s="223">
        <f>ROUND(IF(ISERROR(IRR($B$140:X140)),0,IRR($B$140:X140)),4)</f>
        <v>0.1072</v>
      </c>
      <c r="Y142" s="223">
        <f>ROUND(IF(ISERROR(IRR($B$140:Y140)),0,IRR($B$140:Y140)),4)</f>
        <v>0.1076</v>
      </c>
      <c r="Z142" s="223">
        <f>ROUND(IF(ISERROR(IRR($B$140:Z140)),0,IRR($B$140:Z140)),4)</f>
        <v>0.1079</v>
      </c>
      <c r="AA142" s="223">
        <f>ROUND(IF(ISERROR(IRR($B$140:AA140)),0,IRR($B$140:AA140)),4)</f>
        <v>0.10829999999999999</v>
      </c>
      <c r="AB142" s="223">
        <f>ROUND(IF(ISERROR(IRR($B$140:AB140)),0,IRR($B$140:AB140)),4)</f>
        <v>0.1086</v>
      </c>
      <c r="AC142" s="223">
        <f>ROUND(IF(ISERROR(IRR($B$140:AC140)),0,IRR($B$140:AC140)),4)</f>
        <v>0.10879999999999999</v>
      </c>
      <c r="AD142" s="223">
        <f>ROUND(IF(ISERROR(IRR($B$140:AD140)),0,IRR($B$140:AD140)),4)</f>
        <v>0.1091</v>
      </c>
      <c r="AE142" s="223">
        <f>ROUND(IF(ISERROR(IRR($B$140:AE140)),0,IRR($B$140:AE140)),4)</f>
        <v>0.10929999999999999</v>
      </c>
      <c r="AF142" s="223">
        <f>ROUND(IF(ISERROR(IRR($B$140:AF140)),0,IRR($B$140:AF140)),4)</f>
        <v>0.1096</v>
      </c>
      <c r="AG142" s="223">
        <f>ROUND(IF(ISERROR(IRR($B$140:AG140)),0,IRR($B$140:AG140)),4)</f>
        <v>0.1096</v>
      </c>
      <c r="AH142" s="223">
        <f>ROUND(IF(ISERROR(IRR($B$140:AH140)),0,IRR($B$140:AH140)),4)</f>
        <v>0.1096</v>
      </c>
      <c r="AI142" s="223">
        <f>ROUND(IF(ISERROR(IRR($B$140:AI140)),0,IRR($B$140:AI140)),4)</f>
        <v>0.1096</v>
      </c>
      <c r="AJ142" s="223">
        <f>ROUND(IF(ISERROR(IRR($B$140:AJ140)),0,IRR($B$140:AJ140)),4)</f>
        <v>0.1096</v>
      </c>
      <c r="AK142" s="223">
        <f>ROUND(IF(ISERROR(IRR($B$140:AK140)),0,IRR($B$140:AK140)),4)</f>
        <v>0.1096</v>
      </c>
      <c r="AL142" s="223">
        <f>ROUND(IF(ISERROR(IRR($B$140:AL140)),0,IRR($B$140:AL140)),4)</f>
        <v>0.1096</v>
      </c>
      <c r="AM142" s="223">
        <f>ROUND(IF(ISERROR(IRR($B$140:AM140)),0,IRR($B$140:AM140)),4)</f>
        <v>0.1096</v>
      </c>
      <c r="AN142" s="223">
        <f>ROUND(IF(ISERROR(IRR($B$140:AN140)),0,IRR($B$140:AN140)),4)</f>
        <v>0.1096</v>
      </c>
      <c r="AO142" s="223">
        <f>ROUND(IF(ISERROR(IRR($B$140:AO140)),0,IRR($B$140:AO140)),4)</f>
        <v>0.1096</v>
      </c>
      <c r="AP142" s="223">
        <f>ROUND(IF(ISERROR(IRR($B$140:AP140)),0,IRR($B$140:AP140)),4)</f>
        <v>0.1096</v>
      </c>
    </row>
    <row r="143" spans="1:42">
      <c r="A143" s="202" t="s">
        <v>247</v>
      </c>
      <c r="B143" s="224">
        <f>MAX($B$142:B142)</f>
        <v>0</v>
      </c>
      <c r="C143" s="224">
        <f>MAX($B$142:C142)</f>
        <v>0</v>
      </c>
      <c r="D143" s="224">
        <f>MAX($B$142:D142)</f>
        <v>0</v>
      </c>
      <c r="E143" s="224">
        <f>MAX($B$142:E142)</f>
        <v>0</v>
      </c>
      <c r="F143" s="224">
        <f>MAX($B$142:F142)</f>
        <v>0</v>
      </c>
      <c r="G143" s="224">
        <f>MAX($B$142:G142)</f>
        <v>0</v>
      </c>
      <c r="H143" s="224">
        <f>MAX($B$142:H142)</f>
        <v>1.66E-2</v>
      </c>
      <c r="I143" s="224">
        <f>MAX($B$142:I142)</f>
        <v>5.0500000000000003E-2</v>
      </c>
      <c r="J143" s="224">
        <f>MAX($B$142:J142)</f>
        <v>7.5800000000000006E-2</v>
      </c>
      <c r="K143" s="224">
        <f>MAX($B$142:K142)</f>
        <v>9.5100000000000004E-2</v>
      </c>
      <c r="L143" s="224">
        <f>MAX($B$142:L142)</f>
        <v>9.6699999999999994E-2</v>
      </c>
      <c r="M143" s="224">
        <f>MAX($B$142:M142)</f>
        <v>9.8100000000000007E-2</v>
      </c>
      <c r="N143" s="224">
        <f>MAX($B$142:N142)</f>
        <v>9.9500000000000005E-2</v>
      </c>
      <c r="O143" s="224">
        <f>MAX($B$142:O142)</f>
        <v>0.1007</v>
      </c>
      <c r="P143" s="224">
        <f>MAX($B$142:P142)</f>
        <v>0.1018</v>
      </c>
      <c r="Q143" s="224">
        <f>MAX($B$142:Q142)</f>
        <v>0.1028</v>
      </c>
      <c r="R143" s="224">
        <f>MAX($B$142:R142)</f>
        <v>0.1038</v>
      </c>
      <c r="S143" s="224">
        <f>MAX($B$142:S142)</f>
        <v>0.1046</v>
      </c>
      <c r="T143" s="224">
        <f>MAX($B$142:T142)</f>
        <v>0.1053</v>
      </c>
      <c r="U143" s="224">
        <f>MAX($B$142:U142)</f>
        <v>0.10589999999999999</v>
      </c>
      <c r="V143" s="224">
        <f>MAX($B$142:V142)</f>
        <v>0.10639999999999999</v>
      </c>
      <c r="W143" s="224">
        <f>MAX($B$142:W142)</f>
        <v>0.10680000000000001</v>
      </c>
      <c r="X143" s="224">
        <f>MAX($B$142:X142)</f>
        <v>0.1072</v>
      </c>
      <c r="Y143" s="224">
        <f>MAX($B$142:Y142)</f>
        <v>0.1076</v>
      </c>
      <c r="Z143" s="224">
        <f>MAX($B$142:Z142)</f>
        <v>0.1079</v>
      </c>
      <c r="AA143" s="224">
        <f>MAX($B$142:AA142)</f>
        <v>0.10829999999999999</v>
      </c>
      <c r="AB143" s="224">
        <f>MAX($B$142:AB142)</f>
        <v>0.1086</v>
      </c>
      <c r="AC143" s="224">
        <f>MAX($B$142:AC142)</f>
        <v>0.10879999999999999</v>
      </c>
      <c r="AD143" s="224">
        <f>MAX($B$142:AD142)</f>
        <v>0.1091</v>
      </c>
      <c r="AE143" s="224">
        <f>MAX($B$142:AE142)</f>
        <v>0.10929999999999999</v>
      </c>
      <c r="AF143" s="224">
        <f>MAX($B$142:AF142)</f>
        <v>0.1096</v>
      </c>
      <c r="AG143" s="224">
        <f>MAX($B$142:AG142)</f>
        <v>0.1096</v>
      </c>
      <c r="AH143" s="224">
        <f>MAX($B$142:AH142)</f>
        <v>0.1096</v>
      </c>
      <c r="AI143" s="224">
        <f>MAX($B$142:AI142)</f>
        <v>0.1096</v>
      </c>
      <c r="AJ143" s="224">
        <f>MAX($B$142:AJ142)</f>
        <v>0.1096</v>
      </c>
      <c r="AK143" s="224">
        <f>MAX($B$142:AK142)</f>
        <v>0.1096</v>
      </c>
      <c r="AL143" s="224">
        <f>MAX($B$142:AL142)</f>
        <v>0.1096</v>
      </c>
      <c r="AM143" s="224">
        <f>MAX($B$142:AM142)</f>
        <v>0.1096</v>
      </c>
      <c r="AN143" s="224">
        <f>MAX($B$142:AN142)</f>
        <v>0.1096</v>
      </c>
      <c r="AO143" s="224">
        <f>MAX($B$142:AO142)</f>
        <v>0.1096</v>
      </c>
      <c r="AP143" s="224">
        <f>MAX($B$142:AP142)</f>
        <v>0.1096</v>
      </c>
    </row>
    <row r="144" spans="1:42">
      <c r="A144" s="202" t="s">
        <v>419</v>
      </c>
      <c r="B144" s="291">
        <f>B140</f>
        <v>-17379275.25</v>
      </c>
      <c r="C144" s="291">
        <f>NPV(DiscountRate,$C140:C140)+$B140</f>
        <v>-20630612.269178737</v>
      </c>
      <c r="D144" s="291">
        <f>NPV(DiscountRate,$C140:D140)+$B140</f>
        <v>-18970917.058632791</v>
      </c>
      <c r="E144" s="291">
        <f>NPV(DiscountRate,$C140:E140)+$B140</f>
        <v>-14212806.001415722</v>
      </c>
      <c r="F144" s="291">
        <f>NPV(DiscountRate,$C140:F140)+$B140</f>
        <v>-10520081.723367825</v>
      </c>
      <c r="G144" s="291">
        <f>NPV(DiscountRate,$C140:G140)+$B140</f>
        <v>-7083163.70379523</v>
      </c>
      <c r="H144" s="291">
        <f>NPV(DiscountRate,$C140:H140)+$B140</f>
        <v>-4371056.3830217421</v>
      </c>
      <c r="I144" s="291">
        <f>NPV(DiscountRate,$C140:I140)+$B140</f>
        <v>-2296505.1796048824</v>
      </c>
      <c r="J144" s="291">
        <f>NPV(DiscountRate,$C140:J140)+$B140</f>
        <v>-361886.63496294618</v>
      </c>
      <c r="K144" s="291">
        <f>NPV(DiscountRate,$C140:K140)+$B140</f>
        <v>1447539.0885960683</v>
      </c>
      <c r="L144" s="291">
        <f>NPV(DiscountRate,$C140:L140)+$B140</f>
        <v>1615507.4225769192</v>
      </c>
      <c r="M144" s="291">
        <f>NPV(DiscountRate,$C140:M140)+$B140</f>
        <v>1772100.289693594</v>
      </c>
      <c r="N144" s="291">
        <f>NPV(DiscountRate,$C140:N140)+$B140</f>
        <v>1927548.5015175119</v>
      </c>
      <c r="O144" s="291">
        <f>NPV(DiscountRate,$C140:O140)+$B140</f>
        <v>2074859.4198582806</v>
      </c>
      <c r="P144" s="291">
        <f>NPV(DiscountRate,$C140:P140)+$B140</f>
        <v>2207155.8331070878</v>
      </c>
      <c r="Q144" s="291">
        <f>NPV(DiscountRate,$C140:Q140)+$B140</f>
        <v>2343041.5559344292</v>
      </c>
      <c r="R144" s="291">
        <f>NPV(DiscountRate,$C140:R140)+$B140</f>
        <v>2472840.1275785193</v>
      </c>
      <c r="S144" s="291">
        <f>NPV(DiscountRate,$C140:S140)+$B140</f>
        <v>2583309.9168777429</v>
      </c>
      <c r="T144" s="291">
        <f>NPV(DiscountRate,$C140:T140)+$B140</f>
        <v>2680344.0157441087</v>
      </c>
      <c r="U144" s="291">
        <f>NPV(DiscountRate,$C140:U140)+$B140</f>
        <v>2771045.6553433128</v>
      </c>
      <c r="V144" s="291">
        <f>NPV(DiscountRate,$C140:V140)+$B140</f>
        <v>2852633.163761422</v>
      </c>
      <c r="W144" s="291">
        <f>NPV(DiscountRate,$C140:W140)+$B140</f>
        <v>2925969.7279776931</v>
      </c>
      <c r="X144" s="291">
        <f>NPV(DiscountRate,$C140:X140)+$B140</f>
        <v>2994164.3496572487</v>
      </c>
      <c r="Y144" s="291">
        <f>NPV(DiscountRate,$C140:Y140)+$B140</f>
        <v>3057578.2562259249</v>
      </c>
      <c r="Z144" s="291">
        <f>NPV(DiscountRate,$C140:Z140)+$B140</f>
        <v>3121041.9825681932</v>
      </c>
      <c r="AA144" s="291">
        <f>NPV(DiscountRate,$C140:AA140)+$B140</f>
        <v>3186327.8952009715</v>
      </c>
      <c r="AB144" s="291">
        <f>NPV(DiscountRate,$C140:AB140)+$B140</f>
        <v>3244592.4111682437</v>
      </c>
      <c r="AC144" s="291">
        <f>NPV(DiscountRate,$C140:AC140)+$B140</f>
        <v>3297564.551049713</v>
      </c>
      <c r="AD144" s="291">
        <f>NPV(DiscountRate,$C140:AD140)+$B140</f>
        <v>3346903.2382675037</v>
      </c>
      <c r="AE144" s="291">
        <f>NPV(DiscountRate,$C140:AE140)+$B140</f>
        <v>3391872.4208890311</v>
      </c>
      <c r="AF144" s="291">
        <f>NPV(DiscountRate,$C140:AF140)+$B140</f>
        <v>3464944.9610992037</v>
      </c>
      <c r="AG144" s="291">
        <f>NPV(DiscountRate,$C140:AG140)+$B140</f>
        <v>3464944.9610992037</v>
      </c>
      <c r="AH144" s="291">
        <f>NPV(DiscountRate,$C140:AH140)+$B140</f>
        <v>3464944.9610992037</v>
      </c>
      <c r="AI144" s="291">
        <f>NPV(DiscountRate,$C140:AI140)+$B140</f>
        <v>3464944.9610992037</v>
      </c>
      <c r="AJ144" s="291">
        <f>NPV(DiscountRate,$C140:AJ140)+$B140</f>
        <v>3464944.9610992037</v>
      </c>
      <c r="AK144" s="291">
        <f>NPV(DiscountRate,$C140:AK140)+$B140</f>
        <v>3464944.9610992037</v>
      </c>
      <c r="AL144" s="291">
        <f>NPV(DiscountRate,$C140:AL140)+$B140</f>
        <v>3464944.9610992037</v>
      </c>
      <c r="AM144" s="291">
        <f>NPV(DiscountRate,$C140:AM140)+$B140</f>
        <v>3464944.9610992037</v>
      </c>
      <c r="AN144" s="291">
        <f>NPV(DiscountRate,$C140:AN140)+$B140</f>
        <v>3464944.9610992037</v>
      </c>
      <c r="AO144" s="291">
        <f>NPV(DiscountRate,$C140:AO140)+$B140</f>
        <v>3464944.9610992037</v>
      </c>
      <c r="AP144" s="291">
        <f>NPV(DiscountRate,$C140:AP140)+$B140</f>
        <v>3464944.9610992037</v>
      </c>
    </row>
    <row r="145" spans="1:42">
      <c r="A145" s="202"/>
      <c r="B145" s="164"/>
      <c r="C145" s="164"/>
      <c r="D145" s="164"/>
      <c r="E145" s="164"/>
      <c r="F145" s="164"/>
      <c r="G145" s="208"/>
      <c r="H145" s="208"/>
      <c r="I145" s="208"/>
      <c r="J145" s="208"/>
      <c r="K145" s="208"/>
      <c r="L145" s="208"/>
      <c r="M145" s="208"/>
      <c r="N145" s="208"/>
      <c r="O145" s="208"/>
      <c r="P145" s="208"/>
      <c r="Q145" s="208"/>
      <c r="R145" s="208"/>
      <c r="S145" s="208"/>
      <c r="T145" s="208"/>
      <c r="U145" s="208"/>
      <c r="V145" s="208"/>
      <c r="W145" s="208"/>
      <c r="X145" s="208"/>
      <c r="Y145" s="208"/>
      <c r="Z145" s="208"/>
      <c r="AA145" s="208"/>
      <c r="AB145" s="208"/>
      <c r="AC145" s="208"/>
      <c r="AD145" s="208"/>
      <c r="AE145" s="208"/>
      <c r="AF145" s="208"/>
      <c r="AG145" s="208"/>
      <c r="AH145" s="208"/>
      <c r="AI145" s="208"/>
      <c r="AJ145" s="208"/>
      <c r="AK145" s="208"/>
      <c r="AL145" s="208"/>
      <c r="AM145" s="208"/>
      <c r="AN145" s="208"/>
      <c r="AO145" s="208"/>
      <c r="AP145" s="208"/>
    </row>
    <row r="146" spans="1:42">
      <c r="A146" s="37" t="s">
        <v>362</v>
      </c>
      <c r="B146" s="218">
        <f>SUM(C146:AP146)</f>
        <v>9</v>
      </c>
      <c r="C146" s="164">
        <f t="shared" ref="C146:AP146" si="84">IF(AND(B143&lt;AEPFFlipTarget,C143&gt;=AEPFFlipTarget),C$2,0)</f>
        <v>0</v>
      </c>
      <c r="D146" s="164">
        <f t="shared" si="84"/>
        <v>0</v>
      </c>
      <c r="E146" s="164">
        <f t="shared" si="84"/>
        <v>0</v>
      </c>
      <c r="F146" s="164">
        <f t="shared" si="84"/>
        <v>0</v>
      </c>
      <c r="G146" s="164">
        <f t="shared" si="84"/>
        <v>0</v>
      </c>
      <c r="H146" s="164">
        <f t="shared" si="84"/>
        <v>0</v>
      </c>
      <c r="I146" s="164">
        <f t="shared" si="84"/>
        <v>0</v>
      </c>
      <c r="J146" s="164">
        <f t="shared" si="84"/>
        <v>0</v>
      </c>
      <c r="K146" s="164">
        <f t="shared" si="84"/>
        <v>9</v>
      </c>
      <c r="L146" s="164">
        <f t="shared" si="84"/>
        <v>0</v>
      </c>
      <c r="M146" s="164">
        <f t="shared" si="84"/>
        <v>0</v>
      </c>
      <c r="N146" s="164">
        <f t="shared" si="84"/>
        <v>0</v>
      </c>
      <c r="O146" s="164">
        <f t="shared" si="84"/>
        <v>0</v>
      </c>
      <c r="P146" s="164">
        <f t="shared" si="84"/>
        <v>0</v>
      </c>
      <c r="Q146" s="164">
        <f t="shared" si="84"/>
        <v>0</v>
      </c>
      <c r="R146" s="164">
        <f t="shared" si="84"/>
        <v>0</v>
      </c>
      <c r="S146" s="164">
        <f t="shared" si="84"/>
        <v>0</v>
      </c>
      <c r="T146" s="164">
        <f t="shared" si="84"/>
        <v>0</v>
      </c>
      <c r="U146" s="164">
        <f t="shared" si="84"/>
        <v>0</v>
      </c>
      <c r="V146" s="164">
        <f t="shared" si="84"/>
        <v>0</v>
      </c>
      <c r="W146" s="164">
        <f t="shared" si="84"/>
        <v>0</v>
      </c>
      <c r="X146" s="164">
        <f t="shared" si="84"/>
        <v>0</v>
      </c>
      <c r="Y146" s="164">
        <f t="shared" si="84"/>
        <v>0</v>
      </c>
      <c r="Z146" s="164">
        <f t="shared" si="84"/>
        <v>0</v>
      </c>
      <c r="AA146" s="164">
        <f t="shared" si="84"/>
        <v>0</v>
      </c>
      <c r="AB146" s="164">
        <f t="shared" si="84"/>
        <v>0</v>
      </c>
      <c r="AC146" s="164">
        <f t="shared" si="84"/>
        <v>0</v>
      </c>
      <c r="AD146" s="164">
        <f t="shared" si="84"/>
        <v>0</v>
      </c>
      <c r="AE146" s="164">
        <f t="shared" si="84"/>
        <v>0</v>
      </c>
      <c r="AF146" s="164">
        <f t="shared" si="84"/>
        <v>0</v>
      </c>
      <c r="AG146" s="164">
        <f t="shared" si="84"/>
        <v>0</v>
      </c>
      <c r="AH146" s="164">
        <f t="shared" si="84"/>
        <v>0</v>
      </c>
      <c r="AI146" s="164">
        <f t="shared" si="84"/>
        <v>0</v>
      </c>
      <c r="AJ146" s="164">
        <f t="shared" si="84"/>
        <v>0</v>
      </c>
      <c r="AK146" s="164">
        <f t="shared" si="84"/>
        <v>0</v>
      </c>
      <c r="AL146" s="164">
        <f t="shared" si="84"/>
        <v>0</v>
      </c>
      <c r="AM146" s="164">
        <f t="shared" si="84"/>
        <v>0</v>
      </c>
      <c r="AN146" s="164">
        <f t="shared" si="84"/>
        <v>0</v>
      </c>
      <c r="AO146" s="164">
        <f t="shared" si="84"/>
        <v>0</v>
      </c>
      <c r="AP146" s="164">
        <f t="shared" si="84"/>
        <v>0</v>
      </c>
    </row>
    <row r="147" spans="1:42">
      <c r="B147" s="164"/>
      <c r="C147" s="164"/>
      <c r="D147" s="164"/>
      <c r="E147" s="164"/>
      <c r="F147" s="164"/>
      <c r="G147" s="208"/>
      <c r="H147" s="208"/>
      <c r="I147" s="208"/>
      <c r="J147" s="208"/>
      <c r="K147" s="208"/>
      <c r="L147" s="208"/>
      <c r="M147" s="208"/>
      <c r="N147" s="208"/>
      <c r="O147" s="208"/>
      <c r="P147" s="208"/>
      <c r="Q147" s="208"/>
      <c r="R147" s="208"/>
      <c r="S147" s="208"/>
      <c r="T147" s="208"/>
      <c r="U147" s="208"/>
      <c r="V147" s="208"/>
      <c r="W147" s="208"/>
      <c r="X147" s="208"/>
      <c r="Y147" s="208"/>
      <c r="Z147" s="208"/>
      <c r="AA147" s="208"/>
      <c r="AB147" s="208"/>
      <c r="AC147" s="208"/>
      <c r="AD147" s="208"/>
      <c r="AE147" s="208"/>
      <c r="AF147" s="208"/>
      <c r="AG147" s="208"/>
      <c r="AH147" s="208"/>
      <c r="AI147" s="208"/>
      <c r="AJ147" s="208"/>
      <c r="AK147" s="208"/>
      <c r="AL147" s="208"/>
      <c r="AM147" s="208"/>
      <c r="AN147" s="208"/>
      <c r="AO147" s="208"/>
      <c r="AP147" s="208"/>
    </row>
    <row r="148" spans="1:42" s="119" customFormat="1">
      <c r="A148" s="217" t="s">
        <v>412</v>
      </c>
      <c r="B148" s="220"/>
      <c r="C148" s="273"/>
      <c r="D148" s="273"/>
      <c r="E148" s="273"/>
      <c r="F148" s="273"/>
      <c r="G148" s="273"/>
      <c r="H148" s="273"/>
      <c r="I148" s="273"/>
      <c r="J148" s="273"/>
      <c r="K148" s="273"/>
      <c r="L148" s="273"/>
      <c r="M148" s="273"/>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46"/>
      <c r="AK148" s="146"/>
      <c r="AL148" s="146"/>
      <c r="AM148" s="146"/>
      <c r="AN148" s="146"/>
      <c r="AO148" s="146"/>
      <c r="AP148" s="146"/>
    </row>
    <row r="149" spans="1:42" s="119" customFormat="1">
      <c r="A149" s="42" t="s">
        <v>100</v>
      </c>
      <c r="B149" s="220">
        <v>0</v>
      </c>
      <c r="C149" s="220">
        <f>B153</f>
        <v>11586183.5</v>
      </c>
      <c r="D149" s="220">
        <f t="shared" ref="D149:AP149" si="85">C153</f>
        <v>5840084.0449019624</v>
      </c>
      <c r="E149" s="220">
        <f t="shared" si="85"/>
        <v>40685.678785634227</v>
      </c>
      <c r="F149" s="220">
        <f t="shared" si="85"/>
        <v>0</v>
      </c>
      <c r="G149" s="220">
        <f t="shared" si="85"/>
        <v>0</v>
      </c>
      <c r="H149" s="220">
        <f t="shared" si="85"/>
        <v>0</v>
      </c>
      <c r="I149" s="220">
        <f t="shared" si="85"/>
        <v>0</v>
      </c>
      <c r="J149" s="220">
        <f t="shared" si="85"/>
        <v>0</v>
      </c>
      <c r="K149" s="220">
        <f t="shared" si="85"/>
        <v>0</v>
      </c>
      <c r="L149" s="220">
        <f t="shared" si="85"/>
        <v>0</v>
      </c>
      <c r="M149" s="220">
        <f t="shared" si="85"/>
        <v>0</v>
      </c>
      <c r="N149" s="220">
        <f t="shared" si="85"/>
        <v>0</v>
      </c>
      <c r="O149" s="220">
        <f t="shared" si="85"/>
        <v>0</v>
      </c>
      <c r="P149" s="220">
        <f t="shared" si="85"/>
        <v>0</v>
      </c>
      <c r="Q149" s="220">
        <f t="shared" si="85"/>
        <v>0</v>
      </c>
      <c r="R149" s="220">
        <f t="shared" si="85"/>
        <v>0</v>
      </c>
      <c r="S149" s="220">
        <f t="shared" si="85"/>
        <v>0</v>
      </c>
      <c r="T149" s="220">
        <f t="shared" si="85"/>
        <v>0</v>
      </c>
      <c r="U149" s="220">
        <f t="shared" si="85"/>
        <v>0</v>
      </c>
      <c r="V149" s="220">
        <f t="shared" si="85"/>
        <v>0</v>
      </c>
      <c r="W149" s="220">
        <f t="shared" si="85"/>
        <v>0</v>
      </c>
      <c r="X149" s="220">
        <f t="shared" si="85"/>
        <v>0</v>
      </c>
      <c r="Y149" s="220">
        <f t="shared" si="85"/>
        <v>0</v>
      </c>
      <c r="Z149" s="220">
        <f t="shared" si="85"/>
        <v>0</v>
      </c>
      <c r="AA149" s="220">
        <f t="shared" si="85"/>
        <v>0</v>
      </c>
      <c r="AB149" s="220">
        <f t="shared" si="85"/>
        <v>0</v>
      </c>
      <c r="AC149" s="220">
        <f t="shared" si="85"/>
        <v>0</v>
      </c>
      <c r="AD149" s="220">
        <f t="shared" si="85"/>
        <v>0</v>
      </c>
      <c r="AE149" s="220">
        <f t="shared" si="85"/>
        <v>0</v>
      </c>
      <c r="AF149" s="220">
        <f t="shared" si="85"/>
        <v>0</v>
      </c>
      <c r="AG149" s="220">
        <f t="shared" si="85"/>
        <v>0</v>
      </c>
      <c r="AH149" s="220">
        <f t="shared" si="85"/>
        <v>0</v>
      </c>
      <c r="AI149" s="220">
        <f t="shared" si="85"/>
        <v>0</v>
      </c>
      <c r="AJ149" s="220">
        <f t="shared" si="85"/>
        <v>0</v>
      </c>
      <c r="AK149" s="220">
        <f t="shared" si="85"/>
        <v>0</v>
      </c>
      <c r="AL149" s="220">
        <f t="shared" si="85"/>
        <v>0</v>
      </c>
      <c r="AM149" s="220">
        <f t="shared" si="85"/>
        <v>0</v>
      </c>
      <c r="AN149" s="220">
        <f t="shared" si="85"/>
        <v>0</v>
      </c>
      <c r="AO149" s="220">
        <f t="shared" si="85"/>
        <v>0</v>
      </c>
      <c r="AP149" s="220">
        <f t="shared" si="85"/>
        <v>0</v>
      </c>
    </row>
    <row r="150" spans="1:42" s="119" customFormat="1">
      <c r="A150" s="42" t="s">
        <v>453</v>
      </c>
      <c r="B150" s="220">
        <f>-B156</f>
        <v>11586183.5</v>
      </c>
      <c r="C150" s="220">
        <v>0</v>
      </c>
      <c r="D150" s="220">
        <v>0</v>
      </c>
      <c r="E150" s="220">
        <v>0</v>
      </c>
      <c r="F150" s="220">
        <v>0</v>
      </c>
      <c r="G150" s="220">
        <v>0</v>
      </c>
      <c r="H150" s="220">
        <v>0</v>
      </c>
      <c r="I150" s="220">
        <v>0</v>
      </c>
      <c r="J150" s="220">
        <v>0</v>
      </c>
      <c r="K150" s="220">
        <v>0</v>
      </c>
      <c r="L150" s="220">
        <v>0</v>
      </c>
      <c r="M150" s="220">
        <v>0</v>
      </c>
      <c r="N150" s="220">
        <v>0</v>
      </c>
      <c r="O150" s="220">
        <v>0</v>
      </c>
      <c r="P150" s="220">
        <v>0</v>
      </c>
      <c r="Q150" s="220">
        <v>0</v>
      </c>
      <c r="R150" s="220">
        <v>0</v>
      </c>
      <c r="S150" s="220">
        <v>0</v>
      </c>
      <c r="T150" s="220">
        <v>0</v>
      </c>
      <c r="U150" s="220">
        <v>0</v>
      </c>
      <c r="V150" s="220">
        <v>0</v>
      </c>
      <c r="W150" s="220">
        <v>0</v>
      </c>
      <c r="X150" s="220">
        <v>0</v>
      </c>
      <c r="Y150" s="220">
        <v>0</v>
      </c>
      <c r="Z150" s="220">
        <v>0</v>
      </c>
      <c r="AA150" s="220">
        <v>0</v>
      </c>
      <c r="AB150" s="220">
        <v>0</v>
      </c>
      <c r="AC150" s="220">
        <v>0</v>
      </c>
      <c r="AD150" s="220">
        <v>0</v>
      </c>
      <c r="AE150" s="220">
        <v>0</v>
      </c>
      <c r="AF150" s="220">
        <v>0</v>
      </c>
      <c r="AG150" s="220">
        <v>0</v>
      </c>
      <c r="AH150" s="220">
        <v>0</v>
      </c>
      <c r="AI150" s="220">
        <v>0</v>
      </c>
      <c r="AJ150" s="220">
        <v>0</v>
      </c>
      <c r="AK150" s="220">
        <v>0</v>
      </c>
      <c r="AL150" s="220">
        <v>0</v>
      </c>
      <c r="AM150" s="220">
        <v>0</v>
      </c>
      <c r="AN150" s="220">
        <v>0</v>
      </c>
      <c r="AO150" s="220">
        <v>0</v>
      </c>
      <c r="AP150" s="220">
        <v>0</v>
      </c>
    </row>
    <row r="151" spans="1:42" s="119" customFormat="1">
      <c r="A151" s="42" t="s">
        <v>454</v>
      </c>
      <c r="B151" s="220">
        <f t="shared" ref="B151:AP151" si="86">-IF(B78&lt;0,0,MIN(B149+B150,B78))*IF(CapitalRecoveryMethod="Time",IF(B2&lt;=CapitalRecoveryDuration,1,0),1)</f>
        <v>0</v>
      </c>
      <c r="C151" s="220">
        <f t="shared" si="86"/>
        <v>-5746099.4550980376</v>
      </c>
      <c r="D151" s="220">
        <f t="shared" si="86"/>
        <v>-5799398.3661163282</v>
      </c>
      <c r="E151" s="220">
        <f t="shared" si="86"/>
        <v>-40685.678785634227</v>
      </c>
      <c r="F151" s="220">
        <f t="shared" si="86"/>
        <v>0</v>
      </c>
      <c r="G151" s="220">
        <f t="shared" si="86"/>
        <v>0</v>
      </c>
      <c r="H151" s="220">
        <f t="shared" si="86"/>
        <v>0</v>
      </c>
      <c r="I151" s="220">
        <f t="shared" si="86"/>
        <v>0</v>
      </c>
      <c r="J151" s="220">
        <f t="shared" si="86"/>
        <v>0</v>
      </c>
      <c r="K151" s="220">
        <f t="shared" si="86"/>
        <v>0</v>
      </c>
      <c r="L151" s="220">
        <f t="shared" si="86"/>
        <v>0</v>
      </c>
      <c r="M151" s="220">
        <f t="shared" si="86"/>
        <v>0</v>
      </c>
      <c r="N151" s="220">
        <f t="shared" si="86"/>
        <v>0</v>
      </c>
      <c r="O151" s="220">
        <f t="shared" si="86"/>
        <v>0</v>
      </c>
      <c r="P151" s="220">
        <f t="shared" si="86"/>
        <v>0</v>
      </c>
      <c r="Q151" s="220">
        <f t="shared" si="86"/>
        <v>0</v>
      </c>
      <c r="R151" s="220">
        <f t="shared" si="86"/>
        <v>0</v>
      </c>
      <c r="S151" s="220">
        <f t="shared" si="86"/>
        <v>0</v>
      </c>
      <c r="T151" s="220">
        <f t="shared" si="86"/>
        <v>0</v>
      </c>
      <c r="U151" s="220">
        <f t="shared" si="86"/>
        <v>0</v>
      </c>
      <c r="V151" s="220">
        <f t="shared" si="86"/>
        <v>0</v>
      </c>
      <c r="W151" s="220">
        <f t="shared" si="86"/>
        <v>0</v>
      </c>
      <c r="X151" s="220">
        <f t="shared" si="86"/>
        <v>0</v>
      </c>
      <c r="Y151" s="220">
        <f t="shared" si="86"/>
        <v>0</v>
      </c>
      <c r="Z151" s="220">
        <f t="shared" si="86"/>
        <v>0</v>
      </c>
      <c r="AA151" s="220">
        <f t="shared" si="86"/>
        <v>0</v>
      </c>
      <c r="AB151" s="220">
        <f t="shared" si="86"/>
        <v>0</v>
      </c>
      <c r="AC151" s="220">
        <f t="shared" si="86"/>
        <v>0</v>
      </c>
      <c r="AD151" s="220">
        <f t="shared" si="86"/>
        <v>0</v>
      </c>
      <c r="AE151" s="220">
        <f t="shared" si="86"/>
        <v>0</v>
      </c>
      <c r="AF151" s="220">
        <f t="shared" si="86"/>
        <v>0</v>
      </c>
      <c r="AG151" s="220">
        <f t="shared" si="86"/>
        <v>0</v>
      </c>
      <c r="AH151" s="220">
        <f t="shared" si="86"/>
        <v>0</v>
      </c>
      <c r="AI151" s="220">
        <f t="shared" si="86"/>
        <v>0</v>
      </c>
      <c r="AJ151" s="220">
        <f t="shared" si="86"/>
        <v>0</v>
      </c>
      <c r="AK151" s="220">
        <f t="shared" si="86"/>
        <v>0</v>
      </c>
      <c r="AL151" s="220">
        <f t="shared" si="86"/>
        <v>0</v>
      </c>
      <c r="AM151" s="220">
        <f t="shared" si="86"/>
        <v>0</v>
      </c>
      <c r="AN151" s="220">
        <f t="shared" si="86"/>
        <v>0</v>
      </c>
      <c r="AO151" s="220">
        <f t="shared" si="86"/>
        <v>0</v>
      </c>
      <c r="AP151" s="220">
        <f t="shared" si="86"/>
        <v>0</v>
      </c>
    </row>
    <row r="152" spans="1:42" s="315" customFormat="1">
      <c r="A152" s="317" t="s">
        <v>411</v>
      </c>
      <c r="B152" s="320"/>
      <c r="C152" s="320"/>
      <c r="D152" s="320"/>
      <c r="E152" s="320"/>
      <c r="F152" s="320"/>
      <c r="G152" s="320"/>
      <c r="H152" s="320"/>
      <c r="I152" s="320"/>
      <c r="J152" s="320"/>
      <c r="K152" s="320"/>
      <c r="L152" s="320"/>
      <c r="M152" s="320"/>
      <c r="N152" s="320"/>
      <c r="O152" s="320"/>
      <c r="P152" s="320"/>
      <c r="Q152" s="320"/>
      <c r="R152" s="320"/>
      <c r="S152" s="320"/>
      <c r="T152" s="320"/>
      <c r="U152" s="320"/>
      <c r="V152" s="320"/>
      <c r="W152" s="320"/>
      <c r="X152" s="320"/>
      <c r="Y152" s="320"/>
      <c r="Z152" s="320"/>
      <c r="AA152" s="320"/>
      <c r="AB152" s="320"/>
      <c r="AC152" s="320"/>
      <c r="AD152" s="320"/>
      <c r="AE152" s="320"/>
      <c r="AF152" s="320"/>
      <c r="AG152" s="320"/>
      <c r="AH152" s="320"/>
      <c r="AI152" s="320"/>
      <c r="AJ152" s="320"/>
      <c r="AK152" s="320"/>
      <c r="AL152" s="320"/>
      <c r="AM152" s="320"/>
      <c r="AN152" s="320"/>
      <c r="AO152" s="320"/>
      <c r="AP152" s="320"/>
    </row>
    <row r="153" spans="1:42" s="119" customFormat="1">
      <c r="A153" s="42" t="s">
        <v>103</v>
      </c>
      <c r="B153" s="220">
        <f>SUM(B149:B152)</f>
        <v>11586183.5</v>
      </c>
      <c r="C153" s="220">
        <f>SUM(C149:C152)</f>
        <v>5840084.0449019624</v>
      </c>
      <c r="D153" s="220">
        <f t="shared" ref="D153:AP153" si="87">SUM(D149:D152)</f>
        <v>40685.678785634227</v>
      </c>
      <c r="E153" s="220">
        <f t="shared" si="87"/>
        <v>0</v>
      </c>
      <c r="F153" s="220">
        <f t="shared" si="87"/>
        <v>0</v>
      </c>
      <c r="G153" s="220">
        <f t="shared" si="87"/>
        <v>0</v>
      </c>
      <c r="H153" s="220">
        <f t="shared" si="87"/>
        <v>0</v>
      </c>
      <c r="I153" s="220">
        <f t="shared" si="87"/>
        <v>0</v>
      </c>
      <c r="J153" s="220">
        <f t="shared" si="87"/>
        <v>0</v>
      </c>
      <c r="K153" s="220">
        <f t="shared" si="87"/>
        <v>0</v>
      </c>
      <c r="L153" s="220">
        <f t="shared" si="87"/>
        <v>0</v>
      </c>
      <c r="M153" s="220">
        <f t="shared" si="87"/>
        <v>0</v>
      </c>
      <c r="N153" s="220">
        <f t="shared" si="87"/>
        <v>0</v>
      </c>
      <c r="O153" s="220">
        <f t="shared" si="87"/>
        <v>0</v>
      </c>
      <c r="P153" s="220">
        <f t="shared" si="87"/>
        <v>0</v>
      </c>
      <c r="Q153" s="220">
        <f t="shared" si="87"/>
        <v>0</v>
      </c>
      <c r="R153" s="220">
        <f t="shared" si="87"/>
        <v>0</v>
      </c>
      <c r="S153" s="220">
        <f t="shared" si="87"/>
        <v>0</v>
      </c>
      <c r="T153" s="220">
        <f t="shared" si="87"/>
        <v>0</v>
      </c>
      <c r="U153" s="220">
        <f t="shared" si="87"/>
        <v>0</v>
      </c>
      <c r="V153" s="220">
        <f t="shared" si="87"/>
        <v>0</v>
      </c>
      <c r="W153" s="220">
        <f t="shared" si="87"/>
        <v>0</v>
      </c>
      <c r="X153" s="220">
        <f t="shared" si="87"/>
        <v>0</v>
      </c>
      <c r="Y153" s="220">
        <f t="shared" si="87"/>
        <v>0</v>
      </c>
      <c r="Z153" s="220">
        <f t="shared" si="87"/>
        <v>0</v>
      </c>
      <c r="AA153" s="220">
        <f t="shared" si="87"/>
        <v>0</v>
      </c>
      <c r="AB153" s="220">
        <f t="shared" si="87"/>
        <v>0</v>
      </c>
      <c r="AC153" s="220">
        <f t="shared" si="87"/>
        <v>0</v>
      </c>
      <c r="AD153" s="220">
        <f t="shared" si="87"/>
        <v>0</v>
      </c>
      <c r="AE153" s="220">
        <f t="shared" si="87"/>
        <v>0</v>
      </c>
      <c r="AF153" s="220">
        <f t="shared" si="87"/>
        <v>0</v>
      </c>
      <c r="AG153" s="220">
        <f t="shared" si="87"/>
        <v>0</v>
      </c>
      <c r="AH153" s="220">
        <f t="shared" si="87"/>
        <v>0</v>
      </c>
      <c r="AI153" s="220">
        <f t="shared" si="87"/>
        <v>0</v>
      </c>
      <c r="AJ153" s="220">
        <f t="shared" si="87"/>
        <v>0</v>
      </c>
      <c r="AK153" s="220">
        <f t="shared" si="87"/>
        <v>0</v>
      </c>
      <c r="AL153" s="220">
        <f t="shared" si="87"/>
        <v>0</v>
      </c>
      <c r="AM153" s="220">
        <f t="shared" si="87"/>
        <v>0</v>
      </c>
      <c r="AN153" s="220">
        <f t="shared" si="87"/>
        <v>0</v>
      </c>
      <c r="AO153" s="220">
        <f t="shared" si="87"/>
        <v>0</v>
      </c>
      <c r="AP153" s="220">
        <f t="shared" si="87"/>
        <v>0</v>
      </c>
    </row>
    <row r="154" spans="1:42">
      <c r="B154" s="164"/>
      <c r="C154" s="164"/>
      <c r="D154" s="164"/>
      <c r="E154" s="164"/>
      <c r="F154" s="164"/>
      <c r="G154" s="208"/>
      <c r="H154" s="208"/>
      <c r="I154" s="208"/>
      <c r="J154" s="208"/>
      <c r="K154" s="208"/>
      <c r="L154" s="208"/>
      <c r="M154" s="208"/>
      <c r="N154" s="208"/>
      <c r="O154" s="208"/>
      <c r="P154" s="208"/>
      <c r="Q154" s="208"/>
      <c r="R154" s="208"/>
      <c r="S154" s="208"/>
      <c r="T154" s="208"/>
      <c r="U154" s="208"/>
      <c r="V154" s="208"/>
      <c r="W154" s="208"/>
      <c r="X154" s="208"/>
      <c r="Y154" s="208"/>
      <c r="Z154" s="208"/>
      <c r="AA154" s="208"/>
      <c r="AB154" s="208"/>
      <c r="AC154" s="208"/>
      <c r="AD154" s="208"/>
      <c r="AE154" s="208"/>
      <c r="AF154" s="208"/>
      <c r="AG154" s="208"/>
      <c r="AH154" s="208"/>
      <c r="AI154" s="208"/>
      <c r="AJ154" s="208"/>
      <c r="AK154" s="208"/>
      <c r="AL154" s="208"/>
      <c r="AM154" s="208"/>
      <c r="AN154" s="208"/>
      <c r="AO154" s="208"/>
      <c r="AP154" s="208"/>
    </row>
    <row r="155" spans="1:42" s="119" customFormat="1">
      <c r="A155" s="217" t="s">
        <v>255</v>
      </c>
      <c r="B155" s="220"/>
      <c r="C155" s="220"/>
      <c r="D155" s="220"/>
      <c r="E155" s="220"/>
      <c r="F155" s="220"/>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46"/>
      <c r="AK155" s="146"/>
      <c r="AL155" s="146"/>
      <c r="AM155" s="146"/>
      <c r="AN155" s="146"/>
      <c r="AO155" s="146"/>
      <c r="AP155" s="146"/>
    </row>
    <row r="156" spans="1:42">
      <c r="A156" s="202" t="s">
        <v>224</v>
      </c>
      <c r="B156" s="208">
        <f t="shared" ref="B156:AP156" si="88">B86-B116</f>
        <v>-11586183.5</v>
      </c>
      <c r="C156" s="208">
        <f t="shared" si="88"/>
        <v>0</v>
      </c>
      <c r="D156" s="208">
        <f t="shared" si="88"/>
        <v>0</v>
      </c>
      <c r="E156" s="208">
        <f t="shared" si="88"/>
        <v>0</v>
      </c>
      <c r="F156" s="208">
        <f t="shared" si="88"/>
        <v>0</v>
      </c>
      <c r="G156" s="208">
        <f t="shared" si="88"/>
        <v>0</v>
      </c>
      <c r="H156" s="208">
        <f t="shared" si="88"/>
        <v>0</v>
      </c>
      <c r="I156" s="208">
        <f t="shared" si="88"/>
        <v>0</v>
      </c>
      <c r="J156" s="208">
        <f t="shared" si="88"/>
        <v>0</v>
      </c>
      <c r="K156" s="208">
        <f t="shared" si="88"/>
        <v>0</v>
      </c>
      <c r="L156" s="208">
        <f t="shared" si="88"/>
        <v>0</v>
      </c>
      <c r="M156" s="208">
        <f t="shared" si="88"/>
        <v>0</v>
      </c>
      <c r="N156" s="208">
        <f t="shared" si="88"/>
        <v>0</v>
      </c>
      <c r="O156" s="208">
        <f t="shared" si="88"/>
        <v>0</v>
      </c>
      <c r="P156" s="208">
        <f t="shared" si="88"/>
        <v>0</v>
      </c>
      <c r="Q156" s="208">
        <f t="shared" si="88"/>
        <v>0</v>
      </c>
      <c r="R156" s="208">
        <f t="shared" si="88"/>
        <v>0</v>
      </c>
      <c r="S156" s="208">
        <f t="shared" si="88"/>
        <v>0</v>
      </c>
      <c r="T156" s="208">
        <f t="shared" si="88"/>
        <v>0</v>
      </c>
      <c r="U156" s="208">
        <f t="shared" si="88"/>
        <v>0</v>
      </c>
      <c r="V156" s="208">
        <f t="shared" si="88"/>
        <v>0</v>
      </c>
      <c r="W156" s="208">
        <f t="shared" si="88"/>
        <v>0</v>
      </c>
      <c r="X156" s="208">
        <f t="shared" si="88"/>
        <v>0</v>
      </c>
      <c r="Y156" s="208">
        <f t="shared" si="88"/>
        <v>0</v>
      </c>
      <c r="Z156" s="208">
        <f t="shared" si="88"/>
        <v>0</v>
      </c>
      <c r="AA156" s="208">
        <f t="shared" si="88"/>
        <v>0</v>
      </c>
      <c r="AB156" s="208">
        <f t="shared" si="88"/>
        <v>0</v>
      </c>
      <c r="AC156" s="208">
        <f t="shared" si="88"/>
        <v>0</v>
      </c>
      <c r="AD156" s="208">
        <f t="shared" si="88"/>
        <v>0</v>
      </c>
      <c r="AE156" s="208">
        <f t="shared" si="88"/>
        <v>0</v>
      </c>
      <c r="AF156" s="208">
        <f t="shared" si="88"/>
        <v>0</v>
      </c>
      <c r="AG156" s="208">
        <f t="shared" si="88"/>
        <v>0</v>
      </c>
      <c r="AH156" s="208">
        <f t="shared" si="88"/>
        <v>0</v>
      </c>
      <c r="AI156" s="208">
        <f t="shared" si="88"/>
        <v>0</v>
      </c>
      <c r="AJ156" s="208">
        <f t="shared" si="88"/>
        <v>0</v>
      </c>
      <c r="AK156" s="208">
        <f t="shared" si="88"/>
        <v>0</v>
      </c>
      <c r="AL156" s="208">
        <f t="shared" si="88"/>
        <v>0</v>
      </c>
      <c r="AM156" s="208">
        <f t="shared" si="88"/>
        <v>0</v>
      </c>
      <c r="AN156" s="208">
        <f t="shared" si="88"/>
        <v>0</v>
      </c>
      <c r="AO156" s="208">
        <f t="shared" si="88"/>
        <v>0</v>
      </c>
      <c r="AP156" s="208">
        <f t="shared" si="88"/>
        <v>0</v>
      </c>
    </row>
    <row r="157" spans="1:42">
      <c r="A157" s="202" t="s">
        <v>402</v>
      </c>
      <c r="B157" s="208">
        <f>'Inputs &amp; Results'!C141</f>
        <v>1206814.5</v>
      </c>
      <c r="C157" s="208"/>
      <c r="D157" s="208"/>
      <c r="E157" s="208"/>
      <c r="F157" s="208"/>
      <c r="G157" s="208"/>
      <c r="H157" s="208"/>
      <c r="I157" s="208"/>
      <c r="J157" s="208"/>
      <c r="K157" s="208"/>
      <c r="L157" s="208"/>
      <c r="M157" s="208"/>
      <c r="N157" s="208"/>
      <c r="O157" s="208"/>
      <c r="P157" s="208"/>
      <c r="Q157" s="208"/>
      <c r="R157" s="208"/>
      <c r="S157" s="208"/>
      <c r="T157" s="208"/>
      <c r="U157" s="208"/>
      <c r="V157" s="208"/>
      <c r="W157" s="208"/>
      <c r="X157" s="208"/>
      <c r="Y157" s="208"/>
      <c r="Z157" s="208"/>
      <c r="AA157" s="208"/>
      <c r="AB157" s="208"/>
      <c r="AC157" s="208"/>
      <c r="AD157" s="208"/>
      <c r="AE157" s="208"/>
      <c r="AF157" s="208"/>
      <c r="AG157" s="208"/>
      <c r="AH157" s="208"/>
      <c r="AI157" s="208"/>
      <c r="AJ157" s="208"/>
      <c r="AK157" s="208"/>
      <c r="AL157" s="208"/>
      <c r="AM157" s="208"/>
      <c r="AN157" s="208"/>
      <c r="AO157" s="208"/>
      <c r="AP157" s="208"/>
    </row>
    <row r="158" spans="1:42">
      <c r="A158" s="329" t="s">
        <v>455</v>
      </c>
      <c r="B158" s="208"/>
      <c r="C158" s="208">
        <f t="shared" ref="C158:AP158" si="89">-C151</f>
        <v>5746099.4550980376</v>
      </c>
      <c r="D158" s="208">
        <f t="shared" si="89"/>
        <v>5799398.3661163282</v>
      </c>
      <c r="E158" s="208">
        <f t="shared" si="89"/>
        <v>40685.678785634227</v>
      </c>
      <c r="F158" s="208">
        <f t="shared" si="89"/>
        <v>0</v>
      </c>
      <c r="G158" s="208">
        <f t="shared" si="89"/>
        <v>0</v>
      </c>
      <c r="H158" s="208">
        <f t="shared" si="89"/>
        <v>0</v>
      </c>
      <c r="I158" s="208">
        <f t="shared" si="89"/>
        <v>0</v>
      </c>
      <c r="J158" s="208">
        <f t="shared" si="89"/>
        <v>0</v>
      </c>
      <c r="K158" s="208">
        <f t="shared" si="89"/>
        <v>0</v>
      </c>
      <c r="L158" s="208">
        <f t="shared" si="89"/>
        <v>0</v>
      </c>
      <c r="M158" s="208">
        <f t="shared" si="89"/>
        <v>0</v>
      </c>
      <c r="N158" s="208">
        <f t="shared" si="89"/>
        <v>0</v>
      </c>
      <c r="O158" s="208">
        <f t="shared" si="89"/>
        <v>0</v>
      </c>
      <c r="P158" s="208">
        <f t="shared" si="89"/>
        <v>0</v>
      </c>
      <c r="Q158" s="208">
        <f t="shared" si="89"/>
        <v>0</v>
      </c>
      <c r="R158" s="208">
        <f t="shared" si="89"/>
        <v>0</v>
      </c>
      <c r="S158" s="208">
        <f t="shared" si="89"/>
        <v>0</v>
      </c>
      <c r="T158" s="208">
        <f t="shared" si="89"/>
        <v>0</v>
      </c>
      <c r="U158" s="208">
        <f t="shared" si="89"/>
        <v>0</v>
      </c>
      <c r="V158" s="208">
        <f t="shared" si="89"/>
        <v>0</v>
      </c>
      <c r="W158" s="208">
        <f t="shared" si="89"/>
        <v>0</v>
      </c>
      <c r="X158" s="208">
        <f t="shared" si="89"/>
        <v>0</v>
      </c>
      <c r="Y158" s="208">
        <f t="shared" si="89"/>
        <v>0</v>
      </c>
      <c r="Z158" s="208">
        <f t="shared" si="89"/>
        <v>0</v>
      </c>
      <c r="AA158" s="208">
        <f t="shared" si="89"/>
        <v>0</v>
      </c>
      <c r="AB158" s="208">
        <f t="shared" si="89"/>
        <v>0</v>
      </c>
      <c r="AC158" s="208">
        <f t="shared" si="89"/>
        <v>0</v>
      </c>
      <c r="AD158" s="208">
        <f t="shared" si="89"/>
        <v>0</v>
      </c>
      <c r="AE158" s="208">
        <f t="shared" si="89"/>
        <v>0</v>
      </c>
      <c r="AF158" s="208">
        <f t="shared" si="89"/>
        <v>0</v>
      </c>
      <c r="AG158" s="208">
        <f t="shared" si="89"/>
        <v>0</v>
      </c>
      <c r="AH158" s="208">
        <f t="shared" si="89"/>
        <v>0</v>
      </c>
      <c r="AI158" s="208">
        <f t="shared" si="89"/>
        <v>0</v>
      </c>
      <c r="AJ158" s="208">
        <f t="shared" si="89"/>
        <v>0</v>
      </c>
      <c r="AK158" s="208">
        <f t="shared" si="89"/>
        <v>0</v>
      </c>
      <c r="AL158" s="208">
        <f t="shared" si="89"/>
        <v>0</v>
      </c>
      <c r="AM158" s="208">
        <f t="shared" si="89"/>
        <v>0</v>
      </c>
      <c r="AN158" s="208">
        <f t="shared" si="89"/>
        <v>0</v>
      </c>
      <c r="AO158" s="208">
        <f t="shared" si="89"/>
        <v>0</v>
      </c>
      <c r="AP158" s="208">
        <f t="shared" si="89"/>
        <v>0</v>
      </c>
    </row>
    <row r="159" spans="1:42" ht="25.5">
      <c r="A159" s="329" t="s">
        <v>456</v>
      </c>
      <c r="B159" s="209"/>
      <c r="C159" s="209">
        <f t="shared" ref="C159:AP159" si="90">C78+C151-C117</f>
        <v>0</v>
      </c>
      <c r="D159" s="209">
        <f t="shared" si="90"/>
        <v>0</v>
      </c>
      <c r="E159" s="209">
        <f t="shared" si="90"/>
        <v>0</v>
      </c>
      <c r="F159" s="209">
        <f t="shared" si="90"/>
        <v>0</v>
      </c>
      <c r="G159" s="209">
        <f t="shared" si="90"/>
        <v>0</v>
      </c>
      <c r="H159" s="209">
        <f t="shared" si="90"/>
        <v>0</v>
      </c>
      <c r="I159" s="209">
        <f t="shared" si="90"/>
        <v>0</v>
      </c>
      <c r="J159" s="209">
        <f t="shared" si="90"/>
        <v>0</v>
      </c>
      <c r="K159" s="209">
        <f t="shared" si="90"/>
        <v>0</v>
      </c>
      <c r="L159" s="209">
        <f t="shared" si="90"/>
        <v>5593970.0555022713</v>
      </c>
      <c r="M159" s="209">
        <f t="shared" si="90"/>
        <v>5641993.9895311985</v>
      </c>
      <c r="N159" s="209">
        <f t="shared" si="90"/>
        <v>5690002.3478564052</v>
      </c>
      <c r="O159" s="209">
        <f t="shared" si="90"/>
        <v>5644935.7631023796</v>
      </c>
      <c r="P159" s="209">
        <f t="shared" si="90"/>
        <v>5693688.6462246049</v>
      </c>
      <c r="Q159" s="209">
        <f t="shared" si="90"/>
        <v>5742417.1403270159</v>
      </c>
      <c r="R159" s="209">
        <f t="shared" si="90"/>
        <v>5598022.0047845226</v>
      </c>
      <c r="S159" s="209">
        <f t="shared" si="90"/>
        <v>5648340.0946957096</v>
      </c>
      <c r="T159" s="209">
        <f t="shared" si="90"/>
        <v>5698624.291831973</v>
      </c>
      <c r="U159" s="209">
        <f t="shared" si="90"/>
        <v>5745077.5944302697</v>
      </c>
      <c r="V159" s="209">
        <f t="shared" si="90"/>
        <v>5795314.8220003294</v>
      </c>
      <c r="W159" s="209">
        <f t="shared" si="90"/>
        <v>5845507.9150826707</v>
      </c>
      <c r="X159" s="209">
        <f t="shared" si="90"/>
        <v>5878788.4960630313</v>
      </c>
      <c r="Y159" s="209">
        <f t="shared" si="90"/>
        <v>5916016.9400559217</v>
      </c>
      <c r="Z159" s="209">
        <f t="shared" si="90"/>
        <v>5953190.2191464277</v>
      </c>
      <c r="AA159" s="209">
        <f t="shared" si="90"/>
        <v>6194772.1726139449</v>
      </c>
      <c r="AB159" s="209">
        <f t="shared" si="90"/>
        <v>6227235.9791370854</v>
      </c>
      <c r="AC159" s="209">
        <f t="shared" si="90"/>
        <v>6259632.747451596</v>
      </c>
      <c r="AD159" s="209">
        <f t="shared" si="90"/>
        <v>6287620.6757198432</v>
      </c>
      <c r="AE159" s="209">
        <f t="shared" si="90"/>
        <v>6319906.1176814921</v>
      </c>
      <c r="AF159" s="209">
        <f t="shared" si="90"/>
        <v>10107555.247366114</v>
      </c>
      <c r="AG159" s="209">
        <f t="shared" si="90"/>
        <v>0</v>
      </c>
      <c r="AH159" s="209">
        <f t="shared" si="90"/>
        <v>0</v>
      </c>
      <c r="AI159" s="209">
        <f t="shared" si="90"/>
        <v>0</v>
      </c>
      <c r="AJ159" s="209">
        <f t="shared" si="90"/>
        <v>0</v>
      </c>
      <c r="AK159" s="209">
        <f t="shared" si="90"/>
        <v>0</v>
      </c>
      <c r="AL159" s="209">
        <f t="shared" si="90"/>
        <v>0</v>
      </c>
      <c r="AM159" s="209">
        <f t="shared" si="90"/>
        <v>0</v>
      </c>
      <c r="AN159" s="209">
        <f t="shared" si="90"/>
        <v>0</v>
      </c>
      <c r="AO159" s="209">
        <f t="shared" si="90"/>
        <v>0</v>
      </c>
      <c r="AP159" s="209">
        <f t="shared" si="90"/>
        <v>0</v>
      </c>
    </row>
    <row r="160" spans="1:42">
      <c r="A160" s="202" t="s">
        <v>53</v>
      </c>
      <c r="B160" s="164">
        <f>SUM(B156:B159)</f>
        <v>-10379369</v>
      </c>
      <c r="C160" s="164">
        <f t="shared" ref="C160:AP160" si="91">SUM(C156:C159)</f>
        <v>5746099.4550980376</v>
      </c>
      <c r="D160" s="164">
        <f t="shared" si="91"/>
        <v>5799398.3661163282</v>
      </c>
      <c r="E160" s="164">
        <f t="shared" si="91"/>
        <v>40685.678785634227</v>
      </c>
      <c r="F160" s="164">
        <f t="shared" si="91"/>
        <v>0</v>
      </c>
      <c r="G160" s="164">
        <f t="shared" si="91"/>
        <v>0</v>
      </c>
      <c r="H160" s="164">
        <f t="shared" si="91"/>
        <v>0</v>
      </c>
      <c r="I160" s="164">
        <f t="shared" si="91"/>
        <v>0</v>
      </c>
      <c r="J160" s="164">
        <f t="shared" si="91"/>
        <v>0</v>
      </c>
      <c r="K160" s="164">
        <f t="shared" si="91"/>
        <v>0</v>
      </c>
      <c r="L160" s="164">
        <f t="shared" si="91"/>
        <v>5593970.0555022713</v>
      </c>
      <c r="M160" s="164">
        <f t="shared" si="91"/>
        <v>5641993.9895311985</v>
      </c>
      <c r="N160" s="164">
        <f t="shared" si="91"/>
        <v>5690002.3478564052</v>
      </c>
      <c r="O160" s="164">
        <f t="shared" si="91"/>
        <v>5644935.7631023796</v>
      </c>
      <c r="P160" s="164">
        <f t="shared" si="91"/>
        <v>5693688.6462246049</v>
      </c>
      <c r="Q160" s="164">
        <f t="shared" si="91"/>
        <v>5742417.1403270159</v>
      </c>
      <c r="R160" s="164">
        <f t="shared" si="91"/>
        <v>5598022.0047845226</v>
      </c>
      <c r="S160" s="164">
        <f t="shared" si="91"/>
        <v>5648340.0946957096</v>
      </c>
      <c r="T160" s="164">
        <f t="shared" si="91"/>
        <v>5698624.291831973</v>
      </c>
      <c r="U160" s="164">
        <f t="shared" si="91"/>
        <v>5745077.5944302697</v>
      </c>
      <c r="V160" s="164">
        <f t="shared" si="91"/>
        <v>5795314.8220003294</v>
      </c>
      <c r="W160" s="164">
        <f t="shared" si="91"/>
        <v>5845507.9150826707</v>
      </c>
      <c r="X160" s="164">
        <f t="shared" si="91"/>
        <v>5878788.4960630313</v>
      </c>
      <c r="Y160" s="164">
        <f t="shared" si="91"/>
        <v>5916016.9400559217</v>
      </c>
      <c r="Z160" s="164">
        <f t="shared" si="91"/>
        <v>5953190.2191464277</v>
      </c>
      <c r="AA160" s="164">
        <f t="shared" si="91"/>
        <v>6194772.1726139449</v>
      </c>
      <c r="AB160" s="164">
        <f t="shared" si="91"/>
        <v>6227235.9791370854</v>
      </c>
      <c r="AC160" s="164">
        <f t="shared" si="91"/>
        <v>6259632.747451596</v>
      </c>
      <c r="AD160" s="164">
        <f t="shared" si="91"/>
        <v>6287620.6757198432</v>
      </c>
      <c r="AE160" s="164">
        <f t="shared" si="91"/>
        <v>6319906.1176814921</v>
      </c>
      <c r="AF160" s="164">
        <f t="shared" si="91"/>
        <v>10107555.247366114</v>
      </c>
      <c r="AG160" s="164">
        <f t="shared" si="91"/>
        <v>0</v>
      </c>
      <c r="AH160" s="164">
        <f t="shared" si="91"/>
        <v>0</v>
      </c>
      <c r="AI160" s="164">
        <f t="shared" si="91"/>
        <v>0</v>
      </c>
      <c r="AJ160" s="164">
        <f t="shared" si="91"/>
        <v>0</v>
      </c>
      <c r="AK160" s="164">
        <f t="shared" si="91"/>
        <v>0</v>
      </c>
      <c r="AL160" s="164">
        <f t="shared" si="91"/>
        <v>0</v>
      </c>
      <c r="AM160" s="164">
        <f t="shared" si="91"/>
        <v>0</v>
      </c>
      <c r="AN160" s="164">
        <f t="shared" si="91"/>
        <v>0</v>
      </c>
      <c r="AO160" s="164">
        <f t="shared" si="91"/>
        <v>0</v>
      </c>
      <c r="AP160" s="164">
        <f t="shared" si="91"/>
        <v>0</v>
      </c>
    </row>
    <row r="161" spans="1:42">
      <c r="A161" s="202"/>
      <c r="B161" s="164"/>
      <c r="C161" s="164"/>
      <c r="D161" s="164"/>
      <c r="E161" s="164"/>
      <c r="F161" s="164"/>
      <c r="G161" s="208"/>
      <c r="H161" s="208"/>
      <c r="I161" s="208"/>
      <c r="J161" s="208"/>
      <c r="K161" s="208"/>
      <c r="L161" s="208"/>
      <c r="M161" s="208"/>
      <c r="N161" s="208"/>
      <c r="O161" s="208"/>
      <c r="P161" s="208"/>
      <c r="Q161" s="208"/>
      <c r="R161" s="208"/>
      <c r="S161" s="208"/>
      <c r="T161" s="208"/>
      <c r="U161" s="208"/>
      <c r="V161" s="208"/>
      <c r="W161" s="208"/>
      <c r="X161" s="208"/>
      <c r="Y161" s="208"/>
      <c r="Z161" s="208"/>
      <c r="AA161" s="208"/>
      <c r="AB161" s="208"/>
      <c r="AC161" s="208"/>
      <c r="AD161" s="208"/>
      <c r="AE161" s="208"/>
      <c r="AF161" s="208"/>
      <c r="AG161" s="208"/>
      <c r="AH161" s="208"/>
      <c r="AI161" s="208"/>
      <c r="AJ161" s="208"/>
      <c r="AK161" s="208"/>
      <c r="AL161" s="208"/>
      <c r="AM161" s="208"/>
      <c r="AN161" s="208"/>
      <c r="AO161" s="208"/>
      <c r="AP161" s="208"/>
    </row>
    <row r="162" spans="1:42" s="119" customFormat="1">
      <c r="A162" s="202" t="s">
        <v>418</v>
      </c>
      <c r="B162" s="310" t="str">
        <f>IF(ISERROR(IRR($B160:B160)),"N/A",ROUND(IRR($B160:B160),4))</f>
        <v>N/A</v>
      </c>
      <c r="C162" s="310">
        <f>IF(ISERROR(IRR($B160:C160)),"N/A",ROUND(IRR($B160:C160),4))</f>
        <v>-0.44640000000000002</v>
      </c>
      <c r="D162" s="310">
        <f>IF(ISERROR(IRR($B160:D160)),"N/A",ROUND(IRR($B160:D160),4))</f>
        <v>7.3899999999999993E-2</v>
      </c>
      <c r="E162" s="310">
        <f>IF(ISERROR(IRR($B160:E160)),"N/A",ROUND(IRR($B160:E160),4))</f>
        <v>7.6200000000000004E-2</v>
      </c>
      <c r="F162" s="310">
        <f>IF(ISERROR(IRR($B160:F160)),"N/A",ROUND(IRR($B160:F160),4))</f>
        <v>7.6200000000000004E-2</v>
      </c>
      <c r="G162" s="310">
        <f>IF(ISERROR(IRR($B160:G160)),"N/A",ROUND(IRR($B160:G160),4))</f>
        <v>7.6200000000000004E-2</v>
      </c>
      <c r="H162" s="310">
        <f>IF(ISERROR(IRR($B160:H160)),"N/A",ROUND(IRR($B160:H160),4))</f>
        <v>7.6200000000000004E-2</v>
      </c>
      <c r="I162" s="310">
        <f>IF(ISERROR(IRR($B160:I160)),"N/A",ROUND(IRR($B160:I160),4))</f>
        <v>7.6200000000000004E-2</v>
      </c>
      <c r="J162" s="310">
        <f>IF(ISERROR(IRR($B160:J160)),"N/A",ROUND(IRR($B160:J160),4))</f>
        <v>7.6200000000000004E-2</v>
      </c>
      <c r="K162" s="310">
        <f>IF(ISERROR(IRR($B160:K160)),"N/A",ROUND(IRR($B160:K160),4))</f>
        <v>7.6200000000000004E-2</v>
      </c>
      <c r="L162" s="310">
        <f>IF(ISERROR(IRR($B160:L160)),"N/A",ROUND(IRR($B160:L160),4))</f>
        <v>0.16800000000000001</v>
      </c>
      <c r="M162" s="310">
        <f>IF(ISERROR(IRR($B160:M160)),"N/A",ROUND(IRR($B160:M160),4))</f>
        <v>0.2049</v>
      </c>
      <c r="N162" s="310">
        <f>IF(ISERROR(IRR($B160:N160)),"N/A",ROUND(IRR($B160:N160),4))</f>
        <v>0.22639999999999999</v>
      </c>
      <c r="O162" s="310">
        <f>IF(ISERROR(IRR($B160:O160)),"N/A",ROUND(IRR($B160:O160),4))</f>
        <v>0.24010000000000001</v>
      </c>
      <c r="P162" s="310">
        <f>IF(ISERROR(IRR($B160:P160)),"N/A",ROUND(IRR($B160:P160),4))</f>
        <v>0.2495</v>
      </c>
      <c r="Q162" s="310">
        <f>IF(ISERROR(IRR($B160:Q160)),"N/A",ROUND(IRR($B160:Q160),4))</f>
        <v>0.25629999999999997</v>
      </c>
      <c r="R162" s="310">
        <f>IF(ISERROR(IRR($B160:R160)),"N/A",ROUND(IRR($B160:R160),4))</f>
        <v>0.26100000000000001</v>
      </c>
      <c r="S162" s="310">
        <f>IF(ISERROR(IRR($B160:S160)),"N/A",ROUND(IRR($B160:S160),4))</f>
        <v>0.26450000000000001</v>
      </c>
      <c r="T162" s="310">
        <f>IF(ISERROR(IRR($B160:T160)),"N/A",ROUND(IRR($B160:T160),4))</f>
        <v>0.2671</v>
      </c>
      <c r="U162" s="310">
        <f>IF(ISERROR(IRR($B160:U160)),"N/A",ROUND(IRR($B160:U160),4))</f>
        <v>0.26919999999999999</v>
      </c>
      <c r="V162" s="310">
        <f>IF(ISERROR(IRR($B160:V160)),"N/A",ROUND(IRR($B160:V160),4))</f>
        <v>0.2707</v>
      </c>
      <c r="W162" s="310">
        <f>IF(ISERROR(IRR($B160:W160)),"N/A",ROUND(IRR($B160:W160),4))</f>
        <v>0.27189999999999998</v>
      </c>
      <c r="X162" s="310">
        <f>IF(ISERROR(IRR($B160:X160)),"N/A",ROUND(IRR($B160:X160),4))</f>
        <v>0.27279999999999999</v>
      </c>
      <c r="Y162" s="310">
        <f>IF(ISERROR(IRR($B160:Y160)),"N/A",ROUND(IRR($B160:Y160),4))</f>
        <v>0.27350000000000002</v>
      </c>
      <c r="Z162" s="310">
        <f>IF(ISERROR(IRR($B160:Z160)),"N/A",ROUND(IRR($B160:Z160),4))</f>
        <v>0.27400000000000002</v>
      </c>
      <c r="AA162" s="310">
        <f>IF(ISERROR(IRR($B160:AA160)),"N/A",ROUND(IRR($B160:AA160),4))</f>
        <v>0.27450000000000002</v>
      </c>
      <c r="AB162" s="310">
        <f>IF(ISERROR(IRR($B160:AB160)),"N/A",ROUND(IRR($B160:AB160),4))</f>
        <v>0.27479999999999999</v>
      </c>
      <c r="AC162" s="310">
        <f>IF(ISERROR(IRR($B160:AC160)),"N/A",ROUND(IRR($B160:AC160),4))</f>
        <v>0.27510000000000001</v>
      </c>
      <c r="AD162" s="310">
        <f>IF(ISERROR(IRR($B160:AD160)),"N/A",ROUND(IRR($B160:AD160),4))</f>
        <v>0.27529999999999999</v>
      </c>
      <c r="AE162" s="310">
        <f>IF(ISERROR(IRR($B160:AE160)),"N/A",ROUND(IRR($B160:AE160),4))</f>
        <v>0.27539999999999998</v>
      </c>
      <c r="AF162" s="310">
        <f>IF(ISERROR(IRR($B160:AF160)),"N/A",ROUND(IRR($B160:AF160),4))</f>
        <v>0.27560000000000001</v>
      </c>
      <c r="AG162" s="310">
        <f>IF(ISERROR(IRR($B160:AG160)),"N/A",ROUND(IRR($B160:AG160),4))</f>
        <v>0.27560000000000001</v>
      </c>
      <c r="AH162" s="310">
        <f>IF(ISERROR(IRR($B160:AH160)),"N/A",ROUND(IRR($B160:AH160),4))</f>
        <v>0.27560000000000001</v>
      </c>
      <c r="AI162" s="310">
        <f>IF(ISERROR(IRR($B160:AI160)),"N/A",ROUND(IRR($B160:AI160),4))</f>
        <v>0.27560000000000001</v>
      </c>
      <c r="AJ162" s="310">
        <f>IF(ISERROR(IRR($B160:AJ160)),"N/A",ROUND(IRR($B160:AJ160),4))</f>
        <v>0.27560000000000001</v>
      </c>
      <c r="AK162" s="310">
        <f>IF(ISERROR(IRR($B160:AK160)),"N/A",ROUND(IRR($B160:AK160),4))</f>
        <v>0.27560000000000001</v>
      </c>
      <c r="AL162" s="310">
        <f>IF(ISERROR(IRR($B160:AL160)),"N/A",ROUND(IRR($B160:AL160),4))</f>
        <v>0.27560000000000001</v>
      </c>
      <c r="AM162" s="310">
        <f>IF(ISERROR(IRR($B160:AM160)),"N/A",ROUND(IRR($B160:AM160),4))</f>
        <v>0.27560000000000001</v>
      </c>
      <c r="AN162" s="310">
        <f>IF(ISERROR(IRR($B160:AN160)),"N/A",ROUND(IRR($B160:AN160),4))</f>
        <v>0.27560000000000001</v>
      </c>
      <c r="AO162" s="310">
        <f>IF(ISERROR(IRR($B160:AO160)),"N/A",ROUND(IRR($B160:AO160),4))</f>
        <v>0.27560000000000001</v>
      </c>
      <c r="AP162" s="310">
        <f>IF(ISERROR(IRR($B160:AP160)),"N/A",ROUND(IRR($B160:AP160),4))</f>
        <v>0.27560000000000001</v>
      </c>
    </row>
    <row r="163" spans="1:42" s="119" customFormat="1">
      <c r="A163" s="202" t="s">
        <v>419</v>
      </c>
      <c r="B163" s="311">
        <f>B160</f>
        <v>-10379369</v>
      </c>
      <c r="C163" s="311">
        <f>NPV(DiscountRate,$C160:C160)+$B160</f>
        <v>-5058906.5415758919</v>
      </c>
      <c r="D163" s="311">
        <f>NPV(DiscountRate,$C160:D160)+$B160</f>
        <v>-86857.187909631059</v>
      </c>
      <c r="E163" s="311">
        <f>NPV(DiscountRate,$C160:E160)+$B160</f>
        <v>-54559.584341803566</v>
      </c>
      <c r="F163" s="311">
        <f>NPV(DiscountRate,$C160:F160)+$B160</f>
        <v>-54559.584341803566</v>
      </c>
      <c r="G163" s="311">
        <f>NPV(DiscountRate,$C160:G160)+$B160</f>
        <v>-54559.584341803566</v>
      </c>
      <c r="H163" s="311">
        <f>NPV(DiscountRate,$C160:H160)+$B160</f>
        <v>-54559.584341803566</v>
      </c>
      <c r="I163" s="311">
        <f>NPV(DiscountRate,$C160:I160)+$B160</f>
        <v>-54559.584341803566</v>
      </c>
      <c r="J163" s="311">
        <f>NPV(DiscountRate,$C160:J160)+$B160</f>
        <v>-54559.584341803566</v>
      </c>
      <c r="K163" s="311">
        <f>NPV(DiscountRate,$C160:K160)+$B160</f>
        <v>-54559.584341803566</v>
      </c>
      <c r="L163" s="311">
        <f>NPV(DiscountRate,$C160:L160)+$B160</f>
        <v>2536530.9179075696</v>
      </c>
      <c r="M163" s="311">
        <f>NPV(DiscountRate,$C160:M160)+$B160</f>
        <v>4956285.4325036611</v>
      </c>
      <c r="N163" s="311">
        <f>NPV(DiscountRate,$C160:N160)+$B160</f>
        <v>7215863.6515654325</v>
      </c>
      <c r="O163" s="311">
        <f>NPV(DiscountRate,$C160:O160)+$B160</f>
        <v>9291494.8165661395</v>
      </c>
      <c r="P163" s="311">
        <f>NPV(DiscountRate,$C160:P160)+$B160</f>
        <v>11229973.982257377</v>
      </c>
      <c r="Q163" s="311">
        <f>NPV(DiscountRate,$C160:Q160)+$B160</f>
        <v>13040223.352199417</v>
      </c>
      <c r="R163" s="311">
        <f>NPV(DiscountRate,$C160:R160)+$B160</f>
        <v>14674232.612592787</v>
      </c>
      <c r="S163" s="311">
        <f>NPV(DiscountRate,$C160:S160)+$B160</f>
        <v>16200803.567393087</v>
      </c>
      <c r="T163" s="311">
        <f>NPV(DiscountRate,$C160:T160)+$B160</f>
        <v>17626878.76372141</v>
      </c>
      <c r="U163" s="311">
        <f>NPV(DiscountRate,$C160:U160)+$B160</f>
        <v>18958082.550946213</v>
      </c>
      <c r="V163" s="311">
        <f>NPV(DiscountRate,$C160:V160)+$B160</f>
        <v>20201456.957348544</v>
      </c>
      <c r="W163" s="311">
        <f>NPV(DiscountRate,$C160:W160)+$B160</f>
        <v>21362700.702299662</v>
      </c>
      <c r="X163" s="311">
        <f>NPV(DiscountRate,$C160:X160)+$B160</f>
        <v>22444048.03900912</v>
      </c>
      <c r="Y163" s="311">
        <f>NPV(DiscountRate,$C160:Y160)+$B160</f>
        <v>23451636.146021694</v>
      </c>
      <c r="Z163" s="311">
        <f>NPV(DiscountRate,$C160:Z160)+$B160</f>
        <v>24390450.298437335</v>
      </c>
      <c r="AA163" s="311">
        <f>NPV(DiscountRate,$C160:AA160)+$B160</f>
        <v>25294997.95249524</v>
      </c>
      <c r="AB163" s="311">
        <f>NPV(DiscountRate,$C160:AB160)+$B160</f>
        <v>26136931.240524784</v>
      </c>
      <c r="AC163" s="311">
        <f>NPV(DiscountRate,$C160:AC160)+$B160</f>
        <v>26920554.748161227</v>
      </c>
      <c r="AD163" s="311">
        <f>NPV(DiscountRate,$C160:AD160)+$B160</f>
        <v>27649376.254946694</v>
      </c>
      <c r="AE163" s="311">
        <f>NPV(DiscountRate,$C160:AE160)+$B160</f>
        <v>28327676.09984228</v>
      </c>
      <c r="AF163" s="311">
        <f>NPV(DiscountRate,$C160:AF160)+$B160</f>
        <v>29332137.978925265</v>
      </c>
      <c r="AG163" s="311">
        <f>NPV(DiscountRate,$C160:AG160)+$B160</f>
        <v>29332137.978925265</v>
      </c>
      <c r="AH163" s="311">
        <f>NPV(DiscountRate,$C160:AH160)+$B160</f>
        <v>29332137.978925265</v>
      </c>
      <c r="AI163" s="311">
        <f>NPV(DiscountRate,$C160:AI160)+$B160</f>
        <v>29332137.978925265</v>
      </c>
      <c r="AJ163" s="311">
        <f>NPV(DiscountRate,$C160:AJ160)+$B160</f>
        <v>29332137.978925265</v>
      </c>
      <c r="AK163" s="311">
        <f>NPV(DiscountRate,$C160:AK160)+$B160</f>
        <v>29332137.978925265</v>
      </c>
      <c r="AL163" s="311">
        <f>NPV(DiscountRate,$C160:AL160)+$B160</f>
        <v>29332137.978925265</v>
      </c>
      <c r="AM163" s="311">
        <f>NPV(DiscountRate,$C160:AM160)+$B160</f>
        <v>29332137.978925265</v>
      </c>
      <c r="AN163" s="311">
        <f>NPV(DiscountRate,$C160:AN160)+$B160</f>
        <v>29332137.978925265</v>
      </c>
      <c r="AO163" s="311">
        <f>NPV(DiscountRate,$C160:AO160)+$B160</f>
        <v>29332137.978925265</v>
      </c>
      <c r="AP163" s="311">
        <f>NPV(DiscountRate,$C160:AP160)+$B160</f>
        <v>29332137.978925265</v>
      </c>
    </row>
    <row r="164" spans="1:42">
      <c r="A164" s="202"/>
      <c r="B164" s="164"/>
      <c r="C164" s="164"/>
      <c r="D164" s="164"/>
      <c r="E164" s="164"/>
      <c r="F164" s="164"/>
      <c r="G164" s="208"/>
      <c r="H164" s="208"/>
      <c r="I164" s="208"/>
      <c r="J164" s="208"/>
      <c r="K164" s="208"/>
      <c r="L164" s="208"/>
      <c r="M164" s="208"/>
      <c r="N164" s="208"/>
      <c r="O164" s="208"/>
      <c r="P164" s="208"/>
      <c r="Q164" s="208"/>
      <c r="R164" s="208"/>
      <c r="S164" s="208"/>
      <c r="T164" s="208"/>
      <c r="U164" s="208"/>
      <c r="V164" s="208"/>
      <c r="W164" s="208"/>
      <c r="X164" s="208"/>
      <c r="Y164" s="208"/>
      <c r="Z164" s="208"/>
      <c r="AA164" s="208"/>
      <c r="AB164" s="208"/>
      <c r="AC164" s="208"/>
      <c r="AD164" s="208"/>
      <c r="AE164" s="208"/>
      <c r="AF164" s="208"/>
      <c r="AG164" s="208"/>
      <c r="AH164" s="208"/>
      <c r="AI164" s="208"/>
      <c r="AJ164" s="208"/>
      <c r="AK164" s="208"/>
      <c r="AL164" s="208"/>
      <c r="AM164" s="208"/>
      <c r="AN164" s="208"/>
      <c r="AO164" s="208"/>
      <c r="AP164" s="208"/>
    </row>
    <row r="165" spans="1:42">
      <c r="A165" s="202"/>
      <c r="B165" s="164"/>
      <c r="C165" s="164"/>
      <c r="D165" s="164"/>
      <c r="E165" s="164"/>
      <c r="F165" s="164"/>
      <c r="G165" s="208"/>
      <c r="H165" s="208"/>
      <c r="I165" s="208"/>
      <c r="J165" s="208"/>
      <c r="K165" s="208"/>
      <c r="L165" s="208"/>
      <c r="M165" s="208"/>
      <c r="N165" s="208"/>
      <c r="O165" s="208"/>
      <c r="P165" s="208"/>
      <c r="Q165" s="208"/>
      <c r="R165" s="208"/>
      <c r="S165" s="208"/>
      <c r="T165" s="208"/>
      <c r="U165" s="208"/>
      <c r="V165" s="208"/>
      <c r="W165" s="208"/>
      <c r="X165" s="208"/>
      <c r="Y165" s="208"/>
      <c r="Z165" s="208"/>
      <c r="AA165" s="208"/>
      <c r="AB165" s="208"/>
      <c r="AC165" s="208"/>
      <c r="AD165" s="208"/>
      <c r="AE165" s="208"/>
      <c r="AF165" s="208"/>
      <c r="AG165" s="208"/>
      <c r="AH165" s="208"/>
      <c r="AI165" s="208"/>
      <c r="AJ165" s="208"/>
      <c r="AK165" s="208"/>
      <c r="AL165" s="208"/>
      <c r="AM165" s="208"/>
      <c r="AN165" s="208"/>
      <c r="AO165" s="208"/>
      <c r="AP165" s="208"/>
    </row>
    <row r="166" spans="1:42">
      <c r="A166" s="202" t="s">
        <v>226</v>
      </c>
      <c r="B166" s="307">
        <f>IF(ISERROR(IRR(B160:AP160)),"N/A",IRR(B160:AP160))</f>
        <v>0.27563735920141258</v>
      </c>
      <c r="C166" s="164"/>
      <c r="D166" s="164"/>
      <c r="E166" s="164"/>
      <c r="F166" s="164"/>
      <c r="G166" s="208"/>
      <c r="H166" s="208"/>
      <c r="I166" s="208"/>
      <c r="J166" s="208"/>
      <c r="K166" s="208"/>
      <c r="L166" s="208"/>
      <c r="M166" s="208"/>
      <c r="N166" s="208"/>
      <c r="O166" s="208"/>
      <c r="P166" s="208"/>
      <c r="Q166" s="208"/>
      <c r="R166" s="208"/>
      <c r="S166" s="208"/>
      <c r="T166" s="208"/>
      <c r="U166" s="208"/>
      <c r="V166" s="208"/>
      <c r="W166" s="208"/>
      <c r="X166" s="208"/>
      <c r="Y166" s="208"/>
      <c r="Z166" s="208"/>
      <c r="AA166" s="208"/>
      <c r="AB166" s="208"/>
      <c r="AC166" s="208"/>
      <c r="AD166" s="208"/>
      <c r="AE166" s="208"/>
      <c r="AF166" s="208"/>
      <c r="AG166" s="208"/>
      <c r="AH166" s="208"/>
      <c r="AI166" s="208"/>
      <c r="AJ166" s="208"/>
      <c r="AK166" s="208"/>
      <c r="AL166" s="208"/>
      <c r="AM166" s="208"/>
      <c r="AN166" s="208"/>
      <c r="AO166" s="208"/>
      <c r="AP166" s="208"/>
    </row>
    <row r="167" spans="1:42">
      <c r="A167" s="202" t="s">
        <v>227</v>
      </c>
      <c r="B167" s="218">
        <f>NPV(DiscountRate,$C160:$AP160)+B160</f>
        <v>29332137.978925265</v>
      </c>
      <c r="C167" s="164"/>
      <c r="D167" s="164"/>
      <c r="E167" s="164"/>
      <c r="F167" s="164"/>
      <c r="G167" s="208"/>
      <c r="H167" s="208"/>
      <c r="I167" s="208"/>
      <c r="J167" s="208"/>
      <c r="K167" s="208"/>
      <c r="L167" s="208"/>
      <c r="M167" s="208"/>
      <c r="N167" s="208"/>
      <c r="O167" s="208"/>
      <c r="P167" s="208"/>
      <c r="Q167" s="208"/>
      <c r="R167" s="208"/>
      <c r="S167" s="208"/>
      <c r="T167" s="208"/>
      <c r="U167" s="208"/>
      <c r="V167" s="208"/>
      <c r="W167" s="208"/>
      <c r="X167" s="208"/>
      <c r="Y167" s="208"/>
      <c r="Z167" s="208"/>
      <c r="AA167" s="208"/>
      <c r="AB167" s="208"/>
      <c r="AC167" s="208"/>
      <c r="AD167" s="208"/>
      <c r="AE167" s="208"/>
      <c r="AF167" s="208"/>
      <c r="AG167" s="208"/>
      <c r="AH167" s="208"/>
      <c r="AI167" s="208"/>
      <c r="AJ167" s="208"/>
      <c r="AK167" s="208"/>
      <c r="AL167" s="208"/>
      <c r="AM167" s="208"/>
      <c r="AN167" s="208"/>
      <c r="AO167" s="208"/>
      <c r="AP167" s="208"/>
    </row>
    <row r="168" spans="1:42" s="119" customFormat="1">
      <c r="A168" s="42"/>
      <c r="B168" s="220"/>
      <c r="C168" s="220"/>
      <c r="D168" s="220"/>
      <c r="E168" s="220"/>
      <c r="F168" s="220"/>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46"/>
      <c r="AK168" s="146"/>
      <c r="AL168" s="146"/>
      <c r="AM168" s="146"/>
      <c r="AN168" s="146"/>
      <c r="AO168" s="146"/>
      <c r="AP168" s="146"/>
    </row>
    <row r="169" spans="1:42">
      <c r="A169" s="204" t="s">
        <v>256</v>
      </c>
      <c r="B169" s="164"/>
      <c r="C169" s="164"/>
      <c r="D169" s="164"/>
      <c r="E169" s="164"/>
      <c r="F169" s="164"/>
      <c r="G169" s="208"/>
      <c r="H169" s="208"/>
      <c r="I169" s="208"/>
      <c r="J169" s="208"/>
      <c r="K169" s="208"/>
      <c r="L169" s="208"/>
      <c r="M169" s="208"/>
      <c r="N169" s="208"/>
      <c r="O169" s="208"/>
      <c r="P169" s="208"/>
      <c r="Q169" s="208"/>
      <c r="R169" s="208"/>
      <c r="S169" s="208"/>
      <c r="T169" s="208"/>
      <c r="U169" s="208"/>
      <c r="V169" s="208"/>
      <c r="W169" s="208"/>
      <c r="X169" s="208"/>
      <c r="Y169" s="208"/>
      <c r="Z169" s="208"/>
      <c r="AA169" s="208"/>
      <c r="AB169" s="208"/>
      <c r="AC169" s="208"/>
      <c r="AD169" s="208"/>
      <c r="AE169" s="208"/>
      <c r="AF169" s="208"/>
      <c r="AG169" s="208"/>
      <c r="AH169" s="208"/>
      <c r="AI169" s="208"/>
      <c r="AJ169" s="208"/>
      <c r="AK169" s="208"/>
      <c r="AL169" s="208"/>
      <c r="AM169" s="208"/>
      <c r="AN169" s="208"/>
      <c r="AO169" s="208"/>
      <c r="AP169" s="208"/>
    </row>
    <row r="170" spans="1:42" s="119" customFormat="1">
      <c r="A170" s="219" t="s">
        <v>229</v>
      </c>
      <c r="B170" s="220"/>
      <c r="C170" s="220"/>
      <c r="D170" s="220"/>
      <c r="E170" s="220"/>
      <c r="F170" s="220"/>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46"/>
      <c r="AK170" s="146"/>
      <c r="AL170" s="146"/>
      <c r="AM170" s="146"/>
      <c r="AN170" s="146"/>
      <c r="AO170" s="146"/>
      <c r="AP170" s="146"/>
    </row>
    <row r="171" spans="1:42">
      <c r="A171" s="206" t="s">
        <v>224</v>
      </c>
      <c r="B171" s="208">
        <f t="shared" ref="B171:AP171" si="92">B86-B125</f>
        <v>-11586183.5</v>
      </c>
      <c r="C171" s="208">
        <f t="shared" si="92"/>
        <v>0</v>
      </c>
      <c r="D171" s="208">
        <f t="shared" si="92"/>
        <v>0</v>
      </c>
      <c r="E171" s="208">
        <f t="shared" si="92"/>
        <v>0</v>
      </c>
      <c r="F171" s="208">
        <f t="shared" si="92"/>
        <v>0</v>
      </c>
      <c r="G171" s="208">
        <f t="shared" si="92"/>
        <v>0</v>
      </c>
      <c r="H171" s="208">
        <f t="shared" si="92"/>
        <v>0</v>
      </c>
      <c r="I171" s="208">
        <f t="shared" si="92"/>
        <v>0</v>
      </c>
      <c r="J171" s="208">
        <f t="shared" si="92"/>
        <v>0</v>
      </c>
      <c r="K171" s="208">
        <f t="shared" si="92"/>
        <v>0</v>
      </c>
      <c r="L171" s="208">
        <f t="shared" si="92"/>
        <v>0</v>
      </c>
      <c r="M171" s="208">
        <f t="shared" si="92"/>
        <v>0</v>
      </c>
      <c r="N171" s="208">
        <f t="shared" si="92"/>
        <v>0</v>
      </c>
      <c r="O171" s="208">
        <f t="shared" si="92"/>
        <v>0</v>
      </c>
      <c r="P171" s="208">
        <f t="shared" si="92"/>
        <v>0</v>
      </c>
      <c r="Q171" s="208">
        <f t="shared" si="92"/>
        <v>0</v>
      </c>
      <c r="R171" s="208">
        <f t="shared" si="92"/>
        <v>0</v>
      </c>
      <c r="S171" s="208">
        <f t="shared" si="92"/>
        <v>0</v>
      </c>
      <c r="T171" s="208">
        <f t="shared" si="92"/>
        <v>0</v>
      </c>
      <c r="U171" s="208">
        <f t="shared" si="92"/>
        <v>0</v>
      </c>
      <c r="V171" s="208">
        <f t="shared" si="92"/>
        <v>0</v>
      </c>
      <c r="W171" s="208">
        <f t="shared" si="92"/>
        <v>0</v>
      </c>
      <c r="X171" s="208">
        <f t="shared" si="92"/>
        <v>0</v>
      </c>
      <c r="Y171" s="208">
        <f t="shared" si="92"/>
        <v>0</v>
      </c>
      <c r="Z171" s="208">
        <f t="shared" si="92"/>
        <v>0</v>
      </c>
      <c r="AA171" s="208">
        <f t="shared" si="92"/>
        <v>0</v>
      </c>
      <c r="AB171" s="208">
        <f t="shared" si="92"/>
        <v>0</v>
      </c>
      <c r="AC171" s="208">
        <f t="shared" si="92"/>
        <v>0</v>
      </c>
      <c r="AD171" s="208">
        <f t="shared" si="92"/>
        <v>0</v>
      </c>
      <c r="AE171" s="208">
        <f t="shared" si="92"/>
        <v>0</v>
      </c>
      <c r="AF171" s="208">
        <f t="shared" si="92"/>
        <v>0</v>
      </c>
      <c r="AG171" s="208">
        <f t="shared" si="92"/>
        <v>0</v>
      </c>
      <c r="AH171" s="208">
        <f t="shared" si="92"/>
        <v>0</v>
      </c>
      <c r="AI171" s="208">
        <f t="shared" si="92"/>
        <v>0</v>
      </c>
      <c r="AJ171" s="208">
        <f t="shared" si="92"/>
        <v>0</v>
      </c>
      <c r="AK171" s="208">
        <f t="shared" si="92"/>
        <v>0</v>
      </c>
      <c r="AL171" s="208">
        <f t="shared" si="92"/>
        <v>0</v>
      </c>
      <c r="AM171" s="208">
        <f t="shared" si="92"/>
        <v>0</v>
      </c>
      <c r="AN171" s="208">
        <f t="shared" si="92"/>
        <v>0</v>
      </c>
      <c r="AO171" s="208">
        <f t="shared" si="92"/>
        <v>0</v>
      </c>
      <c r="AP171" s="208">
        <f t="shared" si="92"/>
        <v>0</v>
      </c>
    </row>
    <row r="172" spans="1:42">
      <c r="A172" s="206" t="s">
        <v>402</v>
      </c>
      <c r="B172" s="208">
        <f>'Inputs &amp; Results'!B141</f>
        <v>1206814.5</v>
      </c>
      <c r="C172" s="208"/>
      <c r="D172" s="208"/>
      <c r="E172" s="208"/>
      <c r="F172" s="208"/>
      <c r="G172" s="208"/>
      <c r="H172" s="208"/>
      <c r="I172" s="208"/>
      <c r="J172" s="208"/>
      <c r="K172" s="208"/>
      <c r="L172" s="208"/>
      <c r="M172" s="208"/>
      <c r="N172" s="208"/>
      <c r="O172" s="208"/>
      <c r="P172" s="208"/>
      <c r="Q172" s="208"/>
      <c r="R172" s="208"/>
      <c r="S172" s="208"/>
      <c r="T172" s="208"/>
      <c r="U172" s="208"/>
      <c r="V172" s="208"/>
      <c r="W172" s="208"/>
      <c r="X172" s="208"/>
      <c r="Y172" s="208"/>
      <c r="Z172" s="208"/>
      <c r="AA172" s="208"/>
      <c r="AB172" s="208"/>
      <c r="AC172" s="208"/>
      <c r="AD172" s="208"/>
      <c r="AE172" s="208"/>
      <c r="AF172" s="208"/>
      <c r="AG172" s="208"/>
      <c r="AH172" s="208"/>
      <c r="AI172" s="208"/>
      <c r="AJ172" s="208"/>
      <c r="AK172" s="208"/>
      <c r="AL172" s="208"/>
      <c r="AM172" s="208"/>
      <c r="AN172" s="208"/>
      <c r="AO172" s="208"/>
      <c r="AP172" s="208"/>
    </row>
    <row r="173" spans="1:42">
      <c r="A173" s="206" t="s">
        <v>455</v>
      </c>
      <c r="B173" s="208">
        <f>B158</f>
        <v>0</v>
      </c>
      <c r="C173" s="208">
        <f t="shared" ref="C173:L173" si="93">C158</f>
        <v>5746099.4550980376</v>
      </c>
      <c r="D173" s="208">
        <f t="shared" si="93"/>
        <v>5799398.3661163282</v>
      </c>
      <c r="E173" s="208">
        <f t="shared" si="93"/>
        <v>40685.678785634227</v>
      </c>
      <c r="F173" s="208">
        <f t="shared" si="93"/>
        <v>0</v>
      </c>
      <c r="G173" s="208">
        <f t="shared" si="93"/>
        <v>0</v>
      </c>
      <c r="H173" s="208">
        <f t="shared" si="93"/>
        <v>0</v>
      </c>
      <c r="I173" s="208">
        <f t="shared" si="93"/>
        <v>0</v>
      </c>
      <c r="J173" s="208">
        <f t="shared" si="93"/>
        <v>0</v>
      </c>
      <c r="K173" s="208">
        <f t="shared" si="93"/>
        <v>0</v>
      </c>
      <c r="L173" s="208">
        <f t="shared" si="93"/>
        <v>0</v>
      </c>
      <c r="M173" s="208">
        <f t="shared" ref="M173:AP173" si="94">M158</f>
        <v>0</v>
      </c>
      <c r="N173" s="208">
        <f t="shared" si="94"/>
        <v>0</v>
      </c>
      <c r="O173" s="208">
        <f t="shared" si="94"/>
        <v>0</v>
      </c>
      <c r="P173" s="208">
        <f t="shared" si="94"/>
        <v>0</v>
      </c>
      <c r="Q173" s="208">
        <f t="shared" si="94"/>
        <v>0</v>
      </c>
      <c r="R173" s="208">
        <f t="shared" si="94"/>
        <v>0</v>
      </c>
      <c r="S173" s="208">
        <f t="shared" si="94"/>
        <v>0</v>
      </c>
      <c r="T173" s="208">
        <f t="shared" si="94"/>
        <v>0</v>
      </c>
      <c r="U173" s="208">
        <f t="shared" si="94"/>
        <v>0</v>
      </c>
      <c r="V173" s="208">
        <f t="shared" si="94"/>
        <v>0</v>
      </c>
      <c r="W173" s="208">
        <f t="shared" si="94"/>
        <v>0</v>
      </c>
      <c r="X173" s="208">
        <f t="shared" si="94"/>
        <v>0</v>
      </c>
      <c r="Y173" s="208">
        <f t="shared" si="94"/>
        <v>0</v>
      </c>
      <c r="Z173" s="208">
        <f t="shared" si="94"/>
        <v>0</v>
      </c>
      <c r="AA173" s="208">
        <f t="shared" si="94"/>
        <v>0</v>
      </c>
      <c r="AB173" s="208">
        <f t="shared" si="94"/>
        <v>0</v>
      </c>
      <c r="AC173" s="208">
        <f t="shared" si="94"/>
        <v>0</v>
      </c>
      <c r="AD173" s="208">
        <f t="shared" si="94"/>
        <v>0</v>
      </c>
      <c r="AE173" s="208">
        <f t="shared" si="94"/>
        <v>0</v>
      </c>
      <c r="AF173" s="208">
        <f t="shared" si="94"/>
        <v>0</v>
      </c>
      <c r="AG173" s="208">
        <f t="shared" si="94"/>
        <v>0</v>
      </c>
      <c r="AH173" s="208">
        <f t="shared" si="94"/>
        <v>0</v>
      </c>
      <c r="AI173" s="208">
        <f t="shared" si="94"/>
        <v>0</v>
      </c>
      <c r="AJ173" s="208">
        <f t="shared" si="94"/>
        <v>0</v>
      </c>
      <c r="AK173" s="208">
        <f t="shared" si="94"/>
        <v>0</v>
      </c>
      <c r="AL173" s="208">
        <f t="shared" si="94"/>
        <v>0</v>
      </c>
      <c r="AM173" s="208">
        <f t="shared" si="94"/>
        <v>0</v>
      </c>
      <c r="AN173" s="208">
        <f t="shared" si="94"/>
        <v>0</v>
      </c>
      <c r="AO173" s="208">
        <f t="shared" si="94"/>
        <v>0</v>
      </c>
      <c r="AP173" s="208">
        <f t="shared" si="94"/>
        <v>0</v>
      </c>
    </row>
    <row r="174" spans="1:42" ht="38.25">
      <c r="A174" s="330" t="s">
        <v>456</v>
      </c>
      <c r="B174" s="209">
        <f>B159</f>
        <v>0</v>
      </c>
      <c r="C174" s="209">
        <f t="shared" ref="C174:L174" si="95">C159</f>
        <v>0</v>
      </c>
      <c r="D174" s="209">
        <f t="shared" si="95"/>
        <v>0</v>
      </c>
      <c r="E174" s="209">
        <f t="shared" si="95"/>
        <v>0</v>
      </c>
      <c r="F174" s="209">
        <f t="shared" si="95"/>
        <v>0</v>
      </c>
      <c r="G174" s="209">
        <f t="shared" si="95"/>
        <v>0</v>
      </c>
      <c r="H174" s="209">
        <f t="shared" si="95"/>
        <v>0</v>
      </c>
      <c r="I174" s="209">
        <f t="shared" si="95"/>
        <v>0</v>
      </c>
      <c r="J174" s="209">
        <f t="shared" si="95"/>
        <v>0</v>
      </c>
      <c r="K174" s="209">
        <f t="shared" si="95"/>
        <v>0</v>
      </c>
      <c r="L174" s="209">
        <f t="shared" si="95"/>
        <v>5593970.0555022713</v>
      </c>
      <c r="M174" s="209">
        <f t="shared" ref="M174:AP174" si="96">M159</f>
        <v>5641993.9895311985</v>
      </c>
      <c r="N174" s="209">
        <f t="shared" si="96"/>
        <v>5690002.3478564052</v>
      </c>
      <c r="O174" s="209">
        <f t="shared" si="96"/>
        <v>5644935.7631023796</v>
      </c>
      <c r="P174" s="209">
        <f t="shared" si="96"/>
        <v>5693688.6462246049</v>
      </c>
      <c r="Q174" s="209">
        <f t="shared" si="96"/>
        <v>5742417.1403270159</v>
      </c>
      <c r="R174" s="209">
        <f t="shared" si="96"/>
        <v>5598022.0047845226</v>
      </c>
      <c r="S174" s="209">
        <f t="shared" si="96"/>
        <v>5648340.0946957096</v>
      </c>
      <c r="T174" s="209">
        <f t="shared" si="96"/>
        <v>5698624.291831973</v>
      </c>
      <c r="U174" s="209">
        <f t="shared" si="96"/>
        <v>5745077.5944302697</v>
      </c>
      <c r="V174" s="209">
        <f t="shared" si="96"/>
        <v>5795314.8220003294</v>
      </c>
      <c r="W174" s="209">
        <f t="shared" si="96"/>
        <v>5845507.9150826707</v>
      </c>
      <c r="X174" s="209">
        <f t="shared" si="96"/>
        <v>5878788.4960630313</v>
      </c>
      <c r="Y174" s="209">
        <f t="shared" si="96"/>
        <v>5916016.9400559217</v>
      </c>
      <c r="Z174" s="209">
        <f t="shared" si="96"/>
        <v>5953190.2191464277</v>
      </c>
      <c r="AA174" s="209">
        <f t="shared" si="96"/>
        <v>6194772.1726139449</v>
      </c>
      <c r="AB174" s="209">
        <f t="shared" si="96"/>
        <v>6227235.9791370854</v>
      </c>
      <c r="AC174" s="209">
        <f t="shared" si="96"/>
        <v>6259632.747451596</v>
      </c>
      <c r="AD174" s="209">
        <f t="shared" si="96"/>
        <v>6287620.6757198432</v>
      </c>
      <c r="AE174" s="209">
        <f t="shared" si="96"/>
        <v>6319906.1176814921</v>
      </c>
      <c r="AF174" s="209">
        <f t="shared" si="96"/>
        <v>10107555.247366114</v>
      </c>
      <c r="AG174" s="209">
        <f t="shared" si="96"/>
        <v>0</v>
      </c>
      <c r="AH174" s="209">
        <f t="shared" si="96"/>
        <v>0</v>
      </c>
      <c r="AI174" s="209">
        <f t="shared" si="96"/>
        <v>0</v>
      </c>
      <c r="AJ174" s="209">
        <f t="shared" si="96"/>
        <v>0</v>
      </c>
      <c r="AK174" s="209">
        <f t="shared" si="96"/>
        <v>0</v>
      </c>
      <c r="AL174" s="209">
        <f t="shared" si="96"/>
        <v>0</v>
      </c>
      <c r="AM174" s="209">
        <f t="shared" si="96"/>
        <v>0</v>
      </c>
      <c r="AN174" s="209">
        <f t="shared" si="96"/>
        <v>0</v>
      </c>
      <c r="AO174" s="209">
        <f t="shared" si="96"/>
        <v>0</v>
      </c>
      <c r="AP174" s="209">
        <f t="shared" si="96"/>
        <v>0</v>
      </c>
    </row>
    <row r="175" spans="1:42">
      <c r="A175" s="206" t="s">
        <v>230</v>
      </c>
      <c r="B175" s="164">
        <f>SUM(B171:B174)</f>
        <v>-10379369</v>
      </c>
      <c r="C175" s="164">
        <f t="shared" ref="C175:AP175" si="97">SUM(C171:C174)</f>
        <v>5746099.4550980376</v>
      </c>
      <c r="D175" s="164">
        <f t="shared" si="97"/>
        <v>5799398.3661163282</v>
      </c>
      <c r="E175" s="164">
        <f t="shared" si="97"/>
        <v>40685.678785634227</v>
      </c>
      <c r="F175" s="164">
        <f t="shared" si="97"/>
        <v>0</v>
      </c>
      <c r="G175" s="164">
        <f t="shared" si="97"/>
        <v>0</v>
      </c>
      <c r="H175" s="164">
        <f t="shared" si="97"/>
        <v>0</v>
      </c>
      <c r="I175" s="164">
        <f t="shared" si="97"/>
        <v>0</v>
      </c>
      <c r="J175" s="164">
        <f t="shared" si="97"/>
        <v>0</v>
      </c>
      <c r="K175" s="164">
        <f t="shared" si="97"/>
        <v>0</v>
      </c>
      <c r="L175" s="164">
        <f t="shared" si="97"/>
        <v>5593970.0555022713</v>
      </c>
      <c r="M175" s="164">
        <f t="shared" si="97"/>
        <v>5641993.9895311985</v>
      </c>
      <c r="N175" s="164">
        <f t="shared" si="97"/>
        <v>5690002.3478564052</v>
      </c>
      <c r="O175" s="164">
        <f t="shared" si="97"/>
        <v>5644935.7631023796</v>
      </c>
      <c r="P175" s="164">
        <f t="shared" si="97"/>
        <v>5693688.6462246049</v>
      </c>
      <c r="Q175" s="164">
        <f t="shared" si="97"/>
        <v>5742417.1403270159</v>
      </c>
      <c r="R175" s="164">
        <f t="shared" si="97"/>
        <v>5598022.0047845226</v>
      </c>
      <c r="S175" s="164">
        <f t="shared" si="97"/>
        <v>5648340.0946957096</v>
      </c>
      <c r="T175" s="164">
        <f t="shared" si="97"/>
        <v>5698624.291831973</v>
      </c>
      <c r="U175" s="164">
        <f t="shared" si="97"/>
        <v>5745077.5944302697</v>
      </c>
      <c r="V175" s="164">
        <f t="shared" si="97"/>
        <v>5795314.8220003294</v>
      </c>
      <c r="W175" s="164">
        <f t="shared" si="97"/>
        <v>5845507.9150826707</v>
      </c>
      <c r="X175" s="164">
        <f t="shared" si="97"/>
        <v>5878788.4960630313</v>
      </c>
      <c r="Y175" s="164">
        <f t="shared" si="97"/>
        <v>5916016.9400559217</v>
      </c>
      <c r="Z175" s="164">
        <f t="shared" si="97"/>
        <v>5953190.2191464277</v>
      </c>
      <c r="AA175" s="164">
        <f t="shared" si="97"/>
        <v>6194772.1726139449</v>
      </c>
      <c r="AB175" s="164">
        <f t="shared" si="97"/>
        <v>6227235.9791370854</v>
      </c>
      <c r="AC175" s="164">
        <f t="shared" si="97"/>
        <v>6259632.747451596</v>
      </c>
      <c r="AD175" s="164">
        <f t="shared" si="97"/>
        <v>6287620.6757198432</v>
      </c>
      <c r="AE175" s="164">
        <f t="shared" si="97"/>
        <v>6319906.1176814921</v>
      </c>
      <c r="AF175" s="164">
        <f t="shared" si="97"/>
        <v>10107555.247366114</v>
      </c>
      <c r="AG175" s="164">
        <f t="shared" si="97"/>
        <v>0</v>
      </c>
      <c r="AH175" s="164">
        <f t="shared" si="97"/>
        <v>0</v>
      </c>
      <c r="AI175" s="164">
        <f t="shared" si="97"/>
        <v>0</v>
      </c>
      <c r="AJ175" s="164">
        <f t="shared" si="97"/>
        <v>0</v>
      </c>
      <c r="AK175" s="164">
        <f t="shared" si="97"/>
        <v>0</v>
      </c>
      <c r="AL175" s="164">
        <f t="shared" si="97"/>
        <v>0</v>
      </c>
      <c r="AM175" s="164">
        <f t="shared" si="97"/>
        <v>0</v>
      </c>
      <c r="AN175" s="164">
        <f t="shared" si="97"/>
        <v>0</v>
      </c>
      <c r="AO175" s="164">
        <f t="shared" si="97"/>
        <v>0</v>
      </c>
      <c r="AP175" s="164">
        <f t="shared" si="97"/>
        <v>0</v>
      </c>
    </row>
    <row r="176" spans="1:42">
      <c r="A176" s="202" t="s">
        <v>33</v>
      </c>
      <c r="B176" s="164"/>
      <c r="C176" s="164"/>
      <c r="D176" s="164"/>
      <c r="E176" s="164"/>
      <c r="F176" s="164"/>
      <c r="G176" s="208"/>
      <c r="H176" s="208"/>
      <c r="I176" s="208"/>
      <c r="J176" s="208"/>
      <c r="K176" s="208"/>
      <c r="L176" s="208"/>
      <c r="M176" s="208"/>
      <c r="N176" s="208"/>
      <c r="O176" s="208"/>
      <c r="P176" s="208"/>
      <c r="Q176" s="208"/>
      <c r="R176" s="208"/>
      <c r="S176" s="208"/>
      <c r="T176" s="208"/>
      <c r="U176" s="208"/>
      <c r="V176" s="208"/>
      <c r="W176" s="208"/>
      <c r="X176" s="208"/>
      <c r="Y176" s="208"/>
      <c r="Z176" s="208"/>
      <c r="AA176" s="208"/>
      <c r="AB176" s="208"/>
      <c r="AC176" s="208"/>
      <c r="AD176" s="208"/>
      <c r="AE176" s="208"/>
      <c r="AF176" s="208"/>
      <c r="AG176" s="208"/>
      <c r="AH176" s="208"/>
      <c r="AI176" s="208"/>
      <c r="AJ176" s="208"/>
      <c r="AK176" s="208"/>
      <c r="AL176" s="208"/>
      <c r="AM176" s="208"/>
      <c r="AN176" s="208"/>
      <c r="AO176" s="208"/>
      <c r="AP176" s="208"/>
    </row>
    <row r="177" spans="1:42">
      <c r="A177" s="206" t="s">
        <v>37</v>
      </c>
      <c r="B177" s="208">
        <f t="shared" ref="B177:AP177" si="98">B90-B129</f>
        <v>0</v>
      </c>
      <c r="C177" s="208">
        <f t="shared" si="98"/>
        <v>200</v>
      </c>
      <c r="D177" s="208">
        <f t="shared" si="98"/>
        <v>0</v>
      </c>
      <c r="E177" s="208">
        <f t="shared" si="98"/>
        <v>0</v>
      </c>
      <c r="F177" s="208">
        <f t="shared" si="98"/>
        <v>0</v>
      </c>
      <c r="G177" s="208">
        <f t="shared" si="98"/>
        <v>0</v>
      </c>
      <c r="H177" s="208">
        <f t="shared" si="98"/>
        <v>0</v>
      </c>
      <c r="I177" s="208">
        <f t="shared" si="98"/>
        <v>0</v>
      </c>
      <c r="J177" s="208">
        <f t="shared" si="98"/>
        <v>0</v>
      </c>
      <c r="K177" s="208">
        <f t="shared" si="98"/>
        <v>0</v>
      </c>
      <c r="L177" s="208">
        <f t="shared" si="98"/>
        <v>0</v>
      </c>
      <c r="M177" s="208">
        <f t="shared" si="98"/>
        <v>0</v>
      </c>
      <c r="N177" s="208">
        <f t="shared" si="98"/>
        <v>0</v>
      </c>
      <c r="O177" s="208">
        <f t="shared" si="98"/>
        <v>0</v>
      </c>
      <c r="P177" s="208">
        <f t="shared" si="98"/>
        <v>0</v>
      </c>
      <c r="Q177" s="208">
        <f t="shared" si="98"/>
        <v>0</v>
      </c>
      <c r="R177" s="208">
        <f t="shared" si="98"/>
        <v>0</v>
      </c>
      <c r="S177" s="208">
        <f t="shared" si="98"/>
        <v>0</v>
      </c>
      <c r="T177" s="208">
        <f t="shared" si="98"/>
        <v>0</v>
      </c>
      <c r="U177" s="208">
        <f t="shared" si="98"/>
        <v>0</v>
      </c>
      <c r="V177" s="208">
        <f t="shared" si="98"/>
        <v>0</v>
      </c>
      <c r="W177" s="208">
        <f t="shared" si="98"/>
        <v>0</v>
      </c>
      <c r="X177" s="208">
        <f t="shared" si="98"/>
        <v>0</v>
      </c>
      <c r="Y177" s="208">
        <f t="shared" si="98"/>
        <v>0</v>
      </c>
      <c r="Z177" s="208">
        <f t="shared" si="98"/>
        <v>0</v>
      </c>
      <c r="AA177" s="208">
        <f t="shared" si="98"/>
        <v>0</v>
      </c>
      <c r="AB177" s="208">
        <f t="shared" si="98"/>
        <v>0</v>
      </c>
      <c r="AC177" s="208">
        <f t="shared" si="98"/>
        <v>0</v>
      </c>
      <c r="AD177" s="208">
        <f t="shared" si="98"/>
        <v>0</v>
      </c>
      <c r="AE177" s="208">
        <f t="shared" si="98"/>
        <v>0</v>
      </c>
      <c r="AF177" s="208">
        <f t="shared" si="98"/>
        <v>0</v>
      </c>
      <c r="AG177" s="208">
        <f t="shared" si="98"/>
        <v>0</v>
      </c>
      <c r="AH177" s="208">
        <f t="shared" si="98"/>
        <v>0</v>
      </c>
      <c r="AI177" s="208">
        <f t="shared" si="98"/>
        <v>0</v>
      </c>
      <c r="AJ177" s="208">
        <f t="shared" si="98"/>
        <v>0</v>
      </c>
      <c r="AK177" s="208">
        <f t="shared" si="98"/>
        <v>0</v>
      </c>
      <c r="AL177" s="208">
        <f t="shared" si="98"/>
        <v>0</v>
      </c>
      <c r="AM177" s="208">
        <f t="shared" si="98"/>
        <v>0</v>
      </c>
      <c r="AN177" s="208">
        <f t="shared" si="98"/>
        <v>0</v>
      </c>
      <c r="AO177" s="208">
        <f t="shared" si="98"/>
        <v>0</v>
      </c>
      <c r="AP177" s="208">
        <f t="shared" si="98"/>
        <v>0</v>
      </c>
    </row>
    <row r="178" spans="1:42">
      <c r="A178" s="206" t="s">
        <v>36</v>
      </c>
      <c r="B178" s="209">
        <f t="shared" ref="B178:AP178" si="99">B91-B130</f>
        <v>0</v>
      </c>
      <c r="C178" s="209">
        <f t="shared" si="99"/>
        <v>100</v>
      </c>
      <c r="D178" s="209">
        <f t="shared" si="99"/>
        <v>0</v>
      </c>
      <c r="E178" s="209">
        <f t="shared" si="99"/>
        <v>0</v>
      </c>
      <c r="F178" s="209">
        <f t="shared" si="99"/>
        <v>0</v>
      </c>
      <c r="G178" s="209">
        <f t="shared" si="99"/>
        <v>0</v>
      </c>
      <c r="H178" s="209">
        <f t="shared" si="99"/>
        <v>0</v>
      </c>
      <c r="I178" s="209">
        <f t="shared" si="99"/>
        <v>0</v>
      </c>
      <c r="J178" s="209">
        <f t="shared" si="99"/>
        <v>0</v>
      </c>
      <c r="K178" s="209">
        <f t="shared" si="99"/>
        <v>0</v>
      </c>
      <c r="L178" s="209">
        <f t="shared" si="99"/>
        <v>0</v>
      </c>
      <c r="M178" s="209">
        <f t="shared" si="99"/>
        <v>0</v>
      </c>
      <c r="N178" s="209">
        <f t="shared" si="99"/>
        <v>0</v>
      </c>
      <c r="O178" s="209">
        <f t="shared" si="99"/>
        <v>0</v>
      </c>
      <c r="P178" s="209">
        <f t="shared" si="99"/>
        <v>0</v>
      </c>
      <c r="Q178" s="209">
        <f t="shared" si="99"/>
        <v>0</v>
      </c>
      <c r="R178" s="209">
        <f t="shared" si="99"/>
        <v>0</v>
      </c>
      <c r="S178" s="209">
        <f t="shared" si="99"/>
        <v>0</v>
      </c>
      <c r="T178" s="209">
        <f t="shared" si="99"/>
        <v>0</v>
      </c>
      <c r="U178" s="209">
        <f t="shared" si="99"/>
        <v>0</v>
      </c>
      <c r="V178" s="209">
        <f t="shared" si="99"/>
        <v>0</v>
      </c>
      <c r="W178" s="209">
        <f t="shared" si="99"/>
        <v>0</v>
      </c>
      <c r="X178" s="209">
        <f t="shared" si="99"/>
        <v>0</v>
      </c>
      <c r="Y178" s="209">
        <f t="shared" si="99"/>
        <v>0</v>
      </c>
      <c r="Z178" s="209">
        <f t="shared" si="99"/>
        <v>0</v>
      </c>
      <c r="AA178" s="209">
        <f t="shared" si="99"/>
        <v>0</v>
      </c>
      <c r="AB178" s="209">
        <f t="shared" si="99"/>
        <v>0</v>
      </c>
      <c r="AC178" s="209">
        <f t="shared" si="99"/>
        <v>0</v>
      </c>
      <c r="AD178" s="209">
        <f t="shared" si="99"/>
        <v>0</v>
      </c>
      <c r="AE178" s="209">
        <f t="shared" si="99"/>
        <v>0</v>
      </c>
      <c r="AF178" s="209">
        <f t="shared" si="99"/>
        <v>0</v>
      </c>
      <c r="AG178" s="209">
        <f t="shared" si="99"/>
        <v>0</v>
      </c>
      <c r="AH178" s="209">
        <f t="shared" si="99"/>
        <v>0</v>
      </c>
      <c r="AI178" s="209">
        <f t="shared" si="99"/>
        <v>0</v>
      </c>
      <c r="AJ178" s="209">
        <f t="shared" si="99"/>
        <v>0</v>
      </c>
      <c r="AK178" s="209">
        <f t="shared" si="99"/>
        <v>0</v>
      </c>
      <c r="AL178" s="209">
        <f t="shared" si="99"/>
        <v>0</v>
      </c>
      <c r="AM178" s="209">
        <f t="shared" si="99"/>
        <v>0</v>
      </c>
      <c r="AN178" s="209">
        <f t="shared" si="99"/>
        <v>0</v>
      </c>
      <c r="AO178" s="209">
        <f t="shared" si="99"/>
        <v>0</v>
      </c>
      <c r="AP178" s="209">
        <f t="shared" si="99"/>
        <v>0</v>
      </c>
    </row>
    <row r="179" spans="1:42">
      <c r="A179" s="206" t="s">
        <v>53</v>
      </c>
      <c r="B179" s="164">
        <f>SUM(B177:B178)</f>
        <v>0</v>
      </c>
      <c r="C179" s="164">
        <f>SUM(C177:C178)</f>
        <v>300</v>
      </c>
      <c r="D179" s="164">
        <f>SUM(D177:D178)</f>
        <v>0</v>
      </c>
      <c r="E179" s="164">
        <f t="shared" ref="E179:AP179" si="100">SUM(E177:E178)</f>
        <v>0</v>
      </c>
      <c r="F179" s="164">
        <f t="shared" si="100"/>
        <v>0</v>
      </c>
      <c r="G179" s="164">
        <f t="shared" si="100"/>
        <v>0</v>
      </c>
      <c r="H179" s="164">
        <f t="shared" si="100"/>
        <v>0</v>
      </c>
      <c r="I179" s="164">
        <f t="shared" si="100"/>
        <v>0</v>
      </c>
      <c r="J179" s="164">
        <f t="shared" si="100"/>
        <v>0</v>
      </c>
      <c r="K179" s="164">
        <f t="shared" si="100"/>
        <v>0</v>
      </c>
      <c r="L179" s="164">
        <f t="shared" si="100"/>
        <v>0</v>
      </c>
      <c r="M179" s="164">
        <f t="shared" si="100"/>
        <v>0</v>
      </c>
      <c r="N179" s="164">
        <f t="shared" si="100"/>
        <v>0</v>
      </c>
      <c r="O179" s="164">
        <f t="shared" si="100"/>
        <v>0</v>
      </c>
      <c r="P179" s="164">
        <f t="shared" si="100"/>
        <v>0</v>
      </c>
      <c r="Q179" s="164">
        <f t="shared" si="100"/>
        <v>0</v>
      </c>
      <c r="R179" s="164">
        <f t="shared" si="100"/>
        <v>0</v>
      </c>
      <c r="S179" s="164">
        <f t="shared" si="100"/>
        <v>0</v>
      </c>
      <c r="T179" s="164">
        <f t="shared" si="100"/>
        <v>0</v>
      </c>
      <c r="U179" s="164">
        <f t="shared" si="100"/>
        <v>0</v>
      </c>
      <c r="V179" s="164">
        <f t="shared" si="100"/>
        <v>0</v>
      </c>
      <c r="W179" s="164">
        <f t="shared" si="100"/>
        <v>0</v>
      </c>
      <c r="X179" s="164">
        <f t="shared" si="100"/>
        <v>0</v>
      </c>
      <c r="Y179" s="164">
        <f t="shared" si="100"/>
        <v>0</v>
      </c>
      <c r="Z179" s="164">
        <f t="shared" si="100"/>
        <v>0</v>
      </c>
      <c r="AA179" s="164">
        <f t="shared" si="100"/>
        <v>0</v>
      </c>
      <c r="AB179" s="164">
        <f t="shared" si="100"/>
        <v>0</v>
      </c>
      <c r="AC179" s="164">
        <f t="shared" si="100"/>
        <v>0</v>
      </c>
      <c r="AD179" s="164">
        <f t="shared" si="100"/>
        <v>0</v>
      </c>
      <c r="AE179" s="164">
        <f t="shared" si="100"/>
        <v>0</v>
      </c>
      <c r="AF179" s="164">
        <f t="shared" si="100"/>
        <v>0</v>
      </c>
      <c r="AG179" s="164">
        <f t="shared" si="100"/>
        <v>0</v>
      </c>
      <c r="AH179" s="164">
        <f t="shared" si="100"/>
        <v>0</v>
      </c>
      <c r="AI179" s="164">
        <f t="shared" si="100"/>
        <v>0</v>
      </c>
      <c r="AJ179" s="164">
        <f t="shared" si="100"/>
        <v>0</v>
      </c>
      <c r="AK179" s="164">
        <f t="shared" si="100"/>
        <v>0</v>
      </c>
      <c r="AL179" s="164">
        <f t="shared" si="100"/>
        <v>0</v>
      </c>
      <c r="AM179" s="164">
        <f t="shared" si="100"/>
        <v>0</v>
      </c>
      <c r="AN179" s="164">
        <f t="shared" si="100"/>
        <v>0</v>
      </c>
      <c r="AO179" s="164">
        <f t="shared" si="100"/>
        <v>0</v>
      </c>
      <c r="AP179" s="164">
        <f t="shared" si="100"/>
        <v>0</v>
      </c>
    </row>
    <row r="180" spans="1:42">
      <c r="A180" s="202" t="s">
        <v>38</v>
      </c>
      <c r="B180" s="164"/>
      <c r="C180" s="164"/>
      <c r="D180" s="164"/>
      <c r="E180" s="164"/>
      <c r="F180" s="164"/>
      <c r="G180" s="208"/>
      <c r="H180" s="208"/>
      <c r="I180" s="208"/>
      <c r="J180" s="208"/>
      <c r="K180" s="208"/>
      <c r="L180" s="208"/>
      <c r="M180" s="208"/>
      <c r="N180" s="208"/>
      <c r="O180" s="208"/>
      <c r="P180" s="208"/>
      <c r="Q180" s="208"/>
      <c r="R180" s="208"/>
      <c r="S180" s="208"/>
      <c r="T180" s="208"/>
      <c r="U180" s="208"/>
      <c r="V180" s="208"/>
      <c r="W180" s="208"/>
      <c r="X180" s="208"/>
      <c r="Y180" s="208"/>
      <c r="Z180" s="208"/>
      <c r="AA180" s="208"/>
      <c r="AB180" s="208"/>
      <c r="AC180" s="208"/>
      <c r="AD180" s="208"/>
      <c r="AE180" s="208"/>
      <c r="AF180" s="208"/>
      <c r="AG180" s="208"/>
      <c r="AH180" s="208"/>
      <c r="AI180" s="208"/>
      <c r="AJ180" s="208"/>
      <c r="AK180" s="208"/>
      <c r="AL180" s="208"/>
      <c r="AM180" s="208"/>
      <c r="AN180" s="208"/>
      <c r="AO180" s="208"/>
      <c r="AP180" s="208"/>
    </row>
    <row r="181" spans="1:42">
      <c r="A181" s="206" t="s">
        <v>37</v>
      </c>
      <c r="B181" s="208">
        <f t="shared" ref="B181:AP181" si="101">B94-B133</f>
        <v>0</v>
      </c>
      <c r="C181" s="208">
        <f t="shared" si="101"/>
        <v>0</v>
      </c>
      <c r="D181" s="208">
        <f t="shared" si="101"/>
        <v>0</v>
      </c>
      <c r="E181" s="208">
        <f t="shared" si="101"/>
        <v>0</v>
      </c>
      <c r="F181" s="208">
        <f t="shared" si="101"/>
        <v>0</v>
      </c>
      <c r="G181" s="208">
        <f t="shared" si="101"/>
        <v>0</v>
      </c>
      <c r="H181" s="208">
        <f t="shared" si="101"/>
        <v>0</v>
      </c>
      <c r="I181" s="208">
        <f t="shared" si="101"/>
        <v>0</v>
      </c>
      <c r="J181" s="208">
        <f t="shared" si="101"/>
        <v>0</v>
      </c>
      <c r="K181" s="208">
        <f t="shared" si="101"/>
        <v>0</v>
      </c>
      <c r="L181" s="208">
        <f t="shared" si="101"/>
        <v>0</v>
      </c>
      <c r="M181" s="208">
        <f t="shared" si="101"/>
        <v>0</v>
      </c>
      <c r="N181" s="208">
        <f t="shared" si="101"/>
        <v>0</v>
      </c>
      <c r="O181" s="208">
        <f t="shared" si="101"/>
        <v>0</v>
      </c>
      <c r="P181" s="208">
        <f t="shared" si="101"/>
        <v>0</v>
      </c>
      <c r="Q181" s="208">
        <f t="shared" si="101"/>
        <v>0</v>
      </c>
      <c r="R181" s="208">
        <f t="shared" si="101"/>
        <v>0</v>
      </c>
      <c r="S181" s="208">
        <f t="shared" si="101"/>
        <v>0</v>
      </c>
      <c r="T181" s="208">
        <f t="shared" si="101"/>
        <v>0</v>
      </c>
      <c r="U181" s="208">
        <f t="shared" si="101"/>
        <v>0</v>
      </c>
      <c r="V181" s="208">
        <f t="shared" si="101"/>
        <v>0</v>
      </c>
      <c r="W181" s="208">
        <f t="shared" si="101"/>
        <v>0</v>
      </c>
      <c r="X181" s="208">
        <f t="shared" si="101"/>
        <v>0</v>
      </c>
      <c r="Y181" s="208">
        <f t="shared" si="101"/>
        <v>0</v>
      </c>
      <c r="Z181" s="208">
        <f t="shared" si="101"/>
        <v>0</v>
      </c>
      <c r="AA181" s="208">
        <f t="shared" si="101"/>
        <v>0</v>
      </c>
      <c r="AB181" s="208">
        <f t="shared" si="101"/>
        <v>0</v>
      </c>
      <c r="AC181" s="208">
        <f t="shared" si="101"/>
        <v>0</v>
      </c>
      <c r="AD181" s="208">
        <f t="shared" si="101"/>
        <v>0</v>
      </c>
      <c r="AE181" s="208">
        <f t="shared" si="101"/>
        <v>0</v>
      </c>
      <c r="AF181" s="208">
        <f t="shared" si="101"/>
        <v>0</v>
      </c>
      <c r="AG181" s="208">
        <f t="shared" si="101"/>
        <v>0</v>
      </c>
      <c r="AH181" s="208">
        <f t="shared" si="101"/>
        <v>0</v>
      </c>
      <c r="AI181" s="208">
        <f t="shared" si="101"/>
        <v>0</v>
      </c>
      <c r="AJ181" s="208">
        <f t="shared" si="101"/>
        <v>0</v>
      </c>
      <c r="AK181" s="208">
        <f t="shared" si="101"/>
        <v>0</v>
      </c>
      <c r="AL181" s="208">
        <f t="shared" si="101"/>
        <v>0</v>
      </c>
      <c r="AM181" s="208">
        <f t="shared" si="101"/>
        <v>0</v>
      </c>
      <c r="AN181" s="208">
        <f t="shared" si="101"/>
        <v>0</v>
      </c>
      <c r="AO181" s="208">
        <f t="shared" si="101"/>
        <v>0</v>
      </c>
      <c r="AP181" s="208">
        <f t="shared" si="101"/>
        <v>0</v>
      </c>
    </row>
    <row r="182" spans="1:42">
      <c r="A182" s="206" t="s">
        <v>36</v>
      </c>
      <c r="B182" s="209">
        <f t="shared" ref="B182:AP182" si="102">B95-B134</f>
        <v>0</v>
      </c>
      <c r="C182" s="209">
        <f t="shared" si="102"/>
        <v>0</v>
      </c>
      <c r="D182" s="209">
        <f t="shared" si="102"/>
        <v>0</v>
      </c>
      <c r="E182" s="209">
        <f t="shared" si="102"/>
        <v>0</v>
      </c>
      <c r="F182" s="209">
        <f t="shared" si="102"/>
        <v>0</v>
      </c>
      <c r="G182" s="209">
        <f t="shared" si="102"/>
        <v>0</v>
      </c>
      <c r="H182" s="209">
        <f t="shared" si="102"/>
        <v>0</v>
      </c>
      <c r="I182" s="209">
        <f t="shared" si="102"/>
        <v>0</v>
      </c>
      <c r="J182" s="209">
        <f t="shared" si="102"/>
        <v>0</v>
      </c>
      <c r="K182" s="209">
        <f t="shared" si="102"/>
        <v>0</v>
      </c>
      <c r="L182" s="209">
        <f t="shared" si="102"/>
        <v>0</v>
      </c>
      <c r="M182" s="209">
        <f t="shared" si="102"/>
        <v>0</v>
      </c>
      <c r="N182" s="209">
        <f t="shared" si="102"/>
        <v>0</v>
      </c>
      <c r="O182" s="209">
        <f t="shared" si="102"/>
        <v>0</v>
      </c>
      <c r="P182" s="209">
        <f t="shared" si="102"/>
        <v>0</v>
      </c>
      <c r="Q182" s="209">
        <f t="shared" si="102"/>
        <v>0</v>
      </c>
      <c r="R182" s="209">
        <f t="shared" si="102"/>
        <v>0</v>
      </c>
      <c r="S182" s="209">
        <f t="shared" si="102"/>
        <v>0</v>
      </c>
      <c r="T182" s="209">
        <f t="shared" si="102"/>
        <v>0</v>
      </c>
      <c r="U182" s="209">
        <f t="shared" si="102"/>
        <v>0</v>
      </c>
      <c r="V182" s="209">
        <f t="shared" si="102"/>
        <v>0</v>
      </c>
      <c r="W182" s="209">
        <f t="shared" si="102"/>
        <v>0</v>
      </c>
      <c r="X182" s="209">
        <f t="shared" si="102"/>
        <v>0</v>
      </c>
      <c r="Y182" s="209">
        <f t="shared" si="102"/>
        <v>0</v>
      </c>
      <c r="Z182" s="209">
        <f t="shared" si="102"/>
        <v>0</v>
      </c>
      <c r="AA182" s="209">
        <f t="shared" si="102"/>
        <v>0</v>
      </c>
      <c r="AB182" s="209">
        <f t="shared" si="102"/>
        <v>0</v>
      </c>
      <c r="AC182" s="209">
        <f t="shared" si="102"/>
        <v>0</v>
      </c>
      <c r="AD182" s="209">
        <f t="shared" si="102"/>
        <v>0</v>
      </c>
      <c r="AE182" s="209">
        <f t="shared" si="102"/>
        <v>0</v>
      </c>
      <c r="AF182" s="209">
        <f t="shared" si="102"/>
        <v>0</v>
      </c>
      <c r="AG182" s="209">
        <f t="shared" si="102"/>
        <v>0</v>
      </c>
      <c r="AH182" s="209">
        <f t="shared" si="102"/>
        <v>0</v>
      </c>
      <c r="AI182" s="209">
        <f t="shared" si="102"/>
        <v>0</v>
      </c>
      <c r="AJ182" s="209">
        <f t="shared" si="102"/>
        <v>0</v>
      </c>
      <c r="AK182" s="209">
        <f t="shared" si="102"/>
        <v>0</v>
      </c>
      <c r="AL182" s="209">
        <f t="shared" si="102"/>
        <v>0</v>
      </c>
      <c r="AM182" s="209">
        <f t="shared" si="102"/>
        <v>0</v>
      </c>
      <c r="AN182" s="209">
        <f t="shared" si="102"/>
        <v>0</v>
      </c>
      <c r="AO182" s="209">
        <f t="shared" si="102"/>
        <v>0</v>
      </c>
      <c r="AP182" s="209">
        <f t="shared" si="102"/>
        <v>0</v>
      </c>
    </row>
    <row r="183" spans="1:42">
      <c r="A183" s="206" t="s">
        <v>53</v>
      </c>
      <c r="B183" s="164">
        <f>SUM(B181:B182)</f>
        <v>0</v>
      </c>
      <c r="C183" s="164">
        <f>SUM(C181:C182)</f>
        <v>0</v>
      </c>
      <c r="D183" s="164">
        <f>SUM(D181:D182)</f>
        <v>0</v>
      </c>
      <c r="E183" s="164">
        <f t="shared" ref="E183:AP183" si="103">SUM(E181:E182)</f>
        <v>0</v>
      </c>
      <c r="F183" s="164">
        <f t="shared" si="103"/>
        <v>0</v>
      </c>
      <c r="G183" s="164">
        <f t="shared" si="103"/>
        <v>0</v>
      </c>
      <c r="H183" s="164">
        <f t="shared" si="103"/>
        <v>0</v>
      </c>
      <c r="I183" s="164">
        <f t="shared" si="103"/>
        <v>0</v>
      </c>
      <c r="J183" s="164">
        <f t="shared" si="103"/>
        <v>0</v>
      </c>
      <c r="K183" s="164">
        <f t="shared" si="103"/>
        <v>0</v>
      </c>
      <c r="L183" s="164">
        <f t="shared" si="103"/>
        <v>0</v>
      </c>
      <c r="M183" s="164">
        <f t="shared" si="103"/>
        <v>0</v>
      </c>
      <c r="N183" s="164">
        <f t="shared" si="103"/>
        <v>0</v>
      </c>
      <c r="O183" s="164">
        <f t="shared" si="103"/>
        <v>0</v>
      </c>
      <c r="P183" s="164">
        <f t="shared" si="103"/>
        <v>0</v>
      </c>
      <c r="Q183" s="164">
        <f t="shared" si="103"/>
        <v>0</v>
      </c>
      <c r="R183" s="164">
        <f t="shared" si="103"/>
        <v>0</v>
      </c>
      <c r="S183" s="164">
        <f t="shared" si="103"/>
        <v>0</v>
      </c>
      <c r="T183" s="164">
        <f t="shared" si="103"/>
        <v>0</v>
      </c>
      <c r="U183" s="164">
        <f t="shared" si="103"/>
        <v>0</v>
      </c>
      <c r="V183" s="164">
        <f t="shared" si="103"/>
        <v>0</v>
      </c>
      <c r="W183" s="164">
        <f t="shared" si="103"/>
        <v>0</v>
      </c>
      <c r="X183" s="164">
        <f t="shared" si="103"/>
        <v>0</v>
      </c>
      <c r="Y183" s="164">
        <f t="shared" si="103"/>
        <v>0</v>
      </c>
      <c r="Z183" s="164">
        <f t="shared" si="103"/>
        <v>0</v>
      </c>
      <c r="AA183" s="164">
        <f t="shared" si="103"/>
        <v>0</v>
      </c>
      <c r="AB183" s="164">
        <f t="shared" si="103"/>
        <v>0</v>
      </c>
      <c r="AC183" s="164">
        <f t="shared" si="103"/>
        <v>0</v>
      </c>
      <c r="AD183" s="164">
        <f t="shared" si="103"/>
        <v>0</v>
      </c>
      <c r="AE183" s="164">
        <f t="shared" si="103"/>
        <v>0</v>
      </c>
      <c r="AF183" s="164">
        <f t="shared" si="103"/>
        <v>0</v>
      </c>
      <c r="AG183" s="164">
        <f t="shared" si="103"/>
        <v>0</v>
      </c>
      <c r="AH183" s="164">
        <f t="shared" si="103"/>
        <v>0</v>
      </c>
      <c r="AI183" s="164">
        <f t="shared" si="103"/>
        <v>0</v>
      </c>
      <c r="AJ183" s="164">
        <f t="shared" si="103"/>
        <v>0</v>
      </c>
      <c r="AK183" s="164">
        <f t="shared" si="103"/>
        <v>0</v>
      </c>
      <c r="AL183" s="164">
        <f t="shared" si="103"/>
        <v>0</v>
      </c>
      <c r="AM183" s="164">
        <f t="shared" si="103"/>
        <v>0</v>
      </c>
      <c r="AN183" s="164">
        <f t="shared" si="103"/>
        <v>0</v>
      </c>
      <c r="AO183" s="164">
        <f t="shared" si="103"/>
        <v>0</v>
      </c>
      <c r="AP183" s="164">
        <f t="shared" si="103"/>
        <v>0</v>
      </c>
    </row>
    <row r="184" spans="1:42">
      <c r="A184" s="202" t="s">
        <v>403</v>
      </c>
      <c r="B184" s="164"/>
      <c r="C184" s="164"/>
      <c r="D184" s="164"/>
      <c r="E184" s="164"/>
      <c r="F184" s="164"/>
      <c r="G184" s="164"/>
      <c r="H184" s="164"/>
      <c r="I184" s="164"/>
      <c r="J184" s="164"/>
      <c r="K184" s="164"/>
      <c r="L184" s="164"/>
      <c r="M184" s="164"/>
      <c r="N184" s="164"/>
      <c r="O184" s="164"/>
      <c r="P184" s="164"/>
      <c r="Q184" s="164"/>
      <c r="R184" s="164"/>
      <c r="S184" s="164"/>
      <c r="T184" s="164"/>
      <c r="U184" s="164"/>
      <c r="V184" s="164"/>
      <c r="W184" s="164"/>
      <c r="X184" s="164"/>
      <c r="Y184" s="164"/>
      <c r="Z184" s="164"/>
      <c r="AA184" s="164"/>
      <c r="AB184" s="164"/>
      <c r="AC184" s="164"/>
      <c r="AD184" s="164"/>
      <c r="AE184" s="164"/>
      <c r="AF184" s="164"/>
      <c r="AG184" s="164"/>
      <c r="AH184" s="164"/>
      <c r="AI184" s="164"/>
      <c r="AJ184" s="164"/>
      <c r="AK184" s="164"/>
      <c r="AL184" s="164"/>
      <c r="AM184" s="164"/>
      <c r="AN184" s="164"/>
      <c r="AO184" s="164"/>
      <c r="AP184" s="164"/>
    </row>
    <row r="185" spans="1:42">
      <c r="A185" s="206" t="s">
        <v>37</v>
      </c>
      <c r="B185" s="208">
        <f>B172*-StateTax</f>
        <v>-66374.797500000001</v>
      </c>
      <c r="C185" s="208">
        <v>0</v>
      </c>
      <c r="D185" s="208">
        <v>0</v>
      </c>
      <c r="E185" s="208">
        <v>0</v>
      </c>
      <c r="F185" s="208">
        <v>0</v>
      </c>
      <c r="G185" s="208">
        <v>0</v>
      </c>
      <c r="H185" s="208">
        <v>0</v>
      </c>
      <c r="I185" s="208">
        <v>0</v>
      </c>
      <c r="J185" s="208">
        <v>0</v>
      </c>
      <c r="K185" s="208">
        <v>0</v>
      </c>
      <c r="L185" s="208">
        <v>0</v>
      </c>
      <c r="M185" s="208">
        <v>0</v>
      </c>
      <c r="N185" s="208">
        <v>0</v>
      </c>
      <c r="O185" s="208">
        <v>0</v>
      </c>
      <c r="P185" s="208">
        <v>0</v>
      </c>
      <c r="Q185" s="208">
        <v>0</v>
      </c>
      <c r="R185" s="208">
        <v>0</v>
      </c>
      <c r="S185" s="208">
        <v>0</v>
      </c>
      <c r="T185" s="208">
        <v>0</v>
      </c>
      <c r="U185" s="208">
        <v>0</v>
      </c>
      <c r="V185" s="208">
        <v>0</v>
      </c>
      <c r="W185" s="208">
        <v>0</v>
      </c>
      <c r="X185" s="208">
        <v>0</v>
      </c>
      <c r="Y185" s="208">
        <v>0</v>
      </c>
      <c r="Z185" s="208">
        <v>0</v>
      </c>
      <c r="AA185" s="208">
        <v>0</v>
      </c>
      <c r="AB185" s="208">
        <v>0</v>
      </c>
      <c r="AC185" s="208">
        <v>0</v>
      </c>
      <c r="AD185" s="208">
        <v>0</v>
      </c>
      <c r="AE185" s="208">
        <v>0</v>
      </c>
      <c r="AF185" s="208">
        <v>0</v>
      </c>
      <c r="AG185" s="208">
        <v>0</v>
      </c>
      <c r="AH185" s="208">
        <v>0</v>
      </c>
      <c r="AI185" s="208">
        <v>0</v>
      </c>
      <c r="AJ185" s="208">
        <v>0</v>
      </c>
      <c r="AK185" s="208">
        <v>0</v>
      </c>
      <c r="AL185" s="208">
        <v>0</v>
      </c>
      <c r="AM185" s="208">
        <v>0</v>
      </c>
      <c r="AN185" s="208">
        <v>0</v>
      </c>
      <c r="AO185" s="208">
        <v>0</v>
      </c>
      <c r="AP185" s="208">
        <v>0</v>
      </c>
    </row>
    <row r="186" spans="1:42">
      <c r="A186" s="206" t="s">
        <v>36</v>
      </c>
      <c r="B186" s="209">
        <f>(B172+B185)*-FedTax</f>
        <v>-399153.89587499993</v>
      </c>
      <c r="C186" s="209">
        <v>0</v>
      </c>
      <c r="D186" s="209">
        <v>0</v>
      </c>
      <c r="E186" s="209">
        <v>0</v>
      </c>
      <c r="F186" s="209">
        <v>0</v>
      </c>
      <c r="G186" s="209">
        <v>0</v>
      </c>
      <c r="H186" s="209">
        <v>0</v>
      </c>
      <c r="I186" s="209">
        <v>0</v>
      </c>
      <c r="J186" s="209">
        <v>0</v>
      </c>
      <c r="K186" s="209">
        <v>0</v>
      </c>
      <c r="L186" s="209">
        <v>0</v>
      </c>
      <c r="M186" s="209">
        <v>0</v>
      </c>
      <c r="N186" s="209">
        <v>0</v>
      </c>
      <c r="O186" s="209">
        <v>0</v>
      </c>
      <c r="P186" s="209">
        <v>0</v>
      </c>
      <c r="Q186" s="209">
        <v>0</v>
      </c>
      <c r="R186" s="209">
        <v>0</v>
      </c>
      <c r="S186" s="209">
        <v>0</v>
      </c>
      <c r="T186" s="209">
        <v>0</v>
      </c>
      <c r="U186" s="209">
        <v>0</v>
      </c>
      <c r="V186" s="209">
        <v>0</v>
      </c>
      <c r="W186" s="209">
        <v>0</v>
      </c>
      <c r="X186" s="209">
        <v>0</v>
      </c>
      <c r="Y186" s="209">
        <v>0</v>
      </c>
      <c r="Z186" s="209">
        <v>0</v>
      </c>
      <c r="AA186" s="209">
        <v>0</v>
      </c>
      <c r="AB186" s="209">
        <v>0</v>
      </c>
      <c r="AC186" s="209">
        <v>0</v>
      </c>
      <c r="AD186" s="209">
        <v>0</v>
      </c>
      <c r="AE186" s="209">
        <v>0</v>
      </c>
      <c r="AF186" s="209">
        <v>0</v>
      </c>
      <c r="AG186" s="209">
        <v>0</v>
      </c>
      <c r="AH186" s="209">
        <v>0</v>
      </c>
      <c r="AI186" s="209">
        <v>0</v>
      </c>
      <c r="AJ186" s="209">
        <v>0</v>
      </c>
      <c r="AK186" s="209">
        <v>0</v>
      </c>
      <c r="AL186" s="209">
        <v>0</v>
      </c>
      <c r="AM186" s="209">
        <v>0</v>
      </c>
      <c r="AN186" s="209">
        <v>0</v>
      </c>
      <c r="AO186" s="209">
        <v>0</v>
      </c>
      <c r="AP186" s="209">
        <v>0</v>
      </c>
    </row>
    <row r="187" spans="1:42">
      <c r="A187" s="206" t="s">
        <v>53</v>
      </c>
      <c r="B187" s="308">
        <f>SUM(B185:B186)</f>
        <v>-465528.69337499992</v>
      </c>
      <c r="C187" s="308">
        <f>SUM(C185:C186)</f>
        <v>0</v>
      </c>
      <c r="D187" s="308">
        <f>SUM(D185:D186)</f>
        <v>0</v>
      </c>
      <c r="E187" s="308">
        <f t="shared" ref="E187:AP187" si="104">SUM(E185:E186)</f>
        <v>0</v>
      </c>
      <c r="F187" s="308">
        <f t="shared" si="104"/>
        <v>0</v>
      </c>
      <c r="G187" s="308">
        <f t="shared" si="104"/>
        <v>0</v>
      </c>
      <c r="H187" s="308">
        <f t="shared" si="104"/>
        <v>0</v>
      </c>
      <c r="I187" s="308">
        <f t="shared" si="104"/>
        <v>0</v>
      </c>
      <c r="J187" s="308">
        <f t="shared" si="104"/>
        <v>0</v>
      </c>
      <c r="K187" s="308">
        <f t="shared" si="104"/>
        <v>0</v>
      </c>
      <c r="L187" s="308">
        <f t="shared" si="104"/>
        <v>0</v>
      </c>
      <c r="M187" s="308">
        <f t="shared" si="104"/>
        <v>0</v>
      </c>
      <c r="N187" s="308">
        <f t="shared" si="104"/>
        <v>0</v>
      </c>
      <c r="O187" s="308">
        <f t="shared" si="104"/>
        <v>0</v>
      </c>
      <c r="P187" s="308">
        <f t="shared" si="104"/>
        <v>0</v>
      </c>
      <c r="Q187" s="308">
        <f t="shared" si="104"/>
        <v>0</v>
      </c>
      <c r="R187" s="308">
        <f t="shared" si="104"/>
        <v>0</v>
      </c>
      <c r="S187" s="308">
        <f t="shared" si="104"/>
        <v>0</v>
      </c>
      <c r="T187" s="308">
        <f t="shared" si="104"/>
        <v>0</v>
      </c>
      <c r="U187" s="308">
        <f t="shared" si="104"/>
        <v>0</v>
      </c>
      <c r="V187" s="308">
        <f t="shared" si="104"/>
        <v>0</v>
      </c>
      <c r="W187" s="308">
        <f t="shared" si="104"/>
        <v>0</v>
      </c>
      <c r="X187" s="308">
        <f t="shared" si="104"/>
        <v>0</v>
      </c>
      <c r="Y187" s="308">
        <f t="shared" si="104"/>
        <v>0</v>
      </c>
      <c r="Z187" s="308">
        <f t="shared" si="104"/>
        <v>0</v>
      </c>
      <c r="AA187" s="308">
        <f t="shared" si="104"/>
        <v>0</v>
      </c>
      <c r="AB187" s="308">
        <f t="shared" si="104"/>
        <v>0</v>
      </c>
      <c r="AC187" s="308">
        <f t="shared" si="104"/>
        <v>0</v>
      </c>
      <c r="AD187" s="308">
        <f t="shared" si="104"/>
        <v>0</v>
      </c>
      <c r="AE187" s="308">
        <f t="shared" si="104"/>
        <v>0</v>
      </c>
      <c r="AF187" s="308">
        <f t="shared" si="104"/>
        <v>0</v>
      </c>
      <c r="AG187" s="308">
        <f t="shared" si="104"/>
        <v>0</v>
      </c>
      <c r="AH187" s="308">
        <f t="shared" si="104"/>
        <v>0</v>
      </c>
      <c r="AI187" s="308">
        <f t="shared" si="104"/>
        <v>0</v>
      </c>
      <c r="AJ187" s="308">
        <f t="shared" si="104"/>
        <v>0</v>
      </c>
      <c r="AK187" s="308">
        <f t="shared" si="104"/>
        <v>0</v>
      </c>
      <c r="AL187" s="308">
        <f t="shared" si="104"/>
        <v>0</v>
      </c>
      <c r="AM187" s="308">
        <f t="shared" si="104"/>
        <v>0</v>
      </c>
      <c r="AN187" s="308">
        <f t="shared" si="104"/>
        <v>0</v>
      </c>
      <c r="AO187" s="308">
        <f t="shared" si="104"/>
        <v>0</v>
      </c>
      <c r="AP187" s="308">
        <f t="shared" si="104"/>
        <v>0</v>
      </c>
    </row>
    <row r="188" spans="1:42">
      <c r="A188" s="202" t="s">
        <v>449</v>
      </c>
      <c r="B188" s="164"/>
      <c r="C188" s="164"/>
      <c r="D188" s="164"/>
      <c r="E188" s="164"/>
      <c r="F188" s="164"/>
      <c r="G188" s="164"/>
      <c r="H188" s="164"/>
      <c r="I188" s="164"/>
      <c r="J188" s="164"/>
      <c r="K188" s="164"/>
      <c r="L188" s="164"/>
      <c r="M188" s="164"/>
      <c r="N188" s="164"/>
      <c r="O188" s="164"/>
      <c r="P188" s="164"/>
      <c r="Q188" s="164"/>
      <c r="R188" s="164"/>
      <c r="S188" s="164"/>
      <c r="T188" s="164"/>
      <c r="U188" s="164"/>
      <c r="V188" s="164"/>
      <c r="W188" s="164"/>
      <c r="X188" s="164"/>
      <c r="Y188" s="164"/>
      <c r="Z188" s="164"/>
      <c r="AA188" s="164"/>
      <c r="AB188" s="164"/>
      <c r="AC188" s="164"/>
      <c r="AD188" s="164"/>
      <c r="AE188" s="164"/>
      <c r="AF188" s="164"/>
      <c r="AG188" s="164"/>
      <c r="AH188" s="164"/>
      <c r="AI188" s="164"/>
      <c r="AJ188" s="164"/>
      <c r="AK188" s="164"/>
      <c r="AL188" s="164"/>
      <c r="AM188" s="164"/>
      <c r="AN188" s="164"/>
      <c r="AO188" s="164"/>
      <c r="AP188" s="164"/>
    </row>
    <row r="189" spans="1:42">
      <c r="A189" s="206" t="s">
        <v>37</v>
      </c>
      <c r="B189" s="208">
        <f t="shared" ref="B189:AP189" si="105">B98-B137</f>
        <v>0</v>
      </c>
      <c r="C189" s="208">
        <f t="shared" si="105"/>
        <v>-5885.6334227899788</v>
      </c>
      <c r="D189" s="208">
        <f t="shared" si="105"/>
        <v>3101.3087465129793</v>
      </c>
      <c r="E189" s="208">
        <f t="shared" si="105"/>
        <v>449.83825319886819</v>
      </c>
      <c r="F189" s="208">
        <f t="shared" si="105"/>
        <v>-1152.7706221242697</v>
      </c>
      <c r="G189" s="208">
        <f t="shared" si="105"/>
        <v>-1192.0779348527285</v>
      </c>
      <c r="H189" s="208">
        <f t="shared" si="105"/>
        <v>-2399.9470979793696</v>
      </c>
      <c r="I189" s="208">
        <f t="shared" si="105"/>
        <v>-3605.861200034502</v>
      </c>
      <c r="J189" s="208">
        <f t="shared" si="105"/>
        <v>-3646.0942455478362</v>
      </c>
      <c r="K189" s="208">
        <f t="shared" si="105"/>
        <v>-3670.7918907384155</v>
      </c>
      <c r="L189" s="208">
        <f t="shared" si="105"/>
        <v>-332251.43418475596</v>
      </c>
      <c r="M189" s="208">
        <f t="shared" si="105"/>
        <v>-335907.30210615892</v>
      </c>
      <c r="N189" s="208">
        <f t="shared" si="105"/>
        <v>-308969.10817050567</v>
      </c>
      <c r="O189" s="208">
        <f t="shared" si="105"/>
        <v>-290756.92545048386</v>
      </c>
      <c r="P189" s="208">
        <f t="shared" si="105"/>
        <v>-313170.92857189983</v>
      </c>
      <c r="Q189" s="208">
        <f t="shared" si="105"/>
        <v>-265617.52087193914</v>
      </c>
      <c r="R189" s="208">
        <f t="shared" si="105"/>
        <v>-227539.57680278778</v>
      </c>
      <c r="S189" s="208">
        <f t="shared" si="105"/>
        <v>-280835.51218214439</v>
      </c>
      <c r="T189" s="208">
        <f t="shared" si="105"/>
        <v>-314939.75691151252</v>
      </c>
      <c r="U189" s="208">
        <f t="shared" si="105"/>
        <v>-316826.68169275642</v>
      </c>
      <c r="V189" s="208">
        <f t="shared" si="105"/>
        <v>-338316.9267814568</v>
      </c>
      <c r="W189" s="208">
        <f t="shared" si="105"/>
        <v>-359732.26420475519</v>
      </c>
      <c r="X189" s="208">
        <f t="shared" si="105"/>
        <v>-362451.51788964559</v>
      </c>
      <c r="Y189" s="208">
        <f t="shared" si="105"/>
        <v>-365719.68999814196</v>
      </c>
      <c r="Z189" s="208">
        <f t="shared" si="105"/>
        <v>-332391.85314448911</v>
      </c>
      <c r="AA189" s="208">
        <f t="shared" si="105"/>
        <v>-309510.14282917941</v>
      </c>
      <c r="AB189" s="208">
        <f t="shared" si="105"/>
        <v>-334880.70938160096</v>
      </c>
      <c r="AC189" s="208">
        <f t="shared" si="105"/>
        <v>-349509.18963579991</v>
      </c>
      <c r="AD189" s="208">
        <f t="shared" si="105"/>
        <v>-350284.7333414341</v>
      </c>
      <c r="AE189" s="208">
        <f t="shared" si="105"/>
        <v>-363434.01026271447</v>
      </c>
      <c r="AF189" s="208">
        <f t="shared" si="105"/>
        <v>-497576.43041314039</v>
      </c>
      <c r="AG189" s="208">
        <f t="shared" si="105"/>
        <v>0</v>
      </c>
      <c r="AH189" s="208">
        <f t="shared" si="105"/>
        <v>0</v>
      </c>
      <c r="AI189" s="208">
        <f t="shared" si="105"/>
        <v>0</v>
      </c>
      <c r="AJ189" s="208">
        <f t="shared" si="105"/>
        <v>0</v>
      </c>
      <c r="AK189" s="208">
        <f t="shared" si="105"/>
        <v>0</v>
      </c>
      <c r="AL189" s="208">
        <f t="shared" si="105"/>
        <v>0</v>
      </c>
      <c r="AM189" s="208">
        <f t="shared" si="105"/>
        <v>0</v>
      </c>
      <c r="AN189" s="208">
        <f t="shared" si="105"/>
        <v>0</v>
      </c>
      <c r="AO189" s="208">
        <f t="shared" si="105"/>
        <v>0</v>
      </c>
      <c r="AP189" s="208">
        <f t="shared" si="105"/>
        <v>0</v>
      </c>
    </row>
    <row r="190" spans="1:42">
      <c r="A190" s="206" t="s">
        <v>36</v>
      </c>
      <c r="B190" s="209">
        <f t="shared" ref="B190:AP190" si="106">B99-B138</f>
        <v>0</v>
      </c>
      <c r="C190" s="209">
        <f t="shared" si="106"/>
        <v>-29883.497695523314</v>
      </c>
      <c r="D190" s="209">
        <f t="shared" si="106"/>
        <v>16452.918461373774</v>
      </c>
      <c r="E190" s="209">
        <f t="shared" si="106"/>
        <v>1386.8289222793828</v>
      </c>
      <c r="F190" s="209">
        <f t="shared" si="106"/>
        <v>-7723.3441850853851</v>
      </c>
      <c r="G190" s="209">
        <f t="shared" si="106"/>
        <v>-7959.724070266122</v>
      </c>
      <c r="H190" s="209">
        <f t="shared" si="106"/>
        <v>-14827.909565686015</v>
      </c>
      <c r="I190" s="209">
        <f t="shared" si="106"/>
        <v>-21684.338034752756</v>
      </c>
      <c r="J190" s="209">
        <f t="shared" si="106"/>
        <v>-21926.284940271638</v>
      </c>
      <c r="K190" s="209">
        <f t="shared" si="106"/>
        <v>-22074.807597485837</v>
      </c>
      <c r="L190" s="209">
        <f t="shared" si="106"/>
        <v>-1998039.3064837821</v>
      </c>
      <c r="M190" s="209">
        <f t="shared" si="106"/>
        <v>-2020024.3667565829</v>
      </c>
      <c r="N190" s="209">
        <f t="shared" si="106"/>
        <v>-1858027.8641344497</v>
      </c>
      <c r="O190" s="209">
        <f t="shared" si="106"/>
        <v>-1748506.4198681368</v>
      </c>
      <c r="P190" s="209">
        <f t="shared" si="106"/>
        <v>-1883296.084093743</v>
      </c>
      <c r="Q190" s="209">
        <f t="shared" si="106"/>
        <v>-1597327.1823344338</v>
      </c>
      <c r="R190" s="209">
        <f t="shared" si="106"/>
        <v>-1368340.2732276735</v>
      </c>
      <c r="S190" s="209">
        <f t="shared" si="106"/>
        <v>-1688842.6482589862</v>
      </c>
      <c r="T190" s="209">
        <f t="shared" si="106"/>
        <v>-1893933.1745178683</v>
      </c>
      <c r="U190" s="209">
        <f t="shared" si="106"/>
        <v>-1905280.4539978034</v>
      </c>
      <c r="V190" s="209">
        <f t="shared" si="106"/>
        <v>-2034514.9733266695</v>
      </c>
      <c r="W190" s="209">
        <f t="shared" si="106"/>
        <v>-2163299.0251949592</v>
      </c>
      <c r="X190" s="209">
        <f t="shared" si="106"/>
        <v>-2179651.6280363686</v>
      </c>
      <c r="Y190" s="209">
        <f t="shared" si="106"/>
        <v>-2199305.2266706447</v>
      </c>
      <c r="Z190" s="209">
        <f t="shared" si="106"/>
        <v>-1998883.7350461781</v>
      </c>
      <c r="AA190" s="209">
        <f t="shared" si="106"/>
        <v>-1861281.449831838</v>
      </c>
      <c r="AB190" s="209">
        <f t="shared" si="106"/>
        <v>-2013850.8114175359</v>
      </c>
      <c r="AC190" s="209">
        <f t="shared" si="106"/>
        <v>-2101821.1722189239</v>
      </c>
      <c r="AD190" s="209">
        <f t="shared" si="106"/>
        <v>-2106485.0100487145</v>
      </c>
      <c r="AE190" s="209">
        <f t="shared" si="106"/>
        <v>-2185559.9798980514</v>
      </c>
      <c r="AF190" s="209">
        <f t="shared" si="106"/>
        <v>-2992243.71562084</v>
      </c>
      <c r="AG190" s="209">
        <f t="shared" si="106"/>
        <v>0</v>
      </c>
      <c r="AH190" s="209">
        <f t="shared" si="106"/>
        <v>0</v>
      </c>
      <c r="AI190" s="209">
        <f t="shared" si="106"/>
        <v>0</v>
      </c>
      <c r="AJ190" s="209">
        <f t="shared" si="106"/>
        <v>0</v>
      </c>
      <c r="AK190" s="209">
        <f t="shared" si="106"/>
        <v>0</v>
      </c>
      <c r="AL190" s="209">
        <f t="shared" si="106"/>
        <v>0</v>
      </c>
      <c r="AM190" s="209">
        <f t="shared" si="106"/>
        <v>0</v>
      </c>
      <c r="AN190" s="209">
        <f t="shared" si="106"/>
        <v>0</v>
      </c>
      <c r="AO190" s="209">
        <f t="shared" si="106"/>
        <v>0</v>
      </c>
      <c r="AP190" s="209">
        <f t="shared" si="106"/>
        <v>0</v>
      </c>
    </row>
    <row r="191" spans="1:42">
      <c r="A191" s="206" t="s">
        <v>53</v>
      </c>
      <c r="B191" s="216">
        <f>SUM(B189:B190)</f>
        <v>0</v>
      </c>
      <c r="C191" s="216">
        <f>SUM(C189:C190)</f>
        <v>-35769.131118313293</v>
      </c>
      <c r="D191" s="216">
        <f>SUM(D189:D190)</f>
        <v>19554.227207886754</v>
      </c>
      <c r="E191" s="216">
        <f t="shared" ref="E191:AP191" si="107">SUM(E189:E190)</f>
        <v>1836.667175478251</v>
      </c>
      <c r="F191" s="216">
        <f t="shared" si="107"/>
        <v>-8876.1148072096548</v>
      </c>
      <c r="G191" s="216">
        <f t="shared" si="107"/>
        <v>-9151.8020051188505</v>
      </c>
      <c r="H191" s="216">
        <f t="shared" si="107"/>
        <v>-17227.856663665385</v>
      </c>
      <c r="I191" s="216">
        <f t="shared" si="107"/>
        <v>-25290.199234787258</v>
      </c>
      <c r="J191" s="216">
        <f t="shared" si="107"/>
        <v>-25572.379185819475</v>
      </c>
      <c r="K191" s="216">
        <f t="shared" si="107"/>
        <v>-25745.599488224252</v>
      </c>
      <c r="L191" s="216">
        <f t="shared" si="107"/>
        <v>-2330290.740668538</v>
      </c>
      <c r="M191" s="216">
        <f t="shared" si="107"/>
        <v>-2355931.6688627419</v>
      </c>
      <c r="N191" s="216">
        <f t="shared" si="107"/>
        <v>-2166996.9723049556</v>
      </c>
      <c r="O191" s="216">
        <f t="shared" si="107"/>
        <v>-2039263.3453186206</v>
      </c>
      <c r="P191" s="216">
        <f t="shared" si="107"/>
        <v>-2196467.0126656429</v>
      </c>
      <c r="Q191" s="216">
        <f t="shared" si="107"/>
        <v>-1862944.7032063729</v>
      </c>
      <c r="R191" s="216">
        <f t="shared" si="107"/>
        <v>-1595879.8500304613</v>
      </c>
      <c r="S191" s="216">
        <f t="shared" si="107"/>
        <v>-1969678.1604411306</v>
      </c>
      <c r="T191" s="216">
        <f t="shared" si="107"/>
        <v>-2208872.931429381</v>
      </c>
      <c r="U191" s="216">
        <f t="shared" si="107"/>
        <v>-2222107.1356905596</v>
      </c>
      <c r="V191" s="216">
        <f t="shared" si="107"/>
        <v>-2372831.9001081265</v>
      </c>
      <c r="W191" s="216">
        <f t="shared" si="107"/>
        <v>-2523031.2893997142</v>
      </c>
      <c r="X191" s="216">
        <f t="shared" si="107"/>
        <v>-2542103.1459260141</v>
      </c>
      <c r="Y191" s="216">
        <f t="shared" si="107"/>
        <v>-2565024.9166687867</v>
      </c>
      <c r="Z191" s="216">
        <f t="shared" si="107"/>
        <v>-2331275.5881906673</v>
      </c>
      <c r="AA191" s="216">
        <f t="shared" si="107"/>
        <v>-2170791.5926610176</v>
      </c>
      <c r="AB191" s="216">
        <f t="shared" si="107"/>
        <v>-2348731.5207991367</v>
      </c>
      <c r="AC191" s="216">
        <f t="shared" si="107"/>
        <v>-2451330.3618547237</v>
      </c>
      <c r="AD191" s="216">
        <f t="shared" si="107"/>
        <v>-2456769.7433901485</v>
      </c>
      <c r="AE191" s="216">
        <f t="shared" si="107"/>
        <v>-2548993.9901607661</v>
      </c>
      <c r="AF191" s="216">
        <f t="shared" si="107"/>
        <v>-3489820.1460339804</v>
      </c>
      <c r="AG191" s="216">
        <f t="shared" si="107"/>
        <v>0</v>
      </c>
      <c r="AH191" s="216">
        <f t="shared" si="107"/>
        <v>0</v>
      </c>
      <c r="AI191" s="216">
        <f t="shared" si="107"/>
        <v>0</v>
      </c>
      <c r="AJ191" s="216">
        <f t="shared" si="107"/>
        <v>0</v>
      </c>
      <c r="AK191" s="216">
        <f t="shared" si="107"/>
        <v>0</v>
      </c>
      <c r="AL191" s="216">
        <f t="shared" si="107"/>
        <v>0</v>
      </c>
      <c r="AM191" s="216">
        <f t="shared" si="107"/>
        <v>0</v>
      </c>
      <c r="AN191" s="216">
        <f t="shared" si="107"/>
        <v>0</v>
      </c>
      <c r="AO191" s="216">
        <f t="shared" si="107"/>
        <v>0</v>
      </c>
      <c r="AP191" s="216">
        <f t="shared" si="107"/>
        <v>0</v>
      </c>
    </row>
    <row r="192" spans="1:42">
      <c r="A192" s="202" t="s">
        <v>53</v>
      </c>
      <c r="B192" s="164">
        <f>B175+B179+B183+B187+B191</f>
        <v>-10844897.693375001</v>
      </c>
      <c r="C192" s="164">
        <f t="shared" ref="C192:AP192" si="108">C175+C179+C183+C187+C191</f>
        <v>5710630.3239797242</v>
      </c>
      <c r="D192" s="164">
        <f t="shared" si="108"/>
        <v>5818952.5933242152</v>
      </c>
      <c r="E192" s="164">
        <f t="shared" si="108"/>
        <v>42522.345961112478</v>
      </c>
      <c r="F192" s="164">
        <f t="shared" si="108"/>
        <v>-8876.1148072096548</v>
      </c>
      <c r="G192" s="164">
        <f t="shared" si="108"/>
        <v>-9151.8020051188505</v>
      </c>
      <c r="H192" s="164">
        <f t="shared" si="108"/>
        <v>-17227.856663665385</v>
      </c>
      <c r="I192" s="164">
        <f t="shared" si="108"/>
        <v>-25290.199234787258</v>
      </c>
      <c r="J192" s="164">
        <f t="shared" si="108"/>
        <v>-25572.379185819475</v>
      </c>
      <c r="K192" s="164">
        <f t="shared" si="108"/>
        <v>-25745.599488224252</v>
      </c>
      <c r="L192" s="164">
        <f t="shared" si="108"/>
        <v>3263679.3148337333</v>
      </c>
      <c r="M192" s="164">
        <f t="shared" si="108"/>
        <v>3286062.3206684566</v>
      </c>
      <c r="N192" s="164">
        <f t="shared" si="108"/>
        <v>3523005.3755514496</v>
      </c>
      <c r="O192" s="164">
        <f t="shared" si="108"/>
        <v>3605672.4177837591</v>
      </c>
      <c r="P192" s="164">
        <f t="shared" si="108"/>
        <v>3497221.633558962</v>
      </c>
      <c r="Q192" s="164">
        <f t="shared" si="108"/>
        <v>3879472.437120643</v>
      </c>
      <c r="R192" s="164">
        <f t="shared" si="108"/>
        <v>4002142.1547540613</v>
      </c>
      <c r="S192" s="164">
        <f t="shared" si="108"/>
        <v>3678661.9342545792</v>
      </c>
      <c r="T192" s="164">
        <f t="shared" si="108"/>
        <v>3489751.360402592</v>
      </c>
      <c r="U192" s="164">
        <f t="shared" si="108"/>
        <v>3522970.45873971</v>
      </c>
      <c r="V192" s="164">
        <f t="shared" si="108"/>
        <v>3422482.9218922029</v>
      </c>
      <c r="W192" s="164">
        <f t="shared" si="108"/>
        <v>3322476.6256829565</v>
      </c>
      <c r="X192" s="164">
        <f t="shared" si="108"/>
        <v>3336685.3501370172</v>
      </c>
      <c r="Y192" s="164">
        <f t="shared" si="108"/>
        <v>3350992.023387135</v>
      </c>
      <c r="Z192" s="164">
        <f t="shared" si="108"/>
        <v>3621914.6309557604</v>
      </c>
      <c r="AA192" s="164">
        <f t="shared" si="108"/>
        <v>4023980.5799529273</v>
      </c>
      <c r="AB192" s="164">
        <f t="shared" si="108"/>
        <v>3878504.4583379487</v>
      </c>
      <c r="AC192" s="164">
        <f t="shared" si="108"/>
        <v>3808302.3855968723</v>
      </c>
      <c r="AD192" s="164">
        <f t="shared" si="108"/>
        <v>3830850.9323296947</v>
      </c>
      <c r="AE192" s="164">
        <f t="shared" si="108"/>
        <v>3770912.1275207261</v>
      </c>
      <c r="AF192" s="164">
        <f t="shared" si="108"/>
        <v>6617735.1013321336</v>
      </c>
      <c r="AG192" s="164">
        <f t="shared" si="108"/>
        <v>0</v>
      </c>
      <c r="AH192" s="164">
        <f t="shared" si="108"/>
        <v>0</v>
      </c>
      <c r="AI192" s="164">
        <f t="shared" si="108"/>
        <v>0</v>
      </c>
      <c r="AJ192" s="164">
        <f t="shared" si="108"/>
        <v>0</v>
      </c>
      <c r="AK192" s="164">
        <f t="shared" si="108"/>
        <v>0</v>
      </c>
      <c r="AL192" s="164">
        <f t="shared" si="108"/>
        <v>0</v>
      </c>
      <c r="AM192" s="164">
        <f t="shared" si="108"/>
        <v>0</v>
      </c>
      <c r="AN192" s="164">
        <f t="shared" si="108"/>
        <v>0</v>
      </c>
      <c r="AO192" s="164">
        <f t="shared" si="108"/>
        <v>0</v>
      </c>
      <c r="AP192" s="164">
        <f t="shared" si="108"/>
        <v>0</v>
      </c>
    </row>
    <row r="193" spans="1:42">
      <c r="A193" s="206"/>
      <c r="B193" s="164"/>
      <c r="C193" s="164"/>
      <c r="D193" s="164"/>
      <c r="E193" s="164"/>
      <c r="F193" s="164"/>
      <c r="G193" s="164"/>
      <c r="H193" s="164"/>
      <c r="I193" s="164"/>
      <c r="J193" s="164"/>
      <c r="K193" s="164"/>
      <c r="L193" s="164"/>
      <c r="M193" s="164"/>
      <c r="N193" s="164"/>
      <c r="O193" s="164"/>
      <c r="P193" s="164"/>
      <c r="Q193" s="164"/>
      <c r="R193" s="164"/>
      <c r="S193" s="164"/>
      <c r="T193" s="164"/>
      <c r="U193" s="164"/>
      <c r="V193" s="164"/>
      <c r="W193" s="164"/>
      <c r="X193" s="164"/>
      <c r="Y193" s="164"/>
      <c r="Z193" s="164"/>
      <c r="AA193" s="164"/>
      <c r="AB193" s="164"/>
      <c r="AC193" s="164"/>
      <c r="AD193" s="164"/>
      <c r="AE193" s="164"/>
      <c r="AF193" s="164"/>
      <c r="AG193" s="164"/>
      <c r="AH193" s="164"/>
      <c r="AI193" s="164"/>
      <c r="AJ193" s="164"/>
      <c r="AK193" s="164"/>
      <c r="AL193" s="164"/>
      <c r="AM193" s="164"/>
      <c r="AN193" s="164"/>
      <c r="AO193" s="164"/>
      <c r="AP193" s="164"/>
    </row>
    <row r="194" spans="1:42" s="119" customFormat="1">
      <c r="A194" s="202" t="s">
        <v>418</v>
      </c>
      <c r="B194" s="310" t="str">
        <f>IF(ISERROR(IRR($B192:B192)),"N/A",ROUND(IRR($B192:B192),4))</f>
        <v>N/A</v>
      </c>
      <c r="C194" s="310" t="str">
        <f>IF(ISERROR(IRR($B192:C192)),"N/A",ROUND(IRR($B192:C192),4))</f>
        <v>N/A</v>
      </c>
      <c r="D194" s="310">
        <f>IF(ISERROR(IRR($B192:D192)),"N/A",ROUND(IRR($B192:D192),4))</f>
        <v>4.1700000000000001E-2</v>
      </c>
      <c r="E194" s="310">
        <f>IF(ISERROR(IRR($B192:E192)),"N/A",ROUND(IRR($B192:E192),4))</f>
        <v>4.41E-2</v>
      </c>
      <c r="F194" s="310">
        <f>IF(ISERROR(IRR($B192:F192)),"N/A",ROUND(IRR($B192:F192),4))</f>
        <v>4.36E-2</v>
      </c>
      <c r="G194" s="310">
        <f>IF(ISERROR(IRR($B192:G192)),"N/A",ROUND(IRR($B192:G192),4))</f>
        <v>4.3099999999999999E-2</v>
      </c>
      <c r="H194" s="310">
        <f>IF(ISERROR(IRR($B192:H192)),"N/A",ROUND(IRR($B192:H192),4))</f>
        <v>4.2299999999999997E-2</v>
      </c>
      <c r="I194" s="310">
        <f>IF(ISERROR(IRR($B192:I192)),"N/A",ROUND(IRR($B192:I192),4))</f>
        <v>4.1000000000000002E-2</v>
      </c>
      <c r="J194" s="310">
        <f>IF(ISERROR(IRR($B192:J192)),"N/A",ROUND(IRR($B192:J192),4))</f>
        <v>3.9800000000000002E-2</v>
      </c>
      <c r="K194" s="310">
        <f>IF(ISERROR(IRR($B192:K192)),"N/A",ROUND(IRR($B192:K192),4))</f>
        <v>3.8600000000000002E-2</v>
      </c>
      <c r="L194" s="310">
        <f>IF(ISERROR(IRR($B192:L192)),"N/A",ROUND(IRR($B192:L192),4))</f>
        <v>0.11650000000000001</v>
      </c>
      <c r="M194" s="310">
        <f>IF(ISERROR(IRR($B192:M192)),"N/A",ROUND(IRR($B192:M192),4))</f>
        <v>0.15079999999999999</v>
      </c>
      <c r="N194" s="310">
        <f>IF(ISERROR(IRR($B192:N192)),"N/A",ROUND(IRR($B192:N192),4))</f>
        <v>0.17269999999999999</v>
      </c>
      <c r="O194" s="310">
        <f>IF(ISERROR(IRR($B192:O192)),"N/A",ROUND(IRR($B192:O192),4))</f>
        <v>0.18740000000000001</v>
      </c>
      <c r="P194" s="310">
        <f>IF(ISERROR(IRR($B192:P192)),"N/A",ROUND(IRR($B192:P192),4))</f>
        <v>0.19739999999999999</v>
      </c>
      <c r="Q194" s="310">
        <f>IF(ISERROR(IRR($B192:Q192)),"N/A",ROUND(IRR($B192:Q192),4))</f>
        <v>0.2054</v>
      </c>
      <c r="R194" s="310">
        <f>IF(ISERROR(IRR($B192:R192)),"N/A",ROUND(IRR($B192:R192),4))</f>
        <v>0.2114</v>
      </c>
      <c r="S194" s="310">
        <f>IF(ISERROR(IRR($B192:S192)),"N/A",ROUND(IRR($B192:S192),4))</f>
        <v>0.21560000000000001</v>
      </c>
      <c r="T194" s="310">
        <f>IF(ISERROR(IRR($B192:T192)),"N/A",ROUND(IRR($B192:T192),4))</f>
        <v>0.21859999999999999</v>
      </c>
      <c r="U194" s="310">
        <f>IF(ISERROR(IRR($B192:U192)),"N/A",ROUND(IRR($B192:U192),4))</f>
        <v>0.221</v>
      </c>
      <c r="V194" s="310">
        <f>IF(ISERROR(IRR($B192:V192)),"N/A",ROUND(IRR($B192:V192),4))</f>
        <v>0.2228</v>
      </c>
      <c r="W194" s="310">
        <f>IF(ISERROR(IRR($B192:W192)),"N/A",ROUND(IRR($B192:W192),4))</f>
        <v>0.22409999999999999</v>
      </c>
      <c r="X194" s="310">
        <f>IF(ISERROR(IRR($B192:X192)),"N/A",ROUND(IRR($B192:X192),4))</f>
        <v>0.22520000000000001</v>
      </c>
      <c r="Y194" s="310">
        <f>IF(ISERROR(IRR($B192:Y192)),"N/A",ROUND(IRR($B192:Y192),4))</f>
        <v>0.2261</v>
      </c>
      <c r="Z194" s="310">
        <f>IF(ISERROR(IRR($B192:Z192)),"N/A",ROUND(IRR($B192:Z192),4))</f>
        <v>0.22689999999999999</v>
      </c>
      <c r="AA194" s="310">
        <f>IF(ISERROR(IRR($B192:AA192)),"N/A",ROUND(IRR($B192:AA192),4))</f>
        <v>0.22750000000000001</v>
      </c>
      <c r="AB194" s="310">
        <f>IF(ISERROR(IRR($B192:AB192)),"N/A",ROUND(IRR($B192:AB192),4))</f>
        <v>0.22800000000000001</v>
      </c>
      <c r="AC194" s="310">
        <f>IF(ISERROR(IRR($B192:AC192)),"N/A",ROUND(IRR($B192:AC192),4))</f>
        <v>0.22839999999999999</v>
      </c>
      <c r="AD194" s="310">
        <f>IF(ISERROR(IRR($B192:AD192)),"N/A",ROUND(IRR($B192:AD192),4))</f>
        <v>0.2288</v>
      </c>
      <c r="AE194" s="310">
        <f>IF(ISERROR(IRR($B192:AE192)),"N/A",ROUND(IRR($B192:AE192),4))</f>
        <v>0.22900000000000001</v>
      </c>
      <c r="AF194" s="310">
        <f>IF(ISERROR(IRR($B192:AF192)),"N/A",ROUND(IRR($B192:AF192),4))</f>
        <v>0.22939999999999999</v>
      </c>
      <c r="AG194" s="310">
        <f>IF(ISERROR(IRR($B192:AG192)),"N/A",ROUND(IRR($B192:AG192),4))</f>
        <v>0.22939999999999999</v>
      </c>
      <c r="AH194" s="310">
        <f>IF(ISERROR(IRR($B192:AH192)),"N/A",ROUND(IRR($B192:AH192),4))</f>
        <v>0.22939999999999999</v>
      </c>
      <c r="AI194" s="310">
        <f>IF(ISERROR(IRR($B192:AI192)),"N/A",ROUND(IRR($B192:AI192),4))</f>
        <v>0.22939999999999999</v>
      </c>
      <c r="AJ194" s="310">
        <f>IF(ISERROR(IRR($B192:AJ192)),"N/A",ROUND(IRR($B192:AJ192),4))</f>
        <v>0.22939999999999999</v>
      </c>
      <c r="AK194" s="310">
        <f>IF(ISERROR(IRR($B192:AK192)),"N/A",ROUND(IRR($B192:AK192),4))</f>
        <v>0.22939999999999999</v>
      </c>
      <c r="AL194" s="310">
        <f>IF(ISERROR(IRR($B192:AL192)),"N/A",ROUND(IRR($B192:AL192),4))</f>
        <v>0.22939999999999999</v>
      </c>
      <c r="AM194" s="310">
        <f>IF(ISERROR(IRR($B192:AM192)),"N/A",ROUND(IRR($B192:AM192),4))</f>
        <v>0.22939999999999999</v>
      </c>
      <c r="AN194" s="310">
        <f>IF(ISERROR(IRR($B192:AN192)),"N/A",ROUND(IRR($B192:AN192),4))</f>
        <v>0.22939999999999999</v>
      </c>
      <c r="AO194" s="310">
        <f>IF(ISERROR(IRR($B192:AO192)),"N/A",ROUND(IRR($B192:AO192),4))</f>
        <v>0.22939999999999999</v>
      </c>
      <c r="AP194" s="310">
        <f>IF(ISERROR(IRR($B192:AP192)),"N/A",ROUND(IRR($B192:AP192),4))</f>
        <v>0.22939999999999999</v>
      </c>
    </row>
    <row r="195" spans="1:42" s="119" customFormat="1">
      <c r="A195" s="202" t="s">
        <v>419</v>
      </c>
      <c r="B195" s="311">
        <f>B192</f>
        <v>-10844897.693375001</v>
      </c>
      <c r="C195" s="311">
        <f>NPV(DiscountRate,$C192:C192)+$B192</f>
        <v>-5557277.0230234042</v>
      </c>
      <c r="D195" s="311">
        <f>NPV(DiscountRate,$C192:D192)+$B192</f>
        <v>-568463.07127081975</v>
      </c>
      <c r="E195" s="311">
        <f>NPV(DiscountRate,$C192:E192)+$B192</f>
        <v>-534707.4620830752</v>
      </c>
      <c r="F195" s="311">
        <f>NPV(DiscountRate,$C192:F192)+$B192</f>
        <v>-541231.67144322209</v>
      </c>
      <c r="G195" s="311">
        <f>NPV(DiscountRate,$C192:G192)+$B192</f>
        <v>-547460.23411048763</v>
      </c>
      <c r="H195" s="311">
        <f>NPV(DiscountRate,$C192:H192)+$B192</f>
        <v>-558316.70611622557</v>
      </c>
      <c r="I195" s="311">
        <f>NPV(DiscountRate,$C192:I192)+$B192</f>
        <v>-573073.29446399026</v>
      </c>
      <c r="J195" s="311">
        <f>NPV(DiscountRate,$C192:J192)+$B192</f>
        <v>-586889.25524077378</v>
      </c>
      <c r="K195" s="311">
        <f>NPV(DiscountRate,$C192:K192)+$B192</f>
        <v>-599768.46479293704</v>
      </c>
      <c r="L195" s="311">
        <f>NPV(DiscountRate,$C192:L192)+$B192</f>
        <v>911946.54103473201</v>
      </c>
      <c r="M195" s="311">
        <f>NPV(DiscountRate,$C192:M192)+$B192</f>
        <v>2321282.3450848013</v>
      </c>
      <c r="N195" s="311">
        <f>NPV(DiscountRate,$C192:N192)+$B192</f>
        <v>3720316.2515000701</v>
      </c>
      <c r="O195" s="311">
        <f>NPV(DiscountRate,$C192:O192)+$B192</f>
        <v>5046114.516567003</v>
      </c>
      <c r="P195" s="311">
        <f>NPV(DiscountRate,$C192:P192)+$B192</f>
        <v>6236782.2358062621</v>
      </c>
      <c r="Q195" s="311">
        <f>NPV(DiscountRate,$C192:Q192)+$B192</f>
        <v>7459753.7412523497</v>
      </c>
      <c r="R195" s="311">
        <f>NPV(DiscountRate,$C192:R192)+$B192</f>
        <v>8627940.8860491384</v>
      </c>
      <c r="S195" s="311">
        <f>NPV(DiscountRate,$C192:S192)+$B192</f>
        <v>9622168.9897421543</v>
      </c>
      <c r="T195" s="311">
        <f>NPV(DiscountRate,$C192:T192)+$B192</f>
        <v>10495475.879539462</v>
      </c>
      <c r="U195" s="311">
        <f>NPV(DiscountRate,$C192:U192)+$B192</f>
        <v>11311790.635932317</v>
      </c>
      <c r="V195" s="311">
        <f>NPV(DiscountRate,$C192:V192)+$B192</f>
        <v>12046078.211695289</v>
      </c>
      <c r="W195" s="311">
        <f>NPV(DiscountRate,$C192:W192)+$B192</f>
        <v>12706107.289641732</v>
      </c>
      <c r="X195" s="311">
        <f>NPV(DiscountRate,$C192:X192)+$B192</f>
        <v>13319858.884757707</v>
      </c>
      <c r="Y195" s="311">
        <f>NPV(DiscountRate,$C192:Y192)+$B192</f>
        <v>13890584.043875827</v>
      </c>
      <c r="Z195" s="311">
        <f>NPV(DiscountRate,$C192:Z192)+$B192</f>
        <v>14461757.58095626</v>
      </c>
      <c r="AA195" s="311">
        <f>NPV(DiscountRate,$C192:AA192)+$B192</f>
        <v>15049330.794651235</v>
      </c>
      <c r="AB195" s="311">
        <f>NPV(DiscountRate,$C192:AB192)+$B192</f>
        <v>15573711.438356699</v>
      </c>
      <c r="AC195" s="311">
        <f>NPV(DiscountRate,$C192:AC192)+$B192</f>
        <v>16050460.697289916</v>
      </c>
      <c r="AD195" s="311">
        <f>NPV(DiscountRate,$C192:AD192)+$B192</f>
        <v>16494508.88225002</v>
      </c>
      <c r="AE195" s="311">
        <f>NPV(DiscountRate,$C192:AE192)+$B192</f>
        <v>16899231.525843747</v>
      </c>
      <c r="AF195" s="311">
        <f>NPV(DiscountRate,$C192:AF192)+$B192</f>
        <v>17556884.387735322</v>
      </c>
      <c r="AG195" s="311">
        <f>NPV(DiscountRate,$C192:AG192)+$B192</f>
        <v>17556884.387735322</v>
      </c>
      <c r="AH195" s="311">
        <f>NPV(DiscountRate,$C192:AH192)+$B192</f>
        <v>17556884.387735322</v>
      </c>
      <c r="AI195" s="311">
        <f>NPV(DiscountRate,$C192:AI192)+$B192</f>
        <v>17556884.387735322</v>
      </c>
      <c r="AJ195" s="311">
        <f>NPV(DiscountRate,$C192:AJ192)+$B192</f>
        <v>17556884.387735322</v>
      </c>
      <c r="AK195" s="311">
        <f>NPV(DiscountRate,$C192:AK192)+$B192</f>
        <v>17556884.387735322</v>
      </c>
      <c r="AL195" s="311">
        <f>NPV(DiscountRate,$C192:AL192)+$B192</f>
        <v>17556884.387735322</v>
      </c>
      <c r="AM195" s="311">
        <f>NPV(DiscountRate,$C192:AM192)+$B192</f>
        <v>17556884.387735322</v>
      </c>
      <c r="AN195" s="311">
        <f>NPV(DiscountRate,$C192:AN192)+$B192</f>
        <v>17556884.387735322</v>
      </c>
      <c r="AO195" s="311">
        <f>NPV(DiscountRate,$C192:AO192)+$B192</f>
        <v>17556884.387735322</v>
      </c>
      <c r="AP195" s="311">
        <f>NPV(DiscountRate,$C192:AP192)+$B192</f>
        <v>17556884.387735322</v>
      </c>
    </row>
    <row r="196" spans="1:42" s="119" customFormat="1">
      <c r="A196" s="297"/>
      <c r="B196" s="220"/>
      <c r="C196" s="220"/>
      <c r="D196" s="220"/>
      <c r="E196" s="220"/>
      <c r="F196" s="220"/>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46"/>
      <c r="AK196" s="146"/>
      <c r="AL196" s="146"/>
      <c r="AM196" s="146"/>
      <c r="AN196" s="146"/>
      <c r="AO196" s="146"/>
      <c r="AP196" s="146"/>
    </row>
    <row r="197" spans="1:42">
      <c r="A197" s="202" t="s">
        <v>248</v>
      </c>
      <c r="B197" s="307">
        <f>IF(ISERROR(IRR(B192:AP192)),"N/A",IRR(B192:AP192))</f>
        <v>0.22938307858558774</v>
      </c>
      <c r="C197" s="164"/>
      <c r="D197" s="164"/>
      <c r="E197" s="164"/>
      <c r="F197" s="164"/>
      <c r="G197" s="208"/>
      <c r="H197" s="208"/>
      <c r="I197" s="208"/>
      <c r="J197" s="208"/>
      <c r="K197" s="208"/>
      <c r="L197" s="208"/>
      <c r="M197" s="208"/>
      <c r="N197" s="208"/>
      <c r="O197" s="208"/>
      <c r="P197" s="208"/>
      <c r="Q197" s="208"/>
      <c r="R197" s="208"/>
      <c r="S197" s="208"/>
      <c r="T197" s="208"/>
      <c r="U197" s="208"/>
      <c r="V197" s="208"/>
      <c r="W197" s="208"/>
      <c r="X197" s="208"/>
      <c r="Y197" s="208"/>
      <c r="Z197" s="208"/>
      <c r="AA197" s="208"/>
      <c r="AB197" s="208"/>
      <c r="AC197" s="208"/>
      <c r="AD197" s="208"/>
      <c r="AE197" s="208"/>
      <c r="AF197" s="208"/>
      <c r="AG197" s="208"/>
      <c r="AH197" s="208"/>
      <c r="AI197" s="208"/>
      <c r="AJ197" s="208"/>
      <c r="AK197" s="208"/>
      <c r="AL197" s="208"/>
      <c r="AM197" s="208"/>
      <c r="AN197" s="208"/>
      <c r="AO197" s="208"/>
      <c r="AP197" s="208"/>
    </row>
    <row r="198" spans="1:42">
      <c r="A198" s="202" t="s">
        <v>227</v>
      </c>
      <c r="B198" s="218">
        <f>NPV(DiscountRate,$C192:$AP192)+B192</f>
        <v>17556884.387735322</v>
      </c>
      <c r="C198" s="164"/>
      <c r="D198" s="164"/>
      <c r="E198" s="164"/>
      <c r="F198" s="164"/>
      <c r="G198" s="208"/>
      <c r="H198" s="208"/>
      <c r="I198" s="208"/>
      <c r="J198" s="208"/>
      <c r="K198" s="208"/>
      <c r="L198" s="208"/>
      <c r="M198" s="208"/>
      <c r="N198" s="208"/>
      <c r="O198" s="208"/>
      <c r="P198" s="208"/>
      <c r="Q198" s="208"/>
      <c r="R198" s="208"/>
      <c r="S198" s="208"/>
      <c r="T198" s="208"/>
      <c r="U198" s="208"/>
      <c r="V198" s="208"/>
      <c r="W198" s="208"/>
      <c r="X198" s="208"/>
      <c r="Y198" s="208"/>
      <c r="Z198" s="208"/>
      <c r="AA198" s="208"/>
      <c r="AB198" s="208"/>
      <c r="AC198" s="208"/>
      <c r="AD198" s="208"/>
      <c r="AE198" s="208"/>
      <c r="AF198" s="208"/>
      <c r="AG198" s="208"/>
      <c r="AH198" s="208"/>
      <c r="AI198" s="208"/>
      <c r="AJ198" s="208"/>
      <c r="AK198" s="208"/>
      <c r="AL198" s="208"/>
      <c r="AM198" s="208"/>
      <c r="AN198" s="208"/>
      <c r="AO198" s="208"/>
      <c r="AP198" s="208"/>
    </row>
    <row r="199" spans="1:42">
      <c r="B199" s="220"/>
      <c r="C199" s="220"/>
      <c r="D199" s="220"/>
      <c r="E199" s="220"/>
      <c r="F199" s="220"/>
      <c r="G199" s="220"/>
      <c r="H199" s="220"/>
      <c r="I199" s="220"/>
      <c r="J199" s="220"/>
      <c r="K199" s="220"/>
      <c r="L199" s="220"/>
      <c r="M199" s="220"/>
      <c r="N199" s="220"/>
      <c r="O199" s="220"/>
      <c r="P199" s="220"/>
      <c r="Q199" s="220"/>
      <c r="R199" s="220"/>
      <c r="S199" s="220"/>
      <c r="T199" s="220"/>
      <c r="U199" s="220"/>
      <c r="V199" s="220"/>
      <c r="W199" s="220"/>
      <c r="X199" s="220"/>
      <c r="Y199" s="220"/>
      <c r="Z199" s="220"/>
      <c r="AA199" s="220"/>
      <c r="AB199" s="220"/>
      <c r="AC199" s="220"/>
      <c r="AD199" s="220"/>
      <c r="AE199" s="220"/>
      <c r="AF199" s="220"/>
      <c r="AG199" s="220"/>
      <c r="AH199" s="220"/>
      <c r="AI199" s="220"/>
      <c r="AJ199" s="220"/>
      <c r="AK199" s="220"/>
      <c r="AL199" s="220"/>
      <c r="AM199" s="220"/>
      <c r="AN199" s="208"/>
      <c r="AO199" s="208"/>
      <c r="AP199" s="208"/>
    </row>
    <row r="200" spans="1:42">
      <c r="A200" s="201" t="s">
        <v>116</v>
      </c>
    </row>
    <row r="201" spans="1:42" s="119" customFormat="1">
      <c r="A201" s="217" t="s">
        <v>134</v>
      </c>
    </row>
    <row r="202" spans="1:42" s="119" customFormat="1">
      <c r="A202" s="42" t="s">
        <v>117</v>
      </c>
      <c r="C202" s="220">
        <f t="shared" ref="C202:AP202" si="109">C43</f>
        <v>6433806.5606211331</v>
      </c>
      <c r="D202" s="220">
        <f t="shared" si="109"/>
        <v>6475024.6597927697</v>
      </c>
      <c r="E202" s="220">
        <f t="shared" si="109"/>
        <v>6516250.7063521035</v>
      </c>
      <c r="F202" s="220">
        <f t="shared" si="109"/>
        <v>6557482.1757178409</v>
      </c>
      <c r="G202" s="220">
        <f t="shared" si="109"/>
        <v>6598716.4765883237</v>
      </c>
      <c r="H202" s="220">
        <f t="shared" si="109"/>
        <v>6639950.9494381966</v>
      </c>
      <c r="I202" s="220">
        <f t="shared" si="109"/>
        <v>6681182.8649818655</v>
      </c>
      <c r="J202" s="220">
        <f t="shared" si="109"/>
        <v>6722409.4226029636</v>
      </c>
      <c r="K202" s="220">
        <f t="shared" si="109"/>
        <v>6763627.7487491388</v>
      </c>
      <c r="L202" s="220">
        <f t="shared" si="109"/>
        <v>6804834.8952913042</v>
      </c>
      <c r="M202" s="220">
        <f t="shared" si="109"/>
        <v>6846027.8378466405</v>
      </c>
      <c r="N202" s="220">
        <f t="shared" si="109"/>
        <v>6887203.4740645112</v>
      </c>
      <c r="O202" s="220">
        <f t="shared" si="109"/>
        <v>6928358.6218744637</v>
      </c>
      <c r="P202" s="220">
        <f t="shared" si="109"/>
        <v>6969490.0176954679</v>
      </c>
      <c r="Q202" s="220">
        <f t="shared" si="109"/>
        <v>7010594.3146055676</v>
      </c>
      <c r="R202" s="220">
        <f t="shared" si="109"/>
        <v>7051668.0804710137</v>
      </c>
      <c r="S202" s="220">
        <f t="shared" si="109"/>
        <v>7092707.796034039</v>
      </c>
      <c r="T202" s="220">
        <f t="shared" si="109"/>
        <v>7133709.852958262</v>
      </c>
      <c r="U202" s="220">
        <f t="shared" si="109"/>
        <v>7174670.5518309092</v>
      </c>
      <c r="V202" s="220">
        <f t="shared" si="109"/>
        <v>7215586.1001207568</v>
      </c>
      <c r="W202" s="220">
        <f t="shared" si="109"/>
        <v>7256452.6100909179</v>
      </c>
      <c r="X202" s="220">
        <f t="shared" si="109"/>
        <v>7282935.1744778911</v>
      </c>
      <c r="Y202" s="220">
        <f t="shared" si="109"/>
        <v>7309360.6308734044</v>
      </c>
      <c r="Z202" s="220">
        <f t="shared" si="109"/>
        <v>7335724.792932936</v>
      </c>
      <c r="AA202" s="220">
        <f t="shared" si="109"/>
        <v>7362023.3702849401</v>
      </c>
      <c r="AB202" s="220">
        <f t="shared" si="109"/>
        <v>7388251.9662020244</v>
      </c>
      <c r="AC202" s="220">
        <f t="shared" si="109"/>
        <v>7414406.0752206314</v>
      </c>
      <c r="AD202" s="220">
        <f t="shared" si="109"/>
        <v>7440481.0807079338</v>
      </c>
      <c r="AE202" s="220">
        <f t="shared" si="109"/>
        <v>7466472.2523748623</v>
      </c>
      <c r="AF202" s="220">
        <f t="shared" si="109"/>
        <v>11515089.743733983</v>
      </c>
      <c r="AG202" s="220">
        <f t="shared" si="109"/>
        <v>0</v>
      </c>
      <c r="AH202" s="220">
        <f t="shared" si="109"/>
        <v>0</v>
      </c>
      <c r="AI202" s="220">
        <f t="shared" si="109"/>
        <v>0</v>
      </c>
      <c r="AJ202" s="220">
        <f t="shared" si="109"/>
        <v>0</v>
      </c>
      <c r="AK202" s="220">
        <f t="shared" si="109"/>
        <v>0</v>
      </c>
      <c r="AL202" s="220">
        <f t="shared" si="109"/>
        <v>0</v>
      </c>
      <c r="AM202" s="220">
        <f t="shared" si="109"/>
        <v>0</v>
      </c>
      <c r="AN202" s="220">
        <f t="shared" si="109"/>
        <v>0</v>
      </c>
      <c r="AO202" s="220">
        <f t="shared" si="109"/>
        <v>0</v>
      </c>
      <c r="AP202" s="220">
        <f t="shared" si="109"/>
        <v>0</v>
      </c>
    </row>
    <row r="203" spans="1:42" s="119" customFormat="1">
      <c r="A203" s="42" t="s">
        <v>130</v>
      </c>
      <c r="C203" s="220">
        <f t="shared" ref="C203:AP203" si="110">C771</f>
        <v>2625.0000000000005</v>
      </c>
      <c r="D203" s="220">
        <f t="shared" si="110"/>
        <v>14705.811846654169</v>
      </c>
      <c r="E203" s="220">
        <f t="shared" si="110"/>
        <v>26786.623693308338</v>
      </c>
      <c r="F203" s="220">
        <f t="shared" si="110"/>
        <v>37064.541789962517</v>
      </c>
      <c r="G203" s="220">
        <f t="shared" si="110"/>
        <v>49172.804722215893</v>
      </c>
      <c r="H203" s="220">
        <f t="shared" si="110"/>
        <v>61281.067654469291</v>
      </c>
      <c r="I203" s="220">
        <f t="shared" si="110"/>
        <v>71504.083579925034</v>
      </c>
      <c r="J203" s="220">
        <f t="shared" si="110"/>
        <v>83641.051518759807</v>
      </c>
      <c r="K203" s="220">
        <f t="shared" si="110"/>
        <v>95778.01945759455</v>
      </c>
      <c r="L203" s="220">
        <f t="shared" si="110"/>
        <v>105943.62536988755</v>
      </c>
      <c r="M203" s="220">
        <f t="shared" si="110"/>
        <v>118110.60951335869</v>
      </c>
      <c r="N203" s="220">
        <f t="shared" si="110"/>
        <v>130277.59365682983</v>
      </c>
      <c r="O203" s="220">
        <f t="shared" si="110"/>
        <v>88847.901148577046</v>
      </c>
      <c r="P203" s="220">
        <f t="shared" si="110"/>
        <v>101886.37546337843</v>
      </c>
      <c r="Q203" s="220">
        <f t="shared" si="110"/>
        <v>114924.84977817982</v>
      </c>
      <c r="R203" s="220">
        <f t="shared" si="110"/>
        <v>18029.125128545482</v>
      </c>
      <c r="S203" s="220">
        <f t="shared" si="110"/>
        <v>32898.398355727615</v>
      </c>
      <c r="T203" s="220">
        <f t="shared" si="110"/>
        <v>47767.671582909745</v>
      </c>
      <c r="U203" s="220">
        <f t="shared" si="110"/>
        <v>60382.909231071135</v>
      </c>
      <c r="V203" s="220">
        <f t="shared" si="110"/>
        <v>75286.502685733882</v>
      </c>
      <c r="W203" s="220">
        <f t="shared" si="110"/>
        <v>90190.096140396621</v>
      </c>
      <c r="X203" s="220">
        <f t="shared" si="110"/>
        <v>102736.69333359678</v>
      </c>
      <c r="Y203" s="220">
        <f t="shared" si="110"/>
        <v>117676.17470796108</v>
      </c>
      <c r="Z203" s="220">
        <f t="shared" si="110"/>
        <v>132615.65608232541</v>
      </c>
      <c r="AA203" s="220">
        <f t="shared" si="110"/>
        <v>83473.976921940499</v>
      </c>
      <c r="AB203" s="220">
        <f t="shared" si="110"/>
        <v>93316.277141678642</v>
      </c>
      <c r="AC203" s="220">
        <f t="shared" si="110"/>
        <v>103158.57736141678</v>
      </c>
      <c r="AD203" s="220">
        <f t="shared" si="110"/>
        <v>110423.63589592067</v>
      </c>
      <c r="AE203" s="220">
        <f t="shared" si="110"/>
        <v>120305.1775197134</v>
      </c>
      <c r="AF203" s="220">
        <f t="shared" si="110"/>
        <v>130186.71914350611</v>
      </c>
      <c r="AG203" s="220">
        <f t="shared" si="110"/>
        <v>0</v>
      </c>
      <c r="AH203" s="220">
        <f t="shared" si="110"/>
        <v>0</v>
      </c>
      <c r="AI203" s="220">
        <f t="shared" si="110"/>
        <v>0</v>
      </c>
      <c r="AJ203" s="220">
        <f t="shared" si="110"/>
        <v>0</v>
      </c>
      <c r="AK203" s="220">
        <f t="shared" si="110"/>
        <v>0</v>
      </c>
      <c r="AL203" s="220">
        <f t="shared" si="110"/>
        <v>0</v>
      </c>
      <c r="AM203" s="220">
        <f t="shared" si="110"/>
        <v>0</v>
      </c>
      <c r="AN203" s="220">
        <f t="shared" si="110"/>
        <v>0</v>
      </c>
      <c r="AO203" s="220">
        <f t="shared" si="110"/>
        <v>0</v>
      </c>
      <c r="AP203" s="220">
        <f t="shared" si="110"/>
        <v>0</v>
      </c>
    </row>
    <row r="204" spans="1:42" s="42" customFormat="1">
      <c r="A204" s="42" t="s">
        <v>121</v>
      </c>
      <c r="B204" s="119"/>
      <c r="C204" s="225">
        <f t="shared" ref="C204:AP204" si="111">IF(C$2&lt;=AnalysisPeriod,-C323-C353-C379-C405,0)</f>
        <v>-9526509.6328211352</v>
      </c>
      <c r="D204" s="225">
        <f t="shared" si="111"/>
        <v>-12128473.647117518</v>
      </c>
      <c r="E204" s="225">
        <f t="shared" si="111"/>
        <v>-7360925.0631342689</v>
      </c>
      <c r="F204" s="225">
        <f t="shared" si="111"/>
        <v>-4498600.131827319</v>
      </c>
      <c r="G204" s="225">
        <f t="shared" si="111"/>
        <v>-4480474.8543055691</v>
      </c>
      <c r="H204" s="225">
        <f t="shared" si="111"/>
        <v>-2337691.8389483569</v>
      </c>
      <c r="I204" s="225">
        <f t="shared" si="111"/>
        <v>-196575.67577181919</v>
      </c>
      <c r="J204" s="225">
        <f t="shared" si="111"/>
        <v>-176788.20948934922</v>
      </c>
      <c r="K204" s="225">
        <f t="shared" si="111"/>
        <v>-185238.69413692335</v>
      </c>
      <c r="L204" s="225">
        <f t="shared" si="111"/>
        <v>-198628.33511056702</v>
      </c>
      <c r="M204" s="225">
        <f t="shared" si="111"/>
        <v>-178132.34420527311</v>
      </c>
      <c r="N204" s="225">
        <f t="shared" si="111"/>
        <v>-775680.9026606204</v>
      </c>
      <c r="O204" s="225">
        <f t="shared" si="111"/>
        <v>-1143329.2411950845</v>
      </c>
      <c r="P204" s="225">
        <f t="shared" si="111"/>
        <v>-744690.96746390057</v>
      </c>
      <c r="Q204" s="225">
        <f t="shared" si="111"/>
        <v>-1759508.6417183115</v>
      </c>
      <c r="R204" s="225">
        <f t="shared" si="111"/>
        <v>-2472938.0782705136</v>
      </c>
      <c r="S204" s="225">
        <f t="shared" si="111"/>
        <v>-1452161.5038413955</v>
      </c>
      <c r="T204" s="225">
        <f t="shared" si="111"/>
        <v>-819058.19299546315</v>
      </c>
      <c r="U204" s="225">
        <f t="shared" si="111"/>
        <v>-834514.43696589104</v>
      </c>
      <c r="V204" s="225">
        <f t="shared" si="111"/>
        <v>-456187.21328211098</v>
      </c>
      <c r="W204" s="225">
        <f t="shared" si="111"/>
        <v>-79324.2374483811</v>
      </c>
      <c r="X204" s="225">
        <f t="shared" si="111"/>
        <v>-63418.981151981723</v>
      </c>
      <c r="Y204" s="225">
        <f t="shared" si="111"/>
        <v>-38760.239962335647</v>
      </c>
      <c r="Z204" s="225">
        <f t="shared" si="111"/>
        <v>-753353.5168033595</v>
      </c>
      <c r="AA204" s="225">
        <f t="shared" si="111"/>
        <v>-1192767.1890416397</v>
      </c>
      <c r="AB204" s="225">
        <f t="shared" si="111"/>
        <v>-716301.38714974571</v>
      </c>
      <c r="AC204" s="225">
        <f t="shared" si="111"/>
        <v>-456772.94276790973</v>
      </c>
      <c r="AD204" s="225">
        <f t="shared" si="111"/>
        <v>-474445.45718094462</v>
      </c>
      <c r="AE204" s="225">
        <f t="shared" si="111"/>
        <v>-244676.21246599956</v>
      </c>
      <c r="AF204" s="225">
        <f t="shared" si="111"/>
        <v>-1593227.3636221269</v>
      </c>
      <c r="AG204" s="225">
        <f t="shared" si="111"/>
        <v>0</v>
      </c>
      <c r="AH204" s="225">
        <f t="shared" si="111"/>
        <v>0</v>
      </c>
      <c r="AI204" s="225">
        <f t="shared" si="111"/>
        <v>0</v>
      </c>
      <c r="AJ204" s="225">
        <f t="shared" si="111"/>
        <v>0</v>
      </c>
      <c r="AK204" s="225">
        <f t="shared" si="111"/>
        <v>0</v>
      </c>
      <c r="AL204" s="225">
        <f t="shared" si="111"/>
        <v>0</v>
      </c>
      <c r="AM204" s="225">
        <f t="shared" si="111"/>
        <v>0</v>
      </c>
      <c r="AN204" s="225">
        <f t="shared" si="111"/>
        <v>0</v>
      </c>
      <c r="AO204" s="225">
        <f t="shared" si="111"/>
        <v>0</v>
      </c>
      <c r="AP204" s="225">
        <f t="shared" si="111"/>
        <v>0</v>
      </c>
    </row>
    <row r="205" spans="1:42" s="119" customFormat="1">
      <c r="A205" s="42" t="s">
        <v>119</v>
      </c>
      <c r="C205" s="220">
        <f t="shared" ref="C205:AP205" si="112">SUM(C202:C204)</f>
        <v>-3090078.0722000021</v>
      </c>
      <c r="D205" s="220">
        <f t="shared" si="112"/>
        <v>-5638743.1754780943</v>
      </c>
      <c r="E205" s="220">
        <f t="shared" si="112"/>
        <v>-817887.73308885656</v>
      </c>
      <c r="F205" s="220">
        <f t="shared" si="112"/>
        <v>2095946.5856804848</v>
      </c>
      <c r="G205" s="220">
        <f t="shared" si="112"/>
        <v>2167414.4270049706</v>
      </c>
      <c r="H205" s="220">
        <f t="shared" si="112"/>
        <v>4363540.1781443087</v>
      </c>
      <c r="I205" s="220">
        <f t="shared" si="112"/>
        <v>6556111.272789971</v>
      </c>
      <c r="J205" s="220">
        <f t="shared" si="112"/>
        <v>6629262.264632374</v>
      </c>
      <c r="K205" s="220">
        <f t="shared" si="112"/>
        <v>6674167.0740698101</v>
      </c>
      <c r="L205" s="220">
        <f t="shared" si="112"/>
        <v>6712150.1855506254</v>
      </c>
      <c r="M205" s="220">
        <f t="shared" si="112"/>
        <v>6786006.1031547263</v>
      </c>
      <c r="N205" s="220">
        <f t="shared" si="112"/>
        <v>6241800.1650607204</v>
      </c>
      <c r="O205" s="220">
        <f t="shared" si="112"/>
        <v>5873877.2818279564</v>
      </c>
      <c r="P205" s="220">
        <f t="shared" si="112"/>
        <v>6326685.4256949462</v>
      </c>
      <c r="Q205" s="220">
        <f t="shared" si="112"/>
        <v>5366010.5226654364</v>
      </c>
      <c r="R205" s="220">
        <f t="shared" si="112"/>
        <v>4596759.1273290459</v>
      </c>
      <c r="S205" s="220">
        <f t="shared" si="112"/>
        <v>5673444.6905483715</v>
      </c>
      <c r="T205" s="220">
        <f t="shared" si="112"/>
        <v>6362419.3315457078</v>
      </c>
      <c r="U205" s="220">
        <f t="shared" si="112"/>
        <v>6400539.0240960894</v>
      </c>
      <c r="V205" s="220">
        <f t="shared" si="112"/>
        <v>6834685.3895243797</v>
      </c>
      <c r="W205" s="220">
        <f t="shared" si="112"/>
        <v>7267318.4687829334</v>
      </c>
      <c r="X205" s="220">
        <f t="shared" si="112"/>
        <v>7322252.8866595067</v>
      </c>
      <c r="Y205" s="220">
        <f t="shared" si="112"/>
        <v>7388276.56561903</v>
      </c>
      <c r="Z205" s="220">
        <f t="shared" si="112"/>
        <v>6714986.932211902</v>
      </c>
      <c r="AA205" s="220">
        <f t="shared" si="112"/>
        <v>6252730.1581652407</v>
      </c>
      <c r="AB205" s="220">
        <f t="shared" si="112"/>
        <v>6765266.8561939579</v>
      </c>
      <c r="AC205" s="220">
        <f t="shared" si="112"/>
        <v>7060791.7098141387</v>
      </c>
      <c r="AD205" s="220">
        <f t="shared" si="112"/>
        <v>7076459.2594229104</v>
      </c>
      <c r="AE205" s="220">
        <f t="shared" si="112"/>
        <v>7342101.2174285762</v>
      </c>
      <c r="AF205" s="220">
        <f t="shared" si="112"/>
        <v>10052049.099255363</v>
      </c>
      <c r="AG205" s="220">
        <f t="shared" si="112"/>
        <v>0</v>
      </c>
      <c r="AH205" s="220">
        <f t="shared" si="112"/>
        <v>0</v>
      </c>
      <c r="AI205" s="220">
        <f t="shared" si="112"/>
        <v>0</v>
      </c>
      <c r="AJ205" s="220">
        <f t="shared" si="112"/>
        <v>0</v>
      </c>
      <c r="AK205" s="220">
        <f t="shared" si="112"/>
        <v>0</v>
      </c>
      <c r="AL205" s="220">
        <f t="shared" si="112"/>
        <v>0</v>
      </c>
      <c r="AM205" s="220">
        <f t="shared" si="112"/>
        <v>0</v>
      </c>
      <c r="AN205" s="220">
        <f t="shared" si="112"/>
        <v>0</v>
      </c>
      <c r="AO205" s="220">
        <f t="shared" si="112"/>
        <v>0</v>
      </c>
      <c r="AP205" s="220">
        <f t="shared" si="112"/>
        <v>0</v>
      </c>
    </row>
    <row r="206" spans="1:42" s="119" customFormat="1">
      <c r="A206" s="42" t="str">
        <f>'Inputs &amp; Results'!A48</f>
        <v>Investment Based Incentive (IBI)</v>
      </c>
    </row>
    <row r="207" spans="1:42" s="119" customFormat="1">
      <c r="A207" s="226" t="str">
        <f>'Inputs &amp; Results'!A49</f>
        <v>Fixed Amount ($)</v>
      </c>
    </row>
    <row r="208" spans="1:42" s="119" customFormat="1">
      <c r="A208" s="227" t="str">
        <f>'Inputs &amp; Results'!A50</f>
        <v>Federal</v>
      </c>
      <c r="C208" s="220">
        <f>IF(IBIFedFixedStateTax="Yes",C628,0)</f>
        <v>1000</v>
      </c>
    </row>
    <row r="209" spans="1:42" s="119" customFormat="1">
      <c r="A209" s="227" t="str">
        <f>'Inputs &amp; Results'!A51</f>
        <v>State</v>
      </c>
      <c r="C209" s="220">
        <f>IF(IBIStateFixedStateTax="Yes",C629,0)</f>
        <v>2000</v>
      </c>
    </row>
    <row r="210" spans="1:42" s="119" customFormat="1">
      <c r="A210" s="227" t="str">
        <f>'Inputs &amp; Results'!A52</f>
        <v>Utility</v>
      </c>
      <c r="C210" s="220">
        <f>IF(IBIUtilityFixedStateTax="Yes",C630,0)</f>
        <v>500</v>
      </c>
    </row>
    <row r="211" spans="1:42">
      <c r="A211" s="227" t="str">
        <f>'Inputs &amp; Results'!A53</f>
        <v>Other</v>
      </c>
      <c r="C211" s="225">
        <f>IF(IBIOtherFixedStateTax="Yes",C631,0)</f>
        <v>250</v>
      </c>
      <c r="D211" s="208"/>
      <c r="E211" s="208"/>
      <c r="F211" s="208"/>
      <c r="G211" s="208"/>
      <c r="H211" s="208"/>
      <c r="I211" s="208"/>
      <c r="J211" s="208"/>
      <c r="K211" s="208"/>
      <c r="L211" s="208"/>
      <c r="M211" s="208"/>
      <c r="N211" s="208"/>
      <c r="O211" s="208"/>
      <c r="P211" s="208"/>
      <c r="Q211" s="208"/>
      <c r="R211" s="208"/>
      <c r="S211" s="208"/>
      <c r="T211" s="208"/>
      <c r="U211" s="208"/>
      <c r="V211" s="208"/>
      <c r="W211" s="208"/>
      <c r="X211" s="208"/>
      <c r="Y211" s="208"/>
      <c r="Z211" s="208"/>
      <c r="AA211" s="208"/>
      <c r="AB211" s="208"/>
      <c r="AC211" s="208"/>
      <c r="AD211" s="208"/>
      <c r="AE211" s="208"/>
      <c r="AF211" s="208"/>
      <c r="AG211" s="208"/>
      <c r="AH211" s="208"/>
      <c r="AI211" s="208"/>
      <c r="AJ211" s="208"/>
      <c r="AK211" s="208"/>
      <c r="AL211" s="208"/>
      <c r="AM211" s="208"/>
      <c r="AN211" s="208"/>
      <c r="AO211" s="208"/>
      <c r="AP211" s="208"/>
    </row>
    <row r="212" spans="1:42">
      <c r="A212" s="227" t="s">
        <v>53</v>
      </c>
      <c r="C212" s="208">
        <f>SUM(C208:C211)</f>
        <v>3750</v>
      </c>
      <c r="D212" s="208"/>
      <c r="E212" s="208"/>
      <c r="F212" s="208"/>
      <c r="G212" s="208"/>
      <c r="H212" s="208"/>
      <c r="I212" s="208"/>
      <c r="J212" s="208"/>
      <c r="K212" s="208"/>
      <c r="L212" s="208"/>
      <c r="M212" s="208"/>
      <c r="N212" s="208"/>
      <c r="O212" s="208"/>
      <c r="P212" s="208"/>
      <c r="Q212" s="208"/>
      <c r="R212" s="208"/>
      <c r="S212" s="208"/>
      <c r="T212" s="208"/>
      <c r="U212" s="208"/>
      <c r="V212" s="208"/>
      <c r="W212" s="208"/>
      <c r="X212" s="208"/>
      <c r="Y212" s="208"/>
      <c r="Z212" s="208"/>
      <c r="AA212" s="208"/>
      <c r="AB212" s="208"/>
      <c r="AC212" s="208"/>
      <c r="AD212" s="208"/>
      <c r="AE212" s="208"/>
      <c r="AF212" s="208"/>
      <c r="AG212" s="208"/>
      <c r="AH212" s="208"/>
      <c r="AI212" s="208"/>
      <c r="AJ212" s="208"/>
      <c r="AK212" s="208"/>
      <c r="AL212" s="208"/>
      <c r="AM212" s="208"/>
      <c r="AN212" s="208"/>
      <c r="AO212" s="208"/>
      <c r="AP212" s="208"/>
    </row>
    <row r="213" spans="1:42">
      <c r="A213" s="226" t="str">
        <f>'Inputs &amp; Results'!A54</f>
        <v>Percentage of Pre-Financing Costs</v>
      </c>
      <c r="C213" s="208"/>
      <c r="D213" s="208"/>
      <c r="E213" s="208"/>
      <c r="F213" s="208"/>
      <c r="G213" s="208"/>
      <c r="H213" s="208"/>
      <c r="I213" s="208"/>
      <c r="J213" s="208"/>
      <c r="K213" s="208"/>
      <c r="L213" s="208"/>
      <c r="M213" s="208"/>
      <c r="N213" s="208"/>
      <c r="O213" s="208"/>
      <c r="P213" s="208"/>
      <c r="Q213" s="208"/>
      <c r="R213" s="208"/>
      <c r="S213" s="208"/>
      <c r="T213" s="208"/>
      <c r="U213" s="208"/>
      <c r="V213" s="208"/>
      <c r="W213" s="208"/>
      <c r="X213" s="208"/>
      <c r="Y213" s="208"/>
      <c r="Z213" s="208"/>
      <c r="AA213" s="208"/>
      <c r="AB213" s="208"/>
      <c r="AC213" s="208"/>
      <c r="AD213" s="208"/>
      <c r="AE213" s="208"/>
      <c r="AF213" s="208"/>
      <c r="AG213" s="208"/>
      <c r="AH213" s="208"/>
      <c r="AI213" s="208"/>
      <c r="AJ213" s="208"/>
      <c r="AK213" s="208"/>
      <c r="AL213" s="208"/>
      <c r="AM213" s="208"/>
      <c r="AN213" s="208"/>
      <c r="AO213" s="208"/>
      <c r="AP213" s="208"/>
    </row>
    <row r="214" spans="1:42">
      <c r="A214" s="227" t="str">
        <f>'Inputs &amp; Results'!A55</f>
        <v>Federal</v>
      </c>
      <c r="C214" s="220">
        <f>IF(IBIFedPercentStateTax="Yes",C634,0)</f>
        <v>2011357.5</v>
      </c>
      <c r="D214" s="208"/>
      <c r="E214" s="208"/>
      <c r="F214" s="208"/>
      <c r="G214" s="208"/>
      <c r="H214" s="208"/>
      <c r="I214" s="208"/>
      <c r="J214" s="208"/>
      <c r="K214" s="208"/>
      <c r="L214" s="208"/>
      <c r="M214" s="208"/>
      <c r="N214" s="208"/>
      <c r="O214" s="208"/>
      <c r="P214" s="208"/>
      <c r="Q214" s="208"/>
      <c r="R214" s="208"/>
      <c r="S214" s="208"/>
      <c r="T214" s="208"/>
      <c r="U214" s="208"/>
      <c r="V214" s="208"/>
      <c r="W214" s="208"/>
      <c r="X214" s="208"/>
      <c r="Y214" s="208"/>
      <c r="Z214" s="208"/>
      <c r="AA214" s="208"/>
      <c r="AB214" s="208"/>
      <c r="AC214" s="208"/>
      <c r="AD214" s="208"/>
      <c r="AE214" s="208"/>
      <c r="AF214" s="208"/>
      <c r="AG214" s="208"/>
      <c r="AH214" s="208"/>
      <c r="AI214" s="208"/>
      <c r="AJ214" s="208"/>
      <c r="AK214" s="208"/>
      <c r="AL214" s="208"/>
      <c r="AM214" s="208"/>
      <c r="AN214" s="208"/>
      <c r="AO214" s="208"/>
      <c r="AP214" s="208"/>
    </row>
    <row r="215" spans="1:42">
      <c r="A215" s="227" t="str">
        <f>'Inputs &amp; Results'!A56</f>
        <v>State</v>
      </c>
      <c r="C215" s="220">
        <f>IF(IBIStatePercentStateTax="Yes",C635,0)</f>
        <v>4022715</v>
      </c>
      <c r="D215" s="208"/>
      <c r="E215" s="208"/>
      <c r="F215" s="208"/>
      <c r="G215" s="208"/>
      <c r="H215" s="208"/>
      <c r="I215" s="208"/>
      <c r="J215" s="208"/>
      <c r="K215" s="208"/>
      <c r="L215" s="208"/>
      <c r="M215" s="208"/>
      <c r="N215" s="208"/>
      <c r="O215" s="208"/>
      <c r="P215" s="208"/>
      <c r="Q215" s="208"/>
      <c r="R215" s="208"/>
      <c r="S215" s="208"/>
      <c r="T215" s="208"/>
      <c r="U215" s="208"/>
      <c r="V215" s="208"/>
      <c r="W215" s="208"/>
      <c r="X215" s="208"/>
      <c r="Y215" s="208"/>
      <c r="Z215" s="208"/>
      <c r="AA215" s="208"/>
      <c r="AB215" s="208"/>
      <c r="AC215" s="208"/>
      <c r="AD215" s="208"/>
      <c r="AE215" s="208"/>
      <c r="AF215" s="208"/>
      <c r="AG215" s="208"/>
      <c r="AH215" s="208"/>
      <c r="AI215" s="208"/>
      <c r="AJ215" s="208"/>
      <c r="AK215" s="208"/>
      <c r="AL215" s="208"/>
      <c r="AM215" s="208"/>
      <c r="AN215" s="208"/>
      <c r="AO215" s="208"/>
      <c r="AP215" s="208"/>
    </row>
    <row r="216" spans="1:42">
      <c r="A216" s="227" t="str">
        <f>'Inputs &amp; Results'!A57</f>
        <v>Utility</v>
      </c>
      <c r="C216" s="220">
        <f>IF(IBIUtilityPercentStateTax="Yes",C636,0)</f>
        <v>402271.5</v>
      </c>
      <c r="D216" s="208"/>
      <c r="E216" s="208"/>
      <c r="F216" s="208"/>
      <c r="G216" s="208"/>
      <c r="H216" s="208"/>
      <c r="I216" s="208"/>
      <c r="J216" s="208"/>
      <c r="K216" s="208"/>
      <c r="L216" s="208"/>
      <c r="M216" s="208"/>
      <c r="N216" s="208"/>
      <c r="O216" s="208"/>
      <c r="P216" s="208"/>
      <c r="Q216" s="208"/>
      <c r="R216" s="208"/>
      <c r="S216" s="208"/>
      <c r="T216" s="208"/>
      <c r="U216" s="208"/>
      <c r="V216" s="208"/>
      <c r="W216" s="208"/>
      <c r="X216" s="208"/>
      <c r="Y216" s="208"/>
      <c r="Z216" s="208"/>
      <c r="AA216" s="208"/>
      <c r="AB216" s="208"/>
      <c r="AC216" s="208"/>
      <c r="AD216" s="208"/>
      <c r="AE216" s="208"/>
      <c r="AF216" s="208"/>
      <c r="AG216" s="208"/>
      <c r="AH216" s="208"/>
      <c r="AI216" s="208"/>
      <c r="AJ216" s="208"/>
      <c r="AK216" s="208"/>
      <c r="AL216" s="208"/>
      <c r="AM216" s="208"/>
      <c r="AN216" s="208"/>
      <c r="AO216" s="208"/>
      <c r="AP216" s="208"/>
    </row>
    <row r="217" spans="1:42">
      <c r="A217" s="227" t="str">
        <f>'Inputs &amp; Results'!A58</f>
        <v>Other</v>
      </c>
      <c r="C217" s="225">
        <f>IF(IBIOtherPercentStateTax="Yes",C637,0)</f>
        <v>201135.75</v>
      </c>
      <c r="D217" s="208"/>
      <c r="E217" s="208"/>
      <c r="F217" s="208"/>
      <c r="G217" s="208"/>
      <c r="H217" s="208"/>
      <c r="I217" s="208"/>
      <c r="J217" s="208"/>
      <c r="K217" s="208"/>
      <c r="L217" s="208"/>
      <c r="M217" s="208"/>
      <c r="N217" s="208"/>
      <c r="O217" s="208"/>
      <c r="P217" s="208"/>
      <c r="Q217" s="208"/>
      <c r="R217" s="208"/>
      <c r="S217" s="208"/>
      <c r="T217" s="208"/>
      <c r="U217" s="208"/>
      <c r="V217" s="208"/>
      <c r="W217" s="208"/>
      <c r="X217" s="208"/>
      <c r="Y217" s="208"/>
      <c r="Z217" s="208"/>
      <c r="AA217" s="208"/>
      <c r="AB217" s="208"/>
      <c r="AC217" s="208"/>
      <c r="AD217" s="208"/>
      <c r="AE217" s="208"/>
      <c r="AF217" s="208"/>
      <c r="AG217" s="208"/>
      <c r="AH217" s="208"/>
      <c r="AI217" s="208"/>
      <c r="AJ217" s="208"/>
      <c r="AK217" s="208"/>
      <c r="AL217" s="208"/>
      <c r="AM217" s="208"/>
      <c r="AN217" s="208"/>
      <c r="AO217" s="208"/>
      <c r="AP217" s="208"/>
    </row>
    <row r="218" spans="1:42">
      <c r="A218" s="227" t="s">
        <v>53</v>
      </c>
      <c r="C218" s="208">
        <f>SUM(C214:C217)</f>
        <v>6637479.75</v>
      </c>
      <c r="D218" s="208"/>
      <c r="E218" s="208"/>
      <c r="F218" s="208"/>
      <c r="G218" s="208"/>
      <c r="H218" s="208"/>
      <c r="I218" s="208"/>
      <c r="J218" s="208"/>
      <c r="K218" s="208"/>
      <c r="L218" s="208"/>
      <c r="M218" s="208"/>
      <c r="N218" s="208"/>
      <c r="O218" s="208"/>
      <c r="P218" s="208"/>
      <c r="Q218" s="208"/>
      <c r="R218" s="208"/>
      <c r="S218" s="208"/>
      <c r="T218" s="208"/>
      <c r="U218" s="208"/>
      <c r="V218" s="208"/>
      <c r="W218" s="208"/>
      <c r="X218" s="208"/>
      <c r="Y218" s="208"/>
      <c r="Z218" s="208"/>
      <c r="AA218" s="208"/>
      <c r="AB218" s="208"/>
      <c r="AC218" s="208"/>
      <c r="AD218" s="208"/>
      <c r="AE218" s="208"/>
      <c r="AF218" s="208"/>
      <c r="AG218" s="208"/>
      <c r="AH218" s="208"/>
      <c r="AI218" s="208"/>
      <c r="AJ218" s="208"/>
      <c r="AK218" s="208"/>
      <c r="AL218" s="208"/>
      <c r="AM218" s="208"/>
      <c r="AN218" s="208"/>
      <c r="AO218" s="208"/>
      <c r="AP218" s="208"/>
    </row>
    <row r="219" spans="1:42">
      <c r="A219" s="219" t="str">
        <f>'Inputs &amp; Results'!A59</f>
        <v>Capacity Based Incentive (CBI) ($/DC-Watt)</v>
      </c>
      <c r="C219" s="208"/>
      <c r="D219" s="208"/>
      <c r="E219" s="208"/>
      <c r="F219" s="208"/>
      <c r="G219" s="208"/>
      <c r="H219" s="208"/>
      <c r="I219" s="208"/>
      <c r="J219" s="208"/>
      <c r="K219" s="208"/>
      <c r="L219" s="208"/>
      <c r="M219" s="208"/>
      <c r="N219" s="208"/>
      <c r="O219" s="208"/>
      <c r="P219" s="208"/>
      <c r="Q219" s="208"/>
      <c r="R219" s="208"/>
      <c r="S219" s="208"/>
      <c r="T219" s="208"/>
      <c r="U219" s="208"/>
      <c r="V219" s="208"/>
      <c r="W219" s="208"/>
      <c r="X219" s="208"/>
      <c r="Y219" s="208"/>
      <c r="Z219" s="208"/>
      <c r="AA219" s="208"/>
      <c r="AB219" s="208"/>
      <c r="AC219" s="208"/>
      <c r="AD219" s="208"/>
      <c r="AE219" s="208"/>
      <c r="AF219" s="208"/>
      <c r="AG219" s="208"/>
      <c r="AH219" s="208"/>
      <c r="AI219" s="208"/>
      <c r="AJ219" s="208"/>
      <c r="AK219" s="208"/>
      <c r="AL219" s="208"/>
      <c r="AM219" s="208"/>
      <c r="AN219" s="208"/>
      <c r="AO219" s="208"/>
      <c r="AP219" s="208"/>
    </row>
    <row r="220" spans="1:42">
      <c r="A220" s="226" t="str">
        <f>'Inputs &amp; Results'!A60</f>
        <v>Federal</v>
      </c>
      <c r="C220" s="146">
        <f>IF(CBIFedStateTax="Yes",C640,0)</f>
        <v>5000000</v>
      </c>
      <c r="D220" s="208"/>
      <c r="E220" s="208"/>
      <c r="F220" s="208"/>
      <c r="G220" s="208"/>
      <c r="H220" s="208"/>
      <c r="I220" s="208"/>
      <c r="J220" s="208"/>
      <c r="K220" s="208"/>
      <c r="L220" s="208"/>
      <c r="M220" s="208"/>
      <c r="N220" s="208"/>
      <c r="O220" s="208"/>
      <c r="P220" s="208"/>
      <c r="Q220" s="208"/>
      <c r="R220" s="208"/>
      <c r="S220" s="208"/>
      <c r="T220" s="208"/>
      <c r="U220" s="208"/>
      <c r="V220" s="208"/>
      <c r="W220" s="208"/>
      <c r="X220" s="208"/>
      <c r="Y220" s="208"/>
      <c r="Z220" s="208"/>
      <c r="AA220" s="208"/>
      <c r="AB220" s="208"/>
      <c r="AC220" s="208"/>
      <c r="AD220" s="208"/>
      <c r="AE220" s="208"/>
      <c r="AF220" s="208"/>
      <c r="AG220" s="208"/>
      <c r="AH220" s="208"/>
      <c r="AI220" s="208"/>
      <c r="AJ220" s="208"/>
      <c r="AK220" s="208"/>
      <c r="AL220" s="208"/>
      <c r="AM220" s="208"/>
      <c r="AN220" s="208"/>
      <c r="AO220" s="208"/>
      <c r="AP220" s="208"/>
    </row>
    <row r="221" spans="1:42">
      <c r="A221" s="226" t="str">
        <f>'Inputs &amp; Results'!A61</f>
        <v>State</v>
      </c>
      <c r="C221" s="146">
        <f>IF(CBIStateStateTax="Yes",C641,0)</f>
        <v>2000000</v>
      </c>
      <c r="D221" s="208"/>
      <c r="E221" s="208"/>
      <c r="F221" s="208"/>
      <c r="G221" s="208"/>
      <c r="H221" s="208"/>
      <c r="I221" s="208"/>
      <c r="J221" s="208"/>
      <c r="K221" s="208"/>
      <c r="L221" s="208"/>
      <c r="M221" s="208"/>
      <c r="N221" s="208"/>
      <c r="O221" s="208"/>
      <c r="P221" s="208"/>
      <c r="Q221" s="208"/>
      <c r="R221" s="208"/>
      <c r="S221" s="208"/>
      <c r="T221" s="208"/>
      <c r="U221" s="208"/>
      <c r="V221" s="208"/>
      <c r="W221" s="208"/>
      <c r="X221" s="208"/>
      <c r="Y221" s="208"/>
      <c r="Z221" s="208"/>
      <c r="AA221" s="208"/>
      <c r="AB221" s="208"/>
      <c r="AC221" s="208"/>
      <c r="AD221" s="208"/>
      <c r="AE221" s="208"/>
      <c r="AF221" s="208"/>
      <c r="AG221" s="208"/>
      <c r="AH221" s="208"/>
      <c r="AI221" s="208"/>
      <c r="AJ221" s="208"/>
      <c r="AK221" s="208"/>
      <c r="AL221" s="208"/>
      <c r="AM221" s="208"/>
      <c r="AN221" s="208"/>
      <c r="AO221" s="208"/>
      <c r="AP221" s="208"/>
    </row>
    <row r="222" spans="1:42">
      <c r="A222" s="226" t="str">
        <f>'Inputs &amp; Results'!A62</f>
        <v>Utility</v>
      </c>
      <c r="C222" s="146">
        <f>IF(CBIUtilityStateTax="Yes",C642,0)</f>
        <v>100000</v>
      </c>
      <c r="D222" s="208"/>
      <c r="E222" s="208"/>
      <c r="F222" s="208"/>
      <c r="G222" s="208"/>
      <c r="H222" s="208"/>
      <c r="I222" s="208"/>
      <c r="J222" s="208"/>
      <c r="K222" s="208"/>
      <c r="L222" s="208"/>
      <c r="M222" s="208"/>
      <c r="N222" s="208"/>
      <c r="O222" s="208"/>
      <c r="P222" s="208"/>
      <c r="Q222" s="208"/>
      <c r="R222" s="208"/>
      <c r="S222" s="208"/>
      <c r="T222" s="208"/>
      <c r="U222" s="208"/>
      <c r="V222" s="208"/>
      <c r="W222" s="208"/>
      <c r="X222" s="208"/>
      <c r="Y222" s="208"/>
      <c r="Z222" s="208"/>
      <c r="AA222" s="208"/>
      <c r="AB222" s="208"/>
      <c r="AC222" s="208"/>
      <c r="AD222" s="208"/>
      <c r="AE222" s="208"/>
      <c r="AF222" s="208"/>
      <c r="AG222" s="208"/>
      <c r="AH222" s="208"/>
      <c r="AI222" s="208"/>
      <c r="AJ222" s="208"/>
      <c r="AK222" s="208"/>
      <c r="AL222" s="208"/>
      <c r="AM222" s="208"/>
      <c r="AN222" s="208"/>
      <c r="AO222" s="208"/>
      <c r="AP222" s="208"/>
    </row>
    <row r="223" spans="1:42">
      <c r="A223" s="226" t="str">
        <f>'Inputs &amp; Results'!A63</f>
        <v>Other</v>
      </c>
      <c r="C223" s="225">
        <f>IF(CBIOtherStateTax="Yes",C643,0)</f>
        <v>50000</v>
      </c>
      <c r="D223" s="208"/>
      <c r="E223" s="208"/>
      <c r="F223" s="208"/>
      <c r="G223" s="208"/>
      <c r="H223" s="208"/>
      <c r="I223" s="208"/>
      <c r="J223" s="208"/>
      <c r="K223" s="208"/>
      <c r="L223" s="208"/>
      <c r="M223" s="208"/>
      <c r="N223" s="208"/>
      <c r="O223" s="208"/>
      <c r="P223" s="208"/>
      <c r="Q223" s="208"/>
      <c r="R223" s="208"/>
      <c r="S223" s="208"/>
      <c r="T223" s="208"/>
      <c r="U223" s="208"/>
      <c r="V223" s="208"/>
      <c r="W223" s="208"/>
      <c r="X223" s="208"/>
      <c r="Y223" s="208"/>
      <c r="Z223" s="208"/>
      <c r="AA223" s="208"/>
      <c r="AB223" s="208"/>
      <c r="AC223" s="208"/>
      <c r="AD223" s="208"/>
      <c r="AE223" s="208"/>
      <c r="AF223" s="208"/>
      <c r="AG223" s="208"/>
      <c r="AH223" s="208"/>
      <c r="AI223" s="208"/>
      <c r="AJ223" s="208"/>
      <c r="AK223" s="208"/>
      <c r="AL223" s="208"/>
      <c r="AM223" s="208"/>
      <c r="AN223" s="208"/>
      <c r="AO223" s="208"/>
      <c r="AP223" s="208"/>
    </row>
    <row r="224" spans="1:42">
      <c r="A224" s="226" t="s">
        <v>53</v>
      </c>
      <c r="C224" s="208">
        <f>SUM(C220:C223)</f>
        <v>7150000</v>
      </c>
      <c r="D224" s="208"/>
      <c r="E224" s="208"/>
      <c r="F224" s="208"/>
      <c r="G224" s="208"/>
      <c r="H224" s="208"/>
      <c r="I224" s="208"/>
      <c r="J224" s="208"/>
      <c r="K224" s="208"/>
      <c r="L224" s="208"/>
      <c r="M224" s="208"/>
      <c r="N224" s="208"/>
      <c r="O224" s="208"/>
      <c r="P224" s="208"/>
      <c r="Q224" s="208"/>
      <c r="R224" s="208"/>
      <c r="S224" s="208"/>
      <c r="T224" s="208"/>
      <c r="U224" s="208"/>
      <c r="V224" s="208"/>
      <c r="W224" s="208"/>
      <c r="X224" s="208"/>
      <c r="Y224" s="208"/>
      <c r="Z224" s="208"/>
      <c r="AA224" s="208"/>
      <c r="AB224" s="208"/>
      <c r="AC224" s="208"/>
      <c r="AD224" s="208"/>
      <c r="AE224" s="208"/>
      <c r="AF224" s="208"/>
      <c r="AG224" s="208"/>
      <c r="AH224" s="208"/>
      <c r="AI224" s="208"/>
      <c r="AJ224" s="208"/>
      <c r="AK224" s="208"/>
      <c r="AL224" s="208"/>
      <c r="AM224" s="208"/>
      <c r="AN224" s="208"/>
      <c r="AO224" s="208"/>
      <c r="AP224" s="208"/>
    </row>
    <row r="225" spans="1:42">
      <c r="A225" s="219" t="str">
        <f>'Inputs &amp; Results'!A64</f>
        <v>Production Based Incentive (PBI) ($/kWh)</v>
      </c>
      <c r="C225" s="208"/>
      <c r="D225" s="208"/>
      <c r="E225" s="208"/>
      <c r="F225" s="208"/>
      <c r="G225" s="208"/>
      <c r="H225" s="208"/>
      <c r="I225" s="208"/>
      <c r="J225" s="208"/>
      <c r="K225" s="208"/>
      <c r="L225" s="208"/>
      <c r="M225" s="208"/>
      <c r="N225" s="208"/>
      <c r="O225" s="208"/>
      <c r="P225" s="208"/>
      <c r="Q225" s="208"/>
      <c r="R225" s="208"/>
      <c r="S225" s="208"/>
      <c r="T225" s="208"/>
      <c r="U225" s="208"/>
      <c r="V225" s="208"/>
      <c r="W225" s="208"/>
      <c r="X225" s="208"/>
      <c r="Y225" s="208"/>
      <c r="Z225" s="208"/>
      <c r="AA225" s="208"/>
      <c r="AB225" s="208"/>
      <c r="AC225" s="208"/>
      <c r="AD225" s="208"/>
      <c r="AE225" s="208"/>
      <c r="AF225" s="208"/>
      <c r="AG225" s="208"/>
      <c r="AH225" s="208"/>
      <c r="AI225" s="208"/>
      <c r="AJ225" s="208"/>
      <c r="AK225" s="208"/>
      <c r="AL225" s="208"/>
      <c r="AM225" s="208"/>
      <c r="AN225" s="208"/>
      <c r="AO225" s="208"/>
      <c r="AP225" s="208"/>
    </row>
    <row r="226" spans="1:42">
      <c r="A226" s="226" t="str">
        <f>'Inputs &amp; Results'!A65</f>
        <v>Federal</v>
      </c>
      <c r="C226" s="146">
        <f t="shared" ref="C226:AP226" si="113">IF(PBIFedStateTax="Yes",0,-C650)</f>
        <v>0</v>
      </c>
      <c r="D226" s="146">
        <f t="shared" si="113"/>
        <v>0</v>
      </c>
      <c r="E226" s="146">
        <f t="shared" si="113"/>
        <v>0</v>
      </c>
      <c r="F226" s="146">
        <f t="shared" si="113"/>
        <v>0</v>
      </c>
      <c r="G226" s="146">
        <f t="shared" si="113"/>
        <v>0</v>
      </c>
      <c r="H226" s="146">
        <f t="shared" si="113"/>
        <v>0</v>
      </c>
      <c r="I226" s="146">
        <f t="shared" si="113"/>
        <v>0</v>
      </c>
      <c r="J226" s="146">
        <f t="shared" si="113"/>
        <v>0</v>
      </c>
      <c r="K226" s="146">
        <f t="shared" si="113"/>
        <v>0</v>
      </c>
      <c r="L226" s="146">
        <f t="shared" si="113"/>
        <v>0</v>
      </c>
      <c r="M226" s="146">
        <f t="shared" si="113"/>
        <v>0</v>
      </c>
      <c r="N226" s="146">
        <f t="shared" si="113"/>
        <v>0</v>
      </c>
      <c r="O226" s="146">
        <f t="shared" si="113"/>
        <v>0</v>
      </c>
      <c r="P226" s="146">
        <f t="shared" si="113"/>
        <v>0</v>
      </c>
      <c r="Q226" s="146">
        <f t="shared" si="113"/>
        <v>0</v>
      </c>
      <c r="R226" s="146">
        <f t="shared" si="113"/>
        <v>0</v>
      </c>
      <c r="S226" s="146">
        <f t="shared" si="113"/>
        <v>0</v>
      </c>
      <c r="T226" s="146">
        <f t="shared" si="113"/>
        <v>0</v>
      </c>
      <c r="U226" s="146">
        <f t="shared" si="113"/>
        <v>0</v>
      </c>
      <c r="V226" s="146">
        <f t="shared" si="113"/>
        <v>0</v>
      </c>
      <c r="W226" s="146">
        <f t="shared" si="113"/>
        <v>0</v>
      </c>
      <c r="X226" s="146">
        <f t="shared" si="113"/>
        <v>0</v>
      </c>
      <c r="Y226" s="146">
        <f t="shared" si="113"/>
        <v>0</v>
      </c>
      <c r="Z226" s="146">
        <f t="shared" si="113"/>
        <v>0</v>
      </c>
      <c r="AA226" s="146">
        <f t="shared" si="113"/>
        <v>0</v>
      </c>
      <c r="AB226" s="146">
        <f t="shared" si="113"/>
        <v>0</v>
      </c>
      <c r="AC226" s="146">
        <f t="shared" si="113"/>
        <v>0</v>
      </c>
      <c r="AD226" s="146">
        <f t="shared" si="113"/>
        <v>0</v>
      </c>
      <c r="AE226" s="146">
        <f t="shared" si="113"/>
        <v>0</v>
      </c>
      <c r="AF226" s="146">
        <f t="shared" si="113"/>
        <v>0</v>
      </c>
      <c r="AG226" s="146">
        <f t="shared" si="113"/>
        <v>0</v>
      </c>
      <c r="AH226" s="146">
        <f t="shared" si="113"/>
        <v>0</v>
      </c>
      <c r="AI226" s="146">
        <f t="shared" si="113"/>
        <v>0</v>
      </c>
      <c r="AJ226" s="146">
        <f t="shared" si="113"/>
        <v>0</v>
      </c>
      <c r="AK226" s="146">
        <f t="shared" si="113"/>
        <v>0</v>
      </c>
      <c r="AL226" s="146">
        <f t="shared" si="113"/>
        <v>0</v>
      </c>
      <c r="AM226" s="146">
        <f t="shared" si="113"/>
        <v>0</v>
      </c>
      <c r="AN226" s="146">
        <f t="shared" si="113"/>
        <v>0</v>
      </c>
      <c r="AO226" s="146">
        <f t="shared" si="113"/>
        <v>0</v>
      </c>
      <c r="AP226" s="146">
        <f t="shared" si="113"/>
        <v>0</v>
      </c>
    </row>
    <row r="227" spans="1:42">
      <c r="A227" s="226" t="str">
        <f>'Inputs &amp; Results'!A66</f>
        <v>State</v>
      </c>
      <c r="C227" s="146">
        <f t="shared" ref="C227:AP227" si="114">IF(PBIStateStateTax="Yes",0,-C654)</f>
        <v>0</v>
      </c>
      <c r="D227" s="146">
        <f t="shared" si="114"/>
        <v>0</v>
      </c>
      <c r="E227" s="146">
        <f t="shared" si="114"/>
        <v>0</v>
      </c>
      <c r="F227" s="146">
        <f t="shared" si="114"/>
        <v>0</v>
      </c>
      <c r="G227" s="146">
        <f t="shared" si="114"/>
        <v>0</v>
      </c>
      <c r="H227" s="146">
        <f t="shared" si="114"/>
        <v>0</v>
      </c>
      <c r="I227" s="146">
        <f t="shared" si="114"/>
        <v>0</v>
      </c>
      <c r="J227" s="146">
        <f t="shared" si="114"/>
        <v>0</v>
      </c>
      <c r="K227" s="146">
        <f t="shared" si="114"/>
        <v>0</v>
      </c>
      <c r="L227" s="146">
        <f t="shared" si="114"/>
        <v>0</v>
      </c>
      <c r="M227" s="146">
        <f t="shared" si="114"/>
        <v>0</v>
      </c>
      <c r="N227" s="146">
        <f t="shared" si="114"/>
        <v>0</v>
      </c>
      <c r="O227" s="146">
        <f t="shared" si="114"/>
        <v>0</v>
      </c>
      <c r="P227" s="146">
        <f t="shared" si="114"/>
        <v>0</v>
      </c>
      <c r="Q227" s="146">
        <f t="shared" si="114"/>
        <v>0</v>
      </c>
      <c r="R227" s="146">
        <f t="shared" si="114"/>
        <v>0</v>
      </c>
      <c r="S227" s="146">
        <f t="shared" si="114"/>
        <v>0</v>
      </c>
      <c r="T227" s="146">
        <f t="shared" si="114"/>
        <v>0</v>
      </c>
      <c r="U227" s="146">
        <f t="shared" si="114"/>
        <v>0</v>
      </c>
      <c r="V227" s="146">
        <f t="shared" si="114"/>
        <v>0</v>
      </c>
      <c r="W227" s="146">
        <f t="shared" si="114"/>
        <v>0</v>
      </c>
      <c r="X227" s="146">
        <f t="shared" si="114"/>
        <v>0</v>
      </c>
      <c r="Y227" s="146">
        <f t="shared" si="114"/>
        <v>0</v>
      </c>
      <c r="Z227" s="146">
        <f t="shared" si="114"/>
        <v>0</v>
      </c>
      <c r="AA227" s="146">
        <f t="shared" si="114"/>
        <v>0</v>
      </c>
      <c r="AB227" s="146">
        <f t="shared" si="114"/>
        <v>0</v>
      </c>
      <c r="AC227" s="146">
        <f t="shared" si="114"/>
        <v>0</v>
      </c>
      <c r="AD227" s="146">
        <f t="shared" si="114"/>
        <v>0</v>
      </c>
      <c r="AE227" s="146">
        <f t="shared" si="114"/>
        <v>0</v>
      </c>
      <c r="AF227" s="146">
        <f t="shared" si="114"/>
        <v>0</v>
      </c>
      <c r="AG227" s="146">
        <f t="shared" si="114"/>
        <v>0</v>
      </c>
      <c r="AH227" s="146">
        <f t="shared" si="114"/>
        <v>0</v>
      </c>
      <c r="AI227" s="146">
        <f t="shared" si="114"/>
        <v>0</v>
      </c>
      <c r="AJ227" s="146">
        <f t="shared" si="114"/>
        <v>0</v>
      </c>
      <c r="AK227" s="146">
        <f t="shared" si="114"/>
        <v>0</v>
      </c>
      <c r="AL227" s="146">
        <f t="shared" si="114"/>
        <v>0</v>
      </c>
      <c r="AM227" s="146">
        <f t="shared" si="114"/>
        <v>0</v>
      </c>
      <c r="AN227" s="146">
        <f t="shared" si="114"/>
        <v>0</v>
      </c>
      <c r="AO227" s="146">
        <f t="shared" si="114"/>
        <v>0</v>
      </c>
      <c r="AP227" s="146">
        <f t="shared" si="114"/>
        <v>0</v>
      </c>
    </row>
    <row r="228" spans="1:42">
      <c r="A228" s="226" t="str">
        <f>'Inputs &amp; Results'!A67</f>
        <v>Utility</v>
      </c>
      <c r="C228" s="146">
        <f t="shared" ref="C228:AP228" si="115">IF(PBIUtilityStateTax="Yes",0,-C658)</f>
        <v>0</v>
      </c>
      <c r="D228" s="146">
        <f t="shared" si="115"/>
        <v>0</v>
      </c>
      <c r="E228" s="146">
        <f t="shared" si="115"/>
        <v>0</v>
      </c>
      <c r="F228" s="146">
        <f t="shared" si="115"/>
        <v>0</v>
      </c>
      <c r="G228" s="146">
        <f t="shared" si="115"/>
        <v>0</v>
      </c>
      <c r="H228" s="146">
        <f t="shared" si="115"/>
        <v>0</v>
      </c>
      <c r="I228" s="146">
        <f t="shared" si="115"/>
        <v>0</v>
      </c>
      <c r="J228" s="146">
        <f t="shared" si="115"/>
        <v>0</v>
      </c>
      <c r="K228" s="146">
        <f t="shared" si="115"/>
        <v>0</v>
      </c>
      <c r="L228" s="146">
        <f t="shared" si="115"/>
        <v>0</v>
      </c>
      <c r="M228" s="146">
        <f t="shared" si="115"/>
        <v>0</v>
      </c>
      <c r="N228" s="146">
        <f t="shared" si="115"/>
        <v>0</v>
      </c>
      <c r="O228" s="146">
        <f t="shared" si="115"/>
        <v>0</v>
      </c>
      <c r="P228" s="146">
        <f t="shared" si="115"/>
        <v>0</v>
      </c>
      <c r="Q228" s="146">
        <f t="shared" si="115"/>
        <v>0</v>
      </c>
      <c r="R228" s="146">
        <f t="shared" si="115"/>
        <v>0</v>
      </c>
      <c r="S228" s="146">
        <f t="shared" si="115"/>
        <v>0</v>
      </c>
      <c r="T228" s="146">
        <f t="shared" si="115"/>
        <v>0</v>
      </c>
      <c r="U228" s="146">
        <f t="shared" si="115"/>
        <v>0</v>
      </c>
      <c r="V228" s="146">
        <f t="shared" si="115"/>
        <v>0</v>
      </c>
      <c r="W228" s="146">
        <f t="shared" si="115"/>
        <v>0</v>
      </c>
      <c r="X228" s="146">
        <f t="shared" si="115"/>
        <v>0</v>
      </c>
      <c r="Y228" s="146">
        <f t="shared" si="115"/>
        <v>0</v>
      </c>
      <c r="Z228" s="146">
        <f t="shared" si="115"/>
        <v>0</v>
      </c>
      <c r="AA228" s="146">
        <f t="shared" si="115"/>
        <v>0</v>
      </c>
      <c r="AB228" s="146">
        <f t="shared" si="115"/>
        <v>0</v>
      </c>
      <c r="AC228" s="146">
        <f t="shared" si="115"/>
        <v>0</v>
      </c>
      <c r="AD228" s="146">
        <f t="shared" si="115"/>
        <v>0</v>
      </c>
      <c r="AE228" s="146">
        <f t="shared" si="115"/>
        <v>0</v>
      </c>
      <c r="AF228" s="146">
        <f t="shared" si="115"/>
        <v>0</v>
      </c>
      <c r="AG228" s="146">
        <f t="shared" si="115"/>
        <v>0</v>
      </c>
      <c r="AH228" s="146">
        <f t="shared" si="115"/>
        <v>0</v>
      </c>
      <c r="AI228" s="146">
        <f t="shared" si="115"/>
        <v>0</v>
      </c>
      <c r="AJ228" s="146">
        <f t="shared" si="115"/>
        <v>0</v>
      </c>
      <c r="AK228" s="146">
        <f t="shared" si="115"/>
        <v>0</v>
      </c>
      <c r="AL228" s="146">
        <f t="shared" si="115"/>
        <v>0</v>
      </c>
      <c r="AM228" s="146">
        <f t="shared" si="115"/>
        <v>0</v>
      </c>
      <c r="AN228" s="146">
        <f t="shared" si="115"/>
        <v>0</v>
      </c>
      <c r="AO228" s="146">
        <f t="shared" si="115"/>
        <v>0</v>
      </c>
      <c r="AP228" s="146">
        <f t="shared" si="115"/>
        <v>0</v>
      </c>
    </row>
    <row r="229" spans="1:42">
      <c r="A229" s="226" t="str">
        <f>'Inputs &amp; Results'!A68</f>
        <v>Other</v>
      </c>
      <c r="C229" s="225">
        <f t="shared" ref="C229:AP229" si="116">IF(PBIOtherStateTax="Yes",0,-C662)</f>
        <v>0</v>
      </c>
      <c r="D229" s="225">
        <f t="shared" si="116"/>
        <v>0</v>
      </c>
      <c r="E229" s="225">
        <f t="shared" si="116"/>
        <v>0</v>
      </c>
      <c r="F229" s="225">
        <f t="shared" si="116"/>
        <v>0</v>
      </c>
      <c r="G229" s="225">
        <f t="shared" si="116"/>
        <v>0</v>
      </c>
      <c r="H229" s="225">
        <f t="shared" si="116"/>
        <v>0</v>
      </c>
      <c r="I229" s="225">
        <f t="shared" si="116"/>
        <v>0</v>
      </c>
      <c r="J229" s="225">
        <f t="shared" si="116"/>
        <v>0</v>
      </c>
      <c r="K229" s="225">
        <f t="shared" si="116"/>
        <v>0</v>
      </c>
      <c r="L229" s="225">
        <f t="shared" si="116"/>
        <v>0</v>
      </c>
      <c r="M229" s="225">
        <f t="shared" si="116"/>
        <v>0</v>
      </c>
      <c r="N229" s="225">
        <f t="shared" si="116"/>
        <v>0</v>
      </c>
      <c r="O229" s="225">
        <f t="shared" si="116"/>
        <v>0</v>
      </c>
      <c r="P229" s="225">
        <f t="shared" si="116"/>
        <v>0</v>
      </c>
      <c r="Q229" s="225">
        <f t="shared" si="116"/>
        <v>0</v>
      </c>
      <c r="R229" s="225">
        <f t="shared" si="116"/>
        <v>0</v>
      </c>
      <c r="S229" s="225">
        <f t="shared" si="116"/>
        <v>0</v>
      </c>
      <c r="T229" s="225">
        <f t="shared" si="116"/>
        <v>0</v>
      </c>
      <c r="U229" s="225">
        <f t="shared" si="116"/>
        <v>0</v>
      </c>
      <c r="V229" s="225">
        <f t="shared" si="116"/>
        <v>0</v>
      </c>
      <c r="W229" s="225">
        <f t="shared" si="116"/>
        <v>0</v>
      </c>
      <c r="X229" s="225">
        <f t="shared" si="116"/>
        <v>0</v>
      </c>
      <c r="Y229" s="225">
        <f t="shared" si="116"/>
        <v>0</v>
      </c>
      <c r="Z229" s="225">
        <f t="shared" si="116"/>
        <v>0</v>
      </c>
      <c r="AA229" s="225">
        <f t="shared" si="116"/>
        <v>0</v>
      </c>
      <c r="AB229" s="225">
        <f t="shared" si="116"/>
        <v>0</v>
      </c>
      <c r="AC229" s="225">
        <f t="shared" si="116"/>
        <v>0</v>
      </c>
      <c r="AD229" s="225">
        <f t="shared" si="116"/>
        <v>0</v>
      </c>
      <c r="AE229" s="225">
        <f t="shared" si="116"/>
        <v>0</v>
      </c>
      <c r="AF229" s="225">
        <f t="shared" si="116"/>
        <v>0</v>
      </c>
      <c r="AG229" s="225">
        <f t="shared" si="116"/>
        <v>0</v>
      </c>
      <c r="AH229" s="225">
        <f t="shared" si="116"/>
        <v>0</v>
      </c>
      <c r="AI229" s="225">
        <f t="shared" si="116"/>
        <v>0</v>
      </c>
      <c r="AJ229" s="225">
        <f t="shared" si="116"/>
        <v>0</v>
      </c>
      <c r="AK229" s="225">
        <f t="shared" si="116"/>
        <v>0</v>
      </c>
      <c r="AL229" s="225">
        <f t="shared" si="116"/>
        <v>0</v>
      </c>
      <c r="AM229" s="225">
        <f t="shared" si="116"/>
        <v>0</v>
      </c>
      <c r="AN229" s="225">
        <f t="shared" si="116"/>
        <v>0</v>
      </c>
      <c r="AO229" s="225">
        <f t="shared" si="116"/>
        <v>0</v>
      </c>
      <c r="AP229" s="225">
        <f t="shared" si="116"/>
        <v>0</v>
      </c>
    </row>
    <row r="230" spans="1:42">
      <c r="A230" s="226" t="s">
        <v>53</v>
      </c>
      <c r="C230" s="216">
        <f>SUM(C226:C229)</f>
        <v>0</v>
      </c>
      <c r="D230" s="216">
        <f t="shared" ref="D230:AL230" si="117">SUM(D226:D229)</f>
        <v>0</v>
      </c>
      <c r="E230" s="216">
        <f t="shared" si="117"/>
        <v>0</v>
      </c>
      <c r="F230" s="216">
        <f t="shared" si="117"/>
        <v>0</v>
      </c>
      <c r="G230" s="216">
        <f t="shared" si="117"/>
        <v>0</v>
      </c>
      <c r="H230" s="216">
        <f t="shared" si="117"/>
        <v>0</v>
      </c>
      <c r="I230" s="216">
        <f t="shared" si="117"/>
        <v>0</v>
      </c>
      <c r="J230" s="216">
        <f t="shared" si="117"/>
        <v>0</v>
      </c>
      <c r="K230" s="216">
        <f t="shared" si="117"/>
        <v>0</v>
      </c>
      <c r="L230" s="216">
        <f t="shared" si="117"/>
        <v>0</v>
      </c>
      <c r="M230" s="216">
        <f t="shared" si="117"/>
        <v>0</v>
      </c>
      <c r="N230" s="216">
        <f t="shared" si="117"/>
        <v>0</v>
      </c>
      <c r="O230" s="216">
        <f t="shared" si="117"/>
        <v>0</v>
      </c>
      <c r="P230" s="216">
        <f t="shared" si="117"/>
        <v>0</v>
      </c>
      <c r="Q230" s="216">
        <f t="shared" si="117"/>
        <v>0</v>
      </c>
      <c r="R230" s="216">
        <f t="shared" si="117"/>
        <v>0</v>
      </c>
      <c r="S230" s="216">
        <f t="shared" si="117"/>
        <v>0</v>
      </c>
      <c r="T230" s="216">
        <f t="shared" si="117"/>
        <v>0</v>
      </c>
      <c r="U230" s="216">
        <f t="shared" si="117"/>
        <v>0</v>
      </c>
      <c r="V230" s="216">
        <f t="shared" si="117"/>
        <v>0</v>
      </c>
      <c r="W230" s="216">
        <f t="shared" si="117"/>
        <v>0</v>
      </c>
      <c r="X230" s="216">
        <f t="shared" si="117"/>
        <v>0</v>
      </c>
      <c r="Y230" s="216">
        <f t="shared" si="117"/>
        <v>0</v>
      </c>
      <c r="Z230" s="216">
        <f t="shared" si="117"/>
        <v>0</v>
      </c>
      <c r="AA230" s="216">
        <f t="shared" si="117"/>
        <v>0</v>
      </c>
      <c r="AB230" s="216">
        <f t="shared" si="117"/>
        <v>0</v>
      </c>
      <c r="AC230" s="216">
        <f t="shared" si="117"/>
        <v>0</v>
      </c>
      <c r="AD230" s="216">
        <f t="shared" si="117"/>
        <v>0</v>
      </c>
      <c r="AE230" s="216">
        <f t="shared" si="117"/>
        <v>0</v>
      </c>
      <c r="AF230" s="216">
        <f t="shared" si="117"/>
        <v>0</v>
      </c>
      <c r="AG230" s="216">
        <f t="shared" si="117"/>
        <v>0</v>
      </c>
      <c r="AH230" s="216">
        <f t="shared" si="117"/>
        <v>0</v>
      </c>
      <c r="AI230" s="216">
        <f t="shared" si="117"/>
        <v>0</v>
      </c>
      <c r="AJ230" s="216">
        <f t="shared" si="117"/>
        <v>0</v>
      </c>
      <c r="AK230" s="216">
        <f t="shared" si="117"/>
        <v>0</v>
      </c>
      <c r="AL230" s="216">
        <f t="shared" si="117"/>
        <v>0</v>
      </c>
      <c r="AM230" s="216">
        <f>SUM(AM226:AM229)</f>
        <v>0</v>
      </c>
      <c r="AN230" s="216">
        <f t="shared" ref="AN230:AP230" si="118">SUM(AN226:AN229)</f>
        <v>0</v>
      </c>
      <c r="AO230" s="216">
        <f t="shared" si="118"/>
        <v>0</v>
      </c>
      <c r="AP230" s="216">
        <f t="shared" si="118"/>
        <v>0</v>
      </c>
    </row>
    <row r="231" spans="1:42">
      <c r="A231" s="219" t="s">
        <v>132</v>
      </c>
      <c r="C231" s="208">
        <f>C212+C218+C224+C230</f>
        <v>13791229.75</v>
      </c>
      <c r="D231" s="208">
        <f t="shared" ref="D231:AP231" si="119">D212+D218+D224+D230</f>
        <v>0</v>
      </c>
      <c r="E231" s="208">
        <f t="shared" si="119"/>
        <v>0</v>
      </c>
      <c r="F231" s="208">
        <f t="shared" si="119"/>
        <v>0</v>
      </c>
      <c r="G231" s="208">
        <f t="shared" si="119"/>
        <v>0</v>
      </c>
      <c r="H231" s="208">
        <f t="shared" si="119"/>
        <v>0</v>
      </c>
      <c r="I231" s="208">
        <f t="shared" si="119"/>
        <v>0</v>
      </c>
      <c r="J231" s="208">
        <f t="shared" si="119"/>
        <v>0</v>
      </c>
      <c r="K231" s="208">
        <f t="shared" si="119"/>
        <v>0</v>
      </c>
      <c r="L231" s="208">
        <f t="shared" si="119"/>
        <v>0</v>
      </c>
      <c r="M231" s="208">
        <f t="shared" si="119"/>
        <v>0</v>
      </c>
      <c r="N231" s="208">
        <f t="shared" si="119"/>
        <v>0</v>
      </c>
      <c r="O231" s="208">
        <f t="shared" si="119"/>
        <v>0</v>
      </c>
      <c r="P231" s="208">
        <f t="shared" si="119"/>
        <v>0</v>
      </c>
      <c r="Q231" s="208">
        <f t="shared" si="119"/>
        <v>0</v>
      </c>
      <c r="R231" s="208">
        <f t="shared" si="119"/>
        <v>0</v>
      </c>
      <c r="S231" s="208">
        <f t="shared" si="119"/>
        <v>0</v>
      </c>
      <c r="T231" s="208">
        <f t="shared" si="119"/>
        <v>0</v>
      </c>
      <c r="U231" s="208">
        <f t="shared" si="119"/>
        <v>0</v>
      </c>
      <c r="V231" s="208">
        <f t="shared" si="119"/>
        <v>0</v>
      </c>
      <c r="W231" s="208">
        <f t="shared" si="119"/>
        <v>0</v>
      </c>
      <c r="X231" s="208">
        <f t="shared" si="119"/>
        <v>0</v>
      </c>
      <c r="Y231" s="208">
        <f t="shared" si="119"/>
        <v>0</v>
      </c>
      <c r="Z231" s="208">
        <f t="shared" si="119"/>
        <v>0</v>
      </c>
      <c r="AA231" s="208">
        <f t="shared" si="119"/>
        <v>0</v>
      </c>
      <c r="AB231" s="208">
        <f t="shared" si="119"/>
        <v>0</v>
      </c>
      <c r="AC231" s="208">
        <f t="shared" si="119"/>
        <v>0</v>
      </c>
      <c r="AD231" s="208">
        <f t="shared" si="119"/>
        <v>0</v>
      </c>
      <c r="AE231" s="208">
        <f t="shared" si="119"/>
        <v>0</v>
      </c>
      <c r="AF231" s="208">
        <f t="shared" si="119"/>
        <v>0</v>
      </c>
      <c r="AG231" s="208">
        <f t="shared" si="119"/>
        <v>0</v>
      </c>
      <c r="AH231" s="208">
        <f t="shared" si="119"/>
        <v>0</v>
      </c>
      <c r="AI231" s="208">
        <f t="shared" si="119"/>
        <v>0</v>
      </c>
      <c r="AJ231" s="208">
        <f t="shared" si="119"/>
        <v>0</v>
      </c>
      <c r="AK231" s="208">
        <f t="shared" si="119"/>
        <v>0</v>
      </c>
      <c r="AL231" s="208">
        <f t="shared" si="119"/>
        <v>0</v>
      </c>
      <c r="AM231" s="208">
        <f t="shared" si="119"/>
        <v>0</v>
      </c>
      <c r="AN231" s="208">
        <f t="shared" si="119"/>
        <v>0</v>
      </c>
      <c r="AO231" s="208">
        <f t="shared" si="119"/>
        <v>0</v>
      </c>
      <c r="AP231" s="208">
        <f t="shared" si="119"/>
        <v>0</v>
      </c>
    </row>
    <row r="232" spans="1:42">
      <c r="A232" s="226"/>
      <c r="C232" s="208"/>
      <c r="D232" s="208"/>
      <c r="E232" s="208"/>
      <c r="F232" s="208"/>
      <c r="G232" s="208"/>
      <c r="H232" s="208"/>
      <c r="I232" s="208"/>
      <c r="J232" s="208"/>
      <c r="K232" s="208"/>
      <c r="L232" s="208"/>
      <c r="M232" s="208"/>
      <c r="N232" s="208"/>
      <c r="O232" s="208"/>
      <c r="P232" s="208"/>
      <c r="Q232" s="208"/>
      <c r="R232" s="208"/>
      <c r="S232" s="208"/>
      <c r="T232" s="208"/>
      <c r="U232" s="208"/>
      <c r="V232" s="208"/>
      <c r="W232" s="208"/>
      <c r="X232" s="208"/>
      <c r="Y232" s="208"/>
      <c r="Z232" s="208"/>
      <c r="AA232" s="208"/>
      <c r="AB232" s="208"/>
      <c r="AC232" s="208"/>
      <c r="AD232" s="208"/>
      <c r="AE232" s="208"/>
      <c r="AF232" s="208"/>
      <c r="AG232" s="208"/>
      <c r="AH232" s="208"/>
      <c r="AI232" s="208"/>
      <c r="AJ232" s="208"/>
      <c r="AK232" s="208"/>
      <c r="AL232" s="208"/>
      <c r="AM232" s="208"/>
      <c r="AN232" s="208"/>
      <c r="AO232" s="208"/>
      <c r="AP232" s="208"/>
    </row>
    <row r="233" spans="1:42">
      <c r="A233" s="219" t="s">
        <v>133</v>
      </c>
      <c r="C233" s="208">
        <f>C205+C231</f>
        <v>10701151.677799998</v>
      </c>
      <c r="D233" s="208">
        <f t="shared" ref="D233:AP233" si="120">D205+D231</f>
        <v>-5638743.1754780943</v>
      </c>
      <c r="E233" s="208">
        <f t="shared" si="120"/>
        <v>-817887.73308885656</v>
      </c>
      <c r="F233" s="208">
        <f t="shared" si="120"/>
        <v>2095946.5856804848</v>
      </c>
      <c r="G233" s="208">
        <f t="shared" si="120"/>
        <v>2167414.4270049706</v>
      </c>
      <c r="H233" s="208">
        <f t="shared" si="120"/>
        <v>4363540.1781443087</v>
      </c>
      <c r="I233" s="208">
        <f t="shared" si="120"/>
        <v>6556111.272789971</v>
      </c>
      <c r="J233" s="208">
        <f t="shared" si="120"/>
        <v>6629262.264632374</v>
      </c>
      <c r="K233" s="208">
        <f t="shared" si="120"/>
        <v>6674167.0740698101</v>
      </c>
      <c r="L233" s="208">
        <f t="shared" si="120"/>
        <v>6712150.1855506254</v>
      </c>
      <c r="M233" s="208">
        <f t="shared" si="120"/>
        <v>6786006.1031547263</v>
      </c>
      <c r="N233" s="208">
        <f t="shared" si="120"/>
        <v>6241800.1650607204</v>
      </c>
      <c r="O233" s="208">
        <f t="shared" si="120"/>
        <v>5873877.2818279564</v>
      </c>
      <c r="P233" s="208">
        <f t="shared" si="120"/>
        <v>6326685.4256949462</v>
      </c>
      <c r="Q233" s="208">
        <f t="shared" si="120"/>
        <v>5366010.5226654364</v>
      </c>
      <c r="R233" s="208">
        <f t="shared" si="120"/>
        <v>4596759.1273290459</v>
      </c>
      <c r="S233" s="208">
        <f t="shared" si="120"/>
        <v>5673444.6905483715</v>
      </c>
      <c r="T233" s="208">
        <f t="shared" si="120"/>
        <v>6362419.3315457078</v>
      </c>
      <c r="U233" s="208">
        <f t="shared" si="120"/>
        <v>6400539.0240960894</v>
      </c>
      <c r="V233" s="208">
        <f t="shared" si="120"/>
        <v>6834685.3895243797</v>
      </c>
      <c r="W233" s="208">
        <f t="shared" si="120"/>
        <v>7267318.4687829334</v>
      </c>
      <c r="X233" s="208">
        <f t="shared" si="120"/>
        <v>7322252.8866595067</v>
      </c>
      <c r="Y233" s="208">
        <f t="shared" si="120"/>
        <v>7388276.56561903</v>
      </c>
      <c r="Z233" s="208">
        <f t="shared" si="120"/>
        <v>6714986.932211902</v>
      </c>
      <c r="AA233" s="208">
        <f t="shared" si="120"/>
        <v>6252730.1581652407</v>
      </c>
      <c r="AB233" s="208">
        <f t="shared" si="120"/>
        <v>6765266.8561939579</v>
      </c>
      <c r="AC233" s="208">
        <f t="shared" si="120"/>
        <v>7060791.7098141387</v>
      </c>
      <c r="AD233" s="208">
        <f t="shared" si="120"/>
        <v>7076459.2594229104</v>
      </c>
      <c r="AE233" s="208">
        <f t="shared" si="120"/>
        <v>7342101.2174285762</v>
      </c>
      <c r="AF233" s="208">
        <f t="shared" si="120"/>
        <v>10052049.099255363</v>
      </c>
      <c r="AG233" s="208">
        <f t="shared" si="120"/>
        <v>0</v>
      </c>
      <c r="AH233" s="208">
        <f t="shared" si="120"/>
        <v>0</v>
      </c>
      <c r="AI233" s="208">
        <f t="shared" si="120"/>
        <v>0</v>
      </c>
      <c r="AJ233" s="208">
        <f t="shared" si="120"/>
        <v>0</v>
      </c>
      <c r="AK233" s="208">
        <f t="shared" si="120"/>
        <v>0</v>
      </c>
      <c r="AL233" s="208">
        <f t="shared" si="120"/>
        <v>0</v>
      </c>
      <c r="AM233" s="208">
        <f t="shared" si="120"/>
        <v>0</v>
      </c>
      <c r="AN233" s="208">
        <f t="shared" si="120"/>
        <v>0</v>
      </c>
      <c r="AO233" s="208">
        <f t="shared" si="120"/>
        <v>0</v>
      </c>
      <c r="AP233" s="208">
        <f t="shared" si="120"/>
        <v>0</v>
      </c>
    </row>
    <row r="234" spans="1:42">
      <c r="A234" s="219" t="s">
        <v>131</v>
      </c>
      <c r="C234" s="216">
        <f t="shared" ref="C234:AP234" si="121">C233*-StateTax</f>
        <v>-588563.34227899986</v>
      </c>
      <c r="D234" s="216">
        <f t="shared" si="121"/>
        <v>310130.87465129519</v>
      </c>
      <c r="E234" s="216">
        <f t="shared" si="121"/>
        <v>44983.82531988711</v>
      </c>
      <c r="F234" s="216">
        <f t="shared" si="121"/>
        <v>-115277.06221242667</v>
      </c>
      <c r="G234" s="216">
        <f t="shared" si="121"/>
        <v>-119207.79348527339</v>
      </c>
      <c r="H234" s="216">
        <f t="shared" si="121"/>
        <v>-239994.70979793699</v>
      </c>
      <c r="I234" s="216">
        <f t="shared" si="121"/>
        <v>-360586.12000344839</v>
      </c>
      <c r="J234" s="216">
        <f t="shared" si="121"/>
        <v>-364609.42455478059</v>
      </c>
      <c r="K234" s="216">
        <f t="shared" si="121"/>
        <v>-367079.18907383957</v>
      </c>
      <c r="L234" s="216">
        <f t="shared" si="121"/>
        <v>-369168.2602052844</v>
      </c>
      <c r="M234" s="216">
        <f t="shared" si="121"/>
        <v>-373230.33567350992</v>
      </c>
      <c r="N234" s="216">
        <f t="shared" si="121"/>
        <v>-343299.00907833962</v>
      </c>
      <c r="O234" s="216">
        <f t="shared" si="121"/>
        <v>-323063.25050053763</v>
      </c>
      <c r="P234" s="216">
        <f t="shared" si="121"/>
        <v>-347967.69841322204</v>
      </c>
      <c r="Q234" s="216">
        <f t="shared" si="121"/>
        <v>-295130.57874659903</v>
      </c>
      <c r="R234" s="216">
        <f t="shared" si="121"/>
        <v>-252821.75200309753</v>
      </c>
      <c r="S234" s="216">
        <f t="shared" si="121"/>
        <v>-312039.45798016043</v>
      </c>
      <c r="T234" s="216">
        <f t="shared" si="121"/>
        <v>-349933.06323501392</v>
      </c>
      <c r="U234" s="216">
        <f t="shared" si="121"/>
        <v>-352029.64632528491</v>
      </c>
      <c r="V234" s="216">
        <f t="shared" si="121"/>
        <v>-375907.69642384088</v>
      </c>
      <c r="W234" s="216">
        <f t="shared" si="121"/>
        <v>-399702.51578306133</v>
      </c>
      <c r="X234" s="216">
        <f t="shared" si="121"/>
        <v>-402723.90876627289</v>
      </c>
      <c r="Y234" s="216">
        <f t="shared" si="121"/>
        <v>-406355.21110904665</v>
      </c>
      <c r="Z234" s="216">
        <f t="shared" si="121"/>
        <v>-369324.28127165459</v>
      </c>
      <c r="AA234" s="216">
        <f t="shared" si="121"/>
        <v>-343900.15869908826</v>
      </c>
      <c r="AB234" s="216">
        <f t="shared" si="121"/>
        <v>-372089.67709066771</v>
      </c>
      <c r="AC234" s="216">
        <f t="shared" si="121"/>
        <v>-388343.54403977765</v>
      </c>
      <c r="AD234" s="216">
        <f t="shared" si="121"/>
        <v>-389205.2592682601</v>
      </c>
      <c r="AE234" s="216">
        <f t="shared" si="121"/>
        <v>-403815.56695857167</v>
      </c>
      <c r="AF234" s="216">
        <f t="shared" si="121"/>
        <v>-552862.70045904489</v>
      </c>
      <c r="AG234" s="216">
        <f t="shared" si="121"/>
        <v>0</v>
      </c>
      <c r="AH234" s="216">
        <f t="shared" si="121"/>
        <v>0</v>
      </c>
      <c r="AI234" s="216">
        <f t="shared" si="121"/>
        <v>0</v>
      </c>
      <c r="AJ234" s="216">
        <f t="shared" si="121"/>
        <v>0</v>
      </c>
      <c r="AK234" s="216">
        <f t="shared" si="121"/>
        <v>0</v>
      </c>
      <c r="AL234" s="216">
        <f t="shared" si="121"/>
        <v>0</v>
      </c>
      <c r="AM234" s="216">
        <f t="shared" si="121"/>
        <v>0</v>
      </c>
      <c r="AN234" s="216">
        <f t="shared" si="121"/>
        <v>0</v>
      </c>
      <c r="AO234" s="216">
        <f t="shared" si="121"/>
        <v>0</v>
      </c>
      <c r="AP234" s="216">
        <f t="shared" si="121"/>
        <v>0</v>
      </c>
    </row>
    <row r="235" spans="1:42" s="119" customFormat="1">
      <c r="A235" s="42"/>
    </row>
    <row r="236" spans="1:42" s="119" customFormat="1">
      <c r="A236" s="217" t="s">
        <v>120</v>
      </c>
    </row>
    <row r="237" spans="1:42" s="119" customFormat="1">
      <c r="A237" s="42" t="s">
        <v>117</v>
      </c>
      <c r="C237" s="220">
        <f>C$43</f>
        <v>6433806.5606211331</v>
      </c>
      <c r="D237" s="220">
        <f t="shared" ref="D237:AP237" si="122">D$43</f>
        <v>6475024.6597927697</v>
      </c>
      <c r="E237" s="220">
        <f t="shared" si="122"/>
        <v>6516250.7063521035</v>
      </c>
      <c r="F237" s="220">
        <f t="shared" si="122"/>
        <v>6557482.1757178409</v>
      </c>
      <c r="G237" s="220">
        <f t="shared" si="122"/>
        <v>6598716.4765883237</v>
      </c>
      <c r="H237" s="220">
        <f t="shared" si="122"/>
        <v>6639950.9494381966</v>
      </c>
      <c r="I237" s="220">
        <f t="shared" si="122"/>
        <v>6681182.8649818655</v>
      </c>
      <c r="J237" s="220">
        <f t="shared" si="122"/>
        <v>6722409.4226029636</v>
      </c>
      <c r="K237" s="220">
        <f t="shared" si="122"/>
        <v>6763627.7487491388</v>
      </c>
      <c r="L237" s="220">
        <f t="shared" si="122"/>
        <v>6804834.8952913042</v>
      </c>
      <c r="M237" s="220">
        <f t="shared" si="122"/>
        <v>6846027.8378466405</v>
      </c>
      <c r="N237" s="220">
        <f t="shared" si="122"/>
        <v>6887203.4740645112</v>
      </c>
      <c r="O237" s="220">
        <f t="shared" si="122"/>
        <v>6928358.6218744637</v>
      </c>
      <c r="P237" s="220">
        <f t="shared" si="122"/>
        <v>6969490.0176954679</v>
      </c>
      <c r="Q237" s="220">
        <f t="shared" si="122"/>
        <v>7010594.3146055676</v>
      </c>
      <c r="R237" s="220">
        <f t="shared" si="122"/>
        <v>7051668.0804710137</v>
      </c>
      <c r="S237" s="220">
        <f t="shared" si="122"/>
        <v>7092707.796034039</v>
      </c>
      <c r="T237" s="220">
        <f t="shared" si="122"/>
        <v>7133709.852958262</v>
      </c>
      <c r="U237" s="220">
        <f t="shared" si="122"/>
        <v>7174670.5518309092</v>
      </c>
      <c r="V237" s="220">
        <f t="shared" si="122"/>
        <v>7215586.1001207568</v>
      </c>
      <c r="W237" s="220">
        <f t="shared" si="122"/>
        <v>7256452.6100909179</v>
      </c>
      <c r="X237" s="220">
        <f t="shared" si="122"/>
        <v>7282935.1744778911</v>
      </c>
      <c r="Y237" s="220">
        <f t="shared" si="122"/>
        <v>7309360.6308734044</v>
      </c>
      <c r="Z237" s="220">
        <f t="shared" si="122"/>
        <v>7335724.792932936</v>
      </c>
      <c r="AA237" s="220">
        <f t="shared" si="122"/>
        <v>7362023.3702849401</v>
      </c>
      <c r="AB237" s="220">
        <f t="shared" si="122"/>
        <v>7388251.9662020244</v>
      </c>
      <c r="AC237" s="220">
        <f t="shared" si="122"/>
        <v>7414406.0752206314</v>
      </c>
      <c r="AD237" s="220">
        <f t="shared" si="122"/>
        <v>7440481.0807079338</v>
      </c>
      <c r="AE237" s="220">
        <f t="shared" si="122"/>
        <v>7466472.2523748623</v>
      </c>
      <c r="AF237" s="220">
        <f t="shared" si="122"/>
        <v>11515089.743733983</v>
      </c>
      <c r="AG237" s="220">
        <f t="shared" si="122"/>
        <v>0</v>
      </c>
      <c r="AH237" s="220">
        <f t="shared" si="122"/>
        <v>0</v>
      </c>
      <c r="AI237" s="220">
        <f t="shared" si="122"/>
        <v>0</v>
      </c>
      <c r="AJ237" s="220">
        <f t="shared" si="122"/>
        <v>0</v>
      </c>
      <c r="AK237" s="220">
        <f t="shared" si="122"/>
        <v>0</v>
      </c>
      <c r="AL237" s="220">
        <f t="shared" si="122"/>
        <v>0</v>
      </c>
      <c r="AM237" s="220">
        <f t="shared" si="122"/>
        <v>0</v>
      </c>
      <c r="AN237" s="220">
        <f t="shared" si="122"/>
        <v>0</v>
      </c>
      <c r="AO237" s="220">
        <f t="shared" si="122"/>
        <v>0</v>
      </c>
      <c r="AP237" s="220">
        <f t="shared" si="122"/>
        <v>0</v>
      </c>
    </row>
    <row r="238" spans="1:42" s="119" customFormat="1">
      <c r="A238" s="42" t="s">
        <v>130</v>
      </c>
      <c r="C238" s="220">
        <f t="shared" ref="C238:AP238" si="123">C771</f>
        <v>2625.0000000000005</v>
      </c>
      <c r="D238" s="220">
        <f t="shared" si="123"/>
        <v>14705.811846654169</v>
      </c>
      <c r="E238" s="220">
        <f t="shared" si="123"/>
        <v>26786.623693308338</v>
      </c>
      <c r="F238" s="220">
        <f t="shared" si="123"/>
        <v>37064.541789962517</v>
      </c>
      <c r="G238" s="220">
        <f t="shared" si="123"/>
        <v>49172.804722215893</v>
      </c>
      <c r="H238" s="220">
        <f t="shared" si="123"/>
        <v>61281.067654469291</v>
      </c>
      <c r="I238" s="220">
        <f t="shared" si="123"/>
        <v>71504.083579925034</v>
      </c>
      <c r="J238" s="220">
        <f t="shared" si="123"/>
        <v>83641.051518759807</v>
      </c>
      <c r="K238" s="220">
        <f t="shared" si="123"/>
        <v>95778.01945759455</v>
      </c>
      <c r="L238" s="220">
        <f t="shared" si="123"/>
        <v>105943.62536988755</v>
      </c>
      <c r="M238" s="220">
        <f t="shared" si="123"/>
        <v>118110.60951335869</v>
      </c>
      <c r="N238" s="220">
        <f t="shared" si="123"/>
        <v>130277.59365682983</v>
      </c>
      <c r="O238" s="220">
        <f t="shared" si="123"/>
        <v>88847.901148577046</v>
      </c>
      <c r="P238" s="220">
        <f t="shared" si="123"/>
        <v>101886.37546337843</v>
      </c>
      <c r="Q238" s="220">
        <f t="shared" si="123"/>
        <v>114924.84977817982</v>
      </c>
      <c r="R238" s="220">
        <f t="shared" si="123"/>
        <v>18029.125128545482</v>
      </c>
      <c r="S238" s="220">
        <f t="shared" si="123"/>
        <v>32898.398355727615</v>
      </c>
      <c r="T238" s="220">
        <f t="shared" si="123"/>
        <v>47767.671582909745</v>
      </c>
      <c r="U238" s="220">
        <f t="shared" si="123"/>
        <v>60382.909231071135</v>
      </c>
      <c r="V238" s="220">
        <f t="shared" si="123"/>
        <v>75286.502685733882</v>
      </c>
      <c r="W238" s="220">
        <f t="shared" si="123"/>
        <v>90190.096140396621</v>
      </c>
      <c r="X238" s="220">
        <f t="shared" si="123"/>
        <v>102736.69333359678</v>
      </c>
      <c r="Y238" s="220">
        <f t="shared" si="123"/>
        <v>117676.17470796108</v>
      </c>
      <c r="Z238" s="220">
        <f t="shared" si="123"/>
        <v>132615.65608232541</v>
      </c>
      <c r="AA238" s="220">
        <f t="shared" si="123"/>
        <v>83473.976921940499</v>
      </c>
      <c r="AB238" s="220">
        <f t="shared" si="123"/>
        <v>93316.277141678642</v>
      </c>
      <c r="AC238" s="220">
        <f t="shared" si="123"/>
        <v>103158.57736141678</v>
      </c>
      <c r="AD238" s="220">
        <f t="shared" si="123"/>
        <v>110423.63589592067</v>
      </c>
      <c r="AE238" s="220">
        <f t="shared" si="123"/>
        <v>120305.1775197134</v>
      </c>
      <c r="AF238" s="220">
        <f t="shared" si="123"/>
        <v>130186.71914350611</v>
      </c>
      <c r="AG238" s="220">
        <f t="shared" si="123"/>
        <v>0</v>
      </c>
      <c r="AH238" s="220">
        <f t="shared" si="123"/>
        <v>0</v>
      </c>
      <c r="AI238" s="220">
        <f t="shared" si="123"/>
        <v>0</v>
      </c>
      <c r="AJ238" s="220">
        <f t="shared" si="123"/>
        <v>0</v>
      </c>
      <c r="AK238" s="220">
        <f t="shared" si="123"/>
        <v>0</v>
      </c>
      <c r="AL238" s="220">
        <f t="shared" si="123"/>
        <v>0</v>
      </c>
      <c r="AM238" s="220">
        <f t="shared" si="123"/>
        <v>0</v>
      </c>
      <c r="AN238" s="220">
        <f t="shared" si="123"/>
        <v>0</v>
      </c>
      <c r="AO238" s="220">
        <f t="shared" si="123"/>
        <v>0</v>
      </c>
      <c r="AP238" s="220">
        <f t="shared" si="123"/>
        <v>0</v>
      </c>
    </row>
    <row r="239" spans="1:42" s="42" customFormat="1">
      <c r="A239" s="42" t="s">
        <v>121</v>
      </c>
      <c r="B239" s="119"/>
      <c r="C239" s="146">
        <f t="shared" ref="C239:AP239" si="124">IF(C$2&lt;=AnalysisPeriod,-C457-C488-C514-C540,0)</f>
        <v>-11100955.769621136</v>
      </c>
      <c r="D239" s="146">
        <f t="shared" si="124"/>
        <v>-11500695.192397518</v>
      </c>
      <c r="E239" s="146">
        <f t="shared" si="124"/>
        <v>-6984257.9903022693</v>
      </c>
      <c r="F239" s="146">
        <f t="shared" si="124"/>
        <v>-4272599.8881281195</v>
      </c>
      <c r="G239" s="146">
        <f t="shared" si="124"/>
        <v>-4254474.6106063696</v>
      </c>
      <c r="H239" s="146">
        <f t="shared" si="124"/>
        <v>-2224691.7170987572</v>
      </c>
      <c r="I239" s="146">
        <f t="shared" si="124"/>
        <v>-196575.67577181919</v>
      </c>
      <c r="J239" s="146">
        <f t="shared" si="124"/>
        <v>-176788.20948934922</v>
      </c>
      <c r="K239" s="146">
        <f t="shared" si="124"/>
        <v>-185238.69413692335</v>
      </c>
      <c r="L239" s="146">
        <f t="shared" si="124"/>
        <v>-198628.33511056702</v>
      </c>
      <c r="M239" s="146">
        <f t="shared" si="124"/>
        <v>-178132.34420527311</v>
      </c>
      <c r="N239" s="146">
        <f t="shared" si="124"/>
        <v>-775680.9026606204</v>
      </c>
      <c r="O239" s="146">
        <f t="shared" si="124"/>
        <v>-1143329.2411950845</v>
      </c>
      <c r="P239" s="146">
        <f t="shared" si="124"/>
        <v>-744690.96746390057</v>
      </c>
      <c r="Q239" s="146">
        <f t="shared" si="124"/>
        <v>-1759508.6417183115</v>
      </c>
      <c r="R239" s="146">
        <f t="shared" si="124"/>
        <v>-2472938.0782705136</v>
      </c>
      <c r="S239" s="146">
        <f t="shared" si="124"/>
        <v>-1452161.5038413955</v>
      </c>
      <c r="T239" s="146">
        <f t="shared" si="124"/>
        <v>-819058.19299546315</v>
      </c>
      <c r="U239" s="146">
        <f t="shared" si="124"/>
        <v>-834514.43696589104</v>
      </c>
      <c r="V239" s="146">
        <f t="shared" si="124"/>
        <v>-456187.21328211098</v>
      </c>
      <c r="W239" s="146">
        <f t="shared" si="124"/>
        <v>-79324.2374483811</v>
      </c>
      <c r="X239" s="146">
        <f t="shared" si="124"/>
        <v>-63418.981151981723</v>
      </c>
      <c r="Y239" s="146">
        <f t="shared" si="124"/>
        <v>-38760.239962335647</v>
      </c>
      <c r="Z239" s="146">
        <f t="shared" si="124"/>
        <v>-753353.5168033595</v>
      </c>
      <c r="AA239" s="146">
        <f t="shared" si="124"/>
        <v>-1192767.1890416397</v>
      </c>
      <c r="AB239" s="146">
        <f t="shared" si="124"/>
        <v>-716301.38714974571</v>
      </c>
      <c r="AC239" s="146">
        <f t="shared" si="124"/>
        <v>-456772.94276790973</v>
      </c>
      <c r="AD239" s="146">
        <f t="shared" si="124"/>
        <v>-474445.45718094462</v>
      </c>
      <c r="AE239" s="146">
        <f t="shared" si="124"/>
        <v>-244676.21246599956</v>
      </c>
      <c r="AF239" s="146">
        <f t="shared" si="124"/>
        <v>-1593227.3636221269</v>
      </c>
      <c r="AG239" s="146">
        <f t="shared" si="124"/>
        <v>0</v>
      </c>
      <c r="AH239" s="146">
        <f t="shared" si="124"/>
        <v>0</v>
      </c>
      <c r="AI239" s="146">
        <f t="shared" si="124"/>
        <v>0</v>
      </c>
      <c r="AJ239" s="146">
        <f t="shared" si="124"/>
        <v>0</v>
      </c>
      <c r="AK239" s="146">
        <f t="shared" si="124"/>
        <v>0</v>
      </c>
      <c r="AL239" s="146">
        <f t="shared" si="124"/>
        <v>0</v>
      </c>
      <c r="AM239" s="146">
        <f t="shared" si="124"/>
        <v>0</v>
      </c>
      <c r="AN239" s="146">
        <f t="shared" si="124"/>
        <v>0</v>
      </c>
      <c r="AO239" s="146">
        <f t="shared" si="124"/>
        <v>0</v>
      </c>
      <c r="AP239" s="146">
        <f t="shared" si="124"/>
        <v>0</v>
      </c>
    </row>
    <row r="240" spans="1:42" s="119" customFormat="1">
      <c r="A240" s="42" t="s">
        <v>131</v>
      </c>
      <c r="C240" s="225">
        <f>C234</f>
        <v>-588563.34227899986</v>
      </c>
      <c r="D240" s="225">
        <f t="shared" ref="D240:AP240" si="125">D234</f>
        <v>310130.87465129519</v>
      </c>
      <c r="E240" s="225">
        <f t="shared" si="125"/>
        <v>44983.82531988711</v>
      </c>
      <c r="F240" s="225">
        <f t="shared" si="125"/>
        <v>-115277.06221242667</v>
      </c>
      <c r="G240" s="225">
        <f t="shared" si="125"/>
        <v>-119207.79348527339</v>
      </c>
      <c r="H240" s="225">
        <f t="shared" si="125"/>
        <v>-239994.70979793699</v>
      </c>
      <c r="I240" s="225">
        <f t="shared" si="125"/>
        <v>-360586.12000344839</v>
      </c>
      <c r="J240" s="225">
        <f t="shared" si="125"/>
        <v>-364609.42455478059</v>
      </c>
      <c r="K240" s="225">
        <f t="shared" si="125"/>
        <v>-367079.18907383957</v>
      </c>
      <c r="L240" s="225">
        <f t="shared" si="125"/>
        <v>-369168.2602052844</v>
      </c>
      <c r="M240" s="225">
        <f t="shared" si="125"/>
        <v>-373230.33567350992</v>
      </c>
      <c r="N240" s="225">
        <f t="shared" si="125"/>
        <v>-343299.00907833962</v>
      </c>
      <c r="O240" s="225">
        <f t="shared" si="125"/>
        <v>-323063.25050053763</v>
      </c>
      <c r="P240" s="225">
        <f t="shared" si="125"/>
        <v>-347967.69841322204</v>
      </c>
      <c r="Q240" s="225">
        <f t="shared" si="125"/>
        <v>-295130.57874659903</v>
      </c>
      <c r="R240" s="225">
        <f t="shared" si="125"/>
        <v>-252821.75200309753</v>
      </c>
      <c r="S240" s="225">
        <f t="shared" si="125"/>
        <v>-312039.45798016043</v>
      </c>
      <c r="T240" s="225">
        <f t="shared" si="125"/>
        <v>-349933.06323501392</v>
      </c>
      <c r="U240" s="225">
        <f t="shared" si="125"/>
        <v>-352029.64632528491</v>
      </c>
      <c r="V240" s="225">
        <f t="shared" si="125"/>
        <v>-375907.69642384088</v>
      </c>
      <c r="W240" s="225">
        <f t="shared" si="125"/>
        <v>-399702.51578306133</v>
      </c>
      <c r="X240" s="225">
        <f t="shared" si="125"/>
        <v>-402723.90876627289</v>
      </c>
      <c r="Y240" s="225">
        <f t="shared" si="125"/>
        <v>-406355.21110904665</v>
      </c>
      <c r="Z240" s="225">
        <f t="shared" si="125"/>
        <v>-369324.28127165459</v>
      </c>
      <c r="AA240" s="225">
        <f t="shared" si="125"/>
        <v>-343900.15869908826</v>
      </c>
      <c r="AB240" s="225">
        <f t="shared" si="125"/>
        <v>-372089.67709066771</v>
      </c>
      <c r="AC240" s="225">
        <f t="shared" si="125"/>
        <v>-388343.54403977765</v>
      </c>
      <c r="AD240" s="225">
        <f t="shared" si="125"/>
        <v>-389205.2592682601</v>
      </c>
      <c r="AE240" s="225">
        <f t="shared" si="125"/>
        <v>-403815.56695857167</v>
      </c>
      <c r="AF240" s="225">
        <f t="shared" si="125"/>
        <v>-552862.70045904489</v>
      </c>
      <c r="AG240" s="225">
        <f t="shared" si="125"/>
        <v>0</v>
      </c>
      <c r="AH240" s="225">
        <f t="shared" si="125"/>
        <v>0</v>
      </c>
      <c r="AI240" s="225">
        <f t="shared" si="125"/>
        <v>0</v>
      </c>
      <c r="AJ240" s="225">
        <f t="shared" si="125"/>
        <v>0</v>
      </c>
      <c r="AK240" s="225">
        <f t="shared" si="125"/>
        <v>0</v>
      </c>
      <c r="AL240" s="225">
        <f t="shared" si="125"/>
        <v>0</v>
      </c>
      <c r="AM240" s="225">
        <f t="shared" si="125"/>
        <v>0</v>
      </c>
      <c r="AN240" s="225">
        <f t="shared" si="125"/>
        <v>0</v>
      </c>
      <c r="AO240" s="225">
        <f t="shared" si="125"/>
        <v>0</v>
      </c>
      <c r="AP240" s="225">
        <f t="shared" si="125"/>
        <v>0</v>
      </c>
    </row>
    <row r="241" spans="1:42" s="119" customFormat="1">
      <c r="A241" s="42" t="s">
        <v>119</v>
      </c>
      <c r="C241" s="220">
        <f>SUM(C237:C240)</f>
        <v>-5253087.5512790028</v>
      </c>
      <c r="D241" s="220">
        <f t="shared" ref="D241:AP241" si="126">SUM(D237:D240)</f>
        <v>-4700833.8461067993</v>
      </c>
      <c r="E241" s="220">
        <f t="shared" si="126"/>
        <v>-396236.83493696991</v>
      </c>
      <c r="F241" s="220">
        <f t="shared" si="126"/>
        <v>2206669.7671672576</v>
      </c>
      <c r="G241" s="220">
        <f t="shared" si="126"/>
        <v>2274206.8772188965</v>
      </c>
      <c r="H241" s="220">
        <f t="shared" si="126"/>
        <v>4236545.5901959706</v>
      </c>
      <c r="I241" s="220">
        <f t="shared" si="126"/>
        <v>6195525.1527865222</v>
      </c>
      <c r="J241" s="220">
        <f t="shared" si="126"/>
        <v>6264652.8400775939</v>
      </c>
      <c r="K241" s="220">
        <f t="shared" si="126"/>
        <v>6307087.8849959709</v>
      </c>
      <c r="L241" s="220">
        <f t="shared" si="126"/>
        <v>6342981.9253453407</v>
      </c>
      <c r="M241" s="220">
        <f t="shared" si="126"/>
        <v>6412775.7674812162</v>
      </c>
      <c r="N241" s="220">
        <f t="shared" si="126"/>
        <v>5898501.1559823807</v>
      </c>
      <c r="O241" s="220">
        <f t="shared" si="126"/>
        <v>5550814.031327419</v>
      </c>
      <c r="P241" s="220">
        <f t="shared" si="126"/>
        <v>5978717.7272817241</v>
      </c>
      <c r="Q241" s="220">
        <f t="shared" si="126"/>
        <v>5070879.9439188372</v>
      </c>
      <c r="R241" s="220">
        <f t="shared" si="126"/>
        <v>4343937.375325948</v>
      </c>
      <c r="S241" s="220">
        <f t="shared" si="126"/>
        <v>5361405.2325682109</v>
      </c>
      <c r="T241" s="220">
        <f t="shared" si="126"/>
        <v>6012486.268310694</v>
      </c>
      <c r="U241" s="220">
        <f t="shared" si="126"/>
        <v>6048509.3777708048</v>
      </c>
      <c r="V241" s="220">
        <f t="shared" si="126"/>
        <v>6458777.693100539</v>
      </c>
      <c r="W241" s="220">
        <f t="shared" si="126"/>
        <v>6867615.9529998722</v>
      </c>
      <c r="X241" s="220">
        <f t="shared" si="126"/>
        <v>6919528.9778932342</v>
      </c>
      <c r="Y241" s="220">
        <f t="shared" si="126"/>
        <v>6981921.3545099832</v>
      </c>
      <c r="Z241" s="220">
        <f t="shared" si="126"/>
        <v>6345662.6509402478</v>
      </c>
      <c r="AA241" s="220">
        <f t="shared" si="126"/>
        <v>5908829.9994661529</v>
      </c>
      <c r="AB241" s="220">
        <f t="shared" si="126"/>
        <v>6393177.1791032897</v>
      </c>
      <c r="AC241" s="220">
        <f t="shared" si="126"/>
        <v>6672448.1657743612</v>
      </c>
      <c r="AD241" s="220">
        <f t="shared" si="126"/>
        <v>6687254.0001546498</v>
      </c>
      <c r="AE241" s="220">
        <f t="shared" si="126"/>
        <v>6938285.6504700044</v>
      </c>
      <c r="AF241" s="220">
        <f t="shared" si="126"/>
        <v>9499186.3987963181</v>
      </c>
      <c r="AG241" s="220">
        <f t="shared" si="126"/>
        <v>0</v>
      </c>
      <c r="AH241" s="220">
        <f t="shared" si="126"/>
        <v>0</v>
      </c>
      <c r="AI241" s="220">
        <f t="shared" si="126"/>
        <v>0</v>
      </c>
      <c r="AJ241" s="220">
        <f t="shared" si="126"/>
        <v>0</v>
      </c>
      <c r="AK241" s="220">
        <f t="shared" si="126"/>
        <v>0</v>
      </c>
      <c r="AL241" s="220">
        <f t="shared" si="126"/>
        <v>0</v>
      </c>
      <c r="AM241" s="220">
        <f t="shared" si="126"/>
        <v>0</v>
      </c>
      <c r="AN241" s="220">
        <f t="shared" si="126"/>
        <v>0</v>
      </c>
      <c r="AO241" s="220">
        <f t="shared" si="126"/>
        <v>0</v>
      </c>
      <c r="AP241" s="220">
        <f t="shared" si="126"/>
        <v>0</v>
      </c>
    </row>
    <row r="242" spans="1:42" s="119" customFormat="1">
      <c r="A242" s="42" t="str">
        <f>'Inputs &amp; Results'!A48</f>
        <v>Investment Based Incentive (IBI)</v>
      </c>
    </row>
    <row r="243" spans="1:42" s="119" customFormat="1">
      <c r="A243" s="226" t="str">
        <f>'Inputs &amp; Results'!A49</f>
        <v>Fixed Amount ($)</v>
      </c>
    </row>
    <row r="244" spans="1:42" s="119" customFormat="1">
      <c r="A244" s="227" t="str">
        <f>'Inputs &amp; Results'!A50</f>
        <v>Federal</v>
      </c>
      <c r="C244" s="220">
        <f>IF(IBIFedFixedFedTax="Yes",C628,0)</f>
        <v>1000</v>
      </c>
    </row>
    <row r="245" spans="1:42" s="119" customFormat="1">
      <c r="A245" s="227" t="str">
        <f>'Inputs &amp; Results'!A51</f>
        <v>State</v>
      </c>
      <c r="C245" s="220">
        <f>IF(IBIStateFixedFedTax="Yes",C629,0)</f>
        <v>2000</v>
      </c>
    </row>
    <row r="246" spans="1:42" s="119" customFormat="1">
      <c r="A246" s="227" t="str">
        <f>'Inputs &amp; Results'!A52</f>
        <v>Utility</v>
      </c>
      <c r="C246" s="220">
        <f>IF(IBIUtilityFixedFedTax="Yes",C630,0)</f>
        <v>500</v>
      </c>
    </row>
    <row r="247" spans="1:42">
      <c r="A247" s="227" t="str">
        <f>'Inputs &amp; Results'!A53</f>
        <v>Other</v>
      </c>
      <c r="C247" s="225">
        <f>IF(IBIOtherFixedFedTax="Yes",C631,0)</f>
        <v>250</v>
      </c>
      <c r="D247" s="208"/>
      <c r="E247" s="208"/>
      <c r="F247" s="208"/>
      <c r="G247" s="208"/>
      <c r="H247" s="208"/>
      <c r="I247" s="208"/>
      <c r="J247" s="208"/>
      <c r="K247" s="208"/>
      <c r="L247" s="208"/>
      <c r="M247" s="208"/>
      <c r="N247" s="208"/>
      <c r="O247" s="208"/>
      <c r="P247" s="208"/>
      <c r="Q247" s="208"/>
      <c r="R247" s="208"/>
      <c r="S247" s="208"/>
      <c r="T247" s="208"/>
      <c r="U247" s="208"/>
      <c r="V247" s="208"/>
      <c r="W247" s="208"/>
      <c r="X247" s="208"/>
      <c r="Y247" s="208"/>
      <c r="Z247" s="208"/>
      <c r="AA247" s="208"/>
      <c r="AB247" s="208"/>
      <c r="AC247" s="208"/>
      <c r="AD247" s="208"/>
      <c r="AE247" s="208"/>
      <c r="AF247" s="208"/>
      <c r="AG247" s="208"/>
      <c r="AH247" s="208"/>
      <c r="AI247" s="208"/>
      <c r="AJ247" s="208"/>
      <c r="AK247" s="208"/>
      <c r="AL247" s="208"/>
      <c r="AM247" s="208"/>
      <c r="AN247" s="208"/>
      <c r="AO247" s="208"/>
      <c r="AP247" s="208"/>
    </row>
    <row r="248" spans="1:42">
      <c r="A248" s="227" t="s">
        <v>53</v>
      </c>
      <c r="C248" s="208">
        <f>SUM(C244:C247)</f>
        <v>3750</v>
      </c>
      <c r="D248" s="208"/>
      <c r="E248" s="208"/>
      <c r="F248" s="208"/>
      <c r="G248" s="208"/>
      <c r="H248" s="208"/>
      <c r="I248" s="208"/>
      <c r="J248" s="208"/>
      <c r="K248" s="208"/>
      <c r="L248" s="208"/>
      <c r="M248" s="208"/>
      <c r="N248" s="208"/>
      <c r="O248" s="208"/>
      <c r="P248" s="208"/>
      <c r="Q248" s="208"/>
      <c r="R248" s="208"/>
      <c r="S248" s="208"/>
      <c r="T248" s="208"/>
      <c r="U248" s="208"/>
      <c r="V248" s="208"/>
      <c r="W248" s="208"/>
      <c r="X248" s="208"/>
      <c r="Y248" s="208"/>
      <c r="Z248" s="208"/>
      <c r="AA248" s="208"/>
      <c r="AB248" s="208"/>
      <c r="AC248" s="208"/>
      <c r="AD248" s="208"/>
      <c r="AE248" s="208"/>
      <c r="AF248" s="208"/>
      <c r="AG248" s="208"/>
      <c r="AH248" s="208"/>
      <c r="AI248" s="208"/>
      <c r="AJ248" s="208"/>
      <c r="AK248" s="208"/>
      <c r="AL248" s="208"/>
      <c r="AM248" s="208"/>
      <c r="AN248" s="208"/>
      <c r="AO248" s="208"/>
      <c r="AP248" s="208"/>
    </row>
    <row r="249" spans="1:42">
      <c r="A249" s="226" t="str">
        <f>'Inputs &amp; Results'!A54</f>
        <v>Percentage of Pre-Financing Costs</v>
      </c>
      <c r="C249" s="208"/>
      <c r="D249" s="208"/>
      <c r="E249" s="208"/>
      <c r="F249" s="208"/>
      <c r="G249" s="208"/>
      <c r="H249" s="208"/>
      <c r="I249" s="208"/>
      <c r="J249" s="208"/>
      <c r="K249" s="208"/>
      <c r="L249" s="208"/>
      <c r="M249" s="208"/>
      <c r="N249" s="208"/>
      <c r="O249" s="208"/>
      <c r="P249" s="208"/>
      <c r="Q249" s="208"/>
      <c r="R249" s="208"/>
      <c r="S249" s="208"/>
      <c r="T249" s="208"/>
      <c r="U249" s="208"/>
      <c r="V249" s="208"/>
      <c r="W249" s="208"/>
      <c r="X249" s="208"/>
      <c r="Y249" s="208"/>
      <c r="Z249" s="208"/>
      <c r="AA249" s="208"/>
      <c r="AB249" s="208"/>
      <c r="AC249" s="208"/>
      <c r="AD249" s="208"/>
      <c r="AE249" s="208"/>
      <c r="AF249" s="208"/>
      <c r="AG249" s="208"/>
      <c r="AH249" s="208"/>
      <c r="AI249" s="208"/>
      <c r="AJ249" s="208"/>
      <c r="AK249" s="208"/>
      <c r="AL249" s="208"/>
      <c r="AM249" s="208"/>
      <c r="AN249" s="208"/>
      <c r="AO249" s="208"/>
      <c r="AP249" s="208"/>
    </row>
    <row r="250" spans="1:42">
      <c r="A250" s="227" t="str">
        <f>'Inputs &amp; Results'!A55</f>
        <v>Federal</v>
      </c>
      <c r="C250" s="220">
        <f>IF(IBIFedPercentFedTax="Yes",C634,0)</f>
        <v>2011357.5</v>
      </c>
      <c r="D250" s="208"/>
      <c r="E250" s="208"/>
      <c r="F250" s="208"/>
      <c r="G250" s="208"/>
      <c r="H250" s="208"/>
      <c r="I250" s="208"/>
      <c r="J250" s="208"/>
      <c r="K250" s="208"/>
      <c r="L250" s="208"/>
      <c r="M250" s="208"/>
      <c r="N250" s="208"/>
      <c r="O250" s="208"/>
      <c r="P250" s="208"/>
      <c r="Q250" s="208"/>
      <c r="R250" s="208"/>
      <c r="S250" s="208"/>
      <c r="T250" s="208"/>
      <c r="U250" s="208"/>
      <c r="V250" s="208"/>
      <c r="W250" s="208"/>
      <c r="X250" s="208"/>
      <c r="Y250" s="208"/>
      <c r="Z250" s="208"/>
      <c r="AA250" s="208"/>
      <c r="AB250" s="208"/>
      <c r="AC250" s="208"/>
      <c r="AD250" s="208"/>
      <c r="AE250" s="208"/>
      <c r="AF250" s="208"/>
      <c r="AG250" s="208"/>
      <c r="AH250" s="208"/>
      <c r="AI250" s="208"/>
      <c r="AJ250" s="208"/>
      <c r="AK250" s="208"/>
      <c r="AL250" s="208"/>
      <c r="AM250" s="208"/>
      <c r="AN250" s="208"/>
      <c r="AO250" s="208"/>
      <c r="AP250" s="208"/>
    </row>
    <row r="251" spans="1:42">
      <c r="A251" s="227" t="str">
        <f>'Inputs &amp; Results'!A56</f>
        <v>State</v>
      </c>
      <c r="C251" s="220">
        <f>IF(IBIStatePercentFedTax="Yes",C635,0)</f>
        <v>4022715</v>
      </c>
      <c r="D251" s="208"/>
      <c r="E251" s="208"/>
      <c r="F251" s="208"/>
      <c r="G251" s="208"/>
      <c r="H251" s="208"/>
      <c r="I251" s="208"/>
      <c r="J251" s="208"/>
      <c r="K251" s="208"/>
      <c r="L251" s="208"/>
      <c r="M251" s="208"/>
      <c r="N251" s="208"/>
      <c r="O251" s="208"/>
      <c r="P251" s="208"/>
      <c r="Q251" s="208"/>
      <c r="R251" s="208"/>
      <c r="S251" s="208"/>
      <c r="T251" s="208"/>
      <c r="U251" s="208"/>
      <c r="V251" s="208"/>
      <c r="W251" s="208"/>
      <c r="X251" s="208"/>
      <c r="Y251" s="208"/>
      <c r="Z251" s="208"/>
      <c r="AA251" s="208"/>
      <c r="AB251" s="208"/>
      <c r="AC251" s="208"/>
      <c r="AD251" s="208"/>
      <c r="AE251" s="208"/>
      <c r="AF251" s="208"/>
      <c r="AG251" s="208"/>
      <c r="AH251" s="208"/>
      <c r="AI251" s="208"/>
      <c r="AJ251" s="208"/>
      <c r="AK251" s="208"/>
      <c r="AL251" s="208"/>
      <c r="AM251" s="208"/>
      <c r="AN251" s="208"/>
      <c r="AO251" s="208"/>
      <c r="AP251" s="208"/>
    </row>
    <row r="252" spans="1:42">
      <c r="A252" s="227" t="str">
        <f>'Inputs &amp; Results'!A57</f>
        <v>Utility</v>
      </c>
      <c r="C252" s="220">
        <f>IF(IBIUtilityPercentFedTax="Yes",C636,0)</f>
        <v>402271.5</v>
      </c>
      <c r="D252" s="208"/>
      <c r="E252" s="208"/>
      <c r="F252" s="208"/>
      <c r="G252" s="208"/>
      <c r="H252" s="208"/>
      <c r="I252" s="208"/>
      <c r="J252" s="208"/>
      <c r="K252" s="208"/>
      <c r="L252" s="208"/>
      <c r="M252" s="208"/>
      <c r="N252" s="208"/>
      <c r="O252" s="208"/>
      <c r="P252" s="208"/>
      <c r="Q252" s="208"/>
      <c r="R252" s="208"/>
      <c r="S252" s="208"/>
      <c r="T252" s="208"/>
      <c r="U252" s="208"/>
      <c r="V252" s="208"/>
      <c r="W252" s="208"/>
      <c r="X252" s="208"/>
      <c r="Y252" s="208"/>
      <c r="Z252" s="208"/>
      <c r="AA252" s="208"/>
      <c r="AB252" s="208"/>
      <c r="AC252" s="208"/>
      <c r="AD252" s="208"/>
      <c r="AE252" s="208"/>
      <c r="AF252" s="208"/>
      <c r="AG252" s="208"/>
      <c r="AH252" s="208"/>
      <c r="AI252" s="208"/>
      <c r="AJ252" s="208"/>
      <c r="AK252" s="208"/>
      <c r="AL252" s="208"/>
      <c r="AM252" s="208"/>
      <c r="AN252" s="208"/>
      <c r="AO252" s="208"/>
      <c r="AP252" s="208"/>
    </row>
    <row r="253" spans="1:42">
      <c r="A253" s="227" t="str">
        <f>'Inputs &amp; Results'!A58</f>
        <v>Other</v>
      </c>
      <c r="C253" s="225">
        <f>IF(IBIOtherPercentFedTax="Yes",C637,0)</f>
        <v>201135.75</v>
      </c>
      <c r="D253" s="208"/>
      <c r="E253" s="208"/>
      <c r="F253" s="208"/>
      <c r="G253" s="208"/>
      <c r="H253" s="208"/>
      <c r="I253" s="208"/>
      <c r="J253" s="208"/>
      <c r="K253" s="208"/>
      <c r="L253" s="208"/>
      <c r="M253" s="208"/>
      <c r="N253" s="208"/>
      <c r="O253" s="208"/>
      <c r="P253" s="208"/>
      <c r="Q253" s="208"/>
      <c r="R253" s="208"/>
      <c r="S253" s="208"/>
      <c r="T253" s="208"/>
      <c r="U253" s="208"/>
      <c r="V253" s="208"/>
      <c r="W253" s="208"/>
      <c r="X253" s="208"/>
      <c r="Y253" s="208"/>
      <c r="Z253" s="208"/>
      <c r="AA253" s="208"/>
      <c r="AB253" s="208"/>
      <c r="AC253" s="208"/>
      <c r="AD253" s="208"/>
      <c r="AE253" s="208"/>
      <c r="AF253" s="208"/>
      <c r="AG253" s="208"/>
      <c r="AH253" s="208"/>
      <c r="AI253" s="208"/>
      <c r="AJ253" s="208"/>
      <c r="AK253" s="208"/>
      <c r="AL253" s="208"/>
      <c r="AM253" s="208"/>
      <c r="AN253" s="208"/>
      <c r="AO253" s="208"/>
      <c r="AP253" s="208"/>
    </row>
    <row r="254" spans="1:42">
      <c r="A254" s="227" t="s">
        <v>53</v>
      </c>
      <c r="C254" s="208">
        <f>SUM(C250:C253)</f>
        <v>6637479.75</v>
      </c>
      <c r="D254" s="208"/>
      <c r="E254" s="208"/>
      <c r="F254" s="208"/>
      <c r="G254" s="208"/>
      <c r="H254" s="208"/>
      <c r="I254" s="208"/>
      <c r="J254" s="208"/>
      <c r="K254" s="208"/>
      <c r="L254" s="208"/>
      <c r="M254" s="208"/>
      <c r="N254" s="208"/>
      <c r="O254" s="208"/>
      <c r="P254" s="208"/>
      <c r="Q254" s="208"/>
      <c r="R254" s="208"/>
      <c r="S254" s="208"/>
      <c r="T254" s="208"/>
      <c r="U254" s="208"/>
      <c r="V254" s="208"/>
      <c r="W254" s="208"/>
      <c r="X254" s="208"/>
      <c r="Y254" s="208"/>
      <c r="Z254" s="208"/>
      <c r="AA254" s="208"/>
      <c r="AB254" s="208"/>
      <c r="AC254" s="208"/>
      <c r="AD254" s="208"/>
      <c r="AE254" s="208"/>
      <c r="AF254" s="208"/>
      <c r="AG254" s="208"/>
      <c r="AH254" s="208"/>
      <c r="AI254" s="208"/>
      <c r="AJ254" s="208"/>
      <c r="AK254" s="208"/>
      <c r="AL254" s="208"/>
      <c r="AM254" s="208"/>
      <c r="AN254" s="208"/>
      <c r="AO254" s="208"/>
      <c r="AP254" s="208"/>
    </row>
    <row r="255" spans="1:42">
      <c r="A255" s="219" t="str">
        <f>'Inputs &amp; Results'!A59</f>
        <v>Capacity Based Incentive (CBI) ($/DC-Watt)</v>
      </c>
      <c r="C255" s="208"/>
      <c r="D255" s="208"/>
      <c r="E255" s="208"/>
      <c r="F255" s="208"/>
      <c r="G255" s="208"/>
      <c r="H255" s="208"/>
      <c r="I255" s="208"/>
      <c r="J255" s="208"/>
      <c r="K255" s="208"/>
      <c r="L255" s="208"/>
      <c r="M255" s="208"/>
      <c r="N255" s="208"/>
      <c r="O255" s="208"/>
      <c r="P255" s="208"/>
      <c r="Q255" s="208"/>
      <c r="R255" s="208"/>
      <c r="S255" s="208"/>
      <c r="T255" s="208"/>
      <c r="U255" s="208"/>
      <c r="V255" s="208"/>
      <c r="W255" s="208"/>
      <c r="X255" s="208"/>
      <c r="Y255" s="208"/>
      <c r="Z255" s="208"/>
      <c r="AA255" s="208"/>
      <c r="AB255" s="208"/>
      <c r="AC255" s="208"/>
      <c r="AD255" s="208"/>
      <c r="AE255" s="208"/>
      <c r="AF255" s="208"/>
      <c r="AG255" s="208"/>
      <c r="AH255" s="208"/>
      <c r="AI255" s="208"/>
      <c r="AJ255" s="208"/>
      <c r="AK255" s="208"/>
      <c r="AL255" s="208"/>
      <c r="AM255" s="208"/>
      <c r="AN255" s="208"/>
      <c r="AO255" s="208"/>
      <c r="AP255" s="208"/>
    </row>
    <row r="256" spans="1:42">
      <c r="A256" s="226" t="str">
        <f>'Inputs &amp; Results'!A60</f>
        <v>Federal</v>
      </c>
      <c r="C256" s="146">
        <f>IF(CBIFedFedTax="Yes",C640,0)</f>
        <v>5000000</v>
      </c>
      <c r="D256" s="208"/>
      <c r="E256" s="208"/>
      <c r="F256" s="208"/>
      <c r="G256" s="208"/>
      <c r="H256" s="208"/>
      <c r="I256" s="208"/>
      <c r="J256" s="208"/>
      <c r="K256" s="208"/>
      <c r="L256" s="208"/>
      <c r="M256" s="208"/>
      <c r="N256" s="208"/>
      <c r="O256" s="208"/>
      <c r="P256" s="208"/>
      <c r="Q256" s="208"/>
      <c r="R256" s="208"/>
      <c r="S256" s="208"/>
      <c r="T256" s="208"/>
      <c r="U256" s="208"/>
      <c r="V256" s="208"/>
      <c r="W256" s="208"/>
      <c r="X256" s="208"/>
      <c r="Y256" s="208"/>
      <c r="Z256" s="208"/>
      <c r="AA256" s="208"/>
      <c r="AB256" s="208"/>
      <c r="AC256" s="208"/>
      <c r="AD256" s="208"/>
      <c r="AE256" s="208"/>
      <c r="AF256" s="208"/>
      <c r="AG256" s="208"/>
      <c r="AH256" s="208"/>
      <c r="AI256" s="208"/>
      <c r="AJ256" s="208"/>
      <c r="AK256" s="208"/>
      <c r="AL256" s="208"/>
      <c r="AM256" s="208"/>
      <c r="AN256" s="208"/>
      <c r="AO256" s="208"/>
      <c r="AP256" s="208"/>
    </row>
    <row r="257" spans="1:42">
      <c r="A257" s="226" t="str">
        <f>'Inputs &amp; Results'!A61</f>
        <v>State</v>
      </c>
      <c r="C257" s="146">
        <f>IF(CBIStateFedTax="Yes",C641,0)</f>
        <v>2000000</v>
      </c>
      <c r="D257" s="208"/>
      <c r="E257" s="208"/>
      <c r="F257" s="208"/>
      <c r="G257" s="208"/>
      <c r="H257" s="208"/>
      <c r="I257" s="208"/>
      <c r="J257" s="208"/>
      <c r="K257" s="208"/>
      <c r="L257" s="208"/>
      <c r="M257" s="208"/>
      <c r="N257" s="208"/>
      <c r="O257" s="208"/>
      <c r="P257" s="208"/>
      <c r="Q257" s="208"/>
      <c r="R257" s="208"/>
      <c r="S257" s="208"/>
      <c r="T257" s="208"/>
      <c r="U257" s="208"/>
      <c r="V257" s="208"/>
      <c r="W257" s="208"/>
      <c r="X257" s="208"/>
      <c r="Y257" s="208"/>
      <c r="Z257" s="208"/>
      <c r="AA257" s="208"/>
      <c r="AB257" s="208"/>
      <c r="AC257" s="208"/>
      <c r="AD257" s="208"/>
      <c r="AE257" s="208"/>
      <c r="AF257" s="208"/>
      <c r="AG257" s="208"/>
      <c r="AH257" s="208"/>
      <c r="AI257" s="208"/>
      <c r="AJ257" s="208"/>
      <c r="AK257" s="208"/>
      <c r="AL257" s="208"/>
      <c r="AM257" s="208"/>
      <c r="AN257" s="208"/>
      <c r="AO257" s="208"/>
      <c r="AP257" s="208"/>
    </row>
    <row r="258" spans="1:42">
      <c r="A258" s="226" t="str">
        <f>'Inputs &amp; Results'!A62</f>
        <v>Utility</v>
      </c>
      <c r="C258" s="146">
        <f>IF(CBIUtilityFedTax="Yes",C642,0)</f>
        <v>100000</v>
      </c>
      <c r="D258" s="208"/>
      <c r="E258" s="208"/>
      <c r="F258" s="208"/>
      <c r="G258" s="208"/>
      <c r="H258" s="208"/>
      <c r="I258" s="208"/>
      <c r="J258" s="208"/>
      <c r="K258" s="208"/>
      <c r="L258" s="208"/>
      <c r="M258" s="208"/>
      <c r="N258" s="208"/>
      <c r="O258" s="208"/>
      <c r="P258" s="208"/>
      <c r="Q258" s="208"/>
      <c r="R258" s="208"/>
      <c r="S258" s="208"/>
      <c r="T258" s="208"/>
      <c r="U258" s="208"/>
      <c r="V258" s="208"/>
      <c r="W258" s="208"/>
      <c r="X258" s="208"/>
      <c r="Y258" s="208"/>
      <c r="Z258" s="208"/>
      <c r="AA258" s="208"/>
      <c r="AB258" s="208"/>
      <c r="AC258" s="208"/>
      <c r="AD258" s="208"/>
      <c r="AE258" s="208"/>
      <c r="AF258" s="208"/>
      <c r="AG258" s="208"/>
      <c r="AH258" s="208"/>
      <c r="AI258" s="208"/>
      <c r="AJ258" s="208"/>
      <c r="AK258" s="208"/>
      <c r="AL258" s="208"/>
      <c r="AM258" s="208"/>
      <c r="AN258" s="208"/>
      <c r="AO258" s="208"/>
      <c r="AP258" s="208"/>
    </row>
    <row r="259" spans="1:42">
      <c r="A259" s="226" t="str">
        <f>'Inputs &amp; Results'!A63</f>
        <v>Other</v>
      </c>
      <c r="C259" s="225">
        <f>IF(CBIOtherFedTax="Yes",C643,0)</f>
        <v>50000</v>
      </c>
      <c r="D259" s="208"/>
      <c r="E259" s="208"/>
      <c r="F259" s="208"/>
      <c r="G259" s="208"/>
      <c r="H259" s="208"/>
      <c r="I259" s="208"/>
      <c r="J259" s="208"/>
      <c r="K259" s="208"/>
      <c r="L259" s="208"/>
      <c r="M259" s="208"/>
      <c r="N259" s="208"/>
      <c r="O259" s="208"/>
      <c r="P259" s="208"/>
      <c r="Q259" s="208"/>
      <c r="R259" s="208"/>
      <c r="S259" s="208"/>
      <c r="T259" s="208"/>
      <c r="U259" s="208"/>
      <c r="V259" s="208"/>
      <c r="W259" s="208"/>
      <c r="X259" s="208"/>
      <c r="Y259" s="208"/>
      <c r="Z259" s="208"/>
      <c r="AA259" s="208"/>
      <c r="AB259" s="208"/>
      <c r="AC259" s="208"/>
      <c r="AD259" s="208"/>
      <c r="AE259" s="208"/>
      <c r="AF259" s="208"/>
      <c r="AG259" s="208"/>
      <c r="AH259" s="208"/>
      <c r="AI259" s="208"/>
      <c r="AJ259" s="208"/>
      <c r="AK259" s="208"/>
      <c r="AL259" s="208"/>
      <c r="AM259" s="208"/>
      <c r="AN259" s="208"/>
      <c r="AO259" s="208"/>
      <c r="AP259" s="208"/>
    </row>
    <row r="260" spans="1:42">
      <c r="A260" s="226" t="s">
        <v>53</v>
      </c>
      <c r="C260" s="208">
        <f>SUM(C256:C259)</f>
        <v>7150000</v>
      </c>
      <c r="D260" s="208"/>
      <c r="E260" s="208"/>
      <c r="F260" s="208"/>
      <c r="G260" s="208"/>
      <c r="H260" s="208"/>
      <c r="I260" s="208"/>
      <c r="J260" s="208"/>
      <c r="K260" s="208"/>
      <c r="L260" s="208"/>
      <c r="M260" s="208"/>
      <c r="N260" s="208"/>
      <c r="O260" s="208"/>
      <c r="P260" s="208"/>
      <c r="Q260" s="208"/>
      <c r="R260" s="208"/>
      <c r="S260" s="208"/>
      <c r="T260" s="208"/>
      <c r="U260" s="208"/>
      <c r="V260" s="208"/>
      <c r="W260" s="208"/>
      <c r="X260" s="208"/>
      <c r="Y260" s="208"/>
      <c r="Z260" s="208"/>
      <c r="AA260" s="208"/>
      <c r="AB260" s="208"/>
      <c r="AC260" s="208"/>
      <c r="AD260" s="208"/>
      <c r="AE260" s="208"/>
      <c r="AF260" s="208"/>
      <c r="AG260" s="208"/>
      <c r="AH260" s="208"/>
      <c r="AI260" s="208"/>
      <c r="AJ260" s="208"/>
      <c r="AK260" s="208"/>
      <c r="AL260" s="208"/>
      <c r="AM260" s="208"/>
      <c r="AN260" s="208"/>
      <c r="AO260" s="208"/>
      <c r="AP260" s="208"/>
    </row>
    <row r="261" spans="1:42">
      <c r="A261" s="219" t="str">
        <f>'Inputs &amp; Results'!A64</f>
        <v>Production Based Incentive (PBI) ($/kWh)</v>
      </c>
      <c r="C261" s="208"/>
      <c r="D261" s="208"/>
      <c r="E261" s="208"/>
      <c r="F261" s="208"/>
      <c r="G261" s="208"/>
      <c r="H261" s="208"/>
      <c r="I261" s="208"/>
      <c r="J261" s="208"/>
      <c r="K261" s="208"/>
      <c r="L261" s="208"/>
      <c r="M261" s="208"/>
      <c r="N261" s="208"/>
      <c r="O261" s="208"/>
      <c r="P261" s="208"/>
      <c r="Q261" s="208"/>
      <c r="R261" s="208"/>
      <c r="S261" s="208"/>
      <c r="T261" s="208"/>
      <c r="U261" s="208"/>
      <c r="V261" s="208"/>
      <c r="W261" s="208"/>
      <c r="X261" s="208"/>
      <c r="Y261" s="208"/>
      <c r="Z261" s="208"/>
      <c r="AA261" s="208"/>
      <c r="AB261" s="208"/>
      <c r="AC261" s="208"/>
      <c r="AD261" s="208"/>
      <c r="AE261" s="208"/>
      <c r="AF261" s="208"/>
      <c r="AG261" s="208"/>
      <c r="AH261" s="208"/>
      <c r="AI261" s="208"/>
      <c r="AJ261" s="208"/>
      <c r="AK261" s="208"/>
      <c r="AL261" s="208"/>
      <c r="AM261" s="208"/>
      <c r="AN261" s="208"/>
      <c r="AO261" s="208"/>
      <c r="AP261" s="208"/>
    </row>
    <row r="262" spans="1:42">
      <c r="A262" s="226" t="str">
        <f>'Inputs &amp; Results'!A65</f>
        <v>Federal</v>
      </c>
      <c r="C262" s="146">
        <f t="shared" ref="C262:AP262" si="127">IF(PBIFedFedTax="Yes",0,-C650)</f>
        <v>0</v>
      </c>
      <c r="D262" s="146">
        <f t="shared" si="127"/>
        <v>0</v>
      </c>
      <c r="E262" s="146">
        <f t="shared" si="127"/>
        <v>0</v>
      </c>
      <c r="F262" s="146">
        <f t="shared" si="127"/>
        <v>0</v>
      </c>
      <c r="G262" s="146">
        <f t="shared" si="127"/>
        <v>0</v>
      </c>
      <c r="H262" s="146">
        <f t="shared" si="127"/>
        <v>0</v>
      </c>
      <c r="I262" s="146">
        <f t="shared" si="127"/>
        <v>0</v>
      </c>
      <c r="J262" s="146">
        <f t="shared" si="127"/>
        <v>0</v>
      </c>
      <c r="K262" s="146">
        <f t="shared" si="127"/>
        <v>0</v>
      </c>
      <c r="L262" s="146">
        <f t="shared" si="127"/>
        <v>0</v>
      </c>
      <c r="M262" s="146">
        <f t="shared" si="127"/>
        <v>0</v>
      </c>
      <c r="N262" s="146">
        <f t="shared" si="127"/>
        <v>0</v>
      </c>
      <c r="O262" s="146">
        <f t="shared" si="127"/>
        <v>0</v>
      </c>
      <c r="P262" s="146">
        <f t="shared" si="127"/>
        <v>0</v>
      </c>
      <c r="Q262" s="146">
        <f t="shared" si="127"/>
        <v>0</v>
      </c>
      <c r="R262" s="146">
        <f t="shared" si="127"/>
        <v>0</v>
      </c>
      <c r="S262" s="146">
        <f t="shared" si="127"/>
        <v>0</v>
      </c>
      <c r="T262" s="146">
        <f t="shared" si="127"/>
        <v>0</v>
      </c>
      <c r="U262" s="146">
        <f t="shared" si="127"/>
        <v>0</v>
      </c>
      <c r="V262" s="146">
        <f t="shared" si="127"/>
        <v>0</v>
      </c>
      <c r="W262" s="146">
        <f t="shared" si="127"/>
        <v>0</v>
      </c>
      <c r="X262" s="146">
        <f t="shared" si="127"/>
        <v>0</v>
      </c>
      <c r="Y262" s="146">
        <f t="shared" si="127"/>
        <v>0</v>
      </c>
      <c r="Z262" s="146">
        <f t="shared" si="127"/>
        <v>0</v>
      </c>
      <c r="AA262" s="146">
        <f t="shared" si="127"/>
        <v>0</v>
      </c>
      <c r="AB262" s="146">
        <f t="shared" si="127"/>
        <v>0</v>
      </c>
      <c r="AC262" s="146">
        <f t="shared" si="127"/>
        <v>0</v>
      </c>
      <c r="AD262" s="146">
        <f t="shared" si="127"/>
        <v>0</v>
      </c>
      <c r="AE262" s="146">
        <f t="shared" si="127"/>
        <v>0</v>
      </c>
      <c r="AF262" s="146">
        <f t="shared" si="127"/>
        <v>0</v>
      </c>
      <c r="AG262" s="146">
        <f t="shared" si="127"/>
        <v>0</v>
      </c>
      <c r="AH262" s="146">
        <f t="shared" si="127"/>
        <v>0</v>
      </c>
      <c r="AI262" s="146">
        <f t="shared" si="127"/>
        <v>0</v>
      </c>
      <c r="AJ262" s="146">
        <f t="shared" si="127"/>
        <v>0</v>
      </c>
      <c r="AK262" s="146">
        <f t="shared" si="127"/>
        <v>0</v>
      </c>
      <c r="AL262" s="146">
        <f t="shared" si="127"/>
        <v>0</v>
      </c>
      <c r="AM262" s="146">
        <f t="shared" si="127"/>
        <v>0</v>
      </c>
      <c r="AN262" s="146">
        <f t="shared" si="127"/>
        <v>0</v>
      </c>
      <c r="AO262" s="146">
        <f t="shared" si="127"/>
        <v>0</v>
      </c>
      <c r="AP262" s="146">
        <f t="shared" si="127"/>
        <v>0</v>
      </c>
    </row>
    <row r="263" spans="1:42">
      <c r="A263" s="226" t="str">
        <f>'Inputs &amp; Results'!A66</f>
        <v>State</v>
      </c>
      <c r="C263" s="146">
        <f t="shared" ref="C263:AP263" si="128">IF(PBIStateFedTax="Yes",0,-C654)</f>
        <v>0</v>
      </c>
      <c r="D263" s="146">
        <f t="shared" si="128"/>
        <v>0</v>
      </c>
      <c r="E263" s="146">
        <f t="shared" si="128"/>
        <v>0</v>
      </c>
      <c r="F263" s="146">
        <f t="shared" si="128"/>
        <v>0</v>
      </c>
      <c r="G263" s="146">
        <f t="shared" si="128"/>
        <v>0</v>
      </c>
      <c r="H263" s="146">
        <f t="shared" si="128"/>
        <v>0</v>
      </c>
      <c r="I263" s="146">
        <f t="shared" si="128"/>
        <v>0</v>
      </c>
      <c r="J263" s="146">
        <f t="shared" si="128"/>
        <v>0</v>
      </c>
      <c r="K263" s="146">
        <f t="shared" si="128"/>
        <v>0</v>
      </c>
      <c r="L263" s="146">
        <f t="shared" si="128"/>
        <v>0</v>
      </c>
      <c r="M263" s="146">
        <f t="shared" si="128"/>
        <v>0</v>
      </c>
      <c r="N263" s="146">
        <f t="shared" si="128"/>
        <v>0</v>
      </c>
      <c r="O263" s="146">
        <f t="shared" si="128"/>
        <v>0</v>
      </c>
      <c r="P263" s="146">
        <f t="shared" si="128"/>
        <v>0</v>
      </c>
      <c r="Q263" s="146">
        <f t="shared" si="128"/>
        <v>0</v>
      </c>
      <c r="R263" s="146">
        <f t="shared" si="128"/>
        <v>0</v>
      </c>
      <c r="S263" s="146">
        <f t="shared" si="128"/>
        <v>0</v>
      </c>
      <c r="T263" s="146">
        <f t="shared" si="128"/>
        <v>0</v>
      </c>
      <c r="U263" s="146">
        <f t="shared" si="128"/>
        <v>0</v>
      </c>
      <c r="V263" s="146">
        <f t="shared" si="128"/>
        <v>0</v>
      </c>
      <c r="W263" s="146">
        <f t="shared" si="128"/>
        <v>0</v>
      </c>
      <c r="X263" s="146">
        <f t="shared" si="128"/>
        <v>0</v>
      </c>
      <c r="Y263" s="146">
        <f t="shared" si="128"/>
        <v>0</v>
      </c>
      <c r="Z263" s="146">
        <f t="shared" si="128"/>
        <v>0</v>
      </c>
      <c r="AA263" s="146">
        <f t="shared" si="128"/>
        <v>0</v>
      </c>
      <c r="AB263" s="146">
        <f t="shared" si="128"/>
        <v>0</v>
      </c>
      <c r="AC263" s="146">
        <f t="shared" si="128"/>
        <v>0</v>
      </c>
      <c r="AD263" s="146">
        <f t="shared" si="128"/>
        <v>0</v>
      </c>
      <c r="AE263" s="146">
        <f t="shared" si="128"/>
        <v>0</v>
      </c>
      <c r="AF263" s="146">
        <f t="shared" si="128"/>
        <v>0</v>
      </c>
      <c r="AG263" s="146">
        <f t="shared" si="128"/>
        <v>0</v>
      </c>
      <c r="AH263" s="146">
        <f t="shared" si="128"/>
        <v>0</v>
      </c>
      <c r="AI263" s="146">
        <f t="shared" si="128"/>
        <v>0</v>
      </c>
      <c r="AJ263" s="146">
        <f t="shared" si="128"/>
        <v>0</v>
      </c>
      <c r="AK263" s="146">
        <f t="shared" si="128"/>
        <v>0</v>
      </c>
      <c r="AL263" s="146">
        <f t="shared" si="128"/>
        <v>0</v>
      </c>
      <c r="AM263" s="146">
        <f t="shared" si="128"/>
        <v>0</v>
      </c>
      <c r="AN263" s="146">
        <f t="shared" si="128"/>
        <v>0</v>
      </c>
      <c r="AO263" s="146">
        <f t="shared" si="128"/>
        <v>0</v>
      </c>
      <c r="AP263" s="146">
        <f t="shared" si="128"/>
        <v>0</v>
      </c>
    </row>
    <row r="264" spans="1:42">
      <c r="A264" s="226" t="str">
        <f>'Inputs &amp; Results'!A67</f>
        <v>Utility</v>
      </c>
      <c r="C264" s="146">
        <f t="shared" ref="C264:AP264" si="129">IF(PBIUtilityFedTax="Yes",0,-C658)</f>
        <v>0</v>
      </c>
      <c r="D264" s="146">
        <f t="shared" si="129"/>
        <v>0</v>
      </c>
      <c r="E264" s="146">
        <f t="shared" si="129"/>
        <v>0</v>
      </c>
      <c r="F264" s="146">
        <f t="shared" si="129"/>
        <v>0</v>
      </c>
      <c r="G264" s="146">
        <f t="shared" si="129"/>
        <v>0</v>
      </c>
      <c r="H264" s="146">
        <f t="shared" si="129"/>
        <v>0</v>
      </c>
      <c r="I264" s="146">
        <f t="shared" si="129"/>
        <v>0</v>
      </c>
      <c r="J264" s="146">
        <f t="shared" si="129"/>
        <v>0</v>
      </c>
      <c r="K264" s="146">
        <f t="shared" si="129"/>
        <v>0</v>
      </c>
      <c r="L264" s="146">
        <f t="shared" si="129"/>
        <v>0</v>
      </c>
      <c r="M264" s="146">
        <f t="shared" si="129"/>
        <v>0</v>
      </c>
      <c r="N264" s="146">
        <f t="shared" si="129"/>
        <v>0</v>
      </c>
      <c r="O264" s="146">
        <f t="shared" si="129"/>
        <v>0</v>
      </c>
      <c r="P264" s="146">
        <f t="shared" si="129"/>
        <v>0</v>
      </c>
      <c r="Q264" s="146">
        <f t="shared" si="129"/>
        <v>0</v>
      </c>
      <c r="R264" s="146">
        <f t="shared" si="129"/>
        <v>0</v>
      </c>
      <c r="S264" s="146">
        <f t="shared" si="129"/>
        <v>0</v>
      </c>
      <c r="T264" s="146">
        <f t="shared" si="129"/>
        <v>0</v>
      </c>
      <c r="U264" s="146">
        <f t="shared" si="129"/>
        <v>0</v>
      </c>
      <c r="V264" s="146">
        <f t="shared" si="129"/>
        <v>0</v>
      </c>
      <c r="W264" s="146">
        <f t="shared" si="129"/>
        <v>0</v>
      </c>
      <c r="X264" s="146">
        <f t="shared" si="129"/>
        <v>0</v>
      </c>
      <c r="Y264" s="146">
        <f t="shared" si="129"/>
        <v>0</v>
      </c>
      <c r="Z264" s="146">
        <f t="shared" si="129"/>
        <v>0</v>
      </c>
      <c r="AA264" s="146">
        <f t="shared" si="129"/>
        <v>0</v>
      </c>
      <c r="AB264" s="146">
        <f t="shared" si="129"/>
        <v>0</v>
      </c>
      <c r="AC264" s="146">
        <f t="shared" si="129"/>
        <v>0</v>
      </c>
      <c r="AD264" s="146">
        <f t="shared" si="129"/>
        <v>0</v>
      </c>
      <c r="AE264" s="146">
        <f t="shared" si="129"/>
        <v>0</v>
      </c>
      <c r="AF264" s="146">
        <f t="shared" si="129"/>
        <v>0</v>
      </c>
      <c r="AG264" s="146">
        <f t="shared" si="129"/>
        <v>0</v>
      </c>
      <c r="AH264" s="146">
        <f t="shared" si="129"/>
        <v>0</v>
      </c>
      <c r="AI264" s="146">
        <f t="shared" si="129"/>
        <v>0</v>
      </c>
      <c r="AJ264" s="146">
        <f t="shared" si="129"/>
        <v>0</v>
      </c>
      <c r="AK264" s="146">
        <f t="shared" si="129"/>
        <v>0</v>
      </c>
      <c r="AL264" s="146">
        <f t="shared" si="129"/>
        <v>0</v>
      </c>
      <c r="AM264" s="146">
        <f t="shared" si="129"/>
        <v>0</v>
      </c>
      <c r="AN264" s="146">
        <f t="shared" si="129"/>
        <v>0</v>
      </c>
      <c r="AO264" s="146">
        <f t="shared" si="129"/>
        <v>0</v>
      </c>
      <c r="AP264" s="146">
        <f t="shared" si="129"/>
        <v>0</v>
      </c>
    </row>
    <row r="265" spans="1:42">
      <c r="A265" s="226" t="str">
        <f>'Inputs &amp; Results'!A68</f>
        <v>Other</v>
      </c>
      <c r="C265" s="225">
        <f t="shared" ref="C265:AP265" si="130">IF(PBIOtherFedTax="Yes",0,-C662)</f>
        <v>0</v>
      </c>
      <c r="D265" s="225">
        <f t="shared" si="130"/>
        <v>0</v>
      </c>
      <c r="E265" s="225">
        <f t="shared" si="130"/>
        <v>0</v>
      </c>
      <c r="F265" s="225">
        <f t="shared" si="130"/>
        <v>0</v>
      </c>
      <c r="G265" s="225">
        <f t="shared" si="130"/>
        <v>0</v>
      </c>
      <c r="H265" s="225">
        <f t="shared" si="130"/>
        <v>0</v>
      </c>
      <c r="I265" s="225">
        <f t="shared" si="130"/>
        <v>0</v>
      </c>
      <c r="J265" s="225">
        <f t="shared" si="130"/>
        <v>0</v>
      </c>
      <c r="K265" s="225">
        <f t="shared" si="130"/>
        <v>0</v>
      </c>
      <c r="L265" s="225">
        <f t="shared" si="130"/>
        <v>0</v>
      </c>
      <c r="M265" s="225">
        <f t="shared" si="130"/>
        <v>0</v>
      </c>
      <c r="N265" s="225">
        <f t="shared" si="130"/>
        <v>0</v>
      </c>
      <c r="O265" s="225">
        <f t="shared" si="130"/>
        <v>0</v>
      </c>
      <c r="P265" s="225">
        <f t="shared" si="130"/>
        <v>0</v>
      </c>
      <c r="Q265" s="225">
        <f t="shared" si="130"/>
        <v>0</v>
      </c>
      <c r="R265" s="225">
        <f t="shared" si="130"/>
        <v>0</v>
      </c>
      <c r="S265" s="225">
        <f t="shared" si="130"/>
        <v>0</v>
      </c>
      <c r="T265" s="225">
        <f t="shared" si="130"/>
        <v>0</v>
      </c>
      <c r="U265" s="225">
        <f t="shared" si="130"/>
        <v>0</v>
      </c>
      <c r="V265" s="225">
        <f t="shared" si="130"/>
        <v>0</v>
      </c>
      <c r="W265" s="225">
        <f t="shared" si="130"/>
        <v>0</v>
      </c>
      <c r="X265" s="225">
        <f t="shared" si="130"/>
        <v>0</v>
      </c>
      <c r="Y265" s="225">
        <f t="shared" si="130"/>
        <v>0</v>
      </c>
      <c r="Z265" s="225">
        <f t="shared" si="130"/>
        <v>0</v>
      </c>
      <c r="AA265" s="225">
        <f t="shared" si="130"/>
        <v>0</v>
      </c>
      <c r="AB265" s="225">
        <f t="shared" si="130"/>
        <v>0</v>
      </c>
      <c r="AC265" s="225">
        <f t="shared" si="130"/>
        <v>0</v>
      </c>
      <c r="AD265" s="225">
        <f t="shared" si="130"/>
        <v>0</v>
      </c>
      <c r="AE265" s="225">
        <f t="shared" si="130"/>
        <v>0</v>
      </c>
      <c r="AF265" s="225">
        <f t="shared" si="130"/>
        <v>0</v>
      </c>
      <c r="AG265" s="225">
        <f t="shared" si="130"/>
        <v>0</v>
      </c>
      <c r="AH265" s="225">
        <f t="shared" si="130"/>
        <v>0</v>
      </c>
      <c r="AI265" s="225">
        <f t="shared" si="130"/>
        <v>0</v>
      </c>
      <c r="AJ265" s="225">
        <f t="shared" si="130"/>
        <v>0</v>
      </c>
      <c r="AK265" s="225">
        <f t="shared" si="130"/>
        <v>0</v>
      </c>
      <c r="AL265" s="225">
        <f t="shared" si="130"/>
        <v>0</v>
      </c>
      <c r="AM265" s="225">
        <f t="shared" si="130"/>
        <v>0</v>
      </c>
      <c r="AN265" s="225">
        <f t="shared" si="130"/>
        <v>0</v>
      </c>
      <c r="AO265" s="225">
        <f t="shared" si="130"/>
        <v>0</v>
      </c>
      <c r="AP265" s="225">
        <f t="shared" si="130"/>
        <v>0</v>
      </c>
    </row>
    <row r="266" spans="1:42">
      <c r="A266" s="226" t="s">
        <v>53</v>
      </c>
      <c r="C266" s="216">
        <f>SUM(C262:C265)</f>
        <v>0</v>
      </c>
      <c r="D266" s="216">
        <f t="shared" ref="D266:AL266" si="131">SUM(D262:D265)</f>
        <v>0</v>
      </c>
      <c r="E266" s="216">
        <f t="shared" si="131"/>
        <v>0</v>
      </c>
      <c r="F266" s="216">
        <f t="shared" si="131"/>
        <v>0</v>
      </c>
      <c r="G266" s="216">
        <f t="shared" si="131"/>
        <v>0</v>
      </c>
      <c r="H266" s="216">
        <f t="shared" si="131"/>
        <v>0</v>
      </c>
      <c r="I266" s="216">
        <f t="shared" si="131"/>
        <v>0</v>
      </c>
      <c r="J266" s="216">
        <f t="shared" si="131"/>
        <v>0</v>
      </c>
      <c r="K266" s="216">
        <f t="shared" si="131"/>
        <v>0</v>
      </c>
      <c r="L266" s="216">
        <f t="shared" si="131"/>
        <v>0</v>
      </c>
      <c r="M266" s="216">
        <f t="shared" si="131"/>
        <v>0</v>
      </c>
      <c r="N266" s="216">
        <f t="shared" si="131"/>
        <v>0</v>
      </c>
      <c r="O266" s="216">
        <f t="shared" si="131"/>
        <v>0</v>
      </c>
      <c r="P266" s="216">
        <f t="shared" si="131"/>
        <v>0</v>
      </c>
      <c r="Q266" s="216">
        <f t="shared" si="131"/>
        <v>0</v>
      </c>
      <c r="R266" s="216">
        <f t="shared" si="131"/>
        <v>0</v>
      </c>
      <c r="S266" s="216">
        <f t="shared" si="131"/>
        <v>0</v>
      </c>
      <c r="T266" s="216">
        <f t="shared" si="131"/>
        <v>0</v>
      </c>
      <c r="U266" s="216">
        <f t="shared" si="131"/>
        <v>0</v>
      </c>
      <c r="V266" s="216">
        <f t="shared" si="131"/>
        <v>0</v>
      </c>
      <c r="W266" s="216">
        <f t="shared" si="131"/>
        <v>0</v>
      </c>
      <c r="X266" s="216">
        <f t="shared" si="131"/>
        <v>0</v>
      </c>
      <c r="Y266" s="216">
        <f t="shared" si="131"/>
        <v>0</v>
      </c>
      <c r="Z266" s="216">
        <f t="shared" si="131"/>
        <v>0</v>
      </c>
      <c r="AA266" s="216">
        <f t="shared" si="131"/>
        <v>0</v>
      </c>
      <c r="AB266" s="216">
        <f t="shared" si="131"/>
        <v>0</v>
      </c>
      <c r="AC266" s="216">
        <f t="shared" si="131"/>
        <v>0</v>
      </c>
      <c r="AD266" s="216">
        <f t="shared" si="131"/>
        <v>0</v>
      </c>
      <c r="AE266" s="216">
        <f t="shared" si="131"/>
        <v>0</v>
      </c>
      <c r="AF266" s="216">
        <f t="shared" si="131"/>
        <v>0</v>
      </c>
      <c r="AG266" s="216">
        <f t="shared" si="131"/>
        <v>0</v>
      </c>
      <c r="AH266" s="216">
        <f t="shared" si="131"/>
        <v>0</v>
      </c>
      <c r="AI266" s="216">
        <f t="shared" si="131"/>
        <v>0</v>
      </c>
      <c r="AJ266" s="216">
        <f t="shared" si="131"/>
        <v>0</v>
      </c>
      <c r="AK266" s="216">
        <f t="shared" si="131"/>
        <v>0</v>
      </c>
      <c r="AL266" s="216">
        <f t="shared" si="131"/>
        <v>0</v>
      </c>
      <c r="AM266" s="216">
        <f>SUM(AM262:AM265)</f>
        <v>0</v>
      </c>
      <c r="AN266" s="216">
        <f t="shared" ref="AN266:AP266" si="132">SUM(AN262:AN265)</f>
        <v>0</v>
      </c>
      <c r="AO266" s="216">
        <f t="shared" si="132"/>
        <v>0</v>
      </c>
      <c r="AP266" s="216">
        <f t="shared" si="132"/>
        <v>0</v>
      </c>
    </row>
    <row r="267" spans="1:42">
      <c r="A267" s="219" t="s">
        <v>132</v>
      </c>
      <c r="C267" s="208">
        <f>C248+C254+C260+C266</f>
        <v>13791229.75</v>
      </c>
      <c r="D267" s="208">
        <f t="shared" ref="D267:AP267" si="133">D248+D254+D260+D266</f>
        <v>0</v>
      </c>
      <c r="E267" s="208">
        <f t="shared" si="133"/>
        <v>0</v>
      </c>
      <c r="F267" s="208">
        <f t="shared" si="133"/>
        <v>0</v>
      </c>
      <c r="G267" s="208">
        <f t="shared" si="133"/>
        <v>0</v>
      </c>
      <c r="H267" s="208">
        <f t="shared" si="133"/>
        <v>0</v>
      </c>
      <c r="I267" s="208">
        <f t="shared" si="133"/>
        <v>0</v>
      </c>
      <c r="J267" s="208">
        <f t="shared" si="133"/>
        <v>0</v>
      </c>
      <c r="K267" s="208">
        <f t="shared" si="133"/>
        <v>0</v>
      </c>
      <c r="L267" s="208">
        <f t="shared" si="133"/>
        <v>0</v>
      </c>
      <c r="M267" s="208">
        <f t="shared" si="133"/>
        <v>0</v>
      </c>
      <c r="N267" s="208">
        <f t="shared" si="133"/>
        <v>0</v>
      </c>
      <c r="O267" s="208">
        <f t="shared" si="133"/>
        <v>0</v>
      </c>
      <c r="P267" s="208">
        <f t="shared" si="133"/>
        <v>0</v>
      </c>
      <c r="Q267" s="208">
        <f t="shared" si="133"/>
        <v>0</v>
      </c>
      <c r="R267" s="208">
        <f t="shared" si="133"/>
        <v>0</v>
      </c>
      <c r="S267" s="208">
        <f t="shared" si="133"/>
        <v>0</v>
      </c>
      <c r="T267" s="208">
        <f t="shared" si="133"/>
        <v>0</v>
      </c>
      <c r="U267" s="208">
        <f t="shared" si="133"/>
        <v>0</v>
      </c>
      <c r="V267" s="208">
        <f t="shared" si="133"/>
        <v>0</v>
      </c>
      <c r="W267" s="208">
        <f t="shared" si="133"/>
        <v>0</v>
      </c>
      <c r="X267" s="208">
        <f t="shared" si="133"/>
        <v>0</v>
      </c>
      <c r="Y267" s="208">
        <f t="shared" si="133"/>
        <v>0</v>
      </c>
      <c r="Z267" s="208">
        <f t="shared" si="133"/>
        <v>0</v>
      </c>
      <c r="AA267" s="208">
        <f t="shared" si="133"/>
        <v>0</v>
      </c>
      <c r="AB267" s="208">
        <f t="shared" si="133"/>
        <v>0</v>
      </c>
      <c r="AC267" s="208">
        <f t="shared" si="133"/>
        <v>0</v>
      </c>
      <c r="AD267" s="208">
        <f t="shared" si="133"/>
        <v>0</v>
      </c>
      <c r="AE267" s="208">
        <f t="shared" si="133"/>
        <v>0</v>
      </c>
      <c r="AF267" s="208">
        <f t="shared" si="133"/>
        <v>0</v>
      </c>
      <c r="AG267" s="208">
        <f t="shared" si="133"/>
        <v>0</v>
      </c>
      <c r="AH267" s="208">
        <f t="shared" si="133"/>
        <v>0</v>
      </c>
      <c r="AI267" s="208">
        <f t="shared" si="133"/>
        <v>0</v>
      </c>
      <c r="AJ267" s="208">
        <f t="shared" si="133"/>
        <v>0</v>
      </c>
      <c r="AK267" s="208">
        <f t="shared" si="133"/>
        <v>0</v>
      </c>
      <c r="AL267" s="208">
        <f t="shared" si="133"/>
        <v>0</v>
      </c>
      <c r="AM267" s="208">
        <f t="shared" si="133"/>
        <v>0</v>
      </c>
      <c r="AN267" s="208">
        <f t="shared" si="133"/>
        <v>0</v>
      </c>
      <c r="AO267" s="208">
        <f t="shared" si="133"/>
        <v>0</v>
      </c>
      <c r="AP267" s="208">
        <f t="shared" si="133"/>
        <v>0</v>
      </c>
    </row>
    <row r="268" spans="1:42">
      <c r="A268" s="226"/>
      <c r="C268" s="208"/>
      <c r="D268" s="208"/>
      <c r="E268" s="208"/>
      <c r="F268" s="208"/>
      <c r="G268" s="208"/>
      <c r="H268" s="208"/>
      <c r="I268" s="208"/>
      <c r="J268" s="208"/>
      <c r="K268" s="208"/>
      <c r="L268" s="208"/>
      <c r="M268" s="208"/>
      <c r="N268" s="208"/>
      <c r="O268" s="208"/>
      <c r="P268" s="208"/>
      <c r="Q268" s="208"/>
      <c r="R268" s="208"/>
      <c r="S268" s="208"/>
      <c r="T268" s="208"/>
      <c r="U268" s="208"/>
      <c r="V268" s="208"/>
      <c r="W268" s="208"/>
      <c r="X268" s="208"/>
      <c r="Y268" s="208"/>
      <c r="Z268" s="208"/>
      <c r="AA268" s="208"/>
      <c r="AB268" s="208"/>
      <c r="AC268" s="208"/>
      <c r="AD268" s="208"/>
      <c r="AE268" s="208"/>
      <c r="AF268" s="208"/>
      <c r="AG268" s="208"/>
      <c r="AH268" s="208"/>
      <c r="AI268" s="208"/>
      <c r="AJ268" s="208"/>
      <c r="AK268" s="208"/>
      <c r="AL268" s="208"/>
      <c r="AM268" s="208"/>
      <c r="AN268" s="208"/>
      <c r="AO268" s="208"/>
      <c r="AP268" s="208"/>
    </row>
    <row r="269" spans="1:42">
      <c r="A269" s="219" t="s">
        <v>133</v>
      </c>
      <c r="C269" s="216">
        <f>C241+C267</f>
        <v>8538142.1987209972</v>
      </c>
      <c r="D269" s="216">
        <f t="shared" ref="D269:AP269" si="134">D241+D267</f>
        <v>-4700833.8461067993</v>
      </c>
      <c r="E269" s="216">
        <f t="shared" si="134"/>
        <v>-396236.83493696991</v>
      </c>
      <c r="F269" s="216">
        <f t="shared" si="134"/>
        <v>2206669.7671672576</v>
      </c>
      <c r="G269" s="216">
        <f t="shared" si="134"/>
        <v>2274206.8772188965</v>
      </c>
      <c r="H269" s="216">
        <f t="shared" si="134"/>
        <v>4236545.5901959706</v>
      </c>
      <c r="I269" s="216">
        <f t="shared" si="134"/>
        <v>6195525.1527865222</v>
      </c>
      <c r="J269" s="216">
        <f t="shared" si="134"/>
        <v>6264652.8400775939</v>
      </c>
      <c r="K269" s="216">
        <f t="shared" si="134"/>
        <v>6307087.8849959709</v>
      </c>
      <c r="L269" s="216">
        <f t="shared" si="134"/>
        <v>6342981.9253453407</v>
      </c>
      <c r="M269" s="216">
        <f t="shared" si="134"/>
        <v>6412775.7674812162</v>
      </c>
      <c r="N269" s="216">
        <f t="shared" si="134"/>
        <v>5898501.1559823807</v>
      </c>
      <c r="O269" s="216">
        <f t="shared" si="134"/>
        <v>5550814.031327419</v>
      </c>
      <c r="P269" s="216">
        <f t="shared" si="134"/>
        <v>5978717.7272817241</v>
      </c>
      <c r="Q269" s="216">
        <f t="shared" si="134"/>
        <v>5070879.9439188372</v>
      </c>
      <c r="R269" s="216">
        <f t="shared" si="134"/>
        <v>4343937.375325948</v>
      </c>
      <c r="S269" s="216">
        <f t="shared" si="134"/>
        <v>5361405.2325682109</v>
      </c>
      <c r="T269" s="216">
        <f t="shared" si="134"/>
        <v>6012486.268310694</v>
      </c>
      <c r="U269" s="216">
        <f t="shared" si="134"/>
        <v>6048509.3777708048</v>
      </c>
      <c r="V269" s="216">
        <f t="shared" si="134"/>
        <v>6458777.693100539</v>
      </c>
      <c r="W269" s="216">
        <f t="shared" si="134"/>
        <v>6867615.9529998722</v>
      </c>
      <c r="X269" s="216">
        <f t="shared" si="134"/>
        <v>6919528.9778932342</v>
      </c>
      <c r="Y269" s="216">
        <f t="shared" si="134"/>
        <v>6981921.3545099832</v>
      </c>
      <c r="Z269" s="216">
        <f t="shared" si="134"/>
        <v>6345662.6509402478</v>
      </c>
      <c r="AA269" s="216">
        <f t="shared" si="134"/>
        <v>5908829.9994661529</v>
      </c>
      <c r="AB269" s="216">
        <f t="shared" si="134"/>
        <v>6393177.1791032897</v>
      </c>
      <c r="AC269" s="216">
        <f t="shared" si="134"/>
        <v>6672448.1657743612</v>
      </c>
      <c r="AD269" s="216">
        <f t="shared" si="134"/>
        <v>6687254.0001546498</v>
      </c>
      <c r="AE269" s="216">
        <f t="shared" si="134"/>
        <v>6938285.6504700044</v>
      </c>
      <c r="AF269" s="216">
        <f t="shared" si="134"/>
        <v>9499186.3987963181</v>
      </c>
      <c r="AG269" s="216">
        <f t="shared" si="134"/>
        <v>0</v>
      </c>
      <c r="AH269" s="216">
        <f t="shared" si="134"/>
        <v>0</v>
      </c>
      <c r="AI269" s="216">
        <f t="shared" si="134"/>
        <v>0</v>
      </c>
      <c r="AJ269" s="216">
        <f t="shared" si="134"/>
        <v>0</v>
      </c>
      <c r="AK269" s="216">
        <f t="shared" si="134"/>
        <v>0</v>
      </c>
      <c r="AL269" s="216">
        <f t="shared" si="134"/>
        <v>0</v>
      </c>
      <c r="AM269" s="216">
        <f t="shared" si="134"/>
        <v>0</v>
      </c>
      <c r="AN269" s="216">
        <f t="shared" si="134"/>
        <v>0</v>
      </c>
      <c r="AO269" s="216">
        <f t="shared" si="134"/>
        <v>0</v>
      </c>
      <c r="AP269" s="216">
        <f t="shared" si="134"/>
        <v>0</v>
      </c>
    </row>
    <row r="270" spans="1:42">
      <c r="A270" s="219" t="s">
        <v>234</v>
      </c>
      <c r="C270" s="216">
        <f t="shared" ref="C270:AP270" si="135">C269*-FedTax</f>
        <v>-2988349.7695523486</v>
      </c>
      <c r="D270" s="216">
        <f t="shared" si="135"/>
        <v>1645291.8461373798</v>
      </c>
      <c r="E270" s="216">
        <f t="shared" si="135"/>
        <v>138682.89222793945</v>
      </c>
      <c r="F270" s="216">
        <f t="shared" si="135"/>
        <v>-772334.41850854014</v>
      </c>
      <c r="G270" s="216">
        <f t="shared" si="135"/>
        <v>-795972.40702661371</v>
      </c>
      <c r="H270" s="216">
        <f t="shared" si="135"/>
        <v>-1482790.9565685897</v>
      </c>
      <c r="I270" s="216">
        <f t="shared" si="135"/>
        <v>-2168433.8034752826</v>
      </c>
      <c r="J270" s="216">
        <f t="shared" si="135"/>
        <v>-2192628.4940271578</v>
      </c>
      <c r="K270" s="216">
        <f t="shared" si="135"/>
        <v>-2207480.7597485897</v>
      </c>
      <c r="L270" s="216">
        <f t="shared" si="135"/>
        <v>-2220043.673870869</v>
      </c>
      <c r="M270" s="216">
        <f t="shared" si="135"/>
        <v>-2244471.5186184254</v>
      </c>
      <c r="N270" s="216">
        <f t="shared" si="135"/>
        <v>-2064475.404593833</v>
      </c>
      <c r="O270" s="216">
        <f t="shared" si="135"/>
        <v>-1942784.9109645966</v>
      </c>
      <c r="P270" s="216">
        <f t="shared" si="135"/>
        <v>-2092551.2045486034</v>
      </c>
      <c r="Q270" s="216">
        <f t="shared" si="135"/>
        <v>-1774807.980371593</v>
      </c>
      <c r="R270" s="216">
        <f t="shared" si="135"/>
        <v>-1520378.0813640817</v>
      </c>
      <c r="S270" s="216">
        <f t="shared" si="135"/>
        <v>-1876491.8313988736</v>
      </c>
      <c r="T270" s="216">
        <f t="shared" si="135"/>
        <v>-2104370.1939087426</v>
      </c>
      <c r="U270" s="216">
        <f t="shared" si="135"/>
        <v>-2116978.2822197815</v>
      </c>
      <c r="V270" s="216">
        <f t="shared" si="135"/>
        <v>-2260572.1925851884</v>
      </c>
      <c r="W270" s="216">
        <f t="shared" si="135"/>
        <v>-2403665.5835499549</v>
      </c>
      <c r="X270" s="216">
        <f t="shared" si="135"/>
        <v>-2421835.142262632</v>
      </c>
      <c r="Y270" s="216">
        <f t="shared" si="135"/>
        <v>-2443672.4740784941</v>
      </c>
      <c r="Z270" s="216">
        <f t="shared" si="135"/>
        <v>-2220981.9278290868</v>
      </c>
      <c r="AA270" s="216">
        <f t="shared" si="135"/>
        <v>-2068090.4998131534</v>
      </c>
      <c r="AB270" s="216">
        <f t="shared" si="135"/>
        <v>-2237612.0126861511</v>
      </c>
      <c r="AC270" s="216">
        <f t="shared" si="135"/>
        <v>-2335356.8580210265</v>
      </c>
      <c r="AD270" s="216">
        <f t="shared" si="135"/>
        <v>-2340538.9000541274</v>
      </c>
      <c r="AE270" s="216">
        <f t="shared" si="135"/>
        <v>-2428399.9776645014</v>
      </c>
      <c r="AF270" s="216">
        <f t="shared" si="135"/>
        <v>-3324715.2395787113</v>
      </c>
      <c r="AG270" s="216">
        <f t="shared" si="135"/>
        <v>0</v>
      </c>
      <c r="AH270" s="216">
        <f t="shared" si="135"/>
        <v>0</v>
      </c>
      <c r="AI270" s="216">
        <f t="shared" si="135"/>
        <v>0</v>
      </c>
      <c r="AJ270" s="216">
        <f t="shared" si="135"/>
        <v>0</v>
      </c>
      <c r="AK270" s="216">
        <f t="shared" si="135"/>
        <v>0</v>
      </c>
      <c r="AL270" s="216">
        <f t="shared" si="135"/>
        <v>0</v>
      </c>
      <c r="AM270" s="216">
        <f t="shared" si="135"/>
        <v>0</v>
      </c>
      <c r="AN270" s="216">
        <f t="shared" si="135"/>
        <v>0</v>
      </c>
      <c r="AO270" s="216">
        <f t="shared" si="135"/>
        <v>0</v>
      </c>
      <c r="AP270" s="216">
        <f t="shared" si="135"/>
        <v>0</v>
      </c>
    </row>
    <row r="271" spans="1:42">
      <c r="A271" s="226"/>
      <c r="C271" s="208"/>
      <c r="D271" s="208"/>
      <c r="E271" s="208"/>
      <c r="F271" s="208"/>
      <c r="G271" s="208"/>
      <c r="H271" s="208"/>
      <c r="I271" s="208"/>
      <c r="J271" s="208"/>
      <c r="K271" s="208"/>
      <c r="L271" s="208"/>
      <c r="M271" s="208"/>
      <c r="N271" s="208"/>
      <c r="O271" s="208"/>
      <c r="P271" s="208"/>
      <c r="Q271" s="208"/>
      <c r="R271" s="208"/>
      <c r="S271" s="208"/>
      <c r="T271" s="208"/>
      <c r="U271" s="208"/>
      <c r="V271" s="208"/>
      <c r="W271" s="208"/>
      <c r="X271" s="208"/>
      <c r="Y271" s="208"/>
      <c r="Z271" s="208"/>
      <c r="AA271" s="208"/>
      <c r="AB271" s="208"/>
      <c r="AC271" s="208"/>
      <c r="AD271" s="208"/>
      <c r="AE271" s="208"/>
      <c r="AF271" s="208"/>
      <c r="AG271" s="208"/>
      <c r="AH271" s="208"/>
      <c r="AI271" s="208"/>
      <c r="AJ271" s="208"/>
      <c r="AK271" s="208"/>
      <c r="AL271" s="208"/>
      <c r="AM271" s="208"/>
      <c r="AN271" s="208"/>
      <c r="AO271" s="208"/>
      <c r="AP271" s="208"/>
    </row>
    <row r="272" spans="1:42">
      <c r="A272" s="201" t="s">
        <v>139</v>
      </c>
    </row>
    <row r="273" spans="1:11">
      <c r="A273" s="217" t="s">
        <v>140</v>
      </c>
    </row>
    <row r="274" spans="1:11">
      <c r="A274" s="37" t="s">
        <v>83</v>
      </c>
    </row>
    <row r="275" spans="1:11" ht="51">
      <c r="B275" s="133" t="s">
        <v>157</v>
      </c>
      <c r="C275" s="133" t="s">
        <v>153</v>
      </c>
      <c r="D275" s="133" t="s">
        <v>155</v>
      </c>
      <c r="E275" s="228" t="s">
        <v>156</v>
      </c>
      <c r="F275" s="133" t="s">
        <v>158</v>
      </c>
      <c r="G275" s="229" t="s">
        <v>175</v>
      </c>
      <c r="H275" s="229" t="s">
        <v>176</v>
      </c>
      <c r="I275" s="133" t="s">
        <v>159</v>
      </c>
      <c r="J275" s="230" t="s">
        <v>332</v>
      </c>
      <c r="K275" s="133" t="s">
        <v>337</v>
      </c>
    </row>
    <row r="276" spans="1:11">
      <c r="A276" s="206" t="str">
        <f>'Inputs &amp; Results'!A212</f>
        <v>5-yr MACRS</v>
      </c>
      <c r="B276" s="231">
        <f t="shared" ref="B276:B281" si="136">C276/$C$283</f>
        <v>0.93401015228426387</v>
      </c>
      <c r="C276" s="208">
        <f>'Inputs &amp; Results'!B221</f>
        <v>39336153.420000002</v>
      </c>
      <c r="D276" s="208">
        <f t="shared" ref="D276:E281" si="137">$B276*D$283</f>
        <v>0</v>
      </c>
      <c r="E276" s="208">
        <f t="shared" si="137"/>
        <v>0</v>
      </c>
      <c r="F276" s="165">
        <f>C276-D276-E276</f>
        <v>39336153.420000002</v>
      </c>
      <c r="G276" s="208">
        <f t="shared" ref="G276:G281" si="138">IF(ITCStateFixedStateDeprec="Yes",K546,0)+IF(ITCStatePercentStateDeprec="Yes",I546,0)</f>
        <v>10000</v>
      </c>
      <c r="H276" s="208">
        <f t="shared" ref="H276:H281" si="139">IF(ITCFedFixedStateDeprec="Yes",K581,0)+IF(ITCFedPercentStateDeprec="Yes",I581,0)</f>
        <v>0</v>
      </c>
      <c r="I276" s="232">
        <f>F276-G276-H276</f>
        <v>39326153.420000002</v>
      </c>
      <c r="J276" s="208">
        <f>IF('Inputs &amp; Results'!B233="Yes",I276*StateBonusDeprec,0)</f>
        <v>1966307.6710000001</v>
      </c>
      <c r="K276" s="165">
        <f>I276-J276</f>
        <v>37359845.748999998</v>
      </c>
    </row>
    <row r="277" spans="1:11">
      <c r="A277" s="206" t="str">
        <f>'Inputs &amp; Results'!A213</f>
        <v>15-yr MACRS</v>
      </c>
      <c r="B277" s="231">
        <f t="shared" si="136"/>
        <v>1.5228426395939083E-2</v>
      </c>
      <c r="C277" s="208">
        <f>'Inputs &amp; Results'!B222</f>
        <v>641350.32750000001</v>
      </c>
      <c r="D277" s="208">
        <f t="shared" si="137"/>
        <v>0</v>
      </c>
      <c r="E277" s="208">
        <f t="shared" si="137"/>
        <v>0</v>
      </c>
      <c r="F277" s="165">
        <f t="shared" ref="F277:F281" si="140">C277-D277-E277</f>
        <v>641350.32750000001</v>
      </c>
      <c r="G277" s="208">
        <f t="shared" si="138"/>
        <v>0</v>
      </c>
      <c r="H277" s="208">
        <f t="shared" si="139"/>
        <v>0</v>
      </c>
      <c r="I277" s="165">
        <f t="shared" ref="I277:I281" si="141">F277-G277-H277</f>
        <v>641350.32750000001</v>
      </c>
      <c r="J277" s="208">
        <f>IF('Inputs &amp; Results'!B234="Yes",I277*StateBonusDeprec,0)</f>
        <v>0</v>
      </c>
      <c r="K277" s="165">
        <f t="shared" ref="K277:K281" si="142">I277-J277</f>
        <v>641350.32750000001</v>
      </c>
    </row>
    <row r="278" spans="1:11">
      <c r="A278" s="206" t="str">
        <f>'Inputs &amp; Results'!A214</f>
        <v>5-yr SL</v>
      </c>
      <c r="B278" s="231">
        <f t="shared" si="136"/>
        <v>0</v>
      </c>
      <c r="C278" s="208">
        <f>'Inputs &amp; Results'!B223</f>
        <v>0</v>
      </c>
      <c r="D278" s="208">
        <f t="shared" si="137"/>
        <v>0</v>
      </c>
      <c r="E278" s="208">
        <f t="shared" si="137"/>
        <v>0</v>
      </c>
      <c r="F278" s="165">
        <f t="shared" si="140"/>
        <v>0</v>
      </c>
      <c r="G278" s="208">
        <f t="shared" si="138"/>
        <v>0</v>
      </c>
      <c r="H278" s="208">
        <f t="shared" si="139"/>
        <v>0</v>
      </c>
      <c r="I278" s="165">
        <f t="shared" si="141"/>
        <v>0</v>
      </c>
      <c r="J278" s="208">
        <f>IF('Inputs &amp; Results'!B235="Yes",I278*StateBonusDeprec,0)</f>
        <v>0</v>
      </c>
      <c r="K278" s="165">
        <f t="shared" si="142"/>
        <v>0</v>
      </c>
    </row>
    <row r="279" spans="1:11">
      <c r="A279" s="206" t="str">
        <f>'Inputs &amp; Results'!A215</f>
        <v>15-yr SL</v>
      </c>
      <c r="B279" s="231">
        <f t="shared" si="136"/>
        <v>1.5228426395939083E-2</v>
      </c>
      <c r="C279" s="208">
        <f>'Inputs &amp; Results'!B224</f>
        <v>641350.32750000001</v>
      </c>
      <c r="D279" s="208">
        <f t="shared" si="137"/>
        <v>0</v>
      </c>
      <c r="E279" s="208">
        <f t="shared" si="137"/>
        <v>0</v>
      </c>
      <c r="F279" s="165">
        <f t="shared" si="140"/>
        <v>641350.32750000001</v>
      </c>
      <c r="G279" s="208">
        <f t="shared" si="138"/>
        <v>0</v>
      </c>
      <c r="H279" s="208">
        <f t="shared" si="139"/>
        <v>0</v>
      </c>
      <c r="I279" s="165">
        <f t="shared" si="141"/>
        <v>641350.32750000001</v>
      </c>
      <c r="J279" s="208">
        <f>IF('Inputs &amp; Results'!B236="Yes",I279*StateBonusDeprec,0)</f>
        <v>0</v>
      </c>
      <c r="K279" s="165">
        <f t="shared" si="142"/>
        <v>641350.32750000001</v>
      </c>
    </row>
    <row r="280" spans="1:11">
      <c r="A280" s="206" t="str">
        <f>'Inputs &amp; Results'!A216</f>
        <v>20-yr SL</v>
      </c>
      <c r="B280" s="231">
        <f t="shared" si="136"/>
        <v>3.0456852791878167E-2</v>
      </c>
      <c r="C280" s="208">
        <f>'Inputs &amp; Results'!B225</f>
        <v>1282700.655</v>
      </c>
      <c r="D280" s="208">
        <f t="shared" si="137"/>
        <v>0</v>
      </c>
      <c r="E280" s="208">
        <f t="shared" si="137"/>
        <v>0</v>
      </c>
      <c r="F280" s="165">
        <f t="shared" si="140"/>
        <v>1282700.655</v>
      </c>
      <c r="G280" s="208">
        <f t="shared" si="138"/>
        <v>0</v>
      </c>
      <c r="H280" s="208">
        <f t="shared" si="139"/>
        <v>0</v>
      </c>
      <c r="I280" s="165">
        <f t="shared" si="141"/>
        <v>1282700.655</v>
      </c>
      <c r="J280" s="208">
        <f>IF('Inputs &amp; Results'!B237="Yes",I280*StateBonusDeprec,0)</f>
        <v>0</v>
      </c>
      <c r="K280" s="165">
        <f t="shared" si="142"/>
        <v>1282700.655</v>
      </c>
    </row>
    <row r="281" spans="1:11">
      <c r="A281" s="206" t="str">
        <f>'Inputs &amp; Results'!A217</f>
        <v>39-yr SL</v>
      </c>
      <c r="B281" s="231">
        <f t="shared" si="136"/>
        <v>5.076142131979695E-3</v>
      </c>
      <c r="C281" s="208">
        <f>'Inputs &amp; Results'!B226</f>
        <v>213783.4425</v>
      </c>
      <c r="D281" s="208">
        <f t="shared" si="137"/>
        <v>0</v>
      </c>
      <c r="E281" s="208">
        <f t="shared" si="137"/>
        <v>0</v>
      </c>
      <c r="F281" s="165">
        <f t="shared" si="140"/>
        <v>213783.4425</v>
      </c>
      <c r="G281" s="208">
        <f t="shared" si="138"/>
        <v>0</v>
      </c>
      <c r="H281" s="208">
        <f t="shared" si="139"/>
        <v>0</v>
      </c>
      <c r="I281" s="165">
        <f t="shared" si="141"/>
        <v>213783.4425</v>
      </c>
      <c r="J281" s="208">
        <f>IF('Inputs &amp; Results'!B238="Yes",I281*StateBonusDeprec,0)</f>
        <v>0</v>
      </c>
      <c r="K281" s="165">
        <f t="shared" si="142"/>
        <v>213783.4425</v>
      </c>
    </row>
    <row r="282" spans="1:11">
      <c r="A282" s="301" t="s">
        <v>391</v>
      </c>
      <c r="B282" s="233"/>
      <c r="C282" s="234"/>
      <c r="D282" s="235"/>
      <c r="E282" s="235"/>
      <c r="F282" s="103"/>
      <c r="G282" s="235"/>
      <c r="H282" s="235"/>
      <c r="I282" s="103"/>
      <c r="J282" s="235"/>
      <c r="K282" s="103"/>
    </row>
    <row r="283" spans="1:11">
      <c r="B283" s="236">
        <f>SUM(B276:B282)</f>
        <v>1</v>
      </c>
      <c r="C283" s="209">
        <f>SUM(C276:C282)</f>
        <v>42115338.172500007</v>
      </c>
      <c r="D283" s="209">
        <f>B292+B298</f>
        <v>0</v>
      </c>
      <c r="E283" s="209">
        <f>B304</f>
        <v>0</v>
      </c>
      <c r="F283" s="237">
        <f t="shared" ref="F283:K283" si="143">SUM(F276:F282)</f>
        <v>42115338.172500007</v>
      </c>
      <c r="G283" s="209">
        <f t="shared" si="143"/>
        <v>10000</v>
      </c>
      <c r="H283" s="209">
        <f t="shared" si="143"/>
        <v>0</v>
      </c>
      <c r="I283" s="237">
        <f t="shared" si="143"/>
        <v>42105338.172500007</v>
      </c>
      <c r="J283" s="237">
        <f t="shared" si="143"/>
        <v>1966307.6710000001</v>
      </c>
      <c r="K283" s="237">
        <f t="shared" si="143"/>
        <v>40139030.501500003</v>
      </c>
    </row>
    <row r="285" spans="1:11">
      <c r="A285" s="37" t="s">
        <v>171</v>
      </c>
    </row>
    <row r="286" spans="1:11">
      <c r="A286" s="206" t="str">
        <f>A626</f>
        <v>Investment Based Incentive (IBI)</v>
      </c>
    </row>
    <row r="287" spans="1:11">
      <c r="A287" s="222" t="str">
        <f t="shared" ref="A287:A303" si="144">A627</f>
        <v>Fixed Amount ($)</v>
      </c>
    </row>
    <row r="288" spans="1:11">
      <c r="A288" s="238" t="str">
        <f t="shared" si="144"/>
        <v>Federal</v>
      </c>
      <c r="B288" s="164">
        <f>IF(IBIFedFixedStateDeprec="Yes",IBIFedFixed,0)</f>
        <v>0</v>
      </c>
    </row>
    <row r="289" spans="1:2">
      <c r="A289" s="238" t="str">
        <f t="shared" si="144"/>
        <v>State</v>
      </c>
      <c r="B289" s="164">
        <f>IF(IBIStateFixedStateDeprec="Yes",IBIStateFixed,0)</f>
        <v>0</v>
      </c>
    </row>
    <row r="290" spans="1:2">
      <c r="A290" s="238" t="str">
        <f t="shared" si="144"/>
        <v>Utility</v>
      </c>
      <c r="B290" s="164">
        <f>IF(IBIUtilityFixedStateDeprec="Yes",IBIUtilityFixed,0)</f>
        <v>0</v>
      </c>
    </row>
    <row r="291" spans="1:2">
      <c r="A291" s="238" t="str">
        <f t="shared" si="144"/>
        <v>Other</v>
      </c>
      <c r="B291" s="209">
        <f>IF(IBIOtherFixedStateDeprec="Yes",IBIOtherFixed,0)</f>
        <v>0</v>
      </c>
    </row>
    <row r="292" spans="1:2">
      <c r="A292" s="238" t="str">
        <f t="shared" si="144"/>
        <v>Total</v>
      </c>
      <c r="B292" s="164">
        <f>SUM(B288:B291)</f>
        <v>0</v>
      </c>
    </row>
    <row r="293" spans="1:2">
      <c r="A293" s="222" t="str">
        <f t="shared" si="144"/>
        <v>Percentage of Pre-Financing Costs</v>
      </c>
    </row>
    <row r="294" spans="1:2">
      <c r="A294" s="238" t="str">
        <f t="shared" si="144"/>
        <v>Federal</v>
      </c>
      <c r="B294" s="164">
        <f>IF(IBIFedPercentStateDeprec="Yes",IBIFedPercent,0)</f>
        <v>0</v>
      </c>
    </row>
    <row r="295" spans="1:2">
      <c r="A295" s="238" t="str">
        <f>A635</f>
        <v>State</v>
      </c>
      <c r="B295" s="164">
        <f>IF(IBIStatePercentStateDeprec="Yes",IBIStatePercent,0)</f>
        <v>0</v>
      </c>
    </row>
    <row r="296" spans="1:2">
      <c r="A296" s="238" t="str">
        <f t="shared" si="144"/>
        <v>Utility</v>
      </c>
      <c r="B296" s="164">
        <f>IF(IBIUtilityPercentStateDeprec="Yes",IBIUtilityPercent,0)</f>
        <v>0</v>
      </c>
    </row>
    <row r="297" spans="1:2">
      <c r="A297" s="238" t="str">
        <f t="shared" si="144"/>
        <v>Other</v>
      </c>
      <c r="B297" s="209">
        <f>IF(IBIOtherPercentStateDeprec="Yes",IBIOtherPercent,0)</f>
        <v>0</v>
      </c>
    </row>
    <row r="298" spans="1:2">
      <c r="A298" s="238" t="str">
        <f t="shared" si="144"/>
        <v>Total</v>
      </c>
      <c r="B298" s="164">
        <f>SUM(B294:B297)</f>
        <v>0</v>
      </c>
    </row>
    <row r="299" spans="1:2">
      <c r="A299" s="206" t="str">
        <f t="shared" si="144"/>
        <v>Capacity Based Incentive (CBI)</v>
      </c>
    </row>
    <row r="300" spans="1:2">
      <c r="A300" s="222" t="str">
        <f t="shared" si="144"/>
        <v>Federal</v>
      </c>
      <c r="B300" s="164">
        <f>IF(CBIFedStateDeprec="Yes",CBIFed,0)</f>
        <v>0</v>
      </c>
    </row>
    <row r="301" spans="1:2">
      <c r="A301" s="222" t="str">
        <f>A641</f>
        <v>State</v>
      </c>
      <c r="B301" s="164">
        <f>IF(CBIStateStateDeprec="Yes",CBIState,0)</f>
        <v>0</v>
      </c>
    </row>
    <row r="302" spans="1:2">
      <c r="A302" s="222" t="str">
        <f t="shared" si="144"/>
        <v>Utility</v>
      </c>
      <c r="B302" s="164">
        <f>IF(CBIUtilityStateDeprec="Yes",CBIUtility,0)</f>
        <v>0</v>
      </c>
    </row>
    <row r="303" spans="1:2">
      <c r="A303" s="222" t="str">
        <f t="shared" si="144"/>
        <v>Other</v>
      </c>
      <c r="B303" s="209">
        <f>IF(CBIOtherStateDeprec="Yes",CBIOther,0)</f>
        <v>0</v>
      </c>
    </row>
    <row r="304" spans="1:2">
      <c r="A304" s="222" t="str">
        <f>A644</f>
        <v>Total</v>
      </c>
      <c r="B304" s="216">
        <f>SUM(B300:B303)</f>
        <v>0</v>
      </c>
    </row>
    <row r="305" spans="1:42">
      <c r="A305" s="206" t="s">
        <v>154</v>
      </c>
      <c r="B305" s="164">
        <f>B292+B298+B304</f>
        <v>0</v>
      </c>
    </row>
    <row r="307" spans="1:42">
      <c r="A307" s="37" t="s">
        <v>263</v>
      </c>
    </row>
    <row r="308" spans="1:42">
      <c r="A308" s="206" t="s">
        <v>160</v>
      </c>
    </row>
    <row r="309" spans="1:42">
      <c r="A309" s="227" t="str">
        <f>A276</f>
        <v>5-yr MACRS</v>
      </c>
      <c r="B309" s="239">
        <f>SUM(C309:AP309)</f>
        <v>0.99999999999999989</v>
      </c>
      <c r="C309" s="240">
        <f>LOOKUP(C$2,'Depreciation Schedules'!$A$3:$A$42,'Depreciation Schedules'!$B$3:$B$42)</f>
        <v>0.2</v>
      </c>
      <c r="D309" s="240">
        <f>LOOKUP(D$2,'Depreciation Schedules'!$A$3:$A$42,'Depreciation Schedules'!$B$3:$B$42)</f>
        <v>0.32</v>
      </c>
      <c r="E309" s="240">
        <f>LOOKUP(E$2,'Depreciation Schedules'!$A$3:$A$42,'Depreciation Schedules'!$B$3:$B$42)</f>
        <v>0.192</v>
      </c>
      <c r="F309" s="240">
        <f>LOOKUP(F$2,'Depreciation Schedules'!$A$3:$A$42,'Depreciation Schedules'!$B$3:$B$42)</f>
        <v>0.1152</v>
      </c>
      <c r="G309" s="240">
        <f>LOOKUP(G$2,'Depreciation Schedules'!$A$3:$A$42,'Depreciation Schedules'!$B$3:$B$42)</f>
        <v>0.1152</v>
      </c>
      <c r="H309" s="240">
        <f>LOOKUP(H$2,'Depreciation Schedules'!$A$3:$A$42,'Depreciation Schedules'!$B$3:$B$42)</f>
        <v>5.7599999999999998E-2</v>
      </c>
      <c r="I309" s="240">
        <f>LOOKUP(I$2,'Depreciation Schedules'!$A$3:$A$42,'Depreciation Schedules'!$B$3:$B$42)</f>
        <v>0</v>
      </c>
      <c r="J309" s="240">
        <f>LOOKUP(J$2,'Depreciation Schedules'!$A$3:$A$42,'Depreciation Schedules'!$B$3:$B$42)</f>
        <v>0</v>
      </c>
      <c r="K309" s="240">
        <f>LOOKUP(K$2,'Depreciation Schedules'!$A$3:$A$42,'Depreciation Schedules'!$B$3:$B$42)</f>
        <v>0</v>
      </c>
      <c r="L309" s="240">
        <f>LOOKUP(L$2,'Depreciation Schedules'!$A$3:$A$42,'Depreciation Schedules'!$B$3:$B$42)</f>
        <v>0</v>
      </c>
      <c r="M309" s="240">
        <f>LOOKUP(M$2,'Depreciation Schedules'!$A$3:$A$42,'Depreciation Schedules'!$B$3:$B$42)</f>
        <v>0</v>
      </c>
      <c r="N309" s="240">
        <f>LOOKUP(N$2,'Depreciation Schedules'!$A$3:$A$42,'Depreciation Schedules'!$B$3:$B$42)</f>
        <v>0</v>
      </c>
      <c r="O309" s="240">
        <f>LOOKUP(O$2,'Depreciation Schedules'!$A$3:$A$42,'Depreciation Schedules'!$B$3:$B$42)</f>
        <v>0</v>
      </c>
      <c r="P309" s="240">
        <f>LOOKUP(P$2,'Depreciation Schedules'!$A$3:$A$42,'Depreciation Schedules'!$B$3:$B$42)</f>
        <v>0</v>
      </c>
      <c r="Q309" s="240">
        <f>LOOKUP(Q$2,'Depreciation Schedules'!$A$3:$A$42,'Depreciation Schedules'!$B$3:$B$42)</f>
        <v>0</v>
      </c>
      <c r="R309" s="240">
        <f>LOOKUP(R$2,'Depreciation Schedules'!$A$3:$A$42,'Depreciation Schedules'!$B$3:$B$42)</f>
        <v>0</v>
      </c>
      <c r="S309" s="240">
        <f>LOOKUP(S$2,'Depreciation Schedules'!$A$3:$A$42,'Depreciation Schedules'!$B$3:$B$42)</f>
        <v>0</v>
      </c>
      <c r="T309" s="240">
        <f>LOOKUP(T$2,'Depreciation Schedules'!$A$3:$A$42,'Depreciation Schedules'!$B$3:$B$42)</f>
        <v>0</v>
      </c>
      <c r="U309" s="240">
        <f>LOOKUP(U$2,'Depreciation Schedules'!$A$3:$A$42,'Depreciation Schedules'!$B$3:$B$42)</f>
        <v>0</v>
      </c>
      <c r="V309" s="240">
        <f>LOOKUP(V$2,'Depreciation Schedules'!$A$3:$A$42,'Depreciation Schedules'!$B$3:$B$42)</f>
        <v>0</v>
      </c>
      <c r="W309" s="240">
        <f>LOOKUP(W$2,'Depreciation Schedules'!$A$3:$A$42,'Depreciation Schedules'!$B$3:$B$42)</f>
        <v>0</v>
      </c>
      <c r="X309" s="240">
        <f>LOOKUP(X$2,'Depreciation Schedules'!$A$3:$A$42,'Depreciation Schedules'!$B$3:$B$42)</f>
        <v>0</v>
      </c>
      <c r="Y309" s="240">
        <f>LOOKUP(Y$2,'Depreciation Schedules'!$A$3:$A$42,'Depreciation Schedules'!$B$3:$B$42)</f>
        <v>0</v>
      </c>
      <c r="Z309" s="240">
        <f>LOOKUP(Z$2,'Depreciation Schedules'!$A$3:$A$42,'Depreciation Schedules'!$B$3:$B$42)</f>
        <v>0</v>
      </c>
      <c r="AA309" s="240">
        <f>LOOKUP(AA$2,'Depreciation Schedules'!$A$3:$A$42,'Depreciation Schedules'!$B$3:$B$42)</f>
        <v>0</v>
      </c>
      <c r="AB309" s="240">
        <f>LOOKUP(AB$2,'Depreciation Schedules'!$A$3:$A$42,'Depreciation Schedules'!$B$3:$B$42)</f>
        <v>0</v>
      </c>
      <c r="AC309" s="240">
        <f>LOOKUP(AC$2,'Depreciation Schedules'!$A$3:$A$42,'Depreciation Schedules'!$B$3:$B$42)</f>
        <v>0</v>
      </c>
      <c r="AD309" s="240">
        <f>LOOKUP(AD$2,'Depreciation Schedules'!$A$3:$A$42,'Depreciation Schedules'!$B$3:$B$42)</f>
        <v>0</v>
      </c>
      <c r="AE309" s="240">
        <f>LOOKUP(AE$2,'Depreciation Schedules'!$A$3:$A$42,'Depreciation Schedules'!$B$3:$B$42)</f>
        <v>0</v>
      </c>
      <c r="AF309" s="240">
        <f>LOOKUP(AF$2,'Depreciation Schedules'!$A$3:$A$42,'Depreciation Schedules'!$B$3:$B$42)</f>
        <v>0</v>
      </c>
      <c r="AG309" s="240">
        <f>LOOKUP(AG$2,'Depreciation Schedules'!$A$3:$A$42,'Depreciation Schedules'!$B$3:$B$42)</f>
        <v>0</v>
      </c>
      <c r="AH309" s="240">
        <f>LOOKUP(AH$2,'Depreciation Schedules'!$A$3:$A$42,'Depreciation Schedules'!$B$3:$B$42)</f>
        <v>0</v>
      </c>
      <c r="AI309" s="240">
        <f>LOOKUP(AI$2,'Depreciation Schedules'!$A$3:$A$42,'Depreciation Schedules'!$B$3:$B$42)</f>
        <v>0</v>
      </c>
      <c r="AJ309" s="240">
        <f>LOOKUP(AJ$2,'Depreciation Schedules'!$A$3:$A$42,'Depreciation Schedules'!$B$3:$B$42)</f>
        <v>0</v>
      </c>
      <c r="AK309" s="240">
        <f>LOOKUP(AK$2,'Depreciation Schedules'!$A$3:$A$42,'Depreciation Schedules'!$B$3:$B$42)</f>
        <v>0</v>
      </c>
      <c r="AL309" s="240">
        <f>LOOKUP(AL$2,'Depreciation Schedules'!$A$3:$A$42,'Depreciation Schedules'!$B$3:$B$42)</f>
        <v>0</v>
      </c>
      <c r="AM309" s="240">
        <f>LOOKUP(AM$2,'Depreciation Schedules'!$A$3:$A$42,'Depreciation Schedules'!$B$3:$B$42)</f>
        <v>0</v>
      </c>
      <c r="AN309" s="240">
        <f>LOOKUP(AN$2,'Depreciation Schedules'!$A$3:$A$42,'Depreciation Schedules'!$B$3:$B$42)</f>
        <v>0</v>
      </c>
      <c r="AO309" s="240">
        <f>LOOKUP(AO$2,'Depreciation Schedules'!$A$3:$A$42,'Depreciation Schedules'!$B$3:$B$42)</f>
        <v>0</v>
      </c>
      <c r="AP309" s="240">
        <f>LOOKUP(AP$2,'Depreciation Schedules'!$A$3:$A$42,'Depreciation Schedules'!$B$3:$B$42)</f>
        <v>0</v>
      </c>
    </row>
    <row r="310" spans="1:42">
      <c r="A310" s="227" t="str">
        <f t="shared" ref="A310:A314" si="145">A277</f>
        <v>15-yr MACRS</v>
      </c>
      <c r="B310" s="241">
        <f t="shared" ref="B310:B314" si="146">SUM(C310:AP310)</f>
        <v>1.0000000000000002</v>
      </c>
      <c r="C310" s="240">
        <f>LOOKUP(C$2,'Depreciation Schedules'!$A$3:$A$42,'Depreciation Schedules'!$C$3:$C$42)</f>
        <v>0.05</v>
      </c>
      <c r="D310" s="240">
        <f>LOOKUP(D$2,'Depreciation Schedules'!$A$3:$A$42,'Depreciation Schedules'!$C$3:$C$42)</f>
        <v>9.5000000000000001E-2</v>
      </c>
      <c r="E310" s="240">
        <f>LOOKUP(E$2,'Depreciation Schedules'!$A$3:$A$42,'Depreciation Schedules'!$C$3:$C$42)</f>
        <v>8.5500000000000007E-2</v>
      </c>
      <c r="F310" s="240">
        <f>LOOKUP(F$2,'Depreciation Schedules'!$A$3:$A$42,'Depreciation Schedules'!$C$3:$C$42)</f>
        <v>7.6999999999999999E-2</v>
      </c>
      <c r="G310" s="240">
        <f>LOOKUP(G$2,'Depreciation Schedules'!$A$3:$A$42,'Depreciation Schedules'!$C$3:$C$42)</f>
        <v>6.93E-2</v>
      </c>
      <c r="H310" s="240">
        <f>LOOKUP(H$2,'Depreciation Schedules'!$A$3:$A$42,'Depreciation Schedules'!$C$3:$C$42)</f>
        <v>6.2300000000000001E-2</v>
      </c>
      <c r="I310" s="240">
        <f>LOOKUP(I$2,'Depreciation Schedules'!$A$3:$A$42,'Depreciation Schedules'!$C$3:$C$42)</f>
        <v>5.8999999999999997E-2</v>
      </c>
      <c r="J310" s="240">
        <f>LOOKUP(J$2,'Depreciation Schedules'!$A$3:$A$42,'Depreciation Schedules'!$C$3:$C$42)</f>
        <v>5.8999999999999997E-2</v>
      </c>
      <c r="K310" s="240">
        <f>LOOKUP(K$2,'Depreciation Schedules'!$A$3:$A$42,'Depreciation Schedules'!$C$3:$C$42)</f>
        <v>5.91E-2</v>
      </c>
      <c r="L310" s="240">
        <f>LOOKUP(L$2,'Depreciation Schedules'!$A$3:$A$42,'Depreciation Schedules'!$C$3:$C$42)</f>
        <v>5.8999999999999997E-2</v>
      </c>
      <c r="M310" s="240">
        <f>LOOKUP(M$2,'Depreciation Schedules'!$A$3:$A$42,'Depreciation Schedules'!$C$3:$C$42)</f>
        <v>5.91E-2</v>
      </c>
      <c r="N310" s="240">
        <f>LOOKUP(N$2,'Depreciation Schedules'!$A$3:$A$42,'Depreciation Schedules'!$C$3:$C$42)</f>
        <v>5.8999999999999997E-2</v>
      </c>
      <c r="O310" s="240">
        <f>LOOKUP(O$2,'Depreciation Schedules'!$A$3:$A$42,'Depreciation Schedules'!$C$3:$C$42)</f>
        <v>5.91E-2</v>
      </c>
      <c r="P310" s="240">
        <f>LOOKUP(P$2,'Depreciation Schedules'!$A$3:$A$42,'Depreciation Schedules'!$C$3:$C$42)</f>
        <v>5.8999999999999997E-2</v>
      </c>
      <c r="Q310" s="240">
        <f>LOOKUP(Q$2,'Depreciation Schedules'!$A$3:$A$42,'Depreciation Schedules'!$C$3:$C$42)</f>
        <v>5.91E-2</v>
      </c>
      <c r="R310" s="240">
        <f>LOOKUP(R$2,'Depreciation Schedules'!$A$3:$A$42,'Depreciation Schedules'!$C$3:$C$42)</f>
        <v>2.9499999999999998E-2</v>
      </c>
      <c r="S310" s="240">
        <f>LOOKUP(S$2,'Depreciation Schedules'!$A$3:$A$42,'Depreciation Schedules'!$C$3:$C$42)</f>
        <v>0</v>
      </c>
      <c r="T310" s="240">
        <f>LOOKUP(T$2,'Depreciation Schedules'!$A$3:$A$42,'Depreciation Schedules'!$C$3:$C$42)</f>
        <v>0</v>
      </c>
      <c r="U310" s="240">
        <f>LOOKUP(U$2,'Depreciation Schedules'!$A$3:$A$42,'Depreciation Schedules'!$C$3:$C$42)</f>
        <v>0</v>
      </c>
      <c r="V310" s="240">
        <f>LOOKUP(V$2,'Depreciation Schedules'!$A$3:$A$42,'Depreciation Schedules'!$C$3:$C$42)</f>
        <v>0</v>
      </c>
      <c r="W310" s="240">
        <f>LOOKUP(W$2,'Depreciation Schedules'!$A$3:$A$42,'Depreciation Schedules'!$C$3:$C$42)</f>
        <v>0</v>
      </c>
      <c r="X310" s="240">
        <f>LOOKUP(X$2,'Depreciation Schedules'!$A$3:$A$42,'Depreciation Schedules'!$C$3:$C$42)</f>
        <v>0</v>
      </c>
      <c r="Y310" s="240">
        <f>LOOKUP(Y$2,'Depreciation Schedules'!$A$3:$A$42,'Depreciation Schedules'!$C$3:$C$42)</f>
        <v>0</v>
      </c>
      <c r="Z310" s="240">
        <f>LOOKUP(Z$2,'Depreciation Schedules'!$A$3:$A$42,'Depreciation Schedules'!$C$3:$C$42)</f>
        <v>0</v>
      </c>
      <c r="AA310" s="240">
        <f>LOOKUP(AA$2,'Depreciation Schedules'!$A$3:$A$42,'Depreciation Schedules'!$C$3:$C$42)</f>
        <v>0</v>
      </c>
      <c r="AB310" s="240">
        <f>LOOKUP(AB$2,'Depreciation Schedules'!$A$3:$A$42,'Depreciation Schedules'!$C$3:$C$42)</f>
        <v>0</v>
      </c>
      <c r="AC310" s="240">
        <f>LOOKUP(AC$2,'Depreciation Schedules'!$A$3:$A$42,'Depreciation Schedules'!$C$3:$C$42)</f>
        <v>0</v>
      </c>
      <c r="AD310" s="240">
        <f>LOOKUP(AD$2,'Depreciation Schedules'!$A$3:$A$42,'Depreciation Schedules'!$C$3:$C$42)</f>
        <v>0</v>
      </c>
      <c r="AE310" s="240">
        <f>LOOKUP(AE$2,'Depreciation Schedules'!$A$3:$A$42,'Depreciation Schedules'!$C$3:$C$42)</f>
        <v>0</v>
      </c>
      <c r="AF310" s="240">
        <f>LOOKUP(AF$2,'Depreciation Schedules'!$A$3:$A$42,'Depreciation Schedules'!$C$3:$C$42)</f>
        <v>0</v>
      </c>
      <c r="AG310" s="240">
        <f>LOOKUP(AG$2,'Depreciation Schedules'!$A$3:$A$42,'Depreciation Schedules'!$C$3:$C$42)</f>
        <v>0</v>
      </c>
      <c r="AH310" s="240">
        <f>LOOKUP(AH$2,'Depreciation Schedules'!$A$3:$A$42,'Depreciation Schedules'!$C$3:$C$42)</f>
        <v>0</v>
      </c>
      <c r="AI310" s="240">
        <f>LOOKUP(AI$2,'Depreciation Schedules'!$A$3:$A$42,'Depreciation Schedules'!$C$3:$C$42)</f>
        <v>0</v>
      </c>
      <c r="AJ310" s="240">
        <f>LOOKUP(AJ$2,'Depreciation Schedules'!$A$3:$A$42,'Depreciation Schedules'!$C$3:$C$42)</f>
        <v>0</v>
      </c>
      <c r="AK310" s="240">
        <f>LOOKUP(AK$2,'Depreciation Schedules'!$A$3:$A$42,'Depreciation Schedules'!$C$3:$C$42)</f>
        <v>0</v>
      </c>
      <c r="AL310" s="240">
        <f>LOOKUP(AL$2,'Depreciation Schedules'!$A$3:$A$42,'Depreciation Schedules'!$C$3:$C$42)</f>
        <v>0</v>
      </c>
      <c r="AM310" s="240">
        <f>LOOKUP(AM$2,'Depreciation Schedules'!$A$3:$A$42,'Depreciation Schedules'!$C$3:$C$42)</f>
        <v>0</v>
      </c>
      <c r="AN310" s="240">
        <f>LOOKUP(AN$2,'Depreciation Schedules'!$A$3:$A$42,'Depreciation Schedules'!$C$3:$C$42)</f>
        <v>0</v>
      </c>
      <c r="AO310" s="240">
        <f>LOOKUP(AO$2,'Depreciation Schedules'!$A$3:$A$42,'Depreciation Schedules'!$C$3:$C$42)</f>
        <v>0</v>
      </c>
      <c r="AP310" s="240">
        <f>LOOKUP(AP$2,'Depreciation Schedules'!$A$3:$A$42,'Depreciation Schedules'!$C$3:$C$42)</f>
        <v>0</v>
      </c>
    </row>
    <row r="311" spans="1:42">
      <c r="A311" s="227" t="str">
        <f t="shared" si="145"/>
        <v>5-yr SL</v>
      </c>
      <c r="B311" s="241">
        <f t="shared" si="146"/>
        <v>0.99999999999999989</v>
      </c>
      <c r="C311" s="240">
        <f>LOOKUP(C$2,'Depreciation Schedules'!$A$3:$A$42,'Depreciation Schedules'!$D$3:$D$42)</f>
        <v>0.1</v>
      </c>
      <c r="D311" s="240">
        <f>LOOKUP(D$2,'Depreciation Schedules'!$A$3:$A$42,'Depreciation Schedules'!$D$3:$D$42)</f>
        <v>0.2</v>
      </c>
      <c r="E311" s="240">
        <f>LOOKUP(E$2,'Depreciation Schedules'!$A$3:$A$42,'Depreciation Schedules'!$D$3:$D$42)</f>
        <v>0.2</v>
      </c>
      <c r="F311" s="240">
        <f>LOOKUP(F$2,'Depreciation Schedules'!$A$3:$A$42,'Depreciation Schedules'!$D$3:$D$42)</f>
        <v>0.2</v>
      </c>
      <c r="G311" s="240">
        <f>LOOKUP(G$2,'Depreciation Schedules'!$A$3:$A$42,'Depreciation Schedules'!$D$3:$D$42)</f>
        <v>0.2</v>
      </c>
      <c r="H311" s="240">
        <f>LOOKUP(H$2,'Depreciation Schedules'!$A$3:$A$42,'Depreciation Schedules'!$D$3:$D$42)</f>
        <v>0.1</v>
      </c>
      <c r="I311" s="240">
        <f>LOOKUP(I$2,'Depreciation Schedules'!$A$3:$A$42,'Depreciation Schedules'!$D$3:$D$42)</f>
        <v>0</v>
      </c>
      <c r="J311" s="240">
        <f>LOOKUP(J$2,'Depreciation Schedules'!$A$3:$A$42,'Depreciation Schedules'!$D$3:$D$42)</f>
        <v>0</v>
      </c>
      <c r="K311" s="240">
        <f>LOOKUP(K$2,'Depreciation Schedules'!$A$3:$A$42,'Depreciation Schedules'!$D$3:$D$42)</f>
        <v>0</v>
      </c>
      <c r="L311" s="240">
        <f>LOOKUP(L$2,'Depreciation Schedules'!$A$3:$A$42,'Depreciation Schedules'!$D$3:$D$42)</f>
        <v>0</v>
      </c>
      <c r="M311" s="240">
        <f>LOOKUP(M$2,'Depreciation Schedules'!$A$3:$A$42,'Depreciation Schedules'!$D$3:$D$42)</f>
        <v>0</v>
      </c>
      <c r="N311" s="240">
        <f>LOOKUP(N$2,'Depreciation Schedules'!$A$3:$A$42,'Depreciation Schedules'!$D$3:$D$42)</f>
        <v>0</v>
      </c>
      <c r="O311" s="240">
        <f>LOOKUP(O$2,'Depreciation Schedules'!$A$3:$A$42,'Depreciation Schedules'!$D$3:$D$42)</f>
        <v>0</v>
      </c>
      <c r="P311" s="240">
        <f>LOOKUP(P$2,'Depreciation Schedules'!$A$3:$A$42,'Depreciation Schedules'!$D$3:$D$42)</f>
        <v>0</v>
      </c>
      <c r="Q311" s="240">
        <f>LOOKUP(Q$2,'Depreciation Schedules'!$A$3:$A$42,'Depreciation Schedules'!$D$3:$D$42)</f>
        <v>0</v>
      </c>
      <c r="R311" s="240">
        <f>LOOKUP(R$2,'Depreciation Schedules'!$A$3:$A$42,'Depreciation Schedules'!$D$3:$D$42)</f>
        <v>0</v>
      </c>
      <c r="S311" s="240">
        <f>LOOKUP(S$2,'Depreciation Schedules'!$A$3:$A$42,'Depreciation Schedules'!$D$3:$D$42)</f>
        <v>0</v>
      </c>
      <c r="T311" s="240">
        <f>LOOKUP(T$2,'Depreciation Schedules'!$A$3:$A$42,'Depreciation Schedules'!$D$3:$D$42)</f>
        <v>0</v>
      </c>
      <c r="U311" s="240">
        <f>LOOKUP(U$2,'Depreciation Schedules'!$A$3:$A$42,'Depreciation Schedules'!$D$3:$D$42)</f>
        <v>0</v>
      </c>
      <c r="V311" s="240">
        <f>LOOKUP(V$2,'Depreciation Schedules'!$A$3:$A$42,'Depreciation Schedules'!$D$3:$D$42)</f>
        <v>0</v>
      </c>
      <c r="W311" s="240">
        <f>LOOKUP(W$2,'Depreciation Schedules'!$A$3:$A$42,'Depreciation Schedules'!$D$3:$D$42)</f>
        <v>0</v>
      </c>
      <c r="X311" s="240">
        <f>LOOKUP(X$2,'Depreciation Schedules'!$A$3:$A$42,'Depreciation Schedules'!$D$3:$D$42)</f>
        <v>0</v>
      </c>
      <c r="Y311" s="240">
        <f>LOOKUP(Y$2,'Depreciation Schedules'!$A$3:$A$42,'Depreciation Schedules'!$D$3:$D$42)</f>
        <v>0</v>
      </c>
      <c r="Z311" s="240">
        <f>LOOKUP(Z$2,'Depreciation Schedules'!$A$3:$A$42,'Depreciation Schedules'!$D$3:$D$42)</f>
        <v>0</v>
      </c>
      <c r="AA311" s="240">
        <f>LOOKUP(AA$2,'Depreciation Schedules'!$A$3:$A$42,'Depreciation Schedules'!$D$3:$D$42)</f>
        <v>0</v>
      </c>
      <c r="AB311" s="240">
        <f>LOOKUP(AB$2,'Depreciation Schedules'!$A$3:$A$42,'Depreciation Schedules'!$D$3:$D$42)</f>
        <v>0</v>
      </c>
      <c r="AC311" s="240">
        <f>LOOKUP(AC$2,'Depreciation Schedules'!$A$3:$A$42,'Depreciation Schedules'!$D$3:$D$42)</f>
        <v>0</v>
      </c>
      <c r="AD311" s="240">
        <f>LOOKUP(AD$2,'Depreciation Schedules'!$A$3:$A$42,'Depreciation Schedules'!$D$3:$D$42)</f>
        <v>0</v>
      </c>
      <c r="AE311" s="240">
        <f>LOOKUP(AE$2,'Depreciation Schedules'!$A$3:$A$42,'Depreciation Schedules'!$D$3:$D$42)</f>
        <v>0</v>
      </c>
      <c r="AF311" s="240">
        <f>LOOKUP(AF$2,'Depreciation Schedules'!$A$3:$A$42,'Depreciation Schedules'!$D$3:$D$42)</f>
        <v>0</v>
      </c>
      <c r="AG311" s="240">
        <f>LOOKUP(AG$2,'Depreciation Schedules'!$A$3:$A$42,'Depreciation Schedules'!$D$3:$D$42)</f>
        <v>0</v>
      </c>
      <c r="AH311" s="240">
        <f>LOOKUP(AH$2,'Depreciation Schedules'!$A$3:$A$42,'Depreciation Schedules'!$D$3:$D$42)</f>
        <v>0</v>
      </c>
      <c r="AI311" s="240">
        <f>LOOKUP(AI$2,'Depreciation Schedules'!$A$3:$A$42,'Depreciation Schedules'!$D$3:$D$42)</f>
        <v>0</v>
      </c>
      <c r="AJ311" s="240">
        <f>LOOKUP(AJ$2,'Depreciation Schedules'!$A$3:$A$42,'Depreciation Schedules'!$D$3:$D$42)</f>
        <v>0</v>
      </c>
      <c r="AK311" s="240">
        <f>LOOKUP(AK$2,'Depreciation Schedules'!$A$3:$A$42,'Depreciation Schedules'!$D$3:$D$42)</f>
        <v>0</v>
      </c>
      <c r="AL311" s="240">
        <f>LOOKUP(AL$2,'Depreciation Schedules'!$A$3:$A$42,'Depreciation Schedules'!$D$3:$D$42)</f>
        <v>0</v>
      </c>
      <c r="AM311" s="240">
        <f>LOOKUP(AM$2,'Depreciation Schedules'!$A$3:$A$42,'Depreciation Schedules'!$D$3:$D$42)</f>
        <v>0</v>
      </c>
      <c r="AN311" s="240">
        <f>LOOKUP(AN$2,'Depreciation Schedules'!$A$3:$A$42,'Depreciation Schedules'!$D$3:$D$42)</f>
        <v>0</v>
      </c>
      <c r="AO311" s="240">
        <f>LOOKUP(AO$2,'Depreciation Schedules'!$A$3:$A$42,'Depreciation Schedules'!$D$3:$D$42)</f>
        <v>0</v>
      </c>
      <c r="AP311" s="240">
        <f>LOOKUP(AP$2,'Depreciation Schedules'!$A$3:$A$42,'Depreciation Schedules'!$D$3:$D$42)</f>
        <v>0</v>
      </c>
    </row>
    <row r="312" spans="1:42">
      <c r="A312" s="227" t="str">
        <f t="shared" si="145"/>
        <v>15-yr SL</v>
      </c>
      <c r="B312" s="241">
        <f t="shared" si="146"/>
        <v>0.99999999999999989</v>
      </c>
      <c r="C312" s="240">
        <f>LOOKUP(C$2,'Depreciation Schedules'!$A$3:$A$42,'Depreciation Schedules'!$E$3:$E$42)</f>
        <v>3.3300000000000003E-2</v>
      </c>
      <c r="D312" s="240">
        <f>LOOKUP(D$2,'Depreciation Schedules'!$A$3:$A$42,'Depreciation Schedules'!$E$3:$E$42)</f>
        <v>6.6699999999999995E-2</v>
      </c>
      <c r="E312" s="240">
        <f>LOOKUP(E$2,'Depreciation Schedules'!$A$3:$A$42,'Depreciation Schedules'!$E$3:$E$42)</f>
        <v>6.6699999999999995E-2</v>
      </c>
      <c r="F312" s="240">
        <f>LOOKUP(F$2,'Depreciation Schedules'!$A$3:$A$42,'Depreciation Schedules'!$E$3:$E$42)</f>
        <v>6.6699999999999995E-2</v>
      </c>
      <c r="G312" s="240">
        <f>LOOKUP(G$2,'Depreciation Schedules'!$A$3:$A$42,'Depreciation Schedules'!$E$3:$E$42)</f>
        <v>6.6699999999999995E-2</v>
      </c>
      <c r="H312" s="240">
        <f>LOOKUP(H$2,'Depreciation Schedules'!$A$3:$A$42,'Depreciation Schedules'!$E$3:$E$42)</f>
        <v>6.6699999999999995E-2</v>
      </c>
      <c r="I312" s="240">
        <f>LOOKUP(I$2,'Depreciation Schedules'!$A$3:$A$42,'Depreciation Schedules'!$E$3:$E$42)</f>
        <v>6.6699999999999995E-2</v>
      </c>
      <c r="J312" s="240">
        <f>LOOKUP(J$2,'Depreciation Schedules'!$A$3:$A$42,'Depreciation Schedules'!$E$3:$E$42)</f>
        <v>6.6600000000000006E-2</v>
      </c>
      <c r="K312" s="240">
        <f>LOOKUP(K$2,'Depreciation Schedules'!$A$3:$A$42,'Depreciation Schedules'!$E$3:$E$42)</f>
        <v>6.6699999999999995E-2</v>
      </c>
      <c r="L312" s="240">
        <f>LOOKUP(L$2,'Depreciation Schedules'!$A$3:$A$42,'Depreciation Schedules'!$E$3:$E$42)</f>
        <v>6.6600000000000006E-2</v>
      </c>
      <c r="M312" s="240">
        <f>LOOKUP(M$2,'Depreciation Schedules'!$A$3:$A$42,'Depreciation Schedules'!$E$3:$E$42)</f>
        <v>6.6699999999999995E-2</v>
      </c>
      <c r="N312" s="240">
        <f>LOOKUP(N$2,'Depreciation Schedules'!$A$3:$A$42,'Depreciation Schedules'!$E$3:$E$42)</f>
        <v>6.6600000000000006E-2</v>
      </c>
      <c r="O312" s="240">
        <f>LOOKUP(O$2,'Depreciation Schedules'!$A$3:$A$42,'Depreciation Schedules'!$E$3:$E$42)</f>
        <v>6.6699999999999995E-2</v>
      </c>
      <c r="P312" s="240">
        <f>LOOKUP(P$2,'Depreciation Schedules'!$A$3:$A$42,'Depreciation Schedules'!$E$3:$E$42)</f>
        <v>6.6600000000000006E-2</v>
      </c>
      <c r="Q312" s="240">
        <f>LOOKUP(Q$2,'Depreciation Schedules'!$A$3:$A$42,'Depreciation Schedules'!$E$3:$E$42)</f>
        <v>6.6699999999999995E-2</v>
      </c>
      <c r="R312" s="240">
        <f>LOOKUP(R$2,'Depreciation Schedules'!$A$3:$A$42,'Depreciation Schedules'!$E$3:$E$42)</f>
        <v>3.3300000000000003E-2</v>
      </c>
      <c r="S312" s="240">
        <f>LOOKUP(S$2,'Depreciation Schedules'!$A$3:$A$42,'Depreciation Schedules'!$E$3:$E$42)</f>
        <v>0</v>
      </c>
      <c r="T312" s="240">
        <f>LOOKUP(T$2,'Depreciation Schedules'!$A$3:$A$42,'Depreciation Schedules'!$E$3:$E$42)</f>
        <v>0</v>
      </c>
      <c r="U312" s="240">
        <f>LOOKUP(U$2,'Depreciation Schedules'!$A$3:$A$42,'Depreciation Schedules'!$E$3:$E$42)</f>
        <v>0</v>
      </c>
      <c r="V312" s="240">
        <f>LOOKUP(V$2,'Depreciation Schedules'!$A$3:$A$42,'Depreciation Schedules'!$E$3:$E$42)</f>
        <v>0</v>
      </c>
      <c r="W312" s="240">
        <f>LOOKUP(W$2,'Depreciation Schedules'!$A$3:$A$42,'Depreciation Schedules'!$E$3:$E$42)</f>
        <v>0</v>
      </c>
      <c r="X312" s="240">
        <f>LOOKUP(X$2,'Depreciation Schedules'!$A$3:$A$42,'Depreciation Schedules'!$E$3:$E$42)</f>
        <v>0</v>
      </c>
      <c r="Y312" s="240">
        <f>LOOKUP(Y$2,'Depreciation Schedules'!$A$3:$A$42,'Depreciation Schedules'!$E$3:$E$42)</f>
        <v>0</v>
      </c>
      <c r="Z312" s="240">
        <f>LOOKUP(Z$2,'Depreciation Schedules'!$A$3:$A$42,'Depreciation Schedules'!$E$3:$E$42)</f>
        <v>0</v>
      </c>
      <c r="AA312" s="240">
        <f>LOOKUP(AA$2,'Depreciation Schedules'!$A$3:$A$42,'Depreciation Schedules'!$E$3:$E$42)</f>
        <v>0</v>
      </c>
      <c r="AB312" s="240">
        <f>LOOKUP(AB$2,'Depreciation Schedules'!$A$3:$A$42,'Depreciation Schedules'!$E$3:$E$42)</f>
        <v>0</v>
      </c>
      <c r="AC312" s="240">
        <f>LOOKUP(AC$2,'Depreciation Schedules'!$A$3:$A$42,'Depreciation Schedules'!$E$3:$E$42)</f>
        <v>0</v>
      </c>
      <c r="AD312" s="240">
        <f>LOOKUP(AD$2,'Depreciation Schedules'!$A$3:$A$42,'Depreciation Schedules'!$E$3:$E$42)</f>
        <v>0</v>
      </c>
      <c r="AE312" s="240">
        <f>LOOKUP(AE$2,'Depreciation Schedules'!$A$3:$A$42,'Depreciation Schedules'!$E$3:$E$42)</f>
        <v>0</v>
      </c>
      <c r="AF312" s="240">
        <f>LOOKUP(AF$2,'Depreciation Schedules'!$A$3:$A$42,'Depreciation Schedules'!$E$3:$E$42)</f>
        <v>0</v>
      </c>
      <c r="AG312" s="240">
        <f>LOOKUP(AG$2,'Depreciation Schedules'!$A$3:$A$42,'Depreciation Schedules'!$E$3:$E$42)</f>
        <v>0</v>
      </c>
      <c r="AH312" s="240">
        <f>LOOKUP(AH$2,'Depreciation Schedules'!$A$3:$A$42,'Depreciation Schedules'!$E$3:$E$42)</f>
        <v>0</v>
      </c>
      <c r="AI312" s="240">
        <f>LOOKUP(AI$2,'Depreciation Schedules'!$A$3:$A$42,'Depreciation Schedules'!$E$3:$E$42)</f>
        <v>0</v>
      </c>
      <c r="AJ312" s="240">
        <f>LOOKUP(AJ$2,'Depreciation Schedules'!$A$3:$A$42,'Depreciation Schedules'!$E$3:$E$42)</f>
        <v>0</v>
      </c>
      <c r="AK312" s="240">
        <f>LOOKUP(AK$2,'Depreciation Schedules'!$A$3:$A$42,'Depreciation Schedules'!$E$3:$E$42)</f>
        <v>0</v>
      </c>
      <c r="AL312" s="240">
        <f>LOOKUP(AL$2,'Depreciation Schedules'!$A$3:$A$42,'Depreciation Schedules'!$E$3:$E$42)</f>
        <v>0</v>
      </c>
      <c r="AM312" s="240">
        <f>LOOKUP(AM$2,'Depreciation Schedules'!$A$3:$A$42,'Depreciation Schedules'!$E$3:$E$42)</f>
        <v>0</v>
      </c>
      <c r="AN312" s="240">
        <f>LOOKUP(AN$2,'Depreciation Schedules'!$A$3:$A$42,'Depreciation Schedules'!$E$3:$E$42)</f>
        <v>0</v>
      </c>
      <c r="AO312" s="240">
        <f>LOOKUP(AO$2,'Depreciation Schedules'!$A$3:$A$42,'Depreciation Schedules'!$E$3:$E$42)</f>
        <v>0</v>
      </c>
      <c r="AP312" s="240">
        <f>LOOKUP(AP$2,'Depreciation Schedules'!$A$3:$A$42,'Depreciation Schedules'!$E$3:$E$42)</f>
        <v>0</v>
      </c>
    </row>
    <row r="313" spans="1:42">
      <c r="A313" s="227" t="str">
        <f t="shared" si="145"/>
        <v>20-yr SL</v>
      </c>
      <c r="B313" s="241">
        <f t="shared" si="146"/>
        <v>1.0000000000000002</v>
      </c>
      <c r="C313" s="240">
        <f>LOOKUP(C$2,'Depreciation Schedules'!$A$3:$A$42,'Depreciation Schedules'!$F$3:$F$42)</f>
        <v>2.5000000000000001E-2</v>
      </c>
      <c r="D313" s="240">
        <f>LOOKUP(D$2,'Depreciation Schedules'!$A$3:$A$42,'Depreciation Schedules'!$F$3:$F$42)</f>
        <v>0.05</v>
      </c>
      <c r="E313" s="240">
        <f>LOOKUP(E$2,'Depreciation Schedules'!$A$3:$A$42,'Depreciation Schedules'!$F$3:$F$42)</f>
        <v>0.05</v>
      </c>
      <c r="F313" s="240">
        <f>LOOKUP(F$2,'Depreciation Schedules'!$A$3:$A$42,'Depreciation Schedules'!$F$3:$F$42)</f>
        <v>0.05</v>
      </c>
      <c r="G313" s="240">
        <f>LOOKUP(G$2,'Depreciation Schedules'!$A$3:$A$42,'Depreciation Schedules'!$F$3:$F$42)</f>
        <v>0.05</v>
      </c>
      <c r="H313" s="240">
        <f>LOOKUP(H$2,'Depreciation Schedules'!$A$3:$A$42,'Depreciation Schedules'!$F$3:$F$42)</f>
        <v>0.05</v>
      </c>
      <c r="I313" s="240">
        <f>LOOKUP(I$2,'Depreciation Schedules'!$A$3:$A$42,'Depreciation Schedules'!$F$3:$F$42)</f>
        <v>0.05</v>
      </c>
      <c r="J313" s="240">
        <f>LOOKUP(J$2,'Depreciation Schedules'!$A$3:$A$42,'Depreciation Schedules'!$F$3:$F$42)</f>
        <v>0.05</v>
      </c>
      <c r="K313" s="240">
        <f>LOOKUP(K$2,'Depreciation Schedules'!$A$3:$A$42,'Depreciation Schedules'!$F$3:$F$42)</f>
        <v>0.05</v>
      </c>
      <c r="L313" s="240">
        <f>LOOKUP(L$2,'Depreciation Schedules'!$A$3:$A$42,'Depreciation Schedules'!$F$3:$F$42)</f>
        <v>0.05</v>
      </c>
      <c r="M313" s="240">
        <f>LOOKUP(M$2,'Depreciation Schedules'!$A$3:$A$42,'Depreciation Schedules'!$F$3:$F$42)</f>
        <v>0.05</v>
      </c>
      <c r="N313" s="240">
        <f>LOOKUP(N$2,'Depreciation Schedules'!$A$3:$A$42,'Depreciation Schedules'!$F$3:$F$42)</f>
        <v>0.05</v>
      </c>
      <c r="O313" s="240">
        <f>LOOKUP(O$2,'Depreciation Schedules'!$A$3:$A$42,'Depreciation Schedules'!$F$3:$F$42)</f>
        <v>0.05</v>
      </c>
      <c r="P313" s="240">
        <f>LOOKUP(P$2,'Depreciation Schedules'!$A$3:$A$42,'Depreciation Schedules'!$F$3:$F$42)</f>
        <v>0.05</v>
      </c>
      <c r="Q313" s="240">
        <f>LOOKUP(Q$2,'Depreciation Schedules'!$A$3:$A$42,'Depreciation Schedules'!$F$3:$F$42)</f>
        <v>0.05</v>
      </c>
      <c r="R313" s="240">
        <f>LOOKUP(R$2,'Depreciation Schedules'!$A$3:$A$42,'Depreciation Schedules'!$F$3:$F$42)</f>
        <v>0.05</v>
      </c>
      <c r="S313" s="240">
        <f>LOOKUP(S$2,'Depreciation Schedules'!$A$3:$A$42,'Depreciation Schedules'!$F$3:$F$42)</f>
        <v>0.05</v>
      </c>
      <c r="T313" s="240">
        <f>LOOKUP(T$2,'Depreciation Schedules'!$A$3:$A$42,'Depreciation Schedules'!$F$3:$F$42)</f>
        <v>0.05</v>
      </c>
      <c r="U313" s="240">
        <f>LOOKUP(U$2,'Depreciation Schedules'!$A$3:$A$42,'Depreciation Schedules'!$F$3:$F$42)</f>
        <v>0.05</v>
      </c>
      <c r="V313" s="240">
        <f>LOOKUP(V$2,'Depreciation Schedules'!$A$3:$A$42,'Depreciation Schedules'!$F$3:$F$42)</f>
        <v>0.05</v>
      </c>
      <c r="W313" s="240">
        <f>LOOKUP(W$2,'Depreciation Schedules'!$A$3:$A$42,'Depreciation Schedules'!$F$3:$F$42)</f>
        <v>2.5000000000000001E-2</v>
      </c>
      <c r="X313" s="240">
        <f>LOOKUP(X$2,'Depreciation Schedules'!$A$3:$A$42,'Depreciation Schedules'!$F$3:$F$42)</f>
        <v>0</v>
      </c>
      <c r="Y313" s="240">
        <f>LOOKUP(Y$2,'Depreciation Schedules'!$A$3:$A$42,'Depreciation Schedules'!$F$3:$F$42)</f>
        <v>0</v>
      </c>
      <c r="Z313" s="240">
        <f>LOOKUP(Z$2,'Depreciation Schedules'!$A$3:$A$42,'Depreciation Schedules'!$F$3:$F$42)</f>
        <v>0</v>
      </c>
      <c r="AA313" s="240">
        <f>LOOKUP(AA$2,'Depreciation Schedules'!$A$3:$A$42,'Depreciation Schedules'!$F$3:$F$42)</f>
        <v>0</v>
      </c>
      <c r="AB313" s="240">
        <f>LOOKUP(AB$2,'Depreciation Schedules'!$A$3:$A$42,'Depreciation Schedules'!$F$3:$F$42)</f>
        <v>0</v>
      </c>
      <c r="AC313" s="240">
        <f>LOOKUP(AC$2,'Depreciation Schedules'!$A$3:$A$42,'Depreciation Schedules'!$F$3:$F$42)</f>
        <v>0</v>
      </c>
      <c r="AD313" s="240">
        <f>LOOKUP(AD$2,'Depreciation Schedules'!$A$3:$A$42,'Depreciation Schedules'!$F$3:$F$42)</f>
        <v>0</v>
      </c>
      <c r="AE313" s="240">
        <f>LOOKUP(AE$2,'Depreciation Schedules'!$A$3:$A$42,'Depreciation Schedules'!$F$3:$F$42)</f>
        <v>0</v>
      </c>
      <c r="AF313" s="240">
        <f>LOOKUP(AF$2,'Depreciation Schedules'!$A$3:$A$42,'Depreciation Schedules'!$F$3:$F$42)</f>
        <v>0</v>
      </c>
      <c r="AG313" s="240">
        <f>LOOKUP(AG$2,'Depreciation Schedules'!$A$3:$A$42,'Depreciation Schedules'!$F$3:$F$42)</f>
        <v>0</v>
      </c>
      <c r="AH313" s="240">
        <f>LOOKUP(AH$2,'Depreciation Schedules'!$A$3:$A$42,'Depreciation Schedules'!$F$3:$F$42)</f>
        <v>0</v>
      </c>
      <c r="AI313" s="240">
        <f>LOOKUP(AI$2,'Depreciation Schedules'!$A$3:$A$42,'Depreciation Schedules'!$F$3:$F$42)</f>
        <v>0</v>
      </c>
      <c r="AJ313" s="240">
        <f>LOOKUP(AJ$2,'Depreciation Schedules'!$A$3:$A$42,'Depreciation Schedules'!$F$3:$F$42)</f>
        <v>0</v>
      </c>
      <c r="AK313" s="240">
        <f>LOOKUP(AK$2,'Depreciation Schedules'!$A$3:$A$42,'Depreciation Schedules'!$F$3:$F$42)</f>
        <v>0</v>
      </c>
      <c r="AL313" s="240">
        <f>LOOKUP(AL$2,'Depreciation Schedules'!$A$3:$A$42,'Depreciation Schedules'!$F$3:$F$42)</f>
        <v>0</v>
      </c>
      <c r="AM313" s="240">
        <f>LOOKUP(AM$2,'Depreciation Schedules'!$A$3:$A$42,'Depreciation Schedules'!$F$3:$F$42)</f>
        <v>0</v>
      </c>
      <c r="AN313" s="240">
        <f>LOOKUP(AN$2,'Depreciation Schedules'!$A$3:$A$42,'Depreciation Schedules'!$F$3:$F$42)</f>
        <v>0</v>
      </c>
      <c r="AO313" s="240">
        <f>LOOKUP(AO$2,'Depreciation Schedules'!$A$3:$A$42,'Depreciation Schedules'!$F$3:$F$42)</f>
        <v>0</v>
      </c>
      <c r="AP313" s="240">
        <f>LOOKUP(AP$2,'Depreciation Schedules'!$A$3:$A$42,'Depreciation Schedules'!$F$3:$F$42)</f>
        <v>0</v>
      </c>
    </row>
    <row r="314" spans="1:42">
      <c r="A314" s="227" t="str">
        <f t="shared" si="145"/>
        <v>39-yr SL</v>
      </c>
      <c r="B314" s="242">
        <f t="shared" si="146"/>
        <v>1.0000000000000004</v>
      </c>
      <c r="C314" s="240">
        <f>LOOKUP(C$2,'Depreciation Schedules'!$A$3:$A$42,'Depreciation Schedules'!$G$3:$G$42)</f>
        <v>1.2820512820512799E-2</v>
      </c>
      <c r="D314" s="240">
        <f>LOOKUP(D$2,'Depreciation Schedules'!$A$3:$A$42,'Depreciation Schedules'!$G$3:$G$42)</f>
        <v>2.564102564102564E-2</v>
      </c>
      <c r="E314" s="240">
        <f>LOOKUP(E$2,'Depreciation Schedules'!$A$3:$A$42,'Depreciation Schedules'!$G$3:$G$42)</f>
        <v>2.564102564102564E-2</v>
      </c>
      <c r="F314" s="240">
        <f>LOOKUP(F$2,'Depreciation Schedules'!$A$3:$A$42,'Depreciation Schedules'!$G$3:$G$42)</f>
        <v>2.564102564102564E-2</v>
      </c>
      <c r="G314" s="240">
        <f>LOOKUP(G$2,'Depreciation Schedules'!$A$3:$A$42,'Depreciation Schedules'!$G$3:$G$42)</f>
        <v>2.564102564102564E-2</v>
      </c>
      <c r="H314" s="240">
        <f>LOOKUP(H$2,'Depreciation Schedules'!$A$3:$A$42,'Depreciation Schedules'!$G$3:$G$42)</f>
        <v>2.564102564102564E-2</v>
      </c>
      <c r="I314" s="240">
        <f>LOOKUP(I$2,'Depreciation Schedules'!$A$3:$A$42,'Depreciation Schedules'!$G$3:$G$42)</f>
        <v>2.564102564102564E-2</v>
      </c>
      <c r="J314" s="240">
        <f>LOOKUP(J$2,'Depreciation Schedules'!$A$3:$A$42,'Depreciation Schedules'!$G$3:$G$42)</f>
        <v>2.564102564102564E-2</v>
      </c>
      <c r="K314" s="240">
        <f>LOOKUP(K$2,'Depreciation Schedules'!$A$3:$A$42,'Depreciation Schedules'!$G$3:$G$42)</f>
        <v>2.564102564102564E-2</v>
      </c>
      <c r="L314" s="240">
        <f>LOOKUP(L$2,'Depreciation Schedules'!$A$3:$A$42,'Depreciation Schedules'!$G$3:$G$42)</f>
        <v>2.564102564102564E-2</v>
      </c>
      <c r="M314" s="240">
        <f>LOOKUP(M$2,'Depreciation Schedules'!$A$3:$A$42,'Depreciation Schedules'!$G$3:$G$42)</f>
        <v>2.564102564102564E-2</v>
      </c>
      <c r="N314" s="240">
        <f>LOOKUP(N$2,'Depreciation Schedules'!$A$3:$A$42,'Depreciation Schedules'!$G$3:$G$42)</f>
        <v>2.564102564102564E-2</v>
      </c>
      <c r="O314" s="240">
        <f>LOOKUP(O$2,'Depreciation Schedules'!$A$3:$A$42,'Depreciation Schedules'!$G$3:$G$42)</f>
        <v>2.564102564102564E-2</v>
      </c>
      <c r="P314" s="240">
        <f>LOOKUP(P$2,'Depreciation Schedules'!$A$3:$A$42,'Depreciation Schedules'!$G$3:$G$42)</f>
        <v>2.564102564102564E-2</v>
      </c>
      <c r="Q314" s="240">
        <f>LOOKUP(Q$2,'Depreciation Schedules'!$A$3:$A$42,'Depreciation Schedules'!$G$3:$G$42)</f>
        <v>2.564102564102564E-2</v>
      </c>
      <c r="R314" s="240">
        <f>LOOKUP(R$2,'Depreciation Schedules'!$A$3:$A$42,'Depreciation Schedules'!$G$3:$G$42)</f>
        <v>2.564102564102564E-2</v>
      </c>
      <c r="S314" s="240">
        <f>LOOKUP(S$2,'Depreciation Schedules'!$A$3:$A$42,'Depreciation Schedules'!$G$3:$G$42)</f>
        <v>2.564102564102564E-2</v>
      </c>
      <c r="T314" s="240">
        <f>LOOKUP(T$2,'Depreciation Schedules'!$A$3:$A$42,'Depreciation Schedules'!$G$3:$G$42)</f>
        <v>2.564102564102564E-2</v>
      </c>
      <c r="U314" s="240">
        <f>LOOKUP(U$2,'Depreciation Schedules'!$A$3:$A$42,'Depreciation Schedules'!$G$3:$G$42)</f>
        <v>2.564102564102564E-2</v>
      </c>
      <c r="V314" s="240">
        <f>LOOKUP(V$2,'Depreciation Schedules'!$A$3:$A$42,'Depreciation Schedules'!$G$3:$G$42)</f>
        <v>2.564102564102564E-2</v>
      </c>
      <c r="W314" s="240">
        <f>LOOKUP(W$2,'Depreciation Schedules'!$A$3:$A$42,'Depreciation Schedules'!$G$3:$G$42)</f>
        <v>2.564102564102564E-2</v>
      </c>
      <c r="X314" s="240">
        <f>LOOKUP(X$2,'Depreciation Schedules'!$A$3:$A$42,'Depreciation Schedules'!$G$3:$G$42)</f>
        <v>2.564102564102564E-2</v>
      </c>
      <c r="Y314" s="240">
        <f>LOOKUP(Y$2,'Depreciation Schedules'!$A$3:$A$42,'Depreciation Schedules'!$G$3:$G$42)</f>
        <v>2.564102564102564E-2</v>
      </c>
      <c r="Z314" s="240">
        <f>LOOKUP(Z$2,'Depreciation Schedules'!$A$3:$A$42,'Depreciation Schedules'!$G$3:$G$42)</f>
        <v>2.564102564102564E-2</v>
      </c>
      <c r="AA314" s="240">
        <f>LOOKUP(AA$2,'Depreciation Schedules'!$A$3:$A$42,'Depreciation Schedules'!$G$3:$G$42)</f>
        <v>2.564102564102564E-2</v>
      </c>
      <c r="AB314" s="240">
        <f>LOOKUP(AB$2,'Depreciation Schedules'!$A$3:$A$42,'Depreciation Schedules'!$G$3:$G$42)</f>
        <v>2.564102564102564E-2</v>
      </c>
      <c r="AC314" s="240">
        <f>LOOKUP(AC$2,'Depreciation Schedules'!$A$3:$A$42,'Depreciation Schedules'!$G$3:$G$42)</f>
        <v>2.564102564102564E-2</v>
      </c>
      <c r="AD314" s="240">
        <f>LOOKUP(AD$2,'Depreciation Schedules'!$A$3:$A$42,'Depreciation Schedules'!$G$3:$G$42)</f>
        <v>2.564102564102564E-2</v>
      </c>
      <c r="AE314" s="240">
        <f>LOOKUP(AE$2,'Depreciation Schedules'!$A$3:$A$42,'Depreciation Schedules'!$G$3:$G$42)</f>
        <v>2.564102564102564E-2</v>
      </c>
      <c r="AF314" s="240">
        <f>LOOKUP(AF$2,'Depreciation Schedules'!$A$3:$A$42,'Depreciation Schedules'!$G$3:$G$42)</f>
        <v>2.564102564102564E-2</v>
      </c>
      <c r="AG314" s="240">
        <f>LOOKUP(AG$2,'Depreciation Schedules'!$A$3:$A$42,'Depreciation Schedules'!$G$3:$G$42)</f>
        <v>2.564102564102564E-2</v>
      </c>
      <c r="AH314" s="240">
        <f>LOOKUP(AH$2,'Depreciation Schedules'!$A$3:$A$42,'Depreciation Schedules'!$G$3:$G$42)</f>
        <v>2.564102564102564E-2</v>
      </c>
      <c r="AI314" s="240">
        <f>LOOKUP(AI$2,'Depreciation Schedules'!$A$3:$A$42,'Depreciation Schedules'!$G$3:$G$42)</f>
        <v>2.564102564102564E-2</v>
      </c>
      <c r="AJ314" s="240">
        <f>LOOKUP(AJ$2,'Depreciation Schedules'!$A$3:$A$42,'Depreciation Schedules'!$G$3:$G$42)</f>
        <v>2.564102564102564E-2</v>
      </c>
      <c r="AK314" s="240">
        <f>LOOKUP(AK$2,'Depreciation Schedules'!$A$3:$A$42,'Depreciation Schedules'!$G$3:$G$42)</f>
        <v>2.564102564102564E-2</v>
      </c>
      <c r="AL314" s="240">
        <f>LOOKUP(AL$2,'Depreciation Schedules'!$A$3:$A$42,'Depreciation Schedules'!$G$3:$G$42)</f>
        <v>2.564102564102564E-2</v>
      </c>
      <c r="AM314" s="240">
        <f>LOOKUP(AM$2,'Depreciation Schedules'!$A$3:$A$42,'Depreciation Schedules'!$G$3:$G$42)</f>
        <v>2.564102564102564E-2</v>
      </c>
      <c r="AN314" s="240">
        <f>LOOKUP(AN$2,'Depreciation Schedules'!$A$3:$A$42,'Depreciation Schedules'!$G$3:$G$42)</f>
        <v>2.564102564102564E-2</v>
      </c>
      <c r="AO314" s="240">
        <f>LOOKUP(AO$2,'Depreciation Schedules'!$A$3:$A$42,'Depreciation Schedules'!$G$3:$G$42)</f>
        <v>2.564102564102564E-2</v>
      </c>
      <c r="AP314" s="240">
        <f>LOOKUP(AP$2,'Depreciation Schedules'!$A$3:$A$42,'Depreciation Schedules'!$G$3:$G$42)</f>
        <v>1.2820512820512799E-2</v>
      </c>
    </row>
    <row r="315" spans="1:42">
      <c r="A315" s="206" t="s">
        <v>34</v>
      </c>
      <c r="C315" s="208"/>
      <c r="D315" s="208"/>
      <c r="E315" s="208"/>
      <c r="F315" s="208"/>
      <c r="G315" s="208"/>
      <c r="H315" s="208"/>
      <c r="I315" s="208"/>
      <c r="J315" s="208"/>
      <c r="K315" s="208"/>
      <c r="L315" s="208"/>
      <c r="M315" s="208"/>
      <c r="N315" s="208"/>
      <c r="O315" s="208"/>
      <c r="P315" s="208"/>
      <c r="Q315" s="208"/>
      <c r="R315" s="208"/>
      <c r="S315" s="208"/>
      <c r="T315" s="208"/>
      <c r="U315" s="208"/>
      <c r="V315" s="208"/>
      <c r="W315" s="208"/>
      <c r="X315" s="208"/>
      <c r="Y315" s="208"/>
      <c r="Z315" s="208"/>
      <c r="AA315" s="208"/>
      <c r="AB315" s="208"/>
      <c r="AC315" s="208"/>
      <c r="AD315" s="208"/>
      <c r="AE315" s="208"/>
      <c r="AF315" s="208"/>
      <c r="AG315" s="208"/>
      <c r="AH315" s="208"/>
      <c r="AI315" s="208"/>
      <c r="AJ315" s="208"/>
      <c r="AK315" s="208"/>
      <c r="AL315" s="208"/>
      <c r="AM315" s="208"/>
      <c r="AN315" s="208"/>
      <c r="AO315" s="208"/>
      <c r="AP315" s="208"/>
    </row>
    <row r="316" spans="1:42">
      <c r="A316" s="227" t="str">
        <f>A309</f>
        <v>5-yr MACRS</v>
      </c>
      <c r="B316" s="243">
        <f>SUM(C316:AP316)</f>
        <v>37359845.748999998</v>
      </c>
      <c r="C316" s="208">
        <f t="shared" ref="C316:AP321" si="147">C309*$K276</f>
        <v>7471969.1497999998</v>
      </c>
      <c r="D316" s="208">
        <f t="shared" si="147"/>
        <v>11955150.63968</v>
      </c>
      <c r="E316" s="208">
        <f t="shared" si="147"/>
        <v>7173090.383808</v>
      </c>
      <c r="F316" s="208">
        <f t="shared" si="147"/>
        <v>4303854.2302847998</v>
      </c>
      <c r="G316" s="208">
        <f t="shared" si="147"/>
        <v>4303854.2302847998</v>
      </c>
      <c r="H316" s="208">
        <f t="shared" si="147"/>
        <v>2151927.1151423999</v>
      </c>
      <c r="I316" s="208">
        <f t="shared" si="147"/>
        <v>0</v>
      </c>
      <c r="J316" s="208">
        <f t="shared" si="147"/>
        <v>0</v>
      </c>
      <c r="K316" s="208">
        <f t="shared" si="147"/>
        <v>0</v>
      </c>
      <c r="L316" s="208">
        <f t="shared" si="147"/>
        <v>0</v>
      </c>
      <c r="M316" s="208">
        <f t="shared" si="147"/>
        <v>0</v>
      </c>
      <c r="N316" s="208">
        <f t="shared" si="147"/>
        <v>0</v>
      </c>
      <c r="O316" s="208">
        <f t="shared" si="147"/>
        <v>0</v>
      </c>
      <c r="P316" s="208">
        <f t="shared" si="147"/>
        <v>0</v>
      </c>
      <c r="Q316" s="208">
        <f t="shared" si="147"/>
        <v>0</v>
      </c>
      <c r="R316" s="208">
        <f t="shared" si="147"/>
        <v>0</v>
      </c>
      <c r="S316" s="208">
        <f t="shared" si="147"/>
        <v>0</v>
      </c>
      <c r="T316" s="208">
        <f t="shared" si="147"/>
        <v>0</v>
      </c>
      <c r="U316" s="208">
        <f t="shared" si="147"/>
        <v>0</v>
      </c>
      <c r="V316" s="208">
        <f t="shared" si="147"/>
        <v>0</v>
      </c>
      <c r="W316" s="208">
        <f t="shared" si="147"/>
        <v>0</v>
      </c>
      <c r="X316" s="208">
        <f t="shared" si="147"/>
        <v>0</v>
      </c>
      <c r="Y316" s="208">
        <f t="shared" si="147"/>
        <v>0</v>
      </c>
      <c r="Z316" s="208">
        <f t="shared" si="147"/>
        <v>0</v>
      </c>
      <c r="AA316" s="208">
        <f t="shared" si="147"/>
        <v>0</v>
      </c>
      <c r="AB316" s="208">
        <f t="shared" si="147"/>
        <v>0</v>
      </c>
      <c r="AC316" s="208">
        <f t="shared" si="147"/>
        <v>0</v>
      </c>
      <c r="AD316" s="208">
        <f t="shared" si="147"/>
        <v>0</v>
      </c>
      <c r="AE316" s="208">
        <f t="shared" si="147"/>
        <v>0</v>
      </c>
      <c r="AF316" s="208">
        <f t="shared" si="147"/>
        <v>0</v>
      </c>
      <c r="AG316" s="208">
        <f t="shared" si="147"/>
        <v>0</v>
      </c>
      <c r="AH316" s="208">
        <f t="shared" si="147"/>
        <v>0</v>
      </c>
      <c r="AI316" s="208">
        <f t="shared" si="147"/>
        <v>0</v>
      </c>
      <c r="AJ316" s="208">
        <f t="shared" si="147"/>
        <v>0</v>
      </c>
      <c r="AK316" s="208">
        <f t="shared" si="147"/>
        <v>0</v>
      </c>
      <c r="AL316" s="208">
        <f t="shared" si="147"/>
        <v>0</v>
      </c>
      <c r="AM316" s="208">
        <f t="shared" si="147"/>
        <v>0</v>
      </c>
      <c r="AN316" s="208">
        <f t="shared" si="147"/>
        <v>0</v>
      </c>
      <c r="AO316" s="208">
        <f t="shared" si="147"/>
        <v>0</v>
      </c>
      <c r="AP316" s="208">
        <f t="shared" si="147"/>
        <v>0</v>
      </c>
    </row>
    <row r="317" spans="1:42">
      <c r="A317" s="227" t="str">
        <f t="shared" ref="A317:A321" si="148">A310</f>
        <v>15-yr MACRS</v>
      </c>
      <c r="B317" s="165">
        <f t="shared" ref="B317:B323" si="149">SUM(C317:AP317)</f>
        <v>641350.3274999999</v>
      </c>
      <c r="C317" s="208">
        <f t="shared" si="147"/>
        <v>32067.516375000003</v>
      </c>
      <c r="D317" s="208">
        <f t="shared" si="147"/>
        <v>60928.281112500001</v>
      </c>
      <c r="E317" s="208">
        <f t="shared" si="147"/>
        <v>54835.453001250004</v>
      </c>
      <c r="F317" s="208">
        <f t="shared" si="147"/>
        <v>49383.975217500003</v>
      </c>
      <c r="G317" s="208">
        <f t="shared" si="147"/>
        <v>44445.577695749998</v>
      </c>
      <c r="H317" s="208">
        <f t="shared" si="147"/>
        <v>39956.12540325</v>
      </c>
      <c r="I317" s="208">
        <f t="shared" si="147"/>
        <v>37839.669322499998</v>
      </c>
      <c r="J317" s="208">
        <f t="shared" si="147"/>
        <v>37839.669322499998</v>
      </c>
      <c r="K317" s="208">
        <f t="shared" si="147"/>
        <v>37903.804355250002</v>
      </c>
      <c r="L317" s="208">
        <f t="shared" si="147"/>
        <v>37839.669322499998</v>
      </c>
      <c r="M317" s="208">
        <f t="shared" si="147"/>
        <v>37903.804355250002</v>
      </c>
      <c r="N317" s="208">
        <f t="shared" si="147"/>
        <v>37839.669322499998</v>
      </c>
      <c r="O317" s="208">
        <f t="shared" si="147"/>
        <v>37903.804355250002</v>
      </c>
      <c r="P317" s="208">
        <f t="shared" si="147"/>
        <v>37839.669322499998</v>
      </c>
      <c r="Q317" s="208">
        <f t="shared" si="147"/>
        <v>37903.804355250002</v>
      </c>
      <c r="R317" s="208">
        <f t="shared" si="147"/>
        <v>18919.834661249999</v>
      </c>
      <c r="S317" s="208">
        <f t="shared" si="147"/>
        <v>0</v>
      </c>
      <c r="T317" s="208">
        <f t="shared" si="147"/>
        <v>0</v>
      </c>
      <c r="U317" s="208">
        <f t="shared" si="147"/>
        <v>0</v>
      </c>
      <c r="V317" s="208">
        <f t="shared" si="147"/>
        <v>0</v>
      </c>
      <c r="W317" s="208">
        <f t="shared" si="147"/>
        <v>0</v>
      </c>
      <c r="X317" s="208">
        <f t="shared" si="147"/>
        <v>0</v>
      </c>
      <c r="Y317" s="208">
        <f t="shared" si="147"/>
        <v>0</v>
      </c>
      <c r="Z317" s="208">
        <f t="shared" si="147"/>
        <v>0</v>
      </c>
      <c r="AA317" s="208">
        <f t="shared" si="147"/>
        <v>0</v>
      </c>
      <c r="AB317" s="208">
        <f t="shared" si="147"/>
        <v>0</v>
      </c>
      <c r="AC317" s="208">
        <f t="shared" si="147"/>
        <v>0</v>
      </c>
      <c r="AD317" s="208">
        <f t="shared" si="147"/>
        <v>0</v>
      </c>
      <c r="AE317" s="208">
        <f t="shared" si="147"/>
        <v>0</v>
      </c>
      <c r="AF317" s="208">
        <f t="shared" si="147"/>
        <v>0</v>
      </c>
      <c r="AG317" s="208">
        <f t="shared" si="147"/>
        <v>0</v>
      </c>
      <c r="AH317" s="208">
        <f t="shared" si="147"/>
        <v>0</v>
      </c>
      <c r="AI317" s="208">
        <f t="shared" si="147"/>
        <v>0</v>
      </c>
      <c r="AJ317" s="208">
        <f t="shared" si="147"/>
        <v>0</v>
      </c>
      <c r="AK317" s="208">
        <f t="shared" si="147"/>
        <v>0</v>
      </c>
      <c r="AL317" s="208">
        <f t="shared" si="147"/>
        <v>0</v>
      </c>
      <c r="AM317" s="208">
        <f t="shared" si="147"/>
        <v>0</v>
      </c>
      <c r="AN317" s="208">
        <f t="shared" si="147"/>
        <v>0</v>
      </c>
      <c r="AO317" s="208">
        <f t="shared" si="147"/>
        <v>0</v>
      </c>
      <c r="AP317" s="208">
        <f t="shared" si="147"/>
        <v>0</v>
      </c>
    </row>
    <row r="318" spans="1:42">
      <c r="A318" s="227" t="str">
        <f t="shared" si="148"/>
        <v>5-yr SL</v>
      </c>
      <c r="B318" s="165">
        <f t="shared" si="149"/>
        <v>0</v>
      </c>
      <c r="C318" s="208">
        <f t="shared" si="147"/>
        <v>0</v>
      </c>
      <c r="D318" s="208">
        <f t="shared" si="147"/>
        <v>0</v>
      </c>
      <c r="E318" s="208">
        <f t="shared" si="147"/>
        <v>0</v>
      </c>
      <c r="F318" s="208">
        <f t="shared" si="147"/>
        <v>0</v>
      </c>
      <c r="G318" s="208">
        <f t="shared" si="147"/>
        <v>0</v>
      </c>
      <c r="H318" s="208">
        <f t="shared" si="147"/>
        <v>0</v>
      </c>
      <c r="I318" s="208">
        <f t="shared" si="147"/>
        <v>0</v>
      </c>
      <c r="J318" s="208">
        <f t="shared" si="147"/>
        <v>0</v>
      </c>
      <c r="K318" s="208">
        <f t="shared" si="147"/>
        <v>0</v>
      </c>
      <c r="L318" s="208">
        <f t="shared" si="147"/>
        <v>0</v>
      </c>
      <c r="M318" s="208">
        <f t="shared" si="147"/>
        <v>0</v>
      </c>
      <c r="N318" s="208">
        <f t="shared" si="147"/>
        <v>0</v>
      </c>
      <c r="O318" s="208">
        <f t="shared" si="147"/>
        <v>0</v>
      </c>
      <c r="P318" s="208">
        <f t="shared" si="147"/>
        <v>0</v>
      </c>
      <c r="Q318" s="208">
        <f t="shared" si="147"/>
        <v>0</v>
      </c>
      <c r="R318" s="208">
        <f t="shared" si="147"/>
        <v>0</v>
      </c>
      <c r="S318" s="208">
        <f t="shared" si="147"/>
        <v>0</v>
      </c>
      <c r="T318" s="208">
        <f t="shared" si="147"/>
        <v>0</v>
      </c>
      <c r="U318" s="208">
        <f t="shared" si="147"/>
        <v>0</v>
      </c>
      <c r="V318" s="208">
        <f t="shared" si="147"/>
        <v>0</v>
      </c>
      <c r="W318" s="208">
        <f t="shared" si="147"/>
        <v>0</v>
      </c>
      <c r="X318" s="208">
        <f t="shared" si="147"/>
        <v>0</v>
      </c>
      <c r="Y318" s="208">
        <f t="shared" si="147"/>
        <v>0</v>
      </c>
      <c r="Z318" s="208">
        <f t="shared" si="147"/>
        <v>0</v>
      </c>
      <c r="AA318" s="208">
        <f t="shared" si="147"/>
        <v>0</v>
      </c>
      <c r="AB318" s="208">
        <f t="shared" si="147"/>
        <v>0</v>
      </c>
      <c r="AC318" s="208">
        <f t="shared" si="147"/>
        <v>0</v>
      </c>
      <c r="AD318" s="208">
        <f t="shared" si="147"/>
        <v>0</v>
      </c>
      <c r="AE318" s="208">
        <f t="shared" si="147"/>
        <v>0</v>
      </c>
      <c r="AF318" s="208">
        <f t="shared" si="147"/>
        <v>0</v>
      </c>
      <c r="AG318" s="208">
        <f t="shared" si="147"/>
        <v>0</v>
      </c>
      <c r="AH318" s="208">
        <f t="shared" si="147"/>
        <v>0</v>
      </c>
      <c r="AI318" s="208">
        <f t="shared" si="147"/>
        <v>0</v>
      </c>
      <c r="AJ318" s="208">
        <f t="shared" si="147"/>
        <v>0</v>
      </c>
      <c r="AK318" s="208">
        <f t="shared" si="147"/>
        <v>0</v>
      </c>
      <c r="AL318" s="208">
        <f t="shared" si="147"/>
        <v>0</v>
      </c>
      <c r="AM318" s="208">
        <f t="shared" si="147"/>
        <v>0</v>
      </c>
      <c r="AN318" s="208">
        <f t="shared" si="147"/>
        <v>0</v>
      </c>
      <c r="AO318" s="208">
        <f t="shared" si="147"/>
        <v>0</v>
      </c>
      <c r="AP318" s="208">
        <f t="shared" si="147"/>
        <v>0</v>
      </c>
    </row>
    <row r="319" spans="1:42">
      <c r="A319" s="227" t="str">
        <f t="shared" si="148"/>
        <v>15-yr SL</v>
      </c>
      <c r="B319" s="165">
        <f t="shared" si="149"/>
        <v>641350.32750000001</v>
      </c>
      <c r="C319" s="208">
        <f t="shared" si="147"/>
        <v>21356.965905750003</v>
      </c>
      <c r="D319" s="208">
        <f t="shared" si="147"/>
        <v>42778.066844249995</v>
      </c>
      <c r="E319" s="208">
        <f t="shared" si="147"/>
        <v>42778.066844249995</v>
      </c>
      <c r="F319" s="208">
        <f t="shared" si="147"/>
        <v>42778.066844249995</v>
      </c>
      <c r="G319" s="208">
        <f t="shared" si="147"/>
        <v>42778.066844249995</v>
      </c>
      <c r="H319" s="208">
        <f t="shared" si="147"/>
        <v>42778.066844249995</v>
      </c>
      <c r="I319" s="208">
        <f t="shared" si="147"/>
        <v>42778.066844249995</v>
      </c>
      <c r="J319" s="208">
        <f t="shared" si="147"/>
        <v>42713.931811500006</v>
      </c>
      <c r="K319" s="208">
        <f t="shared" si="147"/>
        <v>42778.066844249995</v>
      </c>
      <c r="L319" s="208">
        <f t="shared" si="147"/>
        <v>42713.931811500006</v>
      </c>
      <c r="M319" s="208">
        <f t="shared" si="147"/>
        <v>42778.066844249995</v>
      </c>
      <c r="N319" s="208">
        <f t="shared" si="147"/>
        <v>42713.931811500006</v>
      </c>
      <c r="O319" s="208">
        <f t="shared" si="147"/>
        <v>42778.066844249995</v>
      </c>
      <c r="P319" s="208">
        <f t="shared" si="147"/>
        <v>42713.931811500006</v>
      </c>
      <c r="Q319" s="208">
        <f t="shared" si="147"/>
        <v>42778.066844249995</v>
      </c>
      <c r="R319" s="208">
        <f t="shared" si="147"/>
        <v>21356.965905750003</v>
      </c>
      <c r="S319" s="208">
        <f t="shared" si="147"/>
        <v>0</v>
      </c>
      <c r="T319" s="208">
        <f t="shared" si="147"/>
        <v>0</v>
      </c>
      <c r="U319" s="208">
        <f t="shared" si="147"/>
        <v>0</v>
      </c>
      <c r="V319" s="208">
        <f t="shared" si="147"/>
        <v>0</v>
      </c>
      <c r="W319" s="208">
        <f t="shared" si="147"/>
        <v>0</v>
      </c>
      <c r="X319" s="208">
        <f t="shared" si="147"/>
        <v>0</v>
      </c>
      <c r="Y319" s="208">
        <f t="shared" si="147"/>
        <v>0</v>
      </c>
      <c r="Z319" s="208">
        <f t="shared" si="147"/>
        <v>0</v>
      </c>
      <c r="AA319" s="208">
        <f t="shared" si="147"/>
        <v>0</v>
      </c>
      <c r="AB319" s="208">
        <f t="shared" si="147"/>
        <v>0</v>
      </c>
      <c r="AC319" s="208">
        <f t="shared" si="147"/>
        <v>0</v>
      </c>
      <c r="AD319" s="208">
        <f t="shared" si="147"/>
        <v>0</v>
      </c>
      <c r="AE319" s="208">
        <f t="shared" si="147"/>
        <v>0</v>
      </c>
      <c r="AF319" s="208">
        <f t="shared" si="147"/>
        <v>0</v>
      </c>
      <c r="AG319" s="208">
        <f t="shared" si="147"/>
        <v>0</v>
      </c>
      <c r="AH319" s="208">
        <f t="shared" si="147"/>
        <v>0</v>
      </c>
      <c r="AI319" s="208">
        <f t="shared" si="147"/>
        <v>0</v>
      </c>
      <c r="AJ319" s="208">
        <f t="shared" si="147"/>
        <v>0</v>
      </c>
      <c r="AK319" s="208">
        <f t="shared" si="147"/>
        <v>0</v>
      </c>
      <c r="AL319" s="208">
        <f t="shared" si="147"/>
        <v>0</v>
      </c>
      <c r="AM319" s="208">
        <f t="shared" si="147"/>
        <v>0</v>
      </c>
      <c r="AN319" s="208">
        <f t="shared" si="147"/>
        <v>0</v>
      </c>
      <c r="AO319" s="208">
        <f t="shared" si="147"/>
        <v>0</v>
      </c>
      <c r="AP319" s="208">
        <f t="shared" si="147"/>
        <v>0</v>
      </c>
    </row>
    <row r="320" spans="1:42">
      <c r="A320" s="227" t="str">
        <f t="shared" si="148"/>
        <v>20-yr SL</v>
      </c>
      <c r="B320" s="165">
        <f t="shared" si="149"/>
        <v>1282700.655</v>
      </c>
      <c r="C320" s="208">
        <f t="shared" si="147"/>
        <v>32067.516375000003</v>
      </c>
      <c r="D320" s="208">
        <f t="shared" si="147"/>
        <v>64135.032750000006</v>
      </c>
      <c r="E320" s="208">
        <f t="shared" si="147"/>
        <v>64135.032750000006</v>
      </c>
      <c r="F320" s="208">
        <f t="shared" si="147"/>
        <v>64135.032750000006</v>
      </c>
      <c r="G320" s="208">
        <f t="shared" si="147"/>
        <v>64135.032750000006</v>
      </c>
      <c r="H320" s="208">
        <f t="shared" si="147"/>
        <v>64135.032750000006</v>
      </c>
      <c r="I320" s="208">
        <f t="shared" si="147"/>
        <v>64135.032750000006</v>
      </c>
      <c r="J320" s="208">
        <f t="shared" si="147"/>
        <v>64135.032750000006</v>
      </c>
      <c r="K320" s="208">
        <f t="shared" si="147"/>
        <v>64135.032750000006</v>
      </c>
      <c r="L320" s="208">
        <f t="shared" si="147"/>
        <v>64135.032750000006</v>
      </c>
      <c r="M320" s="208">
        <f t="shared" si="147"/>
        <v>64135.032750000006</v>
      </c>
      <c r="N320" s="208">
        <f t="shared" si="147"/>
        <v>64135.032750000006</v>
      </c>
      <c r="O320" s="208">
        <f t="shared" si="147"/>
        <v>64135.032750000006</v>
      </c>
      <c r="P320" s="208">
        <f t="shared" si="147"/>
        <v>64135.032750000006</v>
      </c>
      <c r="Q320" s="208">
        <f t="shared" si="147"/>
        <v>64135.032750000006</v>
      </c>
      <c r="R320" s="208">
        <f t="shared" si="147"/>
        <v>64135.032750000006</v>
      </c>
      <c r="S320" s="208">
        <f t="shared" si="147"/>
        <v>64135.032750000006</v>
      </c>
      <c r="T320" s="208">
        <f t="shared" si="147"/>
        <v>64135.032750000006</v>
      </c>
      <c r="U320" s="208">
        <f t="shared" si="147"/>
        <v>64135.032750000006</v>
      </c>
      <c r="V320" s="208">
        <f t="shared" si="147"/>
        <v>64135.032750000006</v>
      </c>
      <c r="W320" s="208">
        <f t="shared" si="147"/>
        <v>32067.516375000003</v>
      </c>
      <c r="X320" s="208">
        <f t="shared" si="147"/>
        <v>0</v>
      </c>
      <c r="Y320" s="208">
        <f t="shared" si="147"/>
        <v>0</v>
      </c>
      <c r="Z320" s="208">
        <f t="shared" si="147"/>
        <v>0</v>
      </c>
      <c r="AA320" s="208">
        <f t="shared" si="147"/>
        <v>0</v>
      </c>
      <c r="AB320" s="208">
        <f t="shared" si="147"/>
        <v>0</v>
      </c>
      <c r="AC320" s="208">
        <f t="shared" si="147"/>
        <v>0</v>
      </c>
      <c r="AD320" s="208">
        <f t="shared" si="147"/>
        <v>0</v>
      </c>
      <c r="AE320" s="208">
        <f t="shared" si="147"/>
        <v>0</v>
      </c>
      <c r="AF320" s="208">
        <f t="shared" si="147"/>
        <v>0</v>
      </c>
      <c r="AG320" s="208">
        <f t="shared" si="147"/>
        <v>0</v>
      </c>
      <c r="AH320" s="208">
        <f t="shared" si="147"/>
        <v>0</v>
      </c>
      <c r="AI320" s="208">
        <f t="shared" si="147"/>
        <v>0</v>
      </c>
      <c r="AJ320" s="208">
        <f t="shared" si="147"/>
        <v>0</v>
      </c>
      <c r="AK320" s="208">
        <f t="shared" si="147"/>
        <v>0</v>
      </c>
      <c r="AL320" s="208">
        <f t="shared" si="147"/>
        <v>0</v>
      </c>
      <c r="AM320" s="208">
        <f t="shared" si="147"/>
        <v>0</v>
      </c>
      <c r="AN320" s="208">
        <f t="shared" si="147"/>
        <v>0</v>
      </c>
      <c r="AO320" s="208">
        <f t="shared" si="147"/>
        <v>0</v>
      </c>
      <c r="AP320" s="208">
        <f t="shared" si="147"/>
        <v>0</v>
      </c>
    </row>
    <row r="321" spans="1:42">
      <c r="A321" s="227" t="str">
        <f t="shared" si="148"/>
        <v>39-yr SL</v>
      </c>
      <c r="B321" s="165">
        <f t="shared" si="149"/>
        <v>213783.44250000003</v>
      </c>
      <c r="C321" s="208">
        <f t="shared" si="147"/>
        <v>2740.8133653846107</v>
      </c>
      <c r="D321" s="208">
        <f t="shared" si="147"/>
        <v>5481.6267307692306</v>
      </c>
      <c r="E321" s="208">
        <f t="shared" si="147"/>
        <v>5481.6267307692306</v>
      </c>
      <c r="F321" s="208">
        <f t="shared" si="147"/>
        <v>5481.6267307692306</v>
      </c>
      <c r="G321" s="208">
        <f t="shared" si="147"/>
        <v>5481.6267307692306</v>
      </c>
      <c r="H321" s="208">
        <f t="shared" si="147"/>
        <v>5481.6267307692306</v>
      </c>
      <c r="I321" s="208">
        <f t="shared" si="147"/>
        <v>5481.6267307692306</v>
      </c>
      <c r="J321" s="208">
        <f t="shared" si="147"/>
        <v>5481.6267307692306</v>
      </c>
      <c r="K321" s="208">
        <f t="shared" si="147"/>
        <v>5481.6267307692306</v>
      </c>
      <c r="L321" s="208">
        <f t="shared" si="147"/>
        <v>5481.6267307692306</v>
      </c>
      <c r="M321" s="208">
        <f t="shared" si="147"/>
        <v>5481.6267307692306</v>
      </c>
      <c r="N321" s="208">
        <f t="shared" si="147"/>
        <v>5481.6267307692306</v>
      </c>
      <c r="O321" s="208">
        <f t="shared" si="147"/>
        <v>5481.6267307692306</v>
      </c>
      <c r="P321" s="208">
        <f t="shared" si="147"/>
        <v>5481.6267307692306</v>
      </c>
      <c r="Q321" s="208">
        <f t="shared" si="147"/>
        <v>5481.6267307692306</v>
      </c>
      <c r="R321" s="208">
        <f t="shared" si="147"/>
        <v>5481.6267307692306</v>
      </c>
      <c r="S321" s="208">
        <f t="shared" si="147"/>
        <v>5481.6267307692306</v>
      </c>
      <c r="T321" s="208">
        <f t="shared" si="147"/>
        <v>5481.6267307692306</v>
      </c>
      <c r="U321" s="208">
        <f t="shared" si="147"/>
        <v>5481.6267307692306</v>
      </c>
      <c r="V321" s="208">
        <f t="shared" si="147"/>
        <v>5481.6267307692306</v>
      </c>
      <c r="W321" s="208">
        <f t="shared" si="147"/>
        <v>5481.6267307692306</v>
      </c>
      <c r="X321" s="208">
        <f t="shared" si="147"/>
        <v>5481.6267307692306</v>
      </c>
      <c r="Y321" s="208">
        <f t="shared" si="147"/>
        <v>5481.6267307692306</v>
      </c>
      <c r="Z321" s="208">
        <f t="shared" si="147"/>
        <v>5481.6267307692306</v>
      </c>
      <c r="AA321" s="208">
        <f t="shared" si="147"/>
        <v>5481.6267307692306</v>
      </c>
      <c r="AB321" s="208">
        <f t="shared" si="147"/>
        <v>5481.6267307692306</v>
      </c>
      <c r="AC321" s="208">
        <f t="shared" si="147"/>
        <v>5481.6267307692306</v>
      </c>
      <c r="AD321" s="208">
        <f t="shared" si="147"/>
        <v>5481.6267307692306</v>
      </c>
      <c r="AE321" s="208">
        <f t="shared" si="147"/>
        <v>5481.6267307692306</v>
      </c>
      <c r="AF321" s="208">
        <f t="shared" si="147"/>
        <v>5481.6267307692306</v>
      </c>
      <c r="AG321" s="208">
        <f t="shared" si="147"/>
        <v>5481.6267307692306</v>
      </c>
      <c r="AH321" s="208">
        <f t="shared" si="147"/>
        <v>5481.6267307692306</v>
      </c>
      <c r="AI321" s="208">
        <f t="shared" si="147"/>
        <v>5481.6267307692306</v>
      </c>
      <c r="AJ321" s="208">
        <f t="shared" si="147"/>
        <v>5481.6267307692306</v>
      </c>
      <c r="AK321" s="208">
        <f t="shared" si="147"/>
        <v>5481.6267307692306</v>
      </c>
      <c r="AL321" s="208">
        <f t="shared" si="147"/>
        <v>5481.6267307692306</v>
      </c>
      <c r="AM321" s="208">
        <f t="shared" si="147"/>
        <v>5481.6267307692306</v>
      </c>
      <c r="AN321" s="208">
        <f t="shared" si="147"/>
        <v>5481.6267307692306</v>
      </c>
      <c r="AO321" s="208">
        <f t="shared" si="147"/>
        <v>5481.6267307692306</v>
      </c>
      <c r="AP321" s="208">
        <f t="shared" si="147"/>
        <v>2740.8133653846107</v>
      </c>
    </row>
    <row r="322" spans="1:42">
      <c r="A322" s="227" t="s">
        <v>332</v>
      </c>
      <c r="B322" s="237">
        <f t="shared" si="149"/>
        <v>1966307.6710000001</v>
      </c>
      <c r="C322" s="209">
        <f>J283</f>
        <v>1966307.6710000001</v>
      </c>
      <c r="D322" s="209">
        <v>0</v>
      </c>
      <c r="E322" s="209">
        <v>0</v>
      </c>
      <c r="F322" s="209">
        <v>0</v>
      </c>
      <c r="G322" s="209">
        <v>0</v>
      </c>
      <c r="H322" s="209">
        <v>0</v>
      </c>
      <c r="I322" s="209">
        <v>0</v>
      </c>
      <c r="J322" s="209">
        <v>0</v>
      </c>
      <c r="K322" s="209">
        <v>0</v>
      </c>
      <c r="L322" s="209">
        <v>0</v>
      </c>
      <c r="M322" s="209">
        <v>0</v>
      </c>
      <c r="N322" s="209">
        <v>0</v>
      </c>
      <c r="O322" s="209">
        <v>0</v>
      </c>
      <c r="P322" s="209">
        <v>0</v>
      </c>
      <c r="Q322" s="209">
        <v>0</v>
      </c>
      <c r="R322" s="209">
        <v>0</v>
      </c>
      <c r="S322" s="209">
        <v>0</v>
      </c>
      <c r="T322" s="209">
        <v>0</v>
      </c>
      <c r="U322" s="209">
        <v>0</v>
      </c>
      <c r="V322" s="209">
        <v>0</v>
      </c>
      <c r="W322" s="209">
        <v>0</v>
      </c>
      <c r="X322" s="209">
        <v>0</v>
      </c>
      <c r="Y322" s="209">
        <v>0</v>
      </c>
      <c r="Z322" s="209">
        <v>0</v>
      </c>
      <c r="AA322" s="209">
        <v>0</v>
      </c>
      <c r="AB322" s="209">
        <v>0</v>
      </c>
      <c r="AC322" s="209">
        <v>0</v>
      </c>
      <c r="AD322" s="209">
        <v>0</v>
      </c>
      <c r="AE322" s="209">
        <v>0</v>
      </c>
      <c r="AF322" s="209">
        <v>0</v>
      </c>
      <c r="AG322" s="209">
        <v>0</v>
      </c>
      <c r="AH322" s="209">
        <v>0</v>
      </c>
      <c r="AI322" s="209">
        <v>0</v>
      </c>
      <c r="AJ322" s="209">
        <v>0</v>
      </c>
      <c r="AK322" s="209">
        <v>0</v>
      </c>
      <c r="AL322" s="209">
        <v>0</v>
      </c>
      <c r="AM322" s="209">
        <v>0</v>
      </c>
      <c r="AN322" s="209">
        <v>0</v>
      </c>
      <c r="AO322" s="209">
        <v>0</v>
      </c>
      <c r="AP322" s="209">
        <v>0</v>
      </c>
    </row>
    <row r="323" spans="1:42">
      <c r="A323" s="226"/>
      <c r="B323" s="237">
        <f t="shared" si="149"/>
        <v>42105338.172500014</v>
      </c>
      <c r="C323" s="208">
        <f>SUM(C316:C322)</f>
        <v>9526509.6328211352</v>
      </c>
      <c r="D323" s="208">
        <f t="shared" ref="D323:AP323" si="150">SUM(D316:D322)</f>
        <v>12128473.647117518</v>
      </c>
      <c r="E323" s="208">
        <f t="shared" si="150"/>
        <v>7340320.5631342689</v>
      </c>
      <c r="F323" s="208">
        <f t="shared" si="150"/>
        <v>4465632.9318273189</v>
      </c>
      <c r="G323" s="208">
        <f t="shared" si="150"/>
        <v>4460694.5343055688</v>
      </c>
      <c r="H323" s="208">
        <f t="shared" si="150"/>
        <v>2304277.9668706693</v>
      </c>
      <c r="I323" s="208">
        <f t="shared" si="150"/>
        <v>150234.39564751924</v>
      </c>
      <c r="J323" s="208">
        <f t="shared" si="150"/>
        <v>150170.26061476924</v>
      </c>
      <c r="K323" s="208">
        <f t="shared" si="150"/>
        <v>150298.53068026924</v>
      </c>
      <c r="L323" s="208">
        <f t="shared" si="150"/>
        <v>150170.26061476924</v>
      </c>
      <c r="M323" s="208">
        <f t="shared" si="150"/>
        <v>150298.53068026924</v>
      </c>
      <c r="N323" s="208">
        <f t="shared" si="150"/>
        <v>150170.26061476924</v>
      </c>
      <c r="O323" s="208">
        <f t="shared" si="150"/>
        <v>150298.53068026924</v>
      </c>
      <c r="P323" s="208">
        <f t="shared" si="150"/>
        <v>150170.26061476924</v>
      </c>
      <c r="Q323" s="208">
        <f t="shared" si="150"/>
        <v>150298.53068026924</v>
      </c>
      <c r="R323" s="208">
        <f t="shared" si="150"/>
        <v>109893.46004776924</v>
      </c>
      <c r="S323" s="208">
        <f t="shared" si="150"/>
        <v>69616.659480769231</v>
      </c>
      <c r="T323" s="208">
        <f t="shared" si="150"/>
        <v>69616.659480769231</v>
      </c>
      <c r="U323" s="208">
        <f t="shared" si="150"/>
        <v>69616.659480769231</v>
      </c>
      <c r="V323" s="208">
        <f t="shared" si="150"/>
        <v>69616.659480769231</v>
      </c>
      <c r="W323" s="208">
        <f t="shared" si="150"/>
        <v>37549.143105769232</v>
      </c>
      <c r="X323" s="208">
        <f t="shared" si="150"/>
        <v>5481.6267307692306</v>
      </c>
      <c r="Y323" s="208">
        <f t="shared" si="150"/>
        <v>5481.6267307692306</v>
      </c>
      <c r="Z323" s="208">
        <f t="shared" si="150"/>
        <v>5481.6267307692306</v>
      </c>
      <c r="AA323" s="208">
        <f t="shared" si="150"/>
        <v>5481.6267307692306</v>
      </c>
      <c r="AB323" s="208">
        <f t="shared" si="150"/>
        <v>5481.6267307692306</v>
      </c>
      <c r="AC323" s="208">
        <f t="shared" si="150"/>
        <v>5481.6267307692306</v>
      </c>
      <c r="AD323" s="208">
        <f t="shared" si="150"/>
        <v>5481.6267307692306</v>
      </c>
      <c r="AE323" s="208">
        <f t="shared" si="150"/>
        <v>5481.6267307692306</v>
      </c>
      <c r="AF323" s="208">
        <f t="shared" si="150"/>
        <v>5481.6267307692306</v>
      </c>
      <c r="AG323" s="208">
        <f t="shared" si="150"/>
        <v>5481.6267307692306</v>
      </c>
      <c r="AH323" s="208">
        <f t="shared" si="150"/>
        <v>5481.6267307692306</v>
      </c>
      <c r="AI323" s="208">
        <f t="shared" si="150"/>
        <v>5481.6267307692306</v>
      </c>
      <c r="AJ323" s="208">
        <f t="shared" si="150"/>
        <v>5481.6267307692306</v>
      </c>
      <c r="AK323" s="208">
        <f t="shared" si="150"/>
        <v>5481.6267307692306</v>
      </c>
      <c r="AL323" s="208">
        <f t="shared" si="150"/>
        <v>5481.6267307692306</v>
      </c>
      <c r="AM323" s="208">
        <f t="shared" si="150"/>
        <v>5481.6267307692306</v>
      </c>
      <c r="AN323" s="208">
        <f t="shared" si="150"/>
        <v>5481.6267307692306</v>
      </c>
      <c r="AO323" s="208">
        <f t="shared" si="150"/>
        <v>5481.6267307692306</v>
      </c>
      <c r="AP323" s="208">
        <f t="shared" si="150"/>
        <v>2740.8133653846107</v>
      </c>
    </row>
    <row r="324" spans="1:42">
      <c r="A324" s="226"/>
      <c r="C324" s="208"/>
      <c r="D324" s="208"/>
      <c r="E324" s="208"/>
      <c r="F324" s="208"/>
      <c r="G324" s="208"/>
      <c r="H324" s="208"/>
      <c r="I324" s="208"/>
      <c r="J324" s="208"/>
      <c r="K324" s="208"/>
      <c r="L324" s="208"/>
      <c r="M324" s="208"/>
      <c r="N324" s="208"/>
      <c r="O324" s="208"/>
      <c r="P324" s="208"/>
      <c r="Q324" s="208"/>
      <c r="R324" s="208"/>
      <c r="S324" s="208"/>
      <c r="T324" s="208"/>
      <c r="U324" s="208"/>
      <c r="V324" s="208"/>
      <c r="W324" s="208"/>
      <c r="X324" s="208"/>
      <c r="Y324" s="208"/>
      <c r="Z324" s="208"/>
      <c r="AA324" s="208"/>
      <c r="AB324" s="208"/>
      <c r="AC324" s="208"/>
      <c r="AD324" s="208"/>
      <c r="AE324" s="208"/>
      <c r="AF324" s="208"/>
      <c r="AG324" s="208"/>
      <c r="AH324" s="208"/>
      <c r="AI324" s="208"/>
      <c r="AJ324" s="208"/>
      <c r="AK324" s="208"/>
      <c r="AL324" s="208"/>
      <c r="AM324" s="208"/>
      <c r="AN324" s="208"/>
      <c r="AO324" s="208"/>
      <c r="AP324" s="208"/>
    </row>
    <row r="325" spans="1:42">
      <c r="A325" s="219" t="s">
        <v>216</v>
      </c>
      <c r="C325" s="208"/>
      <c r="D325" s="208"/>
      <c r="E325" s="208"/>
      <c r="F325" s="208"/>
      <c r="G325" s="208"/>
      <c r="H325" s="208"/>
      <c r="I325" s="208"/>
      <c r="J325" s="208"/>
      <c r="K325" s="208"/>
      <c r="L325" s="208"/>
      <c r="M325" s="208"/>
      <c r="N325" s="208"/>
      <c r="O325" s="208"/>
      <c r="P325" s="208"/>
      <c r="Q325" s="208"/>
      <c r="R325" s="208"/>
      <c r="S325" s="208"/>
      <c r="T325" s="208"/>
      <c r="U325" s="208"/>
      <c r="V325" s="208"/>
      <c r="W325" s="208"/>
      <c r="X325" s="208"/>
      <c r="Y325" s="208"/>
      <c r="Z325" s="208"/>
      <c r="AA325" s="208"/>
      <c r="AB325" s="208"/>
      <c r="AC325" s="208"/>
      <c r="AD325" s="208"/>
      <c r="AE325" s="208"/>
      <c r="AF325" s="208"/>
      <c r="AG325" s="208"/>
      <c r="AH325" s="208"/>
      <c r="AI325" s="208"/>
      <c r="AJ325" s="208"/>
      <c r="AK325" s="208"/>
      <c r="AL325" s="208"/>
      <c r="AM325" s="208"/>
      <c r="AN325" s="208"/>
      <c r="AO325" s="208"/>
      <c r="AP325" s="208"/>
    </row>
    <row r="326" spans="1:42">
      <c r="A326" s="226" t="s">
        <v>218</v>
      </c>
      <c r="B326" s="244" t="str">
        <f>MMStateTaxTreatment</f>
        <v>5-yr MACRS</v>
      </c>
      <c r="C326" s="208"/>
      <c r="D326" s="208"/>
      <c r="E326" s="208"/>
      <c r="F326" s="208"/>
      <c r="G326" s="208"/>
      <c r="H326" s="208"/>
      <c r="I326" s="208"/>
      <c r="J326" s="208"/>
      <c r="K326" s="208"/>
      <c r="L326" s="208"/>
      <c r="M326" s="208"/>
      <c r="N326" s="208"/>
      <c r="O326" s="208"/>
      <c r="P326" s="208"/>
      <c r="Q326" s="208"/>
      <c r="R326" s="208"/>
      <c r="S326" s="208"/>
      <c r="T326" s="208"/>
      <c r="U326" s="208"/>
      <c r="V326" s="208"/>
      <c r="W326" s="208"/>
      <c r="X326" s="208"/>
      <c r="Y326" s="208"/>
      <c r="Z326" s="208"/>
      <c r="AA326" s="208"/>
      <c r="AB326" s="208"/>
      <c r="AC326" s="208"/>
      <c r="AD326" s="208"/>
      <c r="AE326" s="208"/>
      <c r="AF326" s="208"/>
      <c r="AG326" s="208"/>
      <c r="AH326" s="208"/>
      <c r="AI326" s="208"/>
      <c r="AJ326" s="208"/>
      <c r="AK326" s="208"/>
      <c r="AL326" s="208"/>
      <c r="AM326" s="208"/>
      <c r="AN326" s="208"/>
      <c r="AO326" s="208"/>
      <c r="AP326" s="208"/>
    </row>
    <row r="327" spans="1:42">
      <c r="A327" s="226" t="s">
        <v>219</v>
      </c>
      <c r="B327" s="208">
        <f t="shared" ref="B327:AP327" si="151">B2</f>
        <v>0</v>
      </c>
      <c r="C327" s="208">
        <f t="shared" si="151"/>
        <v>1</v>
      </c>
      <c r="D327" s="208">
        <f t="shared" si="151"/>
        <v>2</v>
      </c>
      <c r="E327" s="208">
        <f t="shared" si="151"/>
        <v>3</v>
      </c>
      <c r="F327" s="208">
        <f t="shared" si="151"/>
        <v>4</v>
      </c>
      <c r="G327" s="208">
        <f t="shared" si="151"/>
        <v>5</v>
      </c>
      <c r="H327" s="208">
        <f t="shared" si="151"/>
        <v>6</v>
      </c>
      <c r="I327" s="208">
        <f t="shared" si="151"/>
        <v>7</v>
      </c>
      <c r="J327" s="208">
        <f t="shared" si="151"/>
        <v>8</v>
      </c>
      <c r="K327" s="208">
        <f t="shared" si="151"/>
        <v>9</v>
      </c>
      <c r="L327" s="208">
        <f t="shared" si="151"/>
        <v>10</v>
      </c>
      <c r="M327" s="208">
        <f t="shared" si="151"/>
        <v>11</v>
      </c>
      <c r="N327" s="208">
        <f t="shared" si="151"/>
        <v>12</v>
      </c>
      <c r="O327" s="208">
        <f t="shared" si="151"/>
        <v>13</v>
      </c>
      <c r="P327" s="208">
        <f t="shared" si="151"/>
        <v>14</v>
      </c>
      <c r="Q327" s="208">
        <f t="shared" si="151"/>
        <v>15</v>
      </c>
      <c r="R327" s="208">
        <f t="shared" si="151"/>
        <v>16</v>
      </c>
      <c r="S327" s="208">
        <f t="shared" si="151"/>
        <v>17</v>
      </c>
      <c r="T327" s="208">
        <f t="shared" si="151"/>
        <v>18</v>
      </c>
      <c r="U327" s="208">
        <f t="shared" si="151"/>
        <v>19</v>
      </c>
      <c r="V327" s="208">
        <f t="shared" si="151"/>
        <v>20</v>
      </c>
      <c r="W327" s="208">
        <f t="shared" si="151"/>
        <v>21</v>
      </c>
      <c r="X327" s="208">
        <f t="shared" si="151"/>
        <v>22</v>
      </c>
      <c r="Y327" s="208">
        <f t="shared" si="151"/>
        <v>23</v>
      </c>
      <c r="Z327" s="208">
        <f t="shared" si="151"/>
        <v>24</v>
      </c>
      <c r="AA327" s="208">
        <f t="shared" si="151"/>
        <v>25</v>
      </c>
      <c r="AB327" s="208">
        <f t="shared" si="151"/>
        <v>26</v>
      </c>
      <c r="AC327" s="208">
        <f t="shared" si="151"/>
        <v>27</v>
      </c>
      <c r="AD327" s="208">
        <f t="shared" si="151"/>
        <v>28</v>
      </c>
      <c r="AE327" s="208">
        <f t="shared" si="151"/>
        <v>29</v>
      </c>
      <c r="AF327" s="208">
        <f t="shared" si="151"/>
        <v>30</v>
      </c>
      <c r="AG327" s="208">
        <f t="shared" si="151"/>
        <v>31</v>
      </c>
      <c r="AH327" s="208">
        <f t="shared" si="151"/>
        <v>32</v>
      </c>
      <c r="AI327" s="208">
        <f t="shared" si="151"/>
        <v>33</v>
      </c>
      <c r="AJ327" s="208">
        <f t="shared" si="151"/>
        <v>34</v>
      </c>
      <c r="AK327" s="208">
        <f t="shared" si="151"/>
        <v>35</v>
      </c>
      <c r="AL327" s="208">
        <f t="shared" si="151"/>
        <v>36</v>
      </c>
      <c r="AM327" s="208">
        <f t="shared" si="151"/>
        <v>37</v>
      </c>
      <c r="AN327" s="208">
        <f t="shared" si="151"/>
        <v>38</v>
      </c>
      <c r="AO327" s="208">
        <f t="shared" si="151"/>
        <v>39</v>
      </c>
      <c r="AP327" s="208">
        <f t="shared" si="151"/>
        <v>40</v>
      </c>
    </row>
    <row r="328" spans="1:42">
      <c r="A328" s="226" t="s">
        <v>220</v>
      </c>
      <c r="B328" s="245">
        <v>0</v>
      </c>
      <c r="C328" s="240">
        <f t="shared" ref="C328:AP328" si="152">IF($B$326=$A309,C309,0)+IF($B$326=$A310,C310,0)+IF($B$326=$A311,C311,0)+IF($B$326=$A312,C312,0)+IF($B$326=$A313,C313,0)+IF($B$326=$A314,C314,0)</f>
        <v>0.2</v>
      </c>
      <c r="D328" s="240">
        <f t="shared" si="152"/>
        <v>0.32</v>
      </c>
      <c r="E328" s="240">
        <f t="shared" si="152"/>
        <v>0.192</v>
      </c>
      <c r="F328" s="240">
        <f t="shared" si="152"/>
        <v>0.1152</v>
      </c>
      <c r="G328" s="240">
        <f t="shared" si="152"/>
        <v>0.1152</v>
      </c>
      <c r="H328" s="240">
        <f t="shared" si="152"/>
        <v>5.7599999999999998E-2</v>
      </c>
      <c r="I328" s="240">
        <f t="shared" si="152"/>
        <v>0</v>
      </c>
      <c r="J328" s="240">
        <f t="shared" si="152"/>
        <v>0</v>
      </c>
      <c r="K328" s="240">
        <f t="shared" si="152"/>
        <v>0</v>
      </c>
      <c r="L328" s="240">
        <f t="shared" si="152"/>
        <v>0</v>
      </c>
      <c r="M328" s="240">
        <f t="shared" si="152"/>
        <v>0</v>
      </c>
      <c r="N328" s="240">
        <f t="shared" si="152"/>
        <v>0</v>
      </c>
      <c r="O328" s="240">
        <f t="shared" si="152"/>
        <v>0</v>
      </c>
      <c r="P328" s="240">
        <f t="shared" si="152"/>
        <v>0</v>
      </c>
      <c r="Q328" s="240">
        <f t="shared" si="152"/>
        <v>0</v>
      </c>
      <c r="R328" s="240">
        <f t="shared" si="152"/>
        <v>0</v>
      </c>
      <c r="S328" s="240">
        <f t="shared" si="152"/>
        <v>0</v>
      </c>
      <c r="T328" s="240">
        <f t="shared" si="152"/>
        <v>0</v>
      </c>
      <c r="U328" s="240">
        <f t="shared" si="152"/>
        <v>0</v>
      </c>
      <c r="V328" s="240">
        <f t="shared" si="152"/>
        <v>0</v>
      </c>
      <c r="W328" s="240">
        <f t="shared" si="152"/>
        <v>0</v>
      </c>
      <c r="X328" s="240">
        <f t="shared" si="152"/>
        <v>0</v>
      </c>
      <c r="Y328" s="240">
        <f t="shared" si="152"/>
        <v>0</v>
      </c>
      <c r="Z328" s="240">
        <f t="shared" si="152"/>
        <v>0</v>
      </c>
      <c r="AA328" s="240">
        <f t="shared" si="152"/>
        <v>0</v>
      </c>
      <c r="AB328" s="240">
        <f t="shared" si="152"/>
        <v>0</v>
      </c>
      <c r="AC328" s="240">
        <f t="shared" si="152"/>
        <v>0</v>
      </c>
      <c r="AD328" s="240">
        <f t="shared" si="152"/>
        <v>0</v>
      </c>
      <c r="AE328" s="240">
        <f t="shared" si="152"/>
        <v>0</v>
      </c>
      <c r="AF328" s="240">
        <f t="shared" si="152"/>
        <v>0</v>
      </c>
      <c r="AG328" s="240">
        <f t="shared" si="152"/>
        <v>0</v>
      </c>
      <c r="AH328" s="240">
        <f t="shared" si="152"/>
        <v>0</v>
      </c>
      <c r="AI328" s="240">
        <f t="shared" si="152"/>
        <v>0</v>
      </c>
      <c r="AJ328" s="240">
        <f t="shared" si="152"/>
        <v>0</v>
      </c>
      <c r="AK328" s="240">
        <f t="shared" si="152"/>
        <v>0</v>
      </c>
      <c r="AL328" s="240">
        <f t="shared" si="152"/>
        <v>0</v>
      </c>
      <c r="AM328" s="240">
        <f t="shared" si="152"/>
        <v>0</v>
      </c>
      <c r="AN328" s="240">
        <f t="shared" si="152"/>
        <v>0</v>
      </c>
      <c r="AO328" s="240">
        <f t="shared" si="152"/>
        <v>0</v>
      </c>
      <c r="AP328" s="240">
        <f t="shared" si="152"/>
        <v>0</v>
      </c>
    </row>
    <row r="329" spans="1:42">
      <c r="A329" s="226"/>
      <c r="B329" s="245"/>
      <c r="C329" s="240"/>
      <c r="D329" s="240"/>
      <c r="E329" s="240"/>
      <c r="F329" s="240"/>
      <c r="G329" s="240"/>
      <c r="H329" s="240"/>
      <c r="I329" s="240"/>
      <c r="J329" s="240"/>
      <c r="K329" s="240"/>
      <c r="L329" s="240"/>
      <c r="M329" s="240"/>
      <c r="N329" s="240"/>
      <c r="O329" s="240"/>
      <c r="P329" s="240"/>
      <c r="Q329" s="240"/>
      <c r="R329" s="240"/>
      <c r="S329" s="240"/>
      <c r="T329" s="240"/>
      <c r="U329" s="240"/>
      <c r="V329" s="240"/>
      <c r="W329" s="240"/>
      <c r="X329" s="240"/>
      <c r="Y329" s="240"/>
      <c r="Z329" s="240"/>
      <c r="AA329" s="240"/>
      <c r="AB329" s="240"/>
      <c r="AC329" s="240"/>
      <c r="AD329" s="240"/>
      <c r="AE329" s="240"/>
      <c r="AF329" s="240"/>
      <c r="AG329" s="240"/>
      <c r="AH329" s="240"/>
      <c r="AI329" s="240"/>
      <c r="AJ329" s="240"/>
      <c r="AK329" s="240"/>
      <c r="AL329" s="240"/>
      <c r="AM329" s="240"/>
      <c r="AN329" s="240"/>
      <c r="AO329" s="240"/>
      <c r="AP329" s="240"/>
    </row>
    <row r="330" spans="1:42">
      <c r="A330" s="219" t="s">
        <v>383</v>
      </c>
      <c r="C330" s="208"/>
      <c r="D330" s="208"/>
      <c r="E330" s="208"/>
      <c r="F330" s="208"/>
      <c r="G330" s="208"/>
      <c r="H330" s="208"/>
      <c r="I330" s="208"/>
      <c r="J330" s="208"/>
      <c r="K330" s="208"/>
      <c r="L330" s="208"/>
      <c r="M330" s="208"/>
      <c r="N330" s="208"/>
      <c r="O330" s="208"/>
      <c r="P330" s="208"/>
      <c r="Q330" s="208"/>
      <c r="R330" s="208"/>
      <c r="S330" s="208"/>
      <c r="T330" s="208"/>
      <c r="U330" s="208"/>
      <c r="V330" s="208"/>
      <c r="W330" s="208"/>
      <c r="X330" s="208"/>
      <c r="Y330" s="208"/>
      <c r="Z330" s="208"/>
      <c r="AA330" s="208"/>
      <c r="AB330" s="208"/>
      <c r="AC330" s="208"/>
      <c r="AD330" s="208"/>
      <c r="AE330" s="208"/>
      <c r="AF330" s="208"/>
      <c r="AG330" s="208"/>
      <c r="AH330" s="208"/>
      <c r="AI330" s="208"/>
      <c r="AJ330" s="208"/>
      <c r="AK330" s="208"/>
      <c r="AL330" s="208"/>
      <c r="AM330" s="208"/>
      <c r="AN330" s="208"/>
      <c r="AO330" s="208"/>
      <c r="AP330" s="208"/>
    </row>
    <row r="331" spans="1:42">
      <c r="A331" s="226" t="s">
        <v>217</v>
      </c>
      <c r="C331" s="208"/>
      <c r="D331" s="208"/>
      <c r="E331" s="208"/>
      <c r="F331" s="208"/>
      <c r="G331" s="208"/>
      <c r="H331" s="208"/>
      <c r="I331" s="208"/>
      <c r="J331" s="208"/>
      <c r="K331" s="208"/>
      <c r="L331" s="208"/>
      <c r="M331" s="208"/>
      <c r="N331" s="208"/>
      <c r="O331" s="208"/>
      <c r="P331" s="208"/>
      <c r="Q331" s="208"/>
      <c r="R331" s="208"/>
      <c r="S331" s="208"/>
      <c r="T331" s="208"/>
      <c r="U331" s="208"/>
      <c r="V331" s="208"/>
      <c r="W331" s="208"/>
      <c r="X331" s="208"/>
      <c r="Y331" s="208"/>
      <c r="Z331" s="208"/>
      <c r="AA331" s="208"/>
      <c r="AB331" s="208"/>
      <c r="AC331" s="208"/>
      <c r="AD331" s="208"/>
      <c r="AE331" s="208"/>
      <c r="AF331" s="208"/>
      <c r="AG331" s="208"/>
      <c r="AH331" s="208"/>
      <c r="AI331" s="208"/>
      <c r="AJ331" s="208"/>
      <c r="AK331" s="208"/>
      <c r="AL331" s="208"/>
      <c r="AM331" s="208"/>
      <c r="AN331" s="208"/>
      <c r="AO331" s="208"/>
      <c r="AP331" s="208"/>
    </row>
    <row r="332" spans="1:42">
      <c r="A332" s="37">
        <v>1</v>
      </c>
      <c r="C332" s="208">
        <f>IF(C$2&lt;=AnalysisPeriod,IF(SUM($C681:C681)&gt;0,B332+1,0),0)</f>
        <v>0</v>
      </c>
      <c r="D332" s="208">
        <f>IF(D$2&lt;=AnalysisPeriod,IF(SUM($C681:D681)&gt;0,C332+1,0),0)</f>
        <v>0</v>
      </c>
      <c r="E332" s="208">
        <f>IF(E$2&lt;=AnalysisPeriod,IF(SUM($C681:E681)&gt;0,D332+1,0),0)</f>
        <v>0</v>
      </c>
      <c r="F332" s="208">
        <f>IF(F$2&lt;=AnalysisPeriod,IF(SUM($C681:F681)&gt;0,E332+1,0),0)</f>
        <v>0</v>
      </c>
      <c r="G332" s="208">
        <f>IF(G$2&lt;=AnalysisPeriod,IF(SUM($C681:G681)&gt;0,F332+1,0),0)</f>
        <v>0</v>
      </c>
      <c r="H332" s="208">
        <f>IF(H$2&lt;=AnalysisPeriod,IF(SUM($C681:H681)&gt;0,G332+1,0),0)</f>
        <v>0</v>
      </c>
      <c r="I332" s="208">
        <f>IF(I$2&lt;=AnalysisPeriod,IF(SUM($C681:I681)&gt;0,H332+1,0),0)</f>
        <v>0</v>
      </c>
      <c r="J332" s="208">
        <f>IF(J$2&lt;=AnalysisPeriod,IF(SUM($C681:J681)&gt;0,I332+1,0),0)</f>
        <v>0</v>
      </c>
      <c r="K332" s="208">
        <f>IF(K$2&lt;=AnalysisPeriod,IF(SUM($C681:K681)&gt;0,J332+1,0),0)</f>
        <v>0</v>
      </c>
      <c r="L332" s="208">
        <f>IF(L$2&lt;=AnalysisPeriod,IF(SUM($C681:L681)&gt;0,K332+1,0),0)</f>
        <v>0</v>
      </c>
      <c r="M332" s="208">
        <f>IF(M$2&lt;=AnalysisPeriod,IF(SUM($C681:M681)&gt;0,L332+1,0),0)</f>
        <v>0</v>
      </c>
      <c r="N332" s="208">
        <f>IF(N$2&lt;=AnalysisPeriod,IF(SUM($C681:N681)&gt;0,M332+1,0),0)</f>
        <v>1</v>
      </c>
      <c r="O332" s="208">
        <f>IF(O$2&lt;=AnalysisPeriod,IF(SUM($C681:O681)&gt;0,N332+1,0),0)</f>
        <v>2</v>
      </c>
      <c r="P332" s="208">
        <f>IF(P$2&lt;=AnalysisPeriod,IF(SUM($C681:P681)&gt;0,O332+1,0),0)</f>
        <v>3</v>
      </c>
      <c r="Q332" s="208">
        <f>IF(Q$2&lt;=AnalysisPeriod,IF(SUM($C681:Q681)&gt;0,P332+1,0),0)</f>
        <v>4</v>
      </c>
      <c r="R332" s="208">
        <f>IF(R$2&lt;=AnalysisPeriod,IF(SUM($C681:R681)&gt;0,Q332+1,0),0)</f>
        <v>5</v>
      </c>
      <c r="S332" s="208">
        <f>IF(S$2&lt;=AnalysisPeriod,IF(SUM($C681:S681)&gt;0,R332+1,0),0)</f>
        <v>6</v>
      </c>
      <c r="T332" s="208">
        <f>IF(T$2&lt;=AnalysisPeriod,IF(SUM($C681:T681)&gt;0,S332+1,0),0)</f>
        <v>7</v>
      </c>
      <c r="U332" s="208">
        <f>IF(U$2&lt;=AnalysisPeriod,IF(SUM($C681:U681)&gt;0,T332+1,0),0)</f>
        <v>8</v>
      </c>
      <c r="V332" s="208">
        <f>IF(V$2&lt;=AnalysisPeriod,IF(SUM($C681:V681)&gt;0,U332+1,0),0)</f>
        <v>9</v>
      </c>
      <c r="W332" s="208">
        <f>IF(W$2&lt;=AnalysisPeriod,IF(SUM($C681:W681)&gt;0,V332+1,0),0)</f>
        <v>10</v>
      </c>
      <c r="X332" s="208">
        <f>IF(X$2&lt;=AnalysisPeriod,IF(SUM($C681:X681)&gt;0,W332+1,0),0)</f>
        <v>11</v>
      </c>
      <c r="Y332" s="208">
        <f>IF(Y$2&lt;=AnalysisPeriod,IF(SUM($C681:Y681)&gt;0,X332+1,0),0)</f>
        <v>12</v>
      </c>
      <c r="Z332" s="208">
        <f>IF(Z$2&lt;=AnalysisPeriod,IF(SUM($C681:Z681)&gt;0,Y332+1,0),0)</f>
        <v>13</v>
      </c>
      <c r="AA332" s="208">
        <f>IF(AA$2&lt;=AnalysisPeriod,IF(SUM($C681:AA681)&gt;0,Z332+1,0),0)</f>
        <v>14</v>
      </c>
      <c r="AB332" s="208">
        <f>IF(AB$2&lt;=AnalysisPeriod,IF(SUM($C681:AB681)&gt;0,AA332+1,0),0)</f>
        <v>15</v>
      </c>
      <c r="AC332" s="208">
        <f>IF(AC$2&lt;=AnalysisPeriod,IF(SUM($C681:AC681)&gt;0,AB332+1,0),0)</f>
        <v>16</v>
      </c>
      <c r="AD332" s="208">
        <f>IF(AD$2&lt;=AnalysisPeriod,IF(SUM($C681:AD681)&gt;0,AC332+1,0),0)</f>
        <v>17</v>
      </c>
      <c r="AE332" s="208">
        <f>IF(AE$2&lt;=AnalysisPeriod,IF(SUM($C681:AE681)&gt;0,AD332+1,0),0)</f>
        <v>18</v>
      </c>
      <c r="AF332" s="208">
        <f>IF(AF$2&lt;=AnalysisPeriod,IF(SUM($C681:AF681)&gt;0,AE332+1,0),0)</f>
        <v>19</v>
      </c>
      <c r="AG332" s="208">
        <f>IF(AG$2&lt;=AnalysisPeriod,IF(SUM($C681:AG681)&gt;0,AF332+1,0),0)</f>
        <v>0</v>
      </c>
      <c r="AH332" s="208">
        <f>IF(AH$2&lt;=AnalysisPeriod,IF(SUM($C681:AH681)&gt;0,AG332+1,0),0)</f>
        <v>0</v>
      </c>
      <c r="AI332" s="208">
        <f>IF(AI$2&lt;=AnalysisPeriod,IF(SUM($C681:AI681)&gt;0,AH332+1,0),0)</f>
        <v>0</v>
      </c>
      <c r="AJ332" s="208">
        <f>IF(AJ$2&lt;=AnalysisPeriod,IF(SUM($C681:AJ681)&gt;0,AI332+1,0),0)</f>
        <v>0</v>
      </c>
      <c r="AK332" s="208">
        <f>IF(AK$2&lt;=AnalysisPeriod,IF(SUM($C681:AK681)&gt;0,AJ332+1,0),0)</f>
        <v>0</v>
      </c>
      <c r="AL332" s="208">
        <f>IF(AL$2&lt;=AnalysisPeriod,IF(SUM($C681:AL681)&gt;0,AK332+1,0),0)</f>
        <v>0</v>
      </c>
      <c r="AM332" s="208">
        <f>IF(AM$2&lt;=AnalysisPeriod,IF(SUM($C681:AM681)&gt;0,AL332+1,0),0)</f>
        <v>0</v>
      </c>
      <c r="AN332" s="208">
        <f>IF(AN$2&lt;=AnalysisPeriod,IF(SUM($C681:AN681)&gt;0,AM332+1,0),0)</f>
        <v>0</v>
      </c>
      <c r="AO332" s="208">
        <f>IF(AO$2&lt;=AnalysisPeriod,IF(SUM($C681:AO681)&gt;0,AN332+1,0),0)</f>
        <v>0</v>
      </c>
      <c r="AP332" s="208">
        <f>IF(AP$2&lt;=AnalysisPeriod,IF(SUM($C681:AP681)&gt;0,AO332+1,0),0)</f>
        <v>0</v>
      </c>
    </row>
    <row r="333" spans="1:42">
      <c r="A333" s="37">
        <f>A332+1</f>
        <v>2</v>
      </c>
      <c r="C333" s="208">
        <f>IF(C$2&lt;=AnalysisPeriod,IF(SUM($C682:C682)&gt;0,B333+1,0),0)</f>
        <v>0</v>
      </c>
      <c r="D333" s="208">
        <f>IF(D$2&lt;=AnalysisPeriod,IF(SUM($C682:D682)&gt;0,C333+1,0),0)</f>
        <v>0</v>
      </c>
      <c r="E333" s="208">
        <f>IF(E$2&lt;=AnalysisPeriod,IF(SUM($C682:E682)&gt;0,D333+1,0),0)</f>
        <v>0</v>
      </c>
      <c r="F333" s="208">
        <f>IF(F$2&lt;=AnalysisPeriod,IF(SUM($C682:F682)&gt;0,E333+1,0),0)</f>
        <v>0</v>
      </c>
      <c r="G333" s="208">
        <f>IF(G$2&lt;=AnalysisPeriod,IF(SUM($C682:G682)&gt;0,F333+1,0),0)</f>
        <v>0</v>
      </c>
      <c r="H333" s="208">
        <f>IF(H$2&lt;=AnalysisPeriod,IF(SUM($C682:H682)&gt;0,G333+1,0),0)</f>
        <v>0</v>
      </c>
      <c r="I333" s="208">
        <f>IF(I$2&lt;=AnalysisPeriod,IF(SUM($C682:I682)&gt;0,H333+1,0),0)</f>
        <v>0</v>
      </c>
      <c r="J333" s="208">
        <f>IF(J$2&lt;=AnalysisPeriod,IF(SUM($C682:J682)&gt;0,I333+1,0),0)</f>
        <v>0</v>
      </c>
      <c r="K333" s="208">
        <f>IF(K$2&lt;=AnalysisPeriod,IF(SUM($C682:K682)&gt;0,J333+1,0),0)</f>
        <v>0</v>
      </c>
      <c r="L333" s="208">
        <f>IF(L$2&lt;=AnalysisPeriod,IF(SUM($C682:L682)&gt;0,K333+1,0),0)</f>
        <v>0</v>
      </c>
      <c r="M333" s="208">
        <f>IF(M$2&lt;=AnalysisPeriod,IF(SUM($C682:M682)&gt;0,L333+1,0),0)</f>
        <v>0</v>
      </c>
      <c r="N333" s="208">
        <f>IF(N$2&lt;=AnalysisPeriod,IF(SUM($C682:N682)&gt;0,M333+1,0),0)</f>
        <v>0</v>
      </c>
      <c r="O333" s="208">
        <f>IF(O$2&lt;=AnalysisPeriod,IF(SUM($C682:O682)&gt;0,N333+1,0),0)</f>
        <v>0</v>
      </c>
      <c r="P333" s="208">
        <f>IF(P$2&lt;=AnalysisPeriod,IF(SUM($C682:P682)&gt;0,O333+1,0),0)</f>
        <v>0</v>
      </c>
      <c r="Q333" s="208">
        <f>IF(Q$2&lt;=AnalysisPeriod,IF(SUM($C682:Q682)&gt;0,P333+1,0),0)</f>
        <v>0</v>
      </c>
      <c r="R333" s="208">
        <f>IF(R$2&lt;=AnalysisPeriod,IF(SUM($C682:R682)&gt;0,Q333+1,0),0)</f>
        <v>0</v>
      </c>
      <c r="S333" s="208">
        <f>IF(S$2&lt;=AnalysisPeriod,IF(SUM($C682:S682)&gt;0,R333+1,0),0)</f>
        <v>0</v>
      </c>
      <c r="T333" s="208">
        <f>IF(T$2&lt;=AnalysisPeriod,IF(SUM($C682:T682)&gt;0,S333+1,0),0)</f>
        <v>0</v>
      </c>
      <c r="U333" s="208">
        <f>IF(U$2&lt;=AnalysisPeriod,IF(SUM($C682:U682)&gt;0,T333+1,0),0)</f>
        <v>0</v>
      </c>
      <c r="V333" s="208">
        <f>IF(V$2&lt;=AnalysisPeriod,IF(SUM($C682:V682)&gt;0,U333+1,0),0)</f>
        <v>0</v>
      </c>
      <c r="W333" s="208">
        <f>IF(W$2&lt;=AnalysisPeriod,IF(SUM($C682:W682)&gt;0,V333+1,0),0)</f>
        <v>0</v>
      </c>
      <c r="X333" s="208">
        <f>IF(X$2&lt;=AnalysisPeriod,IF(SUM($C682:X682)&gt;0,W333+1,0),0)</f>
        <v>0</v>
      </c>
      <c r="Y333" s="208">
        <f>IF(Y$2&lt;=AnalysisPeriod,IF(SUM($C682:Y682)&gt;0,X333+1,0),0)</f>
        <v>0</v>
      </c>
      <c r="Z333" s="208">
        <f>IF(Z$2&lt;=AnalysisPeriod,IF(SUM($C682:Z682)&gt;0,Y333+1,0),0)</f>
        <v>1</v>
      </c>
      <c r="AA333" s="208">
        <f>IF(AA$2&lt;=AnalysisPeriod,IF(SUM($C682:AA682)&gt;0,Z333+1,0),0)</f>
        <v>2</v>
      </c>
      <c r="AB333" s="208">
        <f>IF(AB$2&lt;=AnalysisPeriod,IF(SUM($C682:AB682)&gt;0,AA333+1,0),0)</f>
        <v>3</v>
      </c>
      <c r="AC333" s="208">
        <f>IF(AC$2&lt;=AnalysisPeriod,IF(SUM($C682:AC682)&gt;0,AB333+1,0),0)</f>
        <v>4</v>
      </c>
      <c r="AD333" s="208">
        <f>IF(AD$2&lt;=AnalysisPeriod,IF(SUM($C682:AD682)&gt;0,AC333+1,0),0)</f>
        <v>5</v>
      </c>
      <c r="AE333" s="208">
        <f>IF(AE$2&lt;=AnalysisPeriod,IF(SUM($C682:AE682)&gt;0,AD333+1,0),0)</f>
        <v>6</v>
      </c>
      <c r="AF333" s="208">
        <f>IF(AF$2&lt;=AnalysisPeriod,IF(SUM($C682:AF682)&gt;0,AE333+1,0),0)</f>
        <v>7</v>
      </c>
      <c r="AG333" s="208">
        <f>IF(AG$2&lt;=AnalysisPeriod,IF(SUM($C682:AG682)&gt;0,AF333+1,0),0)</f>
        <v>0</v>
      </c>
      <c r="AH333" s="208">
        <f>IF(AH$2&lt;=AnalysisPeriod,IF(SUM($C682:AH682)&gt;0,AG333+1,0),0)</f>
        <v>0</v>
      </c>
      <c r="AI333" s="208">
        <f>IF(AI$2&lt;=AnalysisPeriod,IF(SUM($C682:AI682)&gt;0,AH333+1,0),0)</f>
        <v>0</v>
      </c>
      <c r="AJ333" s="208">
        <f>IF(AJ$2&lt;=AnalysisPeriod,IF(SUM($C682:AJ682)&gt;0,AI333+1,0),0)</f>
        <v>0</v>
      </c>
      <c r="AK333" s="208">
        <f>IF(AK$2&lt;=AnalysisPeriod,IF(SUM($C682:AK682)&gt;0,AJ333+1,0),0)</f>
        <v>0</v>
      </c>
      <c r="AL333" s="208">
        <f>IF(AL$2&lt;=AnalysisPeriod,IF(SUM($C682:AL682)&gt;0,AK333+1,0),0)</f>
        <v>0</v>
      </c>
      <c r="AM333" s="208">
        <f>IF(AM$2&lt;=AnalysisPeriod,IF(SUM($C682:AM682)&gt;0,AL333+1,0),0)</f>
        <v>0</v>
      </c>
      <c r="AN333" s="208">
        <f>IF(AN$2&lt;=AnalysisPeriod,IF(SUM($C682:AN682)&gt;0,AM333+1,0),0)</f>
        <v>0</v>
      </c>
      <c r="AO333" s="208">
        <f>IF(AO$2&lt;=AnalysisPeriod,IF(SUM($C682:AO682)&gt;0,AN333+1,0),0)</f>
        <v>0</v>
      </c>
      <c r="AP333" s="208">
        <f>IF(AP$2&lt;=AnalysisPeriod,IF(SUM($C682:AP682)&gt;0,AO333+1,0),0)</f>
        <v>0</v>
      </c>
    </row>
    <row r="334" spans="1:42">
      <c r="A334" s="37">
        <f t="shared" ref="A334:A341" si="153">A333+1</f>
        <v>3</v>
      </c>
      <c r="C334" s="208">
        <f>IF(C$2&lt;=AnalysisPeriod,IF(SUM($C683:C683)&gt;0,B334+1,0),0)</f>
        <v>0</v>
      </c>
      <c r="D334" s="208">
        <f>IF(D$2&lt;=AnalysisPeriod,IF(SUM($C683:D683)&gt;0,C334+1,0),0)</f>
        <v>0</v>
      </c>
      <c r="E334" s="208">
        <f>IF(E$2&lt;=AnalysisPeriod,IF(SUM($C683:E683)&gt;0,D334+1,0),0)</f>
        <v>0</v>
      </c>
      <c r="F334" s="208">
        <f>IF(F$2&lt;=AnalysisPeriod,IF(SUM($C683:F683)&gt;0,E334+1,0),0)</f>
        <v>0</v>
      </c>
      <c r="G334" s="208">
        <f>IF(G$2&lt;=AnalysisPeriod,IF(SUM($C683:G683)&gt;0,F334+1,0),0)</f>
        <v>0</v>
      </c>
      <c r="H334" s="208">
        <f>IF(H$2&lt;=AnalysisPeriod,IF(SUM($C683:H683)&gt;0,G334+1,0),0)</f>
        <v>0</v>
      </c>
      <c r="I334" s="208">
        <f>IF(I$2&lt;=AnalysisPeriod,IF(SUM($C683:I683)&gt;0,H334+1,0),0)</f>
        <v>0</v>
      </c>
      <c r="J334" s="208">
        <f>IF(J$2&lt;=AnalysisPeriod,IF(SUM($C683:J683)&gt;0,I334+1,0),0)</f>
        <v>0</v>
      </c>
      <c r="K334" s="208">
        <f>IF(K$2&lt;=AnalysisPeriod,IF(SUM($C683:K683)&gt;0,J334+1,0),0)</f>
        <v>0</v>
      </c>
      <c r="L334" s="208">
        <f>IF(L$2&lt;=AnalysisPeriod,IF(SUM($C683:L683)&gt;0,K334+1,0),0)</f>
        <v>0</v>
      </c>
      <c r="M334" s="208">
        <f>IF(M$2&lt;=AnalysisPeriod,IF(SUM($C683:M683)&gt;0,L334+1,0),0)</f>
        <v>0</v>
      </c>
      <c r="N334" s="208">
        <f>IF(N$2&lt;=AnalysisPeriod,IF(SUM($C683:N683)&gt;0,M334+1,0),0)</f>
        <v>0</v>
      </c>
      <c r="O334" s="208">
        <f>IF(O$2&lt;=AnalysisPeriod,IF(SUM($C683:O683)&gt;0,N334+1,0),0)</f>
        <v>0</v>
      </c>
      <c r="P334" s="208">
        <f>IF(P$2&lt;=AnalysisPeriod,IF(SUM($C683:P683)&gt;0,O334+1,0),0)</f>
        <v>0</v>
      </c>
      <c r="Q334" s="208">
        <f>IF(Q$2&lt;=AnalysisPeriod,IF(SUM($C683:Q683)&gt;0,P334+1,0),0)</f>
        <v>0</v>
      </c>
      <c r="R334" s="208">
        <f>IF(R$2&lt;=AnalysisPeriod,IF(SUM($C683:R683)&gt;0,Q334+1,0),0)</f>
        <v>0</v>
      </c>
      <c r="S334" s="208">
        <f>IF(S$2&lt;=AnalysisPeriod,IF(SUM($C683:S683)&gt;0,R334+1,0),0)</f>
        <v>0</v>
      </c>
      <c r="T334" s="208">
        <f>IF(T$2&lt;=AnalysisPeriod,IF(SUM($C683:T683)&gt;0,S334+1,0),0)</f>
        <v>0</v>
      </c>
      <c r="U334" s="208">
        <f>IF(U$2&lt;=AnalysisPeriod,IF(SUM($C683:U683)&gt;0,T334+1,0),0)</f>
        <v>0</v>
      </c>
      <c r="V334" s="208">
        <f>IF(V$2&lt;=AnalysisPeriod,IF(SUM($C683:V683)&gt;0,U334+1,0),0)</f>
        <v>0</v>
      </c>
      <c r="W334" s="208">
        <f>IF(W$2&lt;=AnalysisPeriod,IF(SUM($C683:W683)&gt;0,V334+1,0),0)</f>
        <v>0</v>
      </c>
      <c r="X334" s="208">
        <f>IF(X$2&lt;=AnalysisPeriod,IF(SUM($C683:X683)&gt;0,W334+1,0),0)</f>
        <v>0</v>
      </c>
      <c r="Y334" s="208">
        <f>IF(Y$2&lt;=AnalysisPeriod,IF(SUM($C683:Y683)&gt;0,X334+1,0),0)</f>
        <v>0</v>
      </c>
      <c r="Z334" s="208">
        <f>IF(Z$2&lt;=AnalysisPeriod,IF(SUM($C683:Z683)&gt;0,Y334+1,0),0)</f>
        <v>0</v>
      </c>
      <c r="AA334" s="208">
        <f>IF(AA$2&lt;=AnalysisPeriod,IF(SUM($C683:AA683)&gt;0,Z334+1,0),0)</f>
        <v>0</v>
      </c>
      <c r="AB334" s="208">
        <f>IF(AB$2&lt;=AnalysisPeriod,IF(SUM($C683:AB683)&gt;0,AA334+1,0),0)</f>
        <v>0</v>
      </c>
      <c r="AC334" s="208">
        <f>IF(AC$2&lt;=AnalysisPeriod,IF(SUM($C683:AC683)&gt;0,AB334+1,0),0)</f>
        <v>0</v>
      </c>
      <c r="AD334" s="208">
        <f>IF(AD$2&lt;=AnalysisPeriod,IF(SUM($C683:AD683)&gt;0,AC334+1,0),0)</f>
        <v>0</v>
      </c>
      <c r="AE334" s="208">
        <f>IF(AE$2&lt;=AnalysisPeriod,IF(SUM($C683:AE683)&gt;0,AD334+1,0),0)</f>
        <v>0</v>
      </c>
      <c r="AF334" s="208">
        <f>IF(AF$2&lt;=AnalysisPeriod,IF(SUM($C683:AF683)&gt;0,AE334+1,0),0)</f>
        <v>0</v>
      </c>
      <c r="AG334" s="208">
        <f>IF(AG$2&lt;=AnalysisPeriod,IF(SUM($C683:AG683)&gt;0,AF334+1,0),0)</f>
        <v>0</v>
      </c>
      <c r="AH334" s="208">
        <f>IF(AH$2&lt;=AnalysisPeriod,IF(SUM($C683:AH683)&gt;0,AG334+1,0),0)</f>
        <v>0</v>
      </c>
      <c r="AI334" s="208">
        <f>IF(AI$2&lt;=AnalysisPeriod,IF(SUM($C683:AI683)&gt;0,AH334+1,0),0)</f>
        <v>0</v>
      </c>
      <c r="AJ334" s="208">
        <f>IF(AJ$2&lt;=AnalysisPeriod,IF(SUM($C683:AJ683)&gt;0,AI334+1,0),0)</f>
        <v>0</v>
      </c>
      <c r="AK334" s="208">
        <f>IF(AK$2&lt;=AnalysisPeriod,IF(SUM($C683:AK683)&gt;0,AJ334+1,0),0)</f>
        <v>0</v>
      </c>
      <c r="AL334" s="208">
        <f>IF(AL$2&lt;=AnalysisPeriod,IF(SUM($C683:AL683)&gt;0,AK334+1,0),0)</f>
        <v>0</v>
      </c>
      <c r="AM334" s="208">
        <f>IF(AM$2&lt;=AnalysisPeriod,IF(SUM($C683:AM683)&gt;0,AL334+1,0),0)</f>
        <v>0</v>
      </c>
      <c r="AN334" s="208">
        <f>IF(AN$2&lt;=AnalysisPeriod,IF(SUM($C683:AN683)&gt;0,AM334+1,0),0)</f>
        <v>0</v>
      </c>
      <c r="AO334" s="208">
        <f>IF(AO$2&lt;=AnalysisPeriod,IF(SUM($C683:AO683)&gt;0,AN334+1,0),0)</f>
        <v>0</v>
      </c>
      <c r="AP334" s="208">
        <f>IF(AP$2&lt;=AnalysisPeriod,IF(SUM($C683:AP683)&gt;0,AO334+1,0),0)</f>
        <v>0</v>
      </c>
    </row>
    <row r="335" spans="1:42">
      <c r="A335" s="37">
        <f t="shared" si="153"/>
        <v>4</v>
      </c>
      <c r="C335" s="208">
        <f>IF(C$2&lt;=AnalysisPeriod,IF(SUM($C684:C684)&gt;0,B335+1,0),0)</f>
        <v>0</v>
      </c>
      <c r="D335" s="208">
        <f>IF(D$2&lt;=AnalysisPeriod,IF(SUM($C684:D684)&gt;0,C335+1,0),0)</f>
        <v>0</v>
      </c>
      <c r="E335" s="208">
        <f>IF(E$2&lt;=AnalysisPeriod,IF(SUM($C684:E684)&gt;0,D335+1,0),0)</f>
        <v>0</v>
      </c>
      <c r="F335" s="208">
        <f>IF(F$2&lt;=AnalysisPeriod,IF(SUM($C684:F684)&gt;0,E335+1,0),0)</f>
        <v>0</v>
      </c>
      <c r="G335" s="208">
        <f>IF(G$2&lt;=AnalysisPeriod,IF(SUM($C684:G684)&gt;0,F335+1,0),0)</f>
        <v>0</v>
      </c>
      <c r="H335" s="208">
        <f>IF(H$2&lt;=AnalysisPeriod,IF(SUM($C684:H684)&gt;0,G335+1,0),0)</f>
        <v>0</v>
      </c>
      <c r="I335" s="208">
        <f>IF(I$2&lt;=AnalysisPeriod,IF(SUM($C684:I684)&gt;0,H335+1,0),0)</f>
        <v>0</v>
      </c>
      <c r="J335" s="208">
        <f>IF(J$2&lt;=AnalysisPeriod,IF(SUM($C684:J684)&gt;0,I335+1,0),0)</f>
        <v>0</v>
      </c>
      <c r="K335" s="208">
        <f>IF(K$2&lt;=AnalysisPeriod,IF(SUM($C684:K684)&gt;0,J335+1,0),0)</f>
        <v>0</v>
      </c>
      <c r="L335" s="208">
        <f>IF(L$2&lt;=AnalysisPeriod,IF(SUM($C684:L684)&gt;0,K335+1,0),0)</f>
        <v>0</v>
      </c>
      <c r="M335" s="208">
        <f>IF(M$2&lt;=AnalysisPeriod,IF(SUM($C684:M684)&gt;0,L335+1,0),0)</f>
        <v>0</v>
      </c>
      <c r="N335" s="208">
        <f>IF(N$2&lt;=AnalysisPeriod,IF(SUM($C684:N684)&gt;0,M335+1,0),0)</f>
        <v>0</v>
      </c>
      <c r="O335" s="208">
        <f>IF(O$2&lt;=AnalysisPeriod,IF(SUM($C684:O684)&gt;0,N335+1,0),0)</f>
        <v>0</v>
      </c>
      <c r="P335" s="208">
        <f>IF(P$2&lt;=AnalysisPeriod,IF(SUM($C684:P684)&gt;0,O335+1,0),0)</f>
        <v>0</v>
      </c>
      <c r="Q335" s="208">
        <f>IF(Q$2&lt;=AnalysisPeriod,IF(SUM($C684:Q684)&gt;0,P335+1,0),0)</f>
        <v>0</v>
      </c>
      <c r="R335" s="208">
        <f>IF(R$2&lt;=AnalysisPeriod,IF(SUM($C684:R684)&gt;0,Q335+1,0),0)</f>
        <v>0</v>
      </c>
      <c r="S335" s="208">
        <f>IF(S$2&lt;=AnalysisPeriod,IF(SUM($C684:S684)&gt;0,R335+1,0),0)</f>
        <v>0</v>
      </c>
      <c r="T335" s="208">
        <f>IF(T$2&lt;=AnalysisPeriod,IF(SUM($C684:T684)&gt;0,S335+1,0),0)</f>
        <v>0</v>
      </c>
      <c r="U335" s="208">
        <f>IF(U$2&lt;=AnalysisPeriod,IF(SUM($C684:U684)&gt;0,T335+1,0),0)</f>
        <v>0</v>
      </c>
      <c r="V335" s="208">
        <f>IF(V$2&lt;=AnalysisPeriod,IF(SUM($C684:V684)&gt;0,U335+1,0),0)</f>
        <v>0</v>
      </c>
      <c r="W335" s="208">
        <f>IF(W$2&lt;=AnalysisPeriod,IF(SUM($C684:W684)&gt;0,V335+1,0),0)</f>
        <v>0</v>
      </c>
      <c r="X335" s="208">
        <f>IF(X$2&lt;=AnalysisPeriod,IF(SUM($C684:X684)&gt;0,W335+1,0),0)</f>
        <v>0</v>
      </c>
      <c r="Y335" s="208">
        <f>IF(Y$2&lt;=AnalysisPeriod,IF(SUM($C684:Y684)&gt;0,X335+1,0),0)</f>
        <v>0</v>
      </c>
      <c r="Z335" s="208">
        <f>IF(Z$2&lt;=AnalysisPeriod,IF(SUM($C684:Z684)&gt;0,Y335+1,0),0)</f>
        <v>0</v>
      </c>
      <c r="AA335" s="208">
        <f>IF(AA$2&lt;=AnalysisPeriod,IF(SUM($C684:AA684)&gt;0,Z335+1,0),0)</f>
        <v>0</v>
      </c>
      <c r="AB335" s="208">
        <f>IF(AB$2&lt;=AnalysisPeriod,IF(SUM($C684:AB684)&gt;0,AA335+1,0),0)</f>
        <v>0</v>
      </c>
      <c r="AC335" s="208">
        <f>IF(AC$2&lt;=AnalysisPeriod,IF(SUM($C684:AC684)&gt;0,AB335+1,0),0)</f>
        <v>0</v>
      </c>
      <c r="AD335" s="208">
        <f>IF(AD$2&lt;=AnalysisPeriod,IF(SUM($C684:AD684)&gt;0,AC335+1,0),0)</f>
        <v>0</v>
      </c>
      <c r="AE335" s="208">
        <f>IF(AE$2&lt;=AnalysisPeriod,IF(SUM($C684:AE684)&gt;0,AD335+1,0),0)</f>
        <v>0</v>
      </c>
      <c r="AF335" s="208">
        <f>IF(AF$2&lt;=AnalysisPeriod,IF(SUM($C684:AF684)&gt;0,AE335+1,0),0)</f>
        <v>0</v>
      </c>
      <c r="AG335" s="208">
        <f>IF(AG$2&lt;=AnalysisPeriod,IF(SUM($C684:AG684)&gt;0,AF335+1,0),0)</f>
        <v>0</v>
      </c>
      <c r="AH335" s="208">
        <f>IF(AH$2&lt;=AnalysisPeriod,IF(SUM($C684:AH684)&gt;0,AG335+1,0),0)</f>
        <v>0</v>
      </c>
      <c r="AI335" s="208">
        <f>IF(AI$2&lt;=AnalysisPeriod,IF(SUM($C684:AI684)&gt;0,AH335+1,0),0)</f>
        <v>0</v>
      </c>
      <c r="AJ335" s="208">
        <f>IF(AJ$2&lt;=AnalysisPeriod,IF(SUM($C684:AJ684)&gt;0,AI335+1,0),0)</f>
        <v>0</v>
      </c>
      <c r="AK335" s="208">
        <f>IF(AK$2&lt;=AnalysisPeriod,IF(SUM($C684:AK684)&gt;0,AJ335+1,0),0)</f>
        <v>0</v>
      </c>
      <c r="AL335" s="208">
        <f>IF(AL$2&lt;=AnalysisPeriod,IF(SUM($C684:AL684)&gt;0,AK335+1,0),0)</f>
        <v>0</v>
      </c>
      <c r="AM335" s="208">
        <f>IF(AM$2&lt;=AnalysisPeriod,IF(SUM($C684:AM684)&gt;0,AL335+1,0),0)</f>
        <v>0</v>
      </c>
      <c r="AN335" s="208">
        <f>IF(AN$2&lt;=AnalysisPeriod,IF(SUM($C684:AN684)&gt;0,AM335+1,0),0)</f>
        <v>0</v>
      </c>
      <c r="AO335" s="208">
        <f>IF(AO$2&lt;=AnalysisPeriod,IF(SUM($C684:AO684)&gt;0,AN335+1,0),0)</f>
        <v>0</v>
      </c>
      <c r="AP335" s="208">
        <f>IF(AP$2&lt;=AnalysisPeriod,IF(SUM($C684:AP684)&gt;0,AO335+1,0),0)</f>
        <v>0</v>
      </c>
    </row>
    <row r="336" spans="1:42">
      <c r="A336" s="37">
        <f t="shared" si="153"/>
        <v>5</v>
      </c>
      <c r="C336" s="208">
        <f>IF(C$2&lt;=AnalysisPeriod,IF(SUM($C685:C685)&gt;0,B336+1,0),0)</f>
        <v>0</v>
      </c>
      <c r="D336" s="208">
        <f>IF(D$2&lt;=AnalysisPeriod,IF(SUM($C685:D685)&gt;0,C336+1,0),0)</f>
        <v>0</v>
      </c>
      <c r="E336" s="208">
        <f>IF(E$2&lt;=AnalysisPeriod,IF(SUM($C685:E685)&gt;0,D336+1,0),0)</f>
        <v>0</v>
      </c>
      <c r="F336" s="208">
        <f>IF(F$2&lt;=AnalysisPeriod,IF(SUM($C685:F685)&gt;0,E336+1,0),0)</f>
        <v>0</v>
      </c>
      <c r="G336" s="208">
        <f>IF(G$2&lt;=AnalysisPeriod,IF(SUM($C685:G685)&gt;0,F336+1,0),0)</f>
        <v>0</v>
      </c>
      <c r="H336" s="208">
        <f>IF(H$2&lt;=AnalysisPeriod,IF(SUM($C685:H685)&gt;0,G336+1,0),0)</f>
        <v>0</v>
      </c>
      <c r="I336" s="208">
        <f>IF(I$2&lt;=AnalysisPeriod,IF(SUM($C685:I685)&gt;0,H336+1,0),0)</f>
        <v>0</v>
      </c>
      <c r="J336" s="208">
        <f>IF(J$2&lt;=AnalysisPeriod,IF(SUM($C685:J685)&gt;0,I336+1,0),0)</f>
        <v>0</v>
      </c>
      <c r="K336" s="208">
        <f>IF(K$2&lt;=AnalysisPeriod,IF(SUM($C685:K685)&gt;0,J336+1,0),0)</f>
        <v>0</v>
      </c>
      <c r="L336" s="208">
        <f>IF(L$2&lt;=AnalysisPeriod,IF(SUM($C685:L685)&gt;0,K336+1,0),0)</f>
        <v>0</v>
      </c>
      <c r="M336" s="208">
        <f>IF(M$2&lt;=AnalysisPeriod,IF(SUM($C685:M685)&gt;0,L336+1,0),0)</f>
        <v>0</v>
      </c>
      <c r="N336" s="208">
        <f>IF(N$2&lt;=AnalysisPeriod,IF(SUM($C685:N685)&gt;0,M336+1,0),0)</f>
        <v>0</v>
      </c>
      <c r="O336" s="208">
        <f>IF(O$2&lt;=AnalysisPeriod,IF(SUM($C685:O685)&gt;0,N336+1,0),0)</f>
        <v>0</v>
      </c>
      <c r="P336" s="208">
        <f>IF(P$2&lt;=AnalysisPeriod,IF(SUM($C685:P685)&gt;0,O336+1,0),0)</f>
        <v>0</v>
      </c>
      <c r="Q336" s="208">
        <f>IF(Q$2&lt;=AnalysisPeriod,IF(SUM($C685:Q685)&gt;0,P336+1,0),0)</f>
        <v>0</v>
      </c>
      <c r="R336" s="208">
        <f>IF(R$2&lt;=AnalysisPeriod,IF(SUM($C685:R685)&gt;0,Q336+1,0),0)</f>
        <v>0</v>
      </c>
      <c r="S336" s="208">
        <f>IF(S$2&lt;=AnalysisPeriod,IF(SUM($C685:S685)&gt;0,R336+1,0),0)</f>
        <v>0</v>
      </c>
      <c r="T336" s="208">
        <f>IF(T$2&lt;=AnalysisPeriod,IF(SUM($C685:T685)&gt;0,S336+1,0),0)</f>
        <v>0</v>
      </c>
      <c r="U336" s="208">
        <f>IF(U$2&lt;=AnalysisPeriod,IF(SUM($C685:U685)&gt;0,T336+1,0),0)</f>
        <v>0</v>
      </c>
      <c r="V336" s="208">
        <f>IF(V$2&lt;=AnalysisPeriod,IF(SUM($C685:V685)&gt;0,U336+1,0),0)</f>
        <v>0</v>
      </c>
      <c r="W336" s="208">
        <f>IF(W$2&lt;=AnalysisPeriod,IF(SUM($C685:W685)&gt;0,V336+1,0),0)</f>
        <v>0</v>
      </c>
      <c r="X336" s="208">
        <f>IF(X$2&lt;=AnalysisPeriod,IF(SUM($C685:X685)&gt;0,W336+1,0),0)</f>
        <v>0</v>
      </c>
      <c r="Y336" s="208">
        <f>IF(Y$2&lt;=AnalysisPeriod,IF(SUM($C685:Y685)&gt;0,X336+1,0),0)</f>
        <v>0</v>
      </c>
      <c r="Z336" s="208">
        <f>IF(Z$2&lt;=AnalysisPeriod,IF(SUM($C685:Z685)&gt;0,Y336+1,0),0)</f>
        <v>0</v>
      </c>
      <c r="AA336" s="208">
        <f>IF(AA$2&lt;=AnalysisPeriod,IF(SUM($C685:AA685)&gt;0,Z336+1,0),0)</f>
        <v>0</v>
      </c>
      <c r="AB336" s="208">
        <f>IF(AB$2&lt;=AnalysisPeriod,IF(SUM($C685:AB685)&gt;0,AA336+1,0),0)</f>
        <v>0</v>
      </c>
      <c r="AC336" s="208">
        <f>IF(AC$2&lt;=AnalysisPeriod,IF(SUM($C685:AC685)&gt;0,AB336+1,0),0)</f>
        <v>0</v>
      </c>
      <c r="AD336" s="208">
        <f>IF(AD$2&lt;=AnalysisPeriod,IF(SUM($C685:AD685)&gt;0,AC336+1,0),0)</f>
        <v>0</v>
      </c>
      <c r="AE336" s="208">
        <f>IF(AE$2&lt;=AnalysisPeriod,IF(SUM($C685:AE685)&gt;0,AD336+1,0),0)</f>
        <v>0</v>
      </c>
      <c r="AF336" s="208">
        <f>IF(AF$2&lt;=AnalysisPeriod,IF(SUM($C685:AF685)&gt;0,AE336+1,0),0)</f>
        <v>0</v>
      </c>
      <c r="AG336" s="208">
        <f>IF(AG$2&lt;=AnalysisPeriod,IF(SUM($C685:AG685)&gt;0,AF336+1,0),0)</f>
        <v>0</v>
      </c>
      <c r="AH336" s="208">
        <f>IF(AH$2&lt;=AnalysisPeriod,IF(SUM($C685:AH685)&gt;0,AG336+1,0),0)</f>
        <v>0</v>
      </c>
      <c r="AI336" s="208">
        <f>IF(AI$2&lt;=AnalysisPeriod,IF(SUM($C685:AI685)&gt;0,AH336+1,0),0)</f>
        <v>0</v>
      </c>
      <c r="AJ336" s="208">
        <f>IF(AJ$2&lt;=AnalysisPeriod,IF(SUM($C685:AJ685)&gt;0,AI336+1,0),0)</f>
        <v>0</v>
      </c>
      <c r="AK336" s="208">
        <f>IF(AK$2&lt;=AnalysisPeriod,IF(SUM($C685:AK685)&gt;0,AJ336+1,0),0)</f>
        <v>0</v>
      </c>
      <c r="AL336" s="208">
        <f>IF(AL$2&lt;=AnalysisPeriod,IF(SUM($C685:AL685)&gt;0,AK336+1,0),0)</f>
        <v>0</v>
      </c>
      <c r="AM336" s="208">
        <f>IF(AM$2&lt;=AnalysisPeriod,IF(SUM($C685:AM685)&gt;0,AL336+1,0),0)</f>
        <v>0</v>
      </c>
      <c r="AN336" s="208">
        <f>IF(AN$2&lt;=AnalysisPeriod,IF(SUM($C685:AN685)&gt;0,AM336+1,0),0)</f>
        <v>0</v>
      </c>
      <c r="AO336" s="208">
        <f>IF(AO$2&lt;=AnalysisPeriod,IF(SUM($C685:AO685)&gt;0,AN336+1,0),0)</f>
        <v>0</v>
      </c>
      <c r="AP336" s="208">
        <f>IF(AP$2&lt;=AnalysisPeriod,IF(SUM($C685:AP685)&gt;0,AO336+1,0),0)</f>
        <v>0</v>
      </c>
    </row>
    <row r="337" spans="1:42">
      <c r="A337" s="37">
        <f t="shared" si="153"/>
        <v>6</v>
      </c>
      <c r="C337" s="208">
        <f>IF(C$2&lt;=AnalysisPeriod,IF(SUM($C686:C686)&gt;0,B337+1,0),0)</f>
        <v>0</v>
      </c>
      <c r="D337" s="208">
        <f>IF(D$2&lt;=AnalysisPeriod,IF(SUM($C686:D686)&gt;0,C337+1,0),0)</f>
        <v>0</v>
      </c>
      <c r="E337" s="208">
        <f>IF(E$2&lt;=AnalysisPeriod,IF(SUM($C686:E686)&gt;0,D337+1,0),0)</f>
        <v>0</v>
      </c>
      <c r="F337" s="208">
        <f>IF(F$2&lt;=AnalysisPeriod,IF(SUM($C686:F686)&gt;0,E337+1,0),0)</f>
        <v>0</v>
      </c>
      <c r="G337" s="208">
        <f>IF(G$2&lt;=AnalysisPeriod,IF(SUM($C686:G686)&gt;0,F337+1,0),0)</f>
        <v>0</v>
      </c>
      <c r="H337" s="208">
        <f>IF(H$2&lt;=AnalysisPeriod,IF(SUM($C686:H686)&gt;0,G337+1,0),0)</f>
        <v>0</v>
      </c>
      <c r="I337" s="208">
        <f>IF(I$2&lt;=AnalysisPeriod,IF(SUM($C686:I686)&gt;0,H337+1,0),0)</f>
        <v>0</v>
      </c>
      <c r="J337" s="208">
        <f>IF(J$2&lt;=AnalysisPeriod,IF(SUM($C686:J686)&gt;0,I337+1,0),0)</f>
        <v>0</v>
      </c>
      <c r="K337" s="208">
        <f>IF(K$2&lt;=AnalysisPeriod,IF(SUM($C686:K686)&gt;0,J337+1,0),0)</f>
        <v>0</v>
      </c>
      <c r="L337" s="208">
        <f>IF(L$2&lt;=AnalysisPeriod,IF(SUM($C686:L686)&gt;0,K337+1,0),0)</f>
        <v>0</v>
      </c>
      <c r="M337" s="208">
        <f>IF(M$2&lt;=AnalysisPeriod,IF(SUM($C686:M686)&gt;0,L337+1,0),0)</f>
        <v>0</v>
      </c>
      <c r="N337" s="208">
        <f>IF(N$2&lt;=AnalysisPeriod,IF(SUM($C686:N686)&gt;0,M337+1,0),0)</f>
        <v>0</v>
      </c>
      <c r="O337" s="208">
        <f>IF(O$2&lt;=AnalysisPeriod,IF(SUM($C686:O686)&gt;0,N337+1,0),0)</f>
        <v>0</v>
      </c>
      <c r="P337" s="208">
        <f>IF(P$2&lt;=AnalysisPeriod,IF(SUM($C686:P686)&gt;0,O337+1,0),0)</f>
        <v>0</v>
      </c>
      <c r="Q337" s="208">
        <f>IF(Q$2&lt;=AnalysisPeriod,IF(SUM($C686:Q686)&gt;0,P337+1,0),0)</f>
        <v>0</v>
      </c>
      <c r="R337" s="208">
        <f>IF(R$2&lt;=AnalysisPeriod,IF(SUM($C686:R686)&gt;0,Q337+1,0),0)</f>
        <v>0</v>
      </c>
      <c r="S337" s="208">
        <f>IF(S$2&lt;=AnalysisPeriod,IF(SUM($C686:S686)&gt;0,R337+1,0),0)</f>
        <v>0</v>
      </c>
      <c r="T337" s="208">
        <f>IF(T$2&lt;=AnalysisPeriod,IF(SUM($C686:T686)&gt;0,S337+1,0),0)</f>
        <v>0</v>
      </c>
      <c r="U337" s="208">
        <f>IF(U$2&lt;=AnalysisPeriod,IF(SUM($C686:U686)&gt;0,T337+1,0),0)</f>
        <v>0</v>
      </c>
      <c r="V337" s="208">
        <f>IF(V$2&lt;=AnalysisPeriod,IF(SUM($C686:V686)&gt;0,U337+1,0),0)</f>
        <v>0</v>
      </c>
      <c r="W337" s="208">
        <f>IF(W$2&lt;=AnalysisPeriod,IF(SUM($C686:W686)&gt;0,V337+1,0),0)</f>
        <v>0</v>
      </c>
      <c r="X337" s="208">
        <f>IF(X$2&lt;=AnalysisPeriod,IF(SUM($C686:X686)&gt;0,W337+1,0),0)</f>
        <v>0</v>
      </c>
      <c r="Y337" s="208">
        <f>IF(Y$2&lt;=AnalysisPeriod,IF(SUM($C686:Y686)&gt;0,X337+1,0),0)</f>
        <v>0</v>
      </c>
      <c r="Z337" s="208">
        <f>IF(Z$2&lt;=AnalysisPeriod,IF(SUM($C686:Z686)&gt;0,Y337+1,0),0)</f>
        <v>0</v>
      </c>
      <c r="AA337" s="208">
        <f>IF(AA$2&lt;=AnalysisPeriod,IF(SUM($C686:AA686)&gt;0,Z337+1,0),0)</f>
        <v>0</v>
      </c>
      <c r="AB337" s="208">
        <f>IF(AB$2&lt;=AnalysisPeriod,IF(SUM($C686:AB686)&gt;0,AA337+1,0),0)</f>
        <v>0</v>
      </c>
      <c r="AC337" s="208">
        <f>IF(AC$2&lt;=AnalysisPeriod,IF(SUM($C686:AC686)&gt;0,AB337+1,0),0)</f>
        <v>0</v>
      </c>
      <c r="AD337" s="208">
        <f>IF(AD$2&lt;=AnalysisPeriod,IF(SUM($C686:AD686)&gt;0,AC337+1,0),0)</f>
        <v>0</v>
      </c>
      <c r="AE337" s="208">
        <f>IF(AE$2&lt;=AnalysisPeriod,IF(SUM($C686:AE686)&gt;0,AD337+1,0),0)</f>
        <v>0</v>
      </c>
      <c r="AF337" s="208">
        <f>IF(AF$2&lt;=AnalysisPeriod,IF(SUM($C686:AF686)&gt;0,AE337+1,0),0)</f>
        <v>0</v>
      </c>
      <c r="AG337" s="208">
        <f>IF(AG$2&lt;=AnalysisPeriod,IF(SUM($C686:AG686)&gt;0,AF337+1,0),0)</f>
        <v>0</v>
      </c>
      <c r="AH337" s="208">
        <f>IF(AH$2&lt;=AnalysisPeriod,IF(SUM($C686:AH686)&gt;0,AG337+1,0),0)</f>
        <v>0</v>
      </c>
      <c r="AI337" s="208">
        <f>IF(AI$2&lt;=AnalysisPeriod,IF(SUM($C686:AI686)&gt;0,AH337+1,0),0)</f>
        <v>0</v>
      </c>
      <c r="AJ337" s="208">
        <f>IF(AJ$2&lt;=AnalysisPeriod,IF(SUM($C686:AJ686)&gt;0,AI337+1,0),0)</f>
        <v>0</v>
      </c>
      <c r="AK337" s="208">
        <f>IF(AK$2&lt;=AnalysisPeriod,IF(SUM($C686:AK686)&gt;0,AJ337+1,0),0)</f>
        <v>0</v>
      </c>
      <c r="AL337" s="208">
        <f>IF(AL$2&lt;=AnalysisPeriod,IF(SUM($C686:AL686)&gt;0,AK337+1,0),0)</f>
        <v>0</v>
      </c>
      <c r="AM337" s="208">
        <f>IF(AM$2&lt;=AnalysisPeriod,IF(SUM($C686:AM686)&gt;0,AL337+1,0),0)</f>
        <v>0</v>
      </c>
      <c r="AN337" s="208">
        <f>IF(AN$2&lt;=AnalysisPeriod,IF(SUM($C686:AN686)&gt;0,AM337+1,0),0)</f>
        <v>0</v>
      </c>
      <c r="AO337" s="208">
        <f>IF(AO$2&lt;=AnalysisPeriod,IF(SUM($C686:AO686)&gt;0,AN337+1,0),0)</f>
        <v>0</v>
      </c>
      <c r="AP337" s="208">
        <f>IF(AP$2&lt;=AnalysisPeriod,IF(SUM($C686:AP686)&gt;0,AO337+1,0),0)</f>
        <v>0</v>
      </c>
    </row>
    <row r="338" spans="1:42">
      <c r="A338" s="37">
        <f t="shared" si="153"/>
        <v>7</v>
      </c>
      <c r="C338" s="208">
        <f>IF(C$2&lt;=AnalysisPeriod,IF(SUM($C687:C687)&gt;0,B338+1,0),0)</f>
        <v>0</v>
      </c>
      <c r="D338" s="208">
        <f>IF(D$2&lt;=AnalysisPeriod,IF(SUM($C687:D687)&gt;0,C338+1,0),0)</f>
        <v>0</v>
      </c>
      <c r="E338" s="208">
        <f>IF(E$2&lt;=AnalysisPeriod,IF(SUM($C687:E687)&gt;0,D338+1,0),0)</f>
        <v>0</v>
      </c>
      <c r="F338" s="208">
        <f>IF(F$2&lt;=AnalysisPeriod,IF(SUM($C687:F687)&gt;0,E338+1,0),0)</f>
        <v>0</v>
      </c>
      <c r="G338" s="208">
        <f>IF(G$2&lt;=AnalysisPeriod,IF(SUM($C687:G687)&gt;0,F338+1,0),0)</f>
        <v>0</v>
      </c>
      <c r="H338" s="208">
        <f>IF(H$2&lt;=AnalysisPeriod,IF(SUM($C687:H687)&gt;0,G338+1,0),0)</f>
        <v>0</v>
      </c>
      <c r="I338" s="208">
        <f>IF(I$2&lt;=AnalysisPeriod,IF(SUM($C687:I687)&gt;0,H338+1,0),0)</f>
        <v>0</v>
      </c>
      <c r="J338" s="208">
        <f>IF(J$2&lt;=AnalysisPeriod,IF(SUM($C687:J687)&gt;0,I338+1,0),0)</f>
        <v>0</v>
      </c>
      <c r="K338" s="208">
        <f>IF(K$2&lt;=AnalysisPeriod,IF(SUM($C687:K687)&gt;0,J338+1,0),0)</f>
        <v>0</v>
      </c>
      <c r="L338" s="208">
        <f>IF(L$2&lt;=AnalysisPeriod,IF(SUM($C687:L687)&gt;0,K338+1,0),0)</f>
        <v>0</v>
      </c>
      <c r="M338" s="208">
        <f>IF(M$2&lt;=AnalysisPeriod,IF(SUM($C687:M687)&gt;0,L338+1,0),0)</f>
        <v>0</v>
      </c>
      <c r="N338" s="208">
        <f>IF(N$2&lt;=AnalysisPeriod,IF(SUM($C687:N687)&gt;0,M338+1,0),0)</f>
        <v>0</v>
      </c>
      <c r="O338" s="208">
        <f>IF(O$2&lt;=AnalysisPeriod,IF(SUM($C687:O687)&gt;0,N338+1,0),0)</f>
        <v>0</v>
      </c>
      <c r="P338" s="208">
        <f>IF(P$2&lt;=AnalysisPeriod,IF(SUM($C687:P687)&gt;0,O338+1,0),0)</f>
        <v>0</v>
      </c>
      <c r="Q338" s="208">
        <f>IF(Q$2&lt;=AnalysisPeriod,IF(SUM($C687:Q687)&gt;0,P338+1,0),0)</f>
        <v>0</v>
      </c>
      <c r="R338" s="208">
        <f>IF(R$2&lt;=AnalysisPeriod,IF(SUM($C687:R687)&gt;0,Q338+1,0),0)</f>
        <v>0</v>
      </c>
      <c r="S338" s="208">
        <f>IF(S$2&lt;=AnalysisPeriod,IF(SUM($C687:S687)&gt;0,R338+1,0),0)</f>
        <v>0</v>
      </c>
      <c r="T338" s="208">
        <f>IF(T$2&lt;=AnalysisPeriod,IF(SUM($C687:T687)&gt;0,S338+1,0),0)</f>
        <v>0</v>
      </c>
      <c r="U338" s="208">
        <f>IF(U$2&lt;=AnalysisPeriod,IF(SUM($C687:U687)&gt;0,T338+1,0),0)</f>
        <v>0</v>
      </c>
      <c r="V338" s="208">
        <f>IF(V$2&lt;=AnalysisPeriod,IF(SUM($C687:V687)&gt;0,U338+1,0),0)</f>
        <v>0</v>
      </c>
      <c r="W338" s="208">
        <f>IF(W$2&lt;=AnalysisPeriod,IF(SUM($C687:W687)&gt;0,V338+1,0),0)</f>
        <v>0</v>
      </c>
      <c r="X338" s="208">
        <f>IF(X$2&lt;=AnalysisPeriod,IF(SUM($C687:X687)&gt;0,W338+1,0),0)</f>
        <v>0</v>
      </c>
      <c r="Y338" s="208">
        <f>IF(Y$2&lt;=AnalysisPeriod,IF(SUM($C687:Y687)&gt;0,X338+1,0),0)</f>
        <v>0</v>
      </c>
      <c r="Z338" s="208">
        <f>IF(Z$2&lt;=AnalysisPeriod,IF(SUM($C687:Z687)&gt;0,Y338+1,0),0)</f>
        <v>0</v>
      </c>
      <c r="AA338" s="208">
        <f>IF(AA$2&lt;=AnalysisPeriod,IF(SUM($C687:AA687)&gt;0,Z338+1,0),0)</f>
        <v>0</v>
      </c>
      <c r="AB338" s="208">
        <f>IF(AB$2&lt;=AnalysisPeriod,IF(SUM($C687:AB687)&gt;0,AA338+1,0),0)</f>
        <v>0</v>
      </c>
      <c r="AC338" s="208">
        <f>IF(AC$2&lt;=AnalysisPeriod,IF(SUM($C687:AC687)&gt;0,AB338+1,0),0)</f>
        <v>0</v>
      </c>
      <c r="AD338" s="208">
        <f>IF(AD$2&lt;=AnalysisPeriod,IF(SUM($C687:AD687)&gt;0,AC338+1,0),0)</f>
        <v>0</v>
      </c>
      <c r="AE338" s="208">
        <f>IF(AE$2&lt;=AnalysisPeriod,IF(SUM($C687:AE687)&gt;0,AD338+1,0),0)</f>
        <v>0</v>
      </c>
      <c r="AF338" s="208">
        <f>IF(AF$2&lt;=AnalysisPeriod,IF(SUM($C687:AF687)&gt;0,AE338+1,0),0)</f>
        <v>0</v>
      </c>
      <c r="AG338" s="208">
        <f>IF(AG$2&lt;=AnalysisPeriod,IF(SUM($C687:AG687)&gt;0,AF338+1,0),0)</f>
        <v>0</v>
      </c>
      <c r="AH338" s="208">
        <f>IF(AH$2&lt;=AnalysisPeriod,IF(SUM($C687:AH687)&gt;0,AG338+1,0),0)</f>
        <v>0</v>
      </c>
      <c r="AI338" s="208">
        <f>IF(AI$2&lt;=AnalysisPeriod,IF(SUM($C687:AI687)&gt;0,AH338+1,0),0)</f>
        <v>0</v>
      </c>
      <c r="AJ338" s="208">
        <f>IF(AJ$2&lt;=AnalysisPeriod,IF(SUM($C687:AJ687)&gt;0,AI338+1,0),0)</f>
        <v>0</v>
      </c>
      <c r="AK338" s="208">
        <f>IF(AK$2&lt;=AnalysisPeriod,IF(SUM($C687:AK687)&gt;0,AJ338+1,0),0)</f>
        <v>0</v>
      </c>
      <c r="AL338" s="208">
        <f>IF(AL$2&lt;=AnalysisPeriod,IF(SUM($C687:AL687)&gt;0,AK338+1,0),0)</f>
        <v>0</v>
      </c>
      <c r="AM338" s="208">
        <f>IF(AM$2&lt;=AnalysisPeriod,IF(SUM($C687:AM687)&gt;0,AL338+1,0),0)</f>
        <v>0</v>
      </c>
      <c r="AN338" s="208">
        <f>IF(AN$2&lt;=AnalysisPeriod,IF(SUM($C687:AN687)&gt;0,AM338+1,0),0)</f>
        <v>0</v>
      </c>
      <c r="AO338" s="208">
        <f>IF(AO$2&lt;=AnalysisPeriod,IF(SUM($C687:AO687)&gt;0,AN338+1,0),0)</f>
        <v>0</v>
      </c>
      <c r="AP338" s="208">
        <f>IF(AP$2&lt;=AnalysisPeriod,IF(SUM($C687:AP687)&gt;0,AO338+1,0),0)</f>
        <v>0</v>
      </c>
    </row>
    <row r="339" spans="1:42">
      <c r="A339" s="37">
        <f t="shared" si="153"/>
        <v>8</v>
      </c>
      <c r="C339" s="208">
        <f>IF(C$2&lt;=AnalysisPeriod,IF(SUM($C688:C688)&gt;0,B339+1,0),0)</f>
        <v>0</v>
      </c>
      <c r="D339" s="208">
        <f>IF(D$2&lt;=AnalysisPeriod,IF(SUM($C688:D688)&gt;0,C339+1,0),0)</f>
        <v>0</v>
      </c>
      <c r="E339" s="208">
        <f>IF(E$2&lt;=AnalysisPeriod,IF(SUM($C688:E688)&gt;0,D339+1,0),0)</f>
        <v>0</v>
      </c>
      <c r="F339" s="208">
        <f>IF(F$2&lt;=AnalysisPeriod,IF(SUM($C688:F688)&gt;0,E339+1,0),0)</f>
        <v>0</v>
      </c>
      <c r="G339" s="208">
        <f>IF(G$2&lt;=AnalysisPeriod,IF(SUM($C688:G688)&gt;0,F339+1,0),0)</f>
        <v>0</v>
      </c>
      <c r="H339" s="208">
        <f>IF(H$2&lt;=AnalysisPeriod,IF(SUM($C688:H688)&gt;0,G339+1,0),0)</f>
        <v>0</v>
      </c>
      <c r="I339" s="208">
        <f>IF(I$2&lt;=AnalysisPeriod,IF(SUM($C688:I688)&gt;0,H339+1,0),0)</f>
        <v>0</v>
      </c>
      <c r="J339" s="208">
        <f>IF(J$2&lt;=AnalysisPeriod,IF(SUM($C688:J688)&gt;0,I339+1,0),0)</f>
        <v>0</v>
      </c>
      <c r="K339" s="208">
        <f>IF(K$2&lt;=AnalysisPeriod,IF(SUM($C688:K688)&gt;0,J339+1,0),0)</f>
        <v>0</v>
      </c>
      <c r="L339" s="208">
        <f>IF(L$2&lt;=AnalysisPeriod,IF(SUM($C688:L688)&gt;0,K339+1,0),0)</f>
        <v>0</v>
      </c>
      <c r="M339" s="208">
        <f>IF(M$2&lt;=AnalysisPeriod,IF(SUM($C688:M688)&gt;0,L339+1,0),0)</f>
        <v>0</v>
      </c>
      <c r="N339" s="208">
        <f>IF(N$2&lt;=AnalysisPeriod,IF(SUM($C688:N688)&gt;0,M339+1,0),0)</f>
        <v>0</v>
      </c>
      <c r="O339" s="208">
        <f>IF(O$2&lt;=AnalysisPeriod,IF(SUM($C688:O688)&gt;0,N339+1,0),0)</f>
        <v>0</v>
      </c>
      <c r="P339" s="208">
        <f>IF(P$2&lt;=AnalysisPeriod,IF(SUM($C688:P688)&gt;0,O339+1,0),0)</f>
        <v>0</v>
      </c>
      <c r="Q339" s="208">
        <f>IF(Q$2&lt;=AnalysisPeriod,IF(SUM($C688:Q688)&gt;0,P339+1,0),0)</f>
        <v>0</v>
      </c>
      <c r="R339" s="208">
        <f>IF(R$2&lt;=AnalysisPeriod,IF(SUM($C688:R688)&gt;0,Q339+1,0),0)</f>
        <v>0</v>
      </c>
      <c r="S339" s="208">
        <f>IF(S$2&lt;=AnalysisPeriod,IF(SUM($C688:S688)&gt;0,R339+1,0),0)</f>
        <v>0</v>
      </c>
      <c r="T339" s="208">
        <f>IF(T$2&lt;=AnalysisPeriod,IF(SUM($C688:T688)&gt;0,S339+1,0),0)</f>
        <v>0</v>
      </c>
      <c r="U339" s="208">
        <f>IF(U$2&lt;=AnalysisPeriod,IF(SUM($C688:U688)&gt;0,T339+1,0),0)</f>
        <v>0</v>
      </c>
      <c r="V339" s="208">
        <f>IF(V$2&lt;=AnalysisPeriod,IF(SUM($C688:V688)&gt;0,U339+1,0),0)</f>
        <v>0</v>
      </c>
      <c r="W339" s="208">
        <f>IF(W$2&lt;=AnalysisPeriod,IF(SUM($C688:W688)&gt;0,V339+1,0),0)</f>
        <v>0</v>
      </c>
      <c r="X339" s="208">
        <f>IF(X$2&lt;=AnalysisPeriod,IF(SUM($C688:X688)&gt;0,W339+1,0),0)</f>
        <v>0</v>
      </c>
      <c r="Y339" s="208">
        <f>IF(Y$2&lt;=AnalysisPeriod,IF(SUM($C688:Y688)&gt;0,X339+1,0),0)</f>
        <v>0</v>
      </c>
      <c r="Z339" s="208">
        <f>IF(Z$2&lt;=AnalysisPeriod,IF(SUM($C688:Z688)&gt;0,Y339+1,0),0)</f>
        <v>0</v>
      </c>
      <c r="AA339" s="208">
        <f>IF(AA$2&lt;=AnalysisPeriod,IF(SUM($C688:AA688)&gt;0,Z339+1,0),0)</f>
        <v>0</v>
      </c>
      <c r="AB339" s="208">
        <f>IF(AB$2&lt;=AnalysisPeriod,IF(SUM($C688:AB688)&gt;0,AA339+1,0),0)</f>
        <v>0</v>
      </c>
      <c r="AC339" s="208">
        <f>IF(AC$2&lt;=AnalysisPeriod,IF(SUM($C688:AC688)&gt;0,AB339+1,0),0)</f>
        <v>0</v>
      </c>
      <c r="AD339" s="208">
        <f>IF(AD$2&lt;=AnalysisPeriod,IF(SUM($C688:AD688)&gt;0,AC339+1,0),0)</f>
        <v>0</v>
      </c>
      <c r="AE339" s="208">
        <f>IF(AE$2&lt;=AnalysisPeriod,IF(SUM($C688:AE688)&gt;0,AD339+1,0),0)</f>
        <v>0</v>
      </c>
      <c r="AF339" s="208">
        <f>IF(AF$2&lt;=AnalysisPeriod,IF(SUM($C688:AF688)&gt;0,AE339+1,0),0)</f>
        <v>0</v>
      </c>
      <c r="AG339" s="208">
        <f>IF(AG$2&lt;=AnalysisPeriod,IF(SUM($C688:AG688)&gt;0,AF339+1,0),0)</f>
        <v>0</v>
      </c>
      <c r="AH339" s="208">
        <f>IF(AH$2&lt;=AnalysisPeriod,IF(SUM($C688:AH688)&gt;0,AG339+1,0),0)</f>
        <v>0</v>
      </c>
      <c r="AI339" s="208">
        <f>IF(AI$2&lt;=AnalysisPeriod,IF(SUM($C688:AI688)&gt;0,AH339+1,0),0)</f>
        <v>0</v>
      </c>
      <c r="AJ339" s="208">
        <f>IF(AJ$2&lt;=AnalysisPeriod,IF(SUM($C688:AJ688)&gt;0,AI339+1,0),0)</f>
        <v>0</v>
      </c>
      <c r="AK339" s="208">
        <f>IF(AK$2&lt;=AnalysisPeriod,IF(SUM($C688:AK688)&gt;0,AJ339+1,0),0)</f>
        <v>0</v>
      </c>
      <c r="AL339" s="208">
        <f>IF(AL$2&lt;=AnalysisPeriod,IF(SUM($C688:AL688)&gt;0,AK339+1,0),0)</f>
        <v>0</v>
      </c>
      <c r="AM339" s="208">
        <f>IF(AM$2&lt;=AnalysisPeriod,IF(SUM($C688:AM688)&gt;0,AL339+1,0),0)</f>
        <v>0</v>
      </c>
      <c r="AN339" s="208">
        <f>IF(AN$2&lt;=AnalysisPeriod,IF(SUM($C688:AN688)&gt;0,AM339+1,0),0)</f>
        <v>0</v>
      </c>
      <c r="AO339" s="208">
        <f>IF(AO$2&lt;=AnalysisPeriod,IF(SUM($C688:AO688)&gt;0,AN339+1,0),0)</f>
        <v>0</v>
      </c>
      <c r="AP339" s="208">
        <f>IF(AP$2&lt;=AnalysisPeriod,IF(SUM($C688:AP688)&gt;0,AO339+1,0),0)</f>
        <v>0</v>
      </c>
    </row>
    <row r="340" spans="1:42">
      <c r="A340" s="37">
        <f>A339+1</f>
        <v>9</v>
      </c>
      <c r="C340" s="208">
        <f>IF(C$2&lt;=AnalysisPeriod,IF(SUM($C689:C689)&gt;0,B340+1,0),0)</f>
        <v>0</v>
      </c>
      <c r="D340" s="208">
        <f>IF(D$2&lt;=AnalysisPeriod,IF(SUM($C689:D689)&gt;0,C340+1,0),0)</f>
        <v>0</v>
      </c>
      <c r="E340" s="208">
        <f>IF(E$2&lt;=AnalysisPeriod,IF(SUM($C689:E689)&gt;0,D340+1,0),0)</f>
        <v>0</v>
      </c>
      <c r="F340" s="208">
        <f>IF(F$2&lt;=AnalysisPeriod,IF(SUM($C689:F689)&gt;0,E340+1,0),0)</f>
        <v>0</v>
      </c>
      <c r="G340" s="208">
        <f>IF(G$2&lt;=AnalysisPeriod,IF(SUM($C689:G689)&gt;0,F340+1,0),0)</f>
        <v>0</v>
      </c>
      <c r="H340" s="208">
        <f>IF(H$2&lt;=AnalysisPeriod,IF(SUM($C689:H689)&gt;0,G340+1,0),0)</f>
        <v>0</v>
      </c>
      <c r="I340" s="208">
        <f>IF(I$2&lt;=AnalysisPeriod,IF(SUM($C689:I689)&gt;0,H340+1,0),0)</f>
        <v>0</v>
      </c>
      <c r="J340" s="208">
        <f>IF(J$2&lt;=AnalysisPeriod,IF(SUM($C689:J689)&gt;0,I340+1,0),0)</f>
        <v>0</v>
      </c>
      <c r="K340" s="208">
        <f>IF(K$2&lt;=AnalysisPeriod,IF(SUM($C689:K689)&gt;0,J340+1,0),0)</f>
        <v>0</v>
      </c>
      <c r="L340" s="208">
        <f>IF(L$2&lt;=AnalysisPeriod,IF(SUM($C689:L689)&gt;0,K340+1,0),0)</f>
        <v>0</v>
      </c>
      <c r="M340" s="208">
        <f>IF(M$2&lt;=AnalysisPeriod,IF(SUM($C689:M689)&gt;0,L340+1,0),0)</f>
        <v>0</v>
      </c>
      <c r="N340" s="208">
        <f>IF(N$2&lt;=AnalysisPeriod,IF(SUM($C689:N689)&gt;0,M340+1,0),0)</f>
        <v>0</v>
      </c>
      <c r="O340" s="208">
        <f>IF(O$2&lt;=AnalysisPeriod,IF(SUM($C689:O689)&gt;0,N340+1,0),0)</f>
        <v>0</v>
      </c>
      <c r="P340" s="208">
        <f>IF(P$2&lt;=AnalysisPeriod,IF(SUM($C689:P689)&gt;0,O340+1,0),0)</f>
        <v>0</v>
      </c>
      <c r="Q340" s="208">
        <f>IF(Q$2&lt;=AnalysisPeriod,IF(SUM($C689:Q689)&gt;0,P340+1,0),0)</f>
        <v>0</v>
      </c>
      <c r="R340" s="208">
        <f>IF(R$2&lt;=AnalysisPeriod,IF(SUM($C689:R689)&gt;0,Q340+1,0),0)</f>
        <v>0</v>
      </c>
      <c r="S340" s="208">
        <f>IF(S$2&lt;=AnalysisPeriod,IF(SUM($C689:S689)&gt;0,R340+1,0),0)</f>
        <v>0</v>
      </c>
      <c r="T340" s="208">
        <f>IF(T$2&lt;=AnalysisPeriod,IF(SUM($C689:T689)&gt;0,S340+1,0),0)</f>
        <v>0</v>
      </c>
      <c r="U340" s="208">
        <f>IF(U$2&lt;=AnalysisPeriod,IF(SUM($C689:U689)&gt;0,T340+1,0),0)</f>
        <v>0</v>
      </c>
      <c r="V340" s="208">
        <f>IF(V$2&lt;=AnalysisPeriod,IF(SUM($C689:V689)&gt;0,U340+1,0),0)</f>
        <v>0</v>
      </c>
      <c r="W340" s="208">
        <f>IF(W$2&lt;=AnalysisPeriod,IF(SUM($C689:W689)&gt;0,V340+1,0),0)</f>
        <v>0</v>
      </c>
      <c r="X340" s="208">
        <f>IF(X$2&lt;=AnalysisPeriod,IF(SUM($C689:X689)&gt;0,W340+1,0),0)</f>
        <v>0</v>
      </c>
      <c r="Y340" s="208">
        <f>IF(Y$2&lt;=AnalysisPeriod,IF(SUM($C689:Y689)&gt;0,X340+1,0),0)</f>
        <v>0</v>
      </c>
      <c r="Z340" s="208">
        <f>IF(Z$2&lt;=AnalysisPeriod,IF(SUM($C689:Z689)&gt;0,Y340+1,0),0)</f>
        <v>0</v>
      </c>
      <c r="AA340" s="208">
        <f>IF(AA$2&lt;=AnalysisPeriod,IF(SUM($C689:AA689)&gt;0,Z340+1,0),0)</f>
        <v>0</v>
      </c>
      <c r="AB340" s="208">
        <f>IF(AB$2&lt;=AnalysisPeriod,IF(SUM($C689:AB689)&gt;0,AA340+1,0),0)</f>
        <v>0</v>
      </c>
      <c r="AC340" s="208">
        <f>IF(AC$2&lt;=AnalysisPeriod,IF(SUM($C689:AC689)&gt;0,AB340+1,0),0)</f>
        <v>0</v>
      </c>
      <c r="AD340" s="208">
        <f>IF(AD$2&lt;=AnalysisPeriod,IF(SUM($C689:AD689)&gt;0,AC340+1,0),0)</f>
        <v>0</v>
      </c>
      <c r="AE340" s="208">
        <f>IF(AE$2&lt;=AnalysisPeriod,IF(SUM($C689:AE689)&gt;0,AD340+1,0),0)</f>
        <v>0</v>
      </c>
      <c r="AF340" s="208">
        <f>IF(AF$2&lt;=AnalysisPeriod,IF(SUM($C689:AF689)&gt;0,AE340+1,0),0)</f>
        <v>0</v>
      </c>
      <c r="AG340" s="208">
        <f>IF(AG$2&lt;=AnalysisPeriod,IF(SUM($C689:AG689)&gt;0,AF340+1,0),0)</f>
        <v>0</v>
      </c>
      <c r="AH340" s="208">
        <f>IF(AH$2&lt;=AnalysisPeriod,IF(SUM($C689:AH689)&gt;0,AG340+1,0),0)</f>
        <v>0</v>
      </c>
      <c r="AI340" s="208">
        <f>IF(AI$2&lt;=AnalysisPeriod,IF(SUM($C689:AI689)&gt;0,AH340+1,0),0)</f>
        <v>0</v>
      </c>
      <c r="AJ340" s="208">
        <f>IF(AJ$2&lt;=AnalysisPeriod,IF(SUM($C689:AJ689)&gt;0,AI340+1,0),0)</f>
        <v>0</v>
      </c>
      <c r="AK340" s="208">
        <f>IF(AK$2&lt;=AnalysisPeriod,IF(SUM($C689:AK689)&gt;0,AJ340+1,0),0)</f>
        <v>0</v>
      </c>
      <c r="AL340" s="208">
        <f>IF(AL$2&lt;=AnalysisPeriod,IF(SUM($C689:AL689)&gt;0,AK340+1,0),0)</f>
        <v>0</v>
      </c>
      <c r="AM340" s="208">
        <f>IF(AM$2&lt;=AnalysisPeriod,IF(SUM($C689:AM689)&gt;0,AL340+1,0),0)</f>
        <v>0</v>
      </c>
      <c r="AN340" s="208">
        <f>IF(AN$2&lt;=AnalysisPeriod,IF(SUM($C689:AN689)&gt;0,AM340+1,0),0)</f>
        <v>0</v>
      </c>
      <c r="AO340" s="208">
        <f>IF(AO$2&lt;=AnalysisPeriod,IF(SUM($C689:AO689)&gt;0,AN340+1,0),0)</f>
        <v>0</v>
      </c>
      <c r="AP340" s="208">
        <f>IF(AP$2&lt;=AnalysisPeriod,IF(SUM($C689:AP689)&gt;0,AO340+1,0),0)</f>
        <v>0</v>
      </c>
    </row>
    <row r="341" spans="1:42">
      <c r="A341" s="37">
        <f t="shared" si="153"/>
        <v>10</v>
      </c>
      <c r="C341" s="208">
        <f>IF(C$2&lt;=AnalysisPeriod,IF(SUM($C690:C690)&gt;0,B341+1,0),0)</f>
        <v>0</v>
      </c>
      <c r="D341" s="208">
        <f>IF(D$2&lt;=AnalysisPeriod,IF(SUM($C690:D690)&gt;0,C341+1,0),0)</f>
        <v>0</v>
      </c>
      <c r="E341" s="208">
        <f>IF(E$2&lt;=AnalysisPeriod,IF(SUM($C690:E690)&gt;0,D341+1,0),0)</f>
        <v>0</v>
      </c>
      <c r="F341" s="208">
        <f>IF(F$2&lt;=AnalysisPeriod,IF(SUM($C690:F690)&gt;0,E341+1,0),0)</f>
        <v>0</v>
      </c>
      <c r="G341" s="208">
        <f>IF(G$2&lt;=AnalysisPeriod,IF(SUM($C690:G690)&gt;0,F341+1,0),0)</f>
        <v>0</v>
      </c>
      <c r="H341" s="208">
        <f>IF(H$2&lt;=AnalysisPeriod,IF(SUM($C690:H690)&gt;0,G341+1,0),0)</f>
        <v>0</v>
      </c>
      <c r="I341" s="208">
        <f>IF(I$2&lt;=AnalysisPeriod,IF(SUM($C690:I690)&gt;0,H341+1,0),0)</f>
        <v>0</v>
      </c>
      <c r="J341" s="208">
        <f>IF(J$2&lt;=AnalysisPeriod,IF(SUM($C690:J690)&gt;0,I341+1,0),0)</f>
        <v>0</v>
      </c>
      <c r="K341" s="208">
        <f>IF(K$2&lt;=AnalysisPeriod,IF(SUM($C690:K690)&gt;0,J341+1,0),0)</f>
        <v>0</v>
      </c>
      <c r="L341" s="208">
        <f>IF(L$2&lt;=AnalysisPeriod,IF(SUM($C690:L690)&gt;0,K341+1,0),0)</f>
        <v>0</v>
      </c>
      <c r="M341" s="208">
        <f>IF(M$2&lt;=AnalysisPeriod,IF(SUM($C690:M690)&gt;0,L341+1,0),0)</f>
        <v>0</v>
      </c>
      <c r="N341" s="208">
        <f>IF(N$2&lt;=AnalysisPeriod,IF(SUM($C690:N690)&gt;0,M341+1,0),0)</f>
        <v>0</v>
      </c>
      <c r="O341" s="208">
        <f>IF(O$2&lt;=AnalysisPeriod,IF(SUM($C690:O690)&gt;0,N341+1,0),0)</f>
        <v>0</v>
      </c>
      <c r="P341" s="208">
        <f>IF(P$2&lt;=AnalysisPeriod,IF(SUM($C690:P690)&gt;0,O341+1,0),0)</f>
        <v>0</v>
      </c>
      <c r="Q341" s="208">
        <f>IF(Q$2&lt;=AnalysisPeriod,IF(SUM($C690:Q690)&gt;0,P341+1,0),0)</f>
        <v>0</v>
      </c>
      <c r="R341" s="208">
        <f>IF(R$2&lt;=AnalysisPeriod,IF(SUM($C690:R690)&gt;0,Q341+1,0),0)</f>
        <v>0</v>
      </c>
      <c r="S341" s="208">
        <f>IF(S$2&lt;=AnalysisPeriod,IF(SUM($C690:S690)&gt;0,R341+1,0),0)</f>
        <v>0</v>
      </c>
      <c r="T341" s="208">
        <f>IF(T$2&lt;=AnalysisPeriod,IF(SUM($C690:T690)&gt;0,S341+1,0),0)</f>
        <v>0</v>
      </c>
      <c r="U341" s="208">
        <f>IF(U$2&lt;=AnalysisPeriod,IF(SUM($C690:U690)&gt;0,T341+1,0),0)</f>
        <v>0</v>
      </c>
      <c r="V341" s="208">
        <f>IF(V$2&lt;=AnalysisPeriod,IF(SUM($C690:V690)&gt;0,U341+1,0),0)</f>
        <v>0</v>
      </c>
      <c r="W341" s="208">
        <f>IF(W$2&lt;=AnalysisPeriod,IF(SUM($C690:W690)&gt;0,V341+1,0),0)</f>
        <v>0</v>
      </c>
      <c r="X341" s="208">
        <f>IF(X$2&lt;=AnalysisPeriod,IF(SUM($C690:X690)&gt;0,W341+1,0),0)</f>
        <v>0</v>
      </c>
      <c r="Y341" s="208">
        <f>IF(Y$2&lt;=AnalysisPeriod,IF(SUM($C690:Y690)&gt;0,X341+1,0),0)</f>
        <v>0</v>
      </c>
      <c r="Z341" s="208">
        <f>IF(Z$2&lt;=AnalysisPeriod,IF(SUM($C690:Z690)&gt;0,Y341+1,0),0)</f>
        <v>0</v>
      </c>
      <c r="AA341" s="208">
        <f>IF(AA$2&lt;=AnalysisPeriod,IF(SUM($C690:AA690)&gt;0,Z341+1,0),0)</f>
        <v>0</v>
      </c>
      <c r="AB341" s="208">
        <f>IF(AB$2&lt;=AnalysisPeriod,IF(SUM($C690:AB690)&gt;0,AA341+1,0),0)</f>
        <v>0</v>
      </c>
      <c r="AC341" s="208">
        <f>IF(AC$2&lt;=AnalysisPeriod,IF(SUM($C690:AC690)&gt;0,AB341+1,0),0)</f>
        <v>0</v>
      </c>
      <c r="AD341" s="208">
        <f>IF(AD$2&lt;=AnalysisPeriod,IF(SUM($C690:AD690)&gt;0,AC341+1,0),0)</f>
        <v>0</v>
      </c>
      <c r="AE341" s="208">
        <f>IF(AE$2&lt;=AnalysisPeriod,IF(SUM($C690:AE690)&gt;0,AD341+1,0),0)</f>
        <v>0</v>
      </c>
      <c r="AF341" s="208">
        <f>IF(AF$2&lt;=AnalysisPeriod,IF(SUM($C690:AF690)&gt;0,AE341+1,0),0)</f>
        <v>0</v>
      </c>
      <c r="AG341" s="208">
        <f>IF(AG$2&lt;=AnalysisPeriod,IF(SUM($C690:AG690)&gt;0,AF341+1,0),0)</f>
        <v>0</v>
      </c>
      <c r="AH341" s="208">
        <f>IF(AH$2&lt;=AnalysisPeriod,IF(SUM($C690:AH690)&gt;0,AG341+1,0),0)</f>
        <v>0</v>
      </c>
      <c r="AI341" s="208">
        <f>IF(AI$2&lt;=AnalysisPeriod,IF(SUM($C690:AI690)&gt;0,AH341+1,0),0)</f>
        <v>0</v>
      </c>
      <c r="AJ341" s="208">
        <f>IF(AJ$2&lt;=AnalysisPeriod,IF(SUM($C690:AJ690)&gt;0,AI341+1,0),0)</f>
        <v>0</v>
      </c>
      <c r="AK341" s="208">
        <f>IF(AK$2&lt;=AnalysisPeriod,IF(SUM($C690:AK690)&gt;0,AJ341+1,0),0)</f>
        <v>0</v>
      </c>
      <c r="AL341" s="208">
        <f>IF(AL$2&lt;=AnalysisPeriod,IF(SUM($C690:AL690)&gt;0,AK341+1,0),0)</f>
        <v>0</v>
      </c>
      <c r="AM341" s="208">
        <f>IF(AM$2&lt;=AnalysisPeriod,IF(SUM($C690:AM690)&gt;0,AL341+1,0),0)</f>
        <v>0</v>
      </c>
      <c r="AN341" s="208">
        <f>IF(AN$2&lt;=AnalysisPeriod,IF(SUM($C690:AN690)&gt;0,AM341+1,0),0)</f>
        <v>0</v>
      </c>
      <c r="AO341" s="208">
        <f>IF(AO$2&lt;=AnalysisPeriod,IF(SUM($C690:AO690)&gt;0,AN341+1,0),0)</f>
        <v>0</v>
      </c>
      <c r="AP341" s="208">
        <f>IF(AP$2&lt;=AnalysisPeriod,IF(SUM($C690:AP690)&gt;0,AO341+1,0),0)</f>
        <v>0</v>
      </c>
    </row>
    <row r="342" spans="1:42">
      <c r="A342" s="226" t="s">
        <v>221</v>
      </c>
      <c r="C342" s="208"/>
      <c r="D342" s="208"/>
      <c r="E342" s="208"/>
      <c r="F342" s="208"/>
      <c r="G342" s="208"/>
      <c r="H342" s="208"/>
      <c r="I342" s="208"/>
      <c r="J342" s="208"/>
      <c r="K342" s="208"/>
      <c r="L342" s="208"/>
      <c r="M342" s="208"/>
      <c r="N342" s="208"/>
      <c r="O342" s="208"/>
      <c r="P342" s="208"/>
      <c r="Q342" s="208"/>
      <c r="R342" s="208"/>
      <c r="S342" s="208"/>
      <c r="T342" s="208"/>
      <c r="U342" s="208"/>
      <c r="V342" s="208"/>
      <c r="W342" s="208"/>
      <c r="X342" s="208"/>
      <c r="Y342" s="208"/>
      <c r="Z342" s="208"/>
      <c r="AA342" s="208"/>
      <c r="AB342" s="208"/>
      <c r="AC342" s="208"/>
      <c r="AD342" s="208"/>
      <c r="AE342" s="208"/>
      <c r="AF342" s="208"/>
      <c r="AG342" s="208"/>
      <c r="AH342" s="208"/>
      <c r="AI342" s="208"/>
      <c r="AJ342" s="208"/>
      <c r="AK342" s="208"/>
      <c r="AL342" s="208"/>
      <c r="AM342" s="208"/>
      <c r="AN342" s="208"/>
      <c r="AO342" s="208"/>
      <c r="AP342" s="208"/>
    </row>
    <row r="343" spans="1:42">
      <c r="A343" s="37">
        <v>1</v>
      </c>
      <c r="B343" s="218">
        <f t="shared" ref="B343:B352" si="154">SUM(C343:AP343)</f>
        <v>2944872.3435013141</v>
      </c>
      <c r="C343" s="208">
        <f t="shared" ref="C343:AP343" si="155">LOOKUP(C332,$B$327:$AP$327,$B$328:$AP$328)*$B681</f>
        <v>0</v>
      </c>
      <c r="D343" s="208">
        <f t="shared" si="155"/>
        <v>0</v>
      </c>
      <c r="E343" s="208">
        <f t="shared" si="155"/>
        <v>0</v>
      </c>
      <c r="F343" s="208">
        <f t="shared" si="155"/>
        <v>0</v>
      </c>
      <c r="G343" s="208">
        <f t="shared" si="155"/>
        <v>0</v>
      </c>
      <c r="H343" s="208">
        <f t="shared" si="155"/>
        <v>0</v>
      </c>
      <c r="I343" s="208">
        <f t="shared" si="155"/>
        <v>0</v>
      </c>
      <c r="J343" s="208">
        <f t="shared" si="155"/>
        <v>0</v>
      </c>
      <c r="K343" s="208">
        <f t="shared" si="155"/>
        <v>0</v>
      </c>
      <c r="L343" s="208">
        <f t="shared" si="155"/>
        <v>0</v>
      </c>
      <c r="M343" s="208">
        <f t="shared" si="155"/>
        <v>0</v>
      </c>
      <c r="N343" s="208">
        <f t="shared" si="155"/>
        <v>588974.46870026283</v>
      </c>
      <c r="O343" s="208">
        <f t="shared" si="155"/>
        <v>942359.14992042049</v>
      </c>
      <c r="P343" s="208">
        <f t="shared" si="155"/>
        <v>565415.48995225236</v>
      </c>
      <c r="Q343" s="208">
        <f t="shared" si="155"/>
        <v>339249.29397135135</v>
      </c>
      <c r="R343" s="208">
        <f t="shared" si="155"/>
        <v>339249.29397135135</v>
      </c>
      <c r="S343" s="208">
        <f t="shared" si="155"/>
        <v>169624.64698567567</v>
      </c>
      <c r="T343" s="208">
        <f t="shared" si="155"/>
        <v>0</v>
      </c>
      <c r="U343" s="208">
        <f t="shared" si="155"/>
        <v>0</v>
      </c>
      <c r="V343" s="208">
        <f t="shared" si="155"/>
        <v>0</v>
      </c>
      <c r="W343" s="208">
        <f t="shared" si="155"/>
        <v>0</v>
      </c>
      <c r="X343" s="208">
        <f t="shared" si="155"/>
        <v>0</v>
      </c>
      <c r="Y343" s="208">
        <f t="shared" si="155"/>
        <v>0</v>
      </c>
      <c r="Z343" s="208">
        <f t="shared" si="155"/>
        <v>0</v>
      </c>
      <c r="AA343" s="208">
        <f t="shared" si="155"/>
        <v>0</v>
      </c>
      <c r="AB343" s="208">
        <f t="shared" si="155"/>
        <v>0</v>
      </c>
      <c r="AC343" s="208">
        <f t="shared" si="155"/>
        <v>0</v>
      </c>
      <c r="AD343" s="208">
        <f t="shared" si="155"/>
        <v>0</v>
      </c>
      <c r="AE343" s="208">
        <f t="shared" si="155"/>
        <v>0</v>
      </c>
      <c r="AF343" s="208">
        <f t="shared" si="155"/>
        <v>0</v>
      </c>
      <c r="AG343" s="208">
        <f t="shared" si="155"/>
        <v>0</v>
      </c>
      <c r="AH343" s="208">
        <f t="shared" si="155"/>
        <v>0</v>
      </c>
      <c r="AI343" s="208">
        <f t="shared" si="155"/>
        <v>0</v>
      </c>
      <c r="AJ343" s="208">
        <f t="shared" si="155"/>
        <v>0</v>
      </c>
      <c r="AK343" s="208">
        <f t="shared" si="155"/>
        <v>0</v>
      </c>
      <c r="AL343" s="208">
        <f t="shared" si="155"/>
        <v>0</v>
      </c>
      <c r="AM343" s="208">
        <f t="shared" si="155"/>
        <v>0</v>
      </c>
      <c r="AN343" s="208">
        <f t="shared" si="155"/>
        <v>0</v>
      </c>
      <c r="AO343" s="208">
        <f t="shared" si="155"/>
        <v>0</v>
      </c>
      <c r="AP343" s="208">
        <f t="shared" si="155"/>
        <v>0</v>
      </c>
    </row>
    <row r="344" spans="1:42">
      <c r="A344" s="37">
        <f>A343+1</f>
        <v>2</v>
      </c>
      <c r="B344" s="218">
        <f t="shared" si="154"/>
        <v>3520942.886524681</v>
      </c>
      <c r="C344" s="208">
        <f t="shared" ref="C344:AP344" si="156">LOOKUP(C333,$B$327:$AP$327,$B$328:$AP$328)*$B682</f>
        <v>0</v>
      </c>
      <c r="D344" s="208">
        <f t="shared" si="156"/>
        <v>0</v>
      </c>
      <c r="E344" s="208">
        <f t="shared" si="156"/>
        <v>0</v>
      </c>
      <c r="F344" s="208">
        <f t="shared" si="156"/>
        <v>0</v>
      </c>
      <c r="G344" s="208">
        <f t="shared" si="156"/>
        <v>0</v>
      </c>
      <c r="H344" s="208">
        <f t="shared" si="156"/>
        <v>0</v>
      </c>
      <c r="I344" s="208">
        <f t="shared" si="156"/>
        <v>0</v>
      </c>
      <c r="J344" s="208">
        <f t="shared" si="156"/>
        <v>0</v>
      </c>
      <c r="K344" s="208">
        <f t="shared" si="156"/>
        <v>0</v>
      </c>
      <c r="L344" s="208">
        <f t="shared" si="156"/>
        <v>0</v>
      </c>
      <c r="M344" s="208">
        <f t="shared" si="156"/>
        <v>0</v>
      </c>
      <c r="N344" s="208">
        <f t="shared" si="156"/>
        <v>0</v>
      </c>
      <c r="O344" s="208">
        <f t="shared" si="156"/>
        <v>0</v>
      </c>
      <c r="P344" s="208">
        <f t="shared" si="156"/>
        <v>0</v>
      </c>
      <c r="Q344" s="208">
        <f t="shared" si="156"/>
        <v>0</v>
      </c>
      <c r="R344" s="208">
        <f t="shared" si="156"/>
        <v>0</v>
      </c>
      <c r="S344" s="208">
        <f t="shared" si="156"/>
        <v>0</v>
      </c>
      <c r="T344" s="208">
        <f t="shared" si="156"/>
        <v>0</v>
      </c>
      <c r="U344" s="208">
        <f t="shared" si="156"/>
        <v>0</v>
      </c>
      <c r="V344" s="208">
        <f t="shared" si="156"/>
        <v>0</v>
      </c>
      <c r="W344" s="208">
        <f t="shared" si="156"/>
        <v>0</v>
      </c>
      <c r="X344" s="208">
        <f t="shared" si="156"/>
        <v>0</v>
      </c>
      <c r="Y344" s="208">
        <f t="shared" si="156"/>
        <v>0</v>
      </c>
      <c r="Z344" s="208">
        <f t="shared" si="156"/>
        <v>704188.57730493625</v>
      </c>
      <c r="AA344" s="208">
        <f t="shared" si="156"/>
        <v>1126701.7236878979</v>
      </c>
      <c r="AB344" s="208">
        <f t="shared" si="156"/>
        <v>676021.03421273874</v>
      </c>
      <c r="AC344" s="208">
        <f t="shared" si="156"/>
        <v>405612.62052764324</v>
      </c>
      <c r="AD344" s="208">
        <f t="shared" si="156"/>
        <v>405612.62052764324</v>
      </c>
      <c r="AE344" s="208">
        <f t="shared" si="156"/>
        <v>202806.31026382162</v>
      </c>
      <c r="AF344" s="208">
        <f t="shared" si="156"/>
        <v>0</v>
      </c>
      <c r="AG344" s="208">
        <f t="shared" si="156"/>
        <v>0</v>
      </c>
      <c r="AH344" s="208">
        <f t="shared" si="156"/>
        <v>0</v>
      </c>
      <c r="AI344" s="208">
        <f t="shared" si="156"/>
        <v>0</v>
      </c>
      <c r="AJ344" s="208">
        <f t="shared" si="156"/>
        <v>0</v>
      </c>
      <c r="AK344" s="208">
        <f t="shared" si="156"/>
        <v>0</v>
      </c>
      <c r="AL344" s="208">
        <f t="shared" si="156"/>
        <v>0</v>
      </c>
      <c r="AM344" s="208">
        <f t="shared" si="156"/>
        <v>0</v>
      </c>
      <c r="AN344" s="208">
        <f t="shared" si="156"/>
        <v>0</v>
      </c>
      <c r="AO344" s="208">
        <f t="shared" si="156"/>
        <v>0</v>
      </c>
      <c r="AP344" s="208">
        <f t="shared" si="156"/>
        <v>0</v>
      </c>
    </row>
    <row r="345" spans="1:42">
      <c r="A345" s="37">
        <f t="shared" ref="A345:A352" si="157">A344+1</f>
        <v>3</v>
      </c>
      <c r="B345" s="218">
        <f t="shared" si="154"/>
        <v>0</v>
      </c>
      <c r="C345" s="208">
        <f t="shared" ref="C345:AP345" si="158">LOOKUP(C334,$B$327:$AP$327,$B$328:$AP$328)*$B683</f>
        <v>0</v>
      </c>
      <c r="D345" s="208">
        <f t="shared" si="158"/>
        <v>0</v>
      </c>
      <c r="E345" s="208">
        <f t="shared" si="158"/>
        <v>0</v>
      </c>
      <c r="F345" s="208">
        <f t="shared" si="158"/>
        <v>0</v>
      </c>
      <c r="G345" s="208">
        <f t="shared" si="158"/>
        <v>0</v>
      </c>
      <c r="H345" s="208">
        <f t="shared" si="158"/>
        <v>0</v>
      </c>
      <c r="I345" s="208">
        <f t="shared" si="158"/>
        <v>0</v>
      </c>
      <c r="J345" s="208">
        <f t="shared" si="158"/>
        <v>0</v>
      </c>
      <c r="K345" s="208">
        <f t="shared" si="158"/>
        <v>0</v>
      </c>
      <c r="L345" s="208">
        <f t="shared" si="158"/>
        <v>0</v>
      </c>
      <c r="M345" s="208">
        <f t="shared" si="158"/>
        <v>0</v>
      </c>
      <c r="N345" s="208">
        <f t="shared" si="158"/>
        <v>0</v>
      </c>
      <c r="O345" s="208">
        <f t="shared" si="158"/>
        <v>0</v>
      </c>
      <c r="P345" s="208">
        <f t="shared" si="158"/>
        <v>0</v>
      </c>
      <c r="Q345" s="208">
        <f t="shared" si="158"/>
        <v>0</v>
      </c>
      <c r="R345" s="208">
        <f t="shared" si="158"/>
        <v>0</v>
      </c>
      <c r="S345" s="208">
        <f t="shared" si="158"/>
        <v>0</v>
      </c>
      <c r="T345" s="208">
        <f t="shared" si="158"/>
        <v>0</v>
      </c>
      <c r="U345" s="208">
        <f t="shared" si="158"/>
        <v>0</v>
      </c>
      <c r="V345" s="208">
        <f t="shared" si="158"/>
        <v>0</v>
      </c>
      <c r="W345" s="208">
        <f t="shared" si="158"/>
        <v>0</v>
      </c>
      <c r="X345" s="208">
        <f t="shared" si="158"/>
        <v>0</v>
      </c>
      <c r="Y345" s="208">
        <f t="shared" si="158"/>
        <v>0</v>
      </c>
      <c r="Z345" s="208">
        <f t="shared" si="158"/>
        <v>0</v>
      </c>
      <c r="AA345" s="208">
        <f t="shared" si="158"/>
        <v>0</v>
      </c>
      <c r="AB345" s="208">
        <f t="shared" si="158"/>
        <v>0</v>
      </c>
      <c r="AC345" s="208">
        <f t="shared" si="158"/>
        <v>0</v>
      </c>
      <c r="AD345" s="208">
        <f t="shared" si="158"/>
        <v>0</v>
      </c>
      <c r="AE345" s="208">
        <f t="shared" si="158"/>
        <v>0</v>
      </c>
      <c r="AF345" s="208">
        <f t="shared" si="158"/>
        <v>0</v>
      </c>
      <c r="AG345" s="208">
        <f t="shared" si="158"/>
        <v>0</v>
      </c>
      <c r="AH345" s="208">
        <f t="shared" si="158"/>
        <v>0</v>
      </c>
      <c r="AI345" s="208">
        <f t="shared" si="158"/>
        <v>0</v>
      </c>
      <c r="AJ345" s="208">
        <f t="shared" si="158"/>
        <v>0</v>
      </c>
      <c r="AK345" s="208">
        <f t="shared" si="158"/>
        <v>0</v>
      </c>
      <c r="AL345" s="208">
        <f t="shared" si="158"/>
        <v>0</v>
      </c>
      <c r="AM345" s="208">
        <f t="shared" si="158"/>
        <v>0</v>
      </c>
      <c r="AN345" s="208">
        <f t="shared" si="158"/>
        <v>0</v>
      </c>
      <c r="AO345" s="208">
        <f t="shared" si="158"/>
        <v>0</v>
      </c>
      <c r="AP345" s="208">
        <f t="shared" si="158"/>
        <v>0</v>
      </c>
    </row>
    <row r="346" spans="1:42">
      <c r="A346" s="37">
        <f t="shared" si="157"/>
        <v>4</v>
      </c>
      <c r="B346" s="218">
        <f t="shared" si="154"/>
        <v>0</v>
      </c>
      <c r="C346" s="208">
        <f t="shared" ref="C346:AP346" si="159">LOOKUP(C335,$B$327:$AP$327,$B$328:$AP$328)*$B684</f>
        <v>0</v>
      </c>
      <c r="D346" s="208">
        <f t="shared" si="159"/>
        <v>0</v>
      </c>
      <c r="E346" s="208">
        <f t="shared" si="159"/>
        <v>0</v>
      </c>
      <c r="F346" s="208">
        <f t="shared" si="159"/>
        <v>0</v>
      </c>
      <c r="G346" s="208">
        <f t="shared" si="159"/>
        <v>0</v>
      </c>
      <c r="H346" s="208">
        <f t="shared" si="159"/>
        <v>0</v>
      </c>
      <c r="I346" s="208">
        <f t="shared" si="159"/>
        <v>0</v>
      </c>
      <c r="J346" s="208">
        <f t="shared" si="159"/>
        <v>0</v>
      </c>
      <c r="K346" s="208">
        <f t="shared" si="159"/>
        <v>0</v>
      </c>
      <c r="L346" s="208">
        <f t="shared" si="159"/>
        <v>0</v>
      </c>
      <c r="M346" s="208">
        <f t="shared" si="159"/>
        <v>0</v>
      </c>
      <c r="N346" s="208">
        <f t="shared" si="159"/>
        <v>0</v>
      </c>
      <c r="O346" s="208">
        <f t="shared" si="159"/>
        <v>0</v>
      </c>
      <c r="P346" s="208">
        <f t="shared" si="159"/>
        <v>0</v>
      </c>
      <c r="Q346" s="208">
        <f t="shared" si="159"/>
        <v>0</v>
      </c>
      <c r="R346" s="208">
        <f t="shared" si="159"/>
        <v>0</v>
      </c>
      <c r="S346" s="208">
        <f t="shared" si="159"/>
        <v>0</v>
      </c>
      <c r="T346" s="208">
        <f t="shared" si="159"/>
        <v>0</v>
      </c>
      <c r="U346" s="208">
        <f t="shared" si="159"/>
        <v>0</v>
      </c>
      <c r="V346" s="208">
        <f t="shared" si="159"/>
        <v>0</v>
      </c>
      <c r="W346" s="208">
        <f t="shared" si="159"/>
        <v>0</v>
      </c>
      <c r="X346" s="208">
        <f t="shared" si="159"/>
        <v>0</v>
      </c>
      <c r="Y346" s="208">
        <f t="shared" si="159"/>
        <v>0</v>
      </c>
      <c r="Z346" s="208">
        <f t="shared" si="159"/>
        <v>0</v>
      </c>
      <c r="AA346" s="208">
        <f t="shared" si="159"/>
        <v>0</v>
      </c>
      <c r="AB346" s="208">
        <f t="shared" si="159"/>
        <v>0</v>
      </c>
      <c r="AC346" s="208">
        <f t="shared" si="159"/>
        <v>0</v>
      </c>
      <c r="AD346" s="208">
        <f t="shared" si="159"/>
        <v>0</v>
      </c>
      <c r="AE346" s="208">
        <f t="shared" si="159"/>
        <v>0</v>
      </c>
      <c r="AF346" s="208">
        <f t="shared" si="159"/>
        <v>0</v>
      </c>
      <c r="AG346" s="208">
        <f t="shared" si="159"/>
        <v>0</v>
      </c>
      <c r="AH346" s="208">
        <f t="shared" si="159"/>
        <v>0</v>
      </c>
      <c r="AI346" s="208">
        <f t="shared" si="159"/>
        <v>0</v>
      </c>
      <c r="AJ346" s="208">
        <f t="shared" si="159"/>
        <v>0</v>
      </c>
      <c r="AK346" s="208">
        <f t="shared" si="159"/>
        <v>0</v>
      </c>
      <c r="AL346" s="208">
        <f t="shared" si="159"/>
        <v>0</v>
      </c>
      <c r="AM346" s="208">
        <f t="shared" si="159"/>
        <v>0</v>
      </c>
      <c r="AN346" s="208">
        <f t="shared" si="159"/>
        <v>0</v>
      </c>
      <c r="AO346" s="208">
        <f t="shared" si="159"/>
        <v>0</v>
      </c>
      <c r="AP346" s="208">
        <f t="shared" si="159"/>
        <v>0</v>
      </c>
    </row>
    <row r="347" spans="1:42">
      <c r="A347" s="37">
        <f t="shared" si="157"/>
        <v>5</v>
      </c>
      <c r="B347" s="218">
        <f t="shared" si="154"/>
        <v>0</v>
      </c>
      <c r="C347" s="208">
        <f t="shared" ref="C347:AP347" si="160">LOOKUP(C336,$B$327:$AP$327,$B$328:$AP$328)*$B685</f>
        <v>0</v>
      </c>
      <c r="D347" s="208">
        <f t="shared" si="160"/>
        <v>0</v>
      </c>
      <c r="E347" s="208">
        <f t="shared" si="160"/>
        <v>0</v>
      </c>
      <c r="F347" s="208">
        <f t="shared" si="160"/>
        <v>0</v>
      </c>
      <c r="G347" s="208">
        <f t="shared" si="160"/>
        <v>0</v>
      </c>
      <c r="H347" s="208">
        <f t="shared" si="160"/>
        <v>0</v>
      </c>
      <c r="I347" s="208">
        <f t="shared" si="160"/>
        <v>0</v>
      </c>
      <c r="J347" s="208">
        <f t="shared" si="160"/>
        <v>0</v>
      </c>
      <c r="K347" s="208">
        <f t="shared" si="160"/>
        <v>0</v>
      </c>
      <c r="L347" s="208">
        <f t="shared" si="160"/>
        <v>0</v>
      </c>
      <c r="M347" s="208">
        <f t="shared" si="160"/>
        <v>0</v>
      </c>
      <c r="N347" s="208">
        <f t="shared" si="160"/>
        <v>0</v>
      </c>
      <c r="O347" s="208">
        <f t="shared" si="160"/>
        <v>0</v>
      </c>
      <c r="P347" s="208">
        <f t="shared" si="160"/>
        <v>0</v>
      </c>
      <c r="Q347" s="208">
        <f t="shared" si="160"/>
        <v>0</v>
      </c>
      <c r="R347" s="208">
        <f t="shared" si="160"/>
        <v>0</v>
      </c>
      <c r="S347" s="208">
        <f t="shared" si="160"/>
        <v>0</v>
      </c>
      <c r="T347" s="208">
        <f t="shared" si="160"/>
        <v>0</v>
      </c>
      <c r="U347" s="208">
        <f t="shared" si="160"/>
        <v>0</v>
      </c>
      <c r="V347" s="208">
        <f t="shared" si="160"/>
        <v>0</v>
      </c>
      <c r="W347" s="208">
        <f t="shared" si="160"/>
        <v>0</v>
      </c>
      <c r="X347" s="208">
        <f t="shared" si="160"/>
        <v>0</v>
      </c>
      <c r="Y347" s="208">
        <f t="shared" si="160"/>
        <v>0</v>
      </c>
      <c r="Z347" s="208">
        <f t="shared" si="160"/>
        <v>0</v>
      </c>
      <c r="AA347" s="208">
        <f t="shared" si="160"/>
        <v>0</v>
      </c>
      <c r="AB347" s="208">
        <f t="shared" si="160"/>
        <v>0</v>
      </c>
      <c r="AC347" s="208">
        <f t="shared" si="160"/>
        <v>0</v>
      </c>
      <c r="AD347" s="208">
        <f t="shared" si="160"/>
        <v>0</v>
      </c>
      <c r="AE347" s="208">
        <f t="shared" si="160"/>
        <v>0</v>
      </c>
      <c r="AF347" s="208">
        <f t="shared" si="160"/>
        <v>0</v>
      </c>
      <c r="AG347" s="208">
        <f t="shared" si="160"/>
        <v>0</v>
      </c>
      <c r="AH347" s="208">
        <f t="shared" si="160"/>
        <v>0</v>
      </c>
      <c r="AI347" s="208">
        <f t="shared" si="160"/>
        <v>0</v>
      </c>
      <c r="AJ347" s="208">
        <f t="shared" si="160"/>
        <v>0</v>
      </c>
      <c r="AK347" s="208">
        <f t="shared" si="160"/>
        <v>0</v>
      </c>
      <c r="AL347" s="208">
        <f t="shared" si="160"/>
        <v>0</v>
      </c>
      <c r="AM347" s="208">
        <f t="shared" si="160"/>
        <v>0</v>
      </c>
      <c r="AN347" s="208">
        <f t="shared" si="160"/>
        <v>0</v>
      </c>
      <c r="AO347" s="208">
        <f t="shared" si="160"/>
        <v>0</v>
      </c>
      <c r="AP347" s="208">
        <f t="shared" si="160"/>
        <v>0</v>
      </c>
    </row>
    <row r="348" spans="1:42">
      <c r="A348" s="119">
        <f t="shared" si="157"/>
        <v>6</v>
      </c>
      <c r="B348" s="218">
        <f t="shared" si="154"/>
        <v>0</v>
      </c>
      <c r="C348" s="208">
        <f t="shared" ref="C348:AP348" si="161">LOOKUP(C337,$B$327:$AP$327,$B$328:$AP$328)*$B686</f>
        <v>0</v>
      </c>
      <c r="D348" s="208">
        <f t="shared" si="161"/>
        <v>0</v>
      </c>
      <c r="E348" s="208">
        <f t="shared" si="161"/>
        <v>0</v>
      </c>
      <c r="F348" s="208">
        <f t="shared" si="161"/>
        <v>0</v>
      </c>
      <c r="G348" s="208">
        <f t="shared" si="161"/>
        <v>0</v>
      </c>
      <c r="H348" s="208">
        <f t="shared" si="161"/>
        <v>0</v>
      </c>
      <c r="I348" s="208">
        <f t="shared" si="161"/>
        <v>0</v>
      </c>
      <c r="J348" s="208">
        <f t="shared" si="161"/>
        <v>0</v>
      </c>
      <c r="K348" s="208">
        <f t="shared" si="161"/>
        <v>0</v>
      </c>
      <c r="L348" s="208">
        <f t="shared" si="161"/>
        <v>0</v>
      </c>
      <c r="M348" s="208">
        <f t="shared" si="161"/>
        <v>0</v>
      </c>
      <c r="N348" s="208">
        <f t="shared" si="161"/>
        <v>0</v>
      </c>
      <c r="O348" s="208">
        <f t="shared" si="161"/>
        <v>0</v>
      </c>
      <c r="P348" s="208">
        <f t="shared" si="161"/>
        <v>0</v>
      </c>
      <c r="Q348" s="208">
        <f t="shared" si="161"/>
        <v>0</v>
      </c>
      <c r="R348" s="208">
        <f t="shared" si="161"/>
        <v>0</v>
      </c>
      <c r="S348" s="208">
        <f t="shared" si="161"/>
        <v>0</v>
      </c>
      <c r="T348" s="208">
        <f t="shared" si="161"/>
        <v>0</v>
      </c>
      <c r="U348" s="208">
        <f t="shared" si="161"/>
        <v>0</v>
      </c>
      <c r="V348" s="208">
        <f t="shared" si="161"/>
        <v>0</v>
      </c>
      <c r="W348" s="208">
        <f t="shared" si="161"/>
        <v>0</v>
      </c>
      <c r="X348" s="208">
        <f t="shared" si="161"/>
        <v>0</v>
      </c>
      <c r="Y348" s="208">
        <f t="shared" si="161"/>
        <v>0</v>
      </c>
      <c r="Z348" s="208">
        <f t="shared" si="161"/>
        <v>0</v>
      </c>
      <c r="AA348" s="208">
        <f t="shared" si="161"/>
        <v>0</v>
      </c>
      <c r="AB348" s="208">
        <f t="shared" si="161"/>
        <v>0</v>
      </c>
      <c r="AC348" s="208">
        <f t="shared" si="161"/>
        <v>0</v>
      </c>
      <c r="AD348" s="208">
        <f t="shared" si="161"/>
        <v>0</v>
      </c>
      <c r="AE348" s="208">
        <f t="shared" si="161"/>
        <v>0</v>
      </c>
      <c r="AF348" s="208">
        <f t="shared" si="161"/>
        <v>0</v>
      </c>
      <c r="AG348" s="208">
        <f t="shared" si="161"/>
        <v>0</v>
      </c>
      <c r="AH348" s="208">
        <f t="shared" si="161"/>
        <v>0</v>
      </c>
      <c r="AI348" s="208">
        <f t="shared" si="161"/>
        <v>0</v>
      </c>
      <c r="AJ348" s="208">
        <f t="shared" si="161"/>
        <v>0</v>
      </c>
      <c r="AK348" s="208">
        <f t="shared" si="161"/>
        <v>0</v>
      </c>
      <c r="AL348" s="208">
        <f t="shared" si="161"/>
        <v>0</v>
      </c>
      <c r="AM348" s="208">
        <f t="shared" si="161"/>
        <v>0</v>
      </c>
      <c r="AN348" s="208">
        <f t="shared" si="161"/>
        <v>0</v>
      </c>
      <c r="AO348" s="208">
        <f t="shared" si="161"/>
        <v>0</v>
      </c>
      <c r="AP348" s="208">
        <f t="shared" si="161"/>
        <v>0</v>
      </c>
    </row>
    <row r="349" spans="1:42">
      <c r="A349" s="119">
        <f t="shared" si="157"/>
        <v>7</v>
      </c>
      <c r="B349" s="218">
        <f t="shared" si="154"/>
        <v>0</v>
      </c>
      <c r="C349" s="208">
        <f t="shared" ref="C349:AP349" si="162">LOOKUP(C338,$B$327:$AP$327,$B$328:$AP$328)*$B687</f>
        <v>0</v>
      </c>
      <c r="D349" s="208">
        <f t="shared" si="162"/>
        <v>0</v>
      </c>
      <c r="E349" s="208">
        <f t="shared" si="162"/>
        <v>0</v>
      </c>
      <c r="F349" s="208">
        <f t="shared" si="162"/>
        <v>0</v>
      </c>
      <c r="G349" s="208">
        <f t="shared" si="162"/>
        <v>0</v>
      </c>
      <c r="H349" s="208">
        <f t="shared" si="162"/>
        <v>0</v>
      </c>
      <c r="I349" s="208">
        <f t="shared" si="162"/>
        <v>0</v>
      </c>
      <c r="J349" s="208">
        <f t="shared" si="162"/>
        <v>0</v>
      </c>
      <c r="K349" s="208">
        <f t="shared" si="162"/>
        <v>0</v>
      </c>
      <c r="L349" s="208">
        <f t="shared" si="162"/>
        <v>0</v>
      </c>
      <c r="M349" s="208">
        <f t="shared" si="162"/>
        <v>0</v>
      </c>
      <c r="N349" s="208">
        <f t="shared" si="162"/>
        <v>0</v>
      </c>
      <c r="O349" s="208">
        <f t="shared" si="162"/>
        <v>0</v>
      </c>
      <c r="P349" s="208">
        <f t="shared" si="162"/>
        <v>0</v>
      </c>
      <c r="Q349" s="208">
        <f t="shared" si="162"/>
        <v>0</v>
      </c>
      <c r="R349" s="208">
        <f t="shared" si="162"/>
        <v>0</v>
      </c>
      <c r="S349" s="208">
        <f t="shared" si="162"/>
        <v>0</v>
      </c>
      <c r="T349" s="208">
        <f t="shared" si="162"/>
        <v>0</v>
      </c>
      <c r="U349" s="208">
        <f t="shared" si="162"/>
        <v>0</v>
      </c>
      <c r="V349" s="208">
        <f t="shared" si="162"/>
        <v>0</v>
      </c>
      <c r="W349" s="208">
        <f t="shared" si="162"/>
        <v>0</v>
      </c>
      <c r="X349" s="208">
        <f t="shared" si="162"/>
        <v>0</v>
      </c>
      <c r="Y349" s="208">
        <f t="shared" si="162"/>
        <v>0</v>
      </c>
      <c r="Z349" s="208">
        <f t="shared" si="162"/>
        <v>0</v>
      </c>
      <c r="AA349" s="208">
        <f t="shared" si="162"/>
        <v>0</v>
      </c>
      <c r="AB349" s="208">
        <f t="shared" si="162"/>
        <v>0</v>
      </c>
      <c r="AC349" s="208">
        <f t="shared" si="162"/>
        <v>0</v>
      </c>
      <c r="AD349" s="208">
        <f t="shared" si="162"/>
        <v>0</v>
      </c>
      <c r="AE349" s="208">
        <f t="shared" si="162"/>
        <v>0</v>
      </c>
      <c r="AF349" s="208">
        <f t="shared" si="162"/>
        <v>0</v>
      </c>
      <c r="AG349" s="208">
        <f t="shared" si="162"/>
        <v>0</v>
      </c>
      <c r="AH349" s="208">
        <f t="shared" si="162"/>
        <v>0</v>
      </c>
      <c r="AI349" s="208">
        <f t="shared" si="162"/>
        <v>0</v>
      </c>
      <c r="AJ349" s="208">
        <f t="shared" si="162"/>
        <v>0</v>
      </c>
      <c r="AK349" s="208">
        <f t="shared" si="162"/>
        <v>0</v>
      </c>
      <c r="AL349" s="208">
        <f t="shared" si="162"/>
        <v>0</v>
      </c>
      <c r="AM349" s="208">
        <f t="shared" si="162"/>
        <v>0</v>
      </c>
      <c r="AN349" s="208">
        <f t="shared" si="162"/>
        <v>0</v>
      </c>
      <c r="AO349" s="208">
        <f t="shared" si="162"/>
        <v>0</v>
      </c>
      <c r="AP349" s="208">
        <f t="shared" si="162"/>
        <v>0</v>
      </c>
    </row>
    <row r="350" spans="1:42">
      <c r="A350" s="119">
        <f t="shared" si="157"/>
        <v>8</v>
      </c>
      <c r="B350" s="218">
        <f t="shared" si="154"/>
        <v>0</v>
      </c>
      <c r="C350" s="208">
        <f t="shared" ref="C350:AP350" si="163">LOOKUP(C339,$B$327:$AP$327,$B$328:$AP$328)*$B688</f>
        <v>0</v>
      </c>
      <c r="D350" s="208">
        <f t="shared" si="163"/>
        <v>0</v>
      </c>
      <c r="E350" s="208">
        <f t="shared" si="163"/>
        <v>0</v>
      </c>
      <c r="F350" s="208">
        <f t="shared" si="163"/>
        <v>0</v>
      </c>
      <c r="G350" s="208">
        <f t="shared" si="163"/>
        <v>0</v>
      </c>
      <c r="H350" s="208">
        <f t="shared" si="163"/>
        <v>0</v>
      </c>
      <c r="I350" s="208">
        <f t="shared" si="163"/>
        <v>0</v>
      </c>
      <c r="J350" s="208">
        <f t="shared" si="163"/>
        <v>0</v>
      </c>
      <c r="K350" s="208">
        <f t="shared" si="163"/>
        <v>0</v>
      </c>
      <c r="L350" s="208">
        <f t="shared" si="163"/>
        <v>0</v>
      </c>
      <c r="M350" s="208">
        <f t="shared" si="163"/>
        <v>0</v>
      </c>
      <c r="N350" s="208">
        <f t="shared" si="163"/>
        <v>0</v>
      </c>
      <c r="O350" s="208">
        <f t="shared" si="163"/>
        <v>0</v>
      </c>
      <c r="P350" s="208">
        <f t="shared" si="163"/>
        <v>0</v>
      </c>
      <c r="Q350" s="208">
        <f t="shared" si="163"/>
        <v>0</v>
      </c>
      <c r="R350" s="208">
        <f t="shared" si="163"/>
        <v>0</v>
      </c>
      <c r="S350" s="208">
        <f t="shared" si="163"/>
        <v>0</v>
      </c>
      <c r="T350" s="208">
        <f t="shared" si="163"/>
        <v>0</v>
      </c>
      <c r="U350" s="208">
        <f t="shared" si="163"/>
        <v>0</v>
      </c>
      <c r="V350" s="208">
        <f t="shared" si="163"/>
        <v>0</v>
      </c>
      <c r="W350" s="208">
        <f t="shared" si="163"/>
        <v>0</v>
      </c>
      <c r="X350" s="208">
        <f t="shared" si="163"/>
        <v>0</v>
      </c>
      <c r="Y350" s="208">
        <f t="shared" si="163"/>
        <v>0</v>
      </c>
      <c r="Z350" s="208">
        <f t="shared" si="163"/>
        <v>0</v>
      </c>
      <c r="AA350" s="208">
        <f t="shared" si="163"/>
        <v>0</v>
      </c>
      <c r="AB350" s="208">
        <f t="shared" si="163"/>
        <v>0</v>
      </c>
      <c r="AC350" s="208">
        <f t="shared" si="163"/>
        <v>0</v>
      </c>
      <c r="AD350" s="208">
        <f t="shared" si="163"/>
        <v>0</v>
      </c>
      <c r="AE350" s="208">
        <f t="shared" si="163"/>
        <v>0</v>
      </c>
      <c r="AF350" s="208">
        <f t="shared" si="163"/>
        <v>0</v>
      </c>
      <c r="AG350" s="208">
        <f t="shared" si="163"/>
        <v>0</v>
      </c>
      <c r="AH350" s="208">
        <f t="shared" si="163"/>
        <v>0</v>
      </c>
      <c r="AI350" s="208">
        <f t="shared" si="163"/>
        <v>0</v>
      </c>
      <c r="AJ350" s="208">
        <f t="shared" si="163"/>
        <v>0</v>
      </c>
      <c r="AK350" s="208">
        <f t="shared" si="163"/>
        <v>0</v>
      </c>
      <c r="AL350" s="208">
        <f t="shared" si="163"/>
        <v>0</v>
      </c>
      <c r="AM350" s="208">
        <f t="shared" si="163"/>
        <v>0</v>
      </c>
      <c r="AN350" s="208">
        <f t="shared" si="163"/>
        <v>0</v>
      </c>
      <c r="AO350" s="208">
        <f t="shared" si="163"/>
        <v>0</v>
      </c>
      <c r="AP350" s="208">
        <f t="shared" si="163"/>
        <v>0</v>
      </c>
    </row>
    <row r="351" spans="1:42">
      <c r="A351" s="119">
        <f>A350+1</f>
        <v>9</v>
      </c>
      <c r="B351" s="218">
        <f t="shared" si="154"/>
        <v>0</v>
      </c>
      <c r="C351" s="208">
        <f t="shared" ref="C351:AP351" si="164">LOOKUP(C340,$B$327:$AP$327,$B$328:$AP$328)*$B689</f>
        <v>0</v>
      </c>
      <c r="D351" s="208">
        <f t="shared" si="164"/>
        <v>0</v>
      </c>
      <c r="E351" s="208">
        <f t="shared" si="164"/>
        <v>0</v>
      </c>
      <c r="F351" s="208">
        <f t="shared" si="164"/>
        <v>0</v>
      </c>
      <c r="G351" s="208">
        <f t="shared" si="164"/>
        <v>0</v>
      </c>
      <c r="H351" s="208">
        <f t="shared" si="164"/>
        <v>0</v>
      </c>
      <c r="I351" s="208">
        <f t="shared" si="164"/>
        <v>0</v>
      </c>
      <c r="J351" s="208">
        <f t="shared" si="164"/>
        <v>0</v>
      </c>
      <c r="K351" s="208">
        <f t="shared" si="164"/>
        <v>0</v>
      </c>
      <c r="L351" s="208">
        <f t="shared" si="164"/>
        <v>0</v>
      </c>
      <c r="M351" s="208">
        <f t="shared" si="164"/>
        <v>0</v>
      </c>
      <c r="N351" s="208">
        <f t="shared" si="164"/>
        <v>0</v>
      </c>
      <c r="O351" s="208">
        <f t="shared" si="164"/>
        <v>0</v>
      </c>
      <c r="P351" s="208">
        <f t="shared" si="164"/>
        <v>0</v>
      </c>
      <c r="Q351" s="208">
        <f t="shared" si="164"/>
        <v>0</v>
      </c>
      <c r="R351" s="208">
        <f t="shared" si="164"/>
        <v>0</v>
      </c>
      <c r="S351" s="208">
        <f t="shared" si="164"/>
        <v>0</v>
      </c>
      <c r="T351" s="208">
        <f t="shared" si="164"/>
        <v>0</v>
      </c>
      <c r="U351" s="208">
        <f t="shared" si="164"/>
        <v>0</v>
      </c>
      <c r="V351" s="208">
        <f t="shared" si="164"/>
        <v>0</v>
      </c>
      <c r="W351" s="208">
        <f t="shared" si="164"/>
        <v>0</v>
      </c>
      <c r="X351" s="208">
        <f t="shared" si="164"/>
        <v>0</v>
      </c>
      <c r="Y351" s="208">
        <f t="shared" si="164"/>
        <v>0</v>
      </c>
      <c r="Z351" s="208">
        <f t="shared" si="164"/>
        <v>0</v>
      </c>
      <c r="AA351" s="208">
        <f t="shared" si="164"/>
        <v>0</v>
      </c>
      <c r="AB351" s="208">
        <f t="shared" si="164"/>
        <v>0</v>
      </c>
      <c r="AC351" s="208">
        <f t="shared" si="164"/>
        <v>0</v>
      </c>
      <c r="AD351" s="208">
        <f t="shared" si="164"/>
        <v>0</v>
      </c>
      <c r="AE351" s="208">
        <f t="shared" si="164"/>
        <v>0</v>
      </c>
      <c r="AF351" s="208">
        <f t="shared" si="164"/>
        <v>0</v>
      </c>
      <c r="AG351" s="208">
        <f t="shared" si="164"/>
        <v>0</v>
      </c>
      <c r="AH351" s="208">
        <f t="shared" si="164"/>
        <v>0</v>
      </c>
      <c r="AI351" s="208">
        <f t="shared" si="164"/>
        <v>0</v>
      </c>
      <c r="AJ351" s="208">
        <f t="shared" si="164"/>
        <v>0</v>
      </c>
      <c r="AK351" s="208">
        <f t="shared" si="164"/>
        <v>0</v>
      </c>
      <c r="AL351" s="208">
        <f t="shared" si="164"/>
        <v>0</v>
      </c>
      <c r="AM351" s="208">
        <f t="shared" si="164"/>
        <v>0</v>
      </c>
      <c r="AN351" s="208">
        <f t="shared" si="164"/>
        <v>0</v>
      </c>
      <c r="AO351" s="208">
        <f t="shared" si="164"/>
        <v>0</v>
      </c>
      <c r="AP351" s="208">
        <f t="shared" si="164"/>
        <v>0</v>
      </c>
    </row>
    <row r="352" spans="1:42">
      <c r="A352" s="119">
        <f t="shared" si="157"/>
        <v>10</v>
      </c>
      <c r="B352" s="218">
        <f t="shared" si="154"/>
        <v>0</v>
      </c>
      <c r="C352" s="246">
        <f t="shared" ref="C352:AP352" si="165">LOOKUP(C341,$B$327:$AP$327,$B$328:$AP$328)*$B690</f>
        <v>0</v>
      </c>
      <c r="D352" s="209">
        <f t="shared" si="165"/>
        <v>0</v>
      </c>
      <c r="E352" s="209">
        <f t="shared" si="165"/>
        <v>0</v>
      </c>
      <c r="F352" s="209">
        <f t="shared" si="165"/>
        <v>0</v>
      </c>
      <c r="G352" s="209">
        <f t="shared" si="165"/>
        <v>0</v>
      </c>
      <c r="H352" s="209">
        <f t="shared" si="165"/>
        <v>0</v>
      </c>
      <c r="I352" s="209">
        <f t="shared" si="165"/>
        <v>0</v>
      </c>
      <c r="J352" s="209">
        <f t="shared" si="165"/>
        <v>0</v>
      </c>
      <c r="K352" s="209">
        <f t="shared" si="165"/>
        <v>0</v>
      </c>
      <c r="L352" s="209">
        <f t="shared" si="165"/>
        <v>0</v>
      </c>
      <c r="M352" s="209">
        <f t="shared" si="165"/>
        <v>0</v>
      </c>
      <c r="N352" s="209">
        <f t="shared" si="165"/>
        <v>0</v>
      </c>
      <c r="O352" s="209">
        <f t="shared" si="165"/>
        <v>0</v>
      </c>
      <c r="P352" s="209">
        <f t="shared" si="165"/>
        <v>0</v>
      </c>
      <c r="Q352" s="209">
        <f t="shared" si="165"/>
        <v>0</v>
      </c>
      <c r="R352" s="209">
        <f t="shared" si="165"/>
        <v>0</v>
      </c>
      <c r="S352" s="209">
        <f t="shared" si="165"/>
        <v>0</v>
      </c>
      <c r="T352" s="209">
        <f t="shared" si="165"/>
        <v>0</v>
      </c>
      <c r="U352" s="209">
        <f t="shared" si="165"/>
        <v>0</v>
      </c>
      <c r="V352" s="209">
        <f t="shared" si="165"/>
        <v>0</v>
      </c>
      <c r="W352" s="209">
        <f t="shared" si="165"/>
        <v>0</v>
      </c>
      <c r="X352" s="209">
        <f t="shared" si="165"/>
        <v>0</v>
      </c>
      <c r="Y352" s="209">
        <f t="shared" si="165"/>
        <v>0</v>
      </c>
      <c r="Z352" s="209">
        <f t="shared" si="165"/>
        <v>0</v>
      </c>
      <c r="AA352" s="209">
        <f t="shared" si="165"/>
        <v>0</v>
      </c>
      <c r="AB352" s="209">
        <f t="shared" si="165"/>
        <v>0</v>
      </c>
      <c r="AC352" s="209">
        <f t="shared" si="165"/>
        <v>0</v>
      </c>
      <c r="AD352" s="209">
        <f t="shared" si="165"/>
        <v>0</v>
      </c>
      <c r="AE352" s="209">
        <f t="shared" si="165"/>
        <v>0</v>
      </c>
      <c r="AF352" s="209">
        <f t="shared" si="165"/>
        <v>0</v>
      </c>
      <c r="AG352" s="209">
        <f t="shared" si="165"/>
        <v>0</v>
      </c>
      <c r="AH352" s="209">
        <f t="shared" si="165"/>
        <v>0</v>
      </c>
      <c r="AI352" s="209">
        <f t="shared" si="165"/>
        <v>0</v>
      </c>
      <c r="AJ352" s="209">
        <f t="shared" si="165"/>
        <v>0</v>
      </c>
      <c r="AK352" s="209">
        <f t="shared" si="165"/>
        <v>0</v>
      </c>
      <c r="AL352" s="209">
        <f t="shared" si="165"/>
        <v>0</v>
      </c>
      <c r="AM352" s="209">
        <f t="shared" si="165"/>
        <v>0</v>
      </c>
      <c r="AN352" s="209">
        <f t="shared" si="165"/>
        <v>0</v>
      </c>
      <c r="AO352" s="209">
        <f t="shared" si="165"/>
        <v>0</v>
      </c>
      <c r="AP352" s="209">
        <f t="shared" si="165"/>
        <v>0</v>
      </c>
    </row>
    <row r="353" spans="1:42" s="119" customFormat="1" ht="12" customHeight="1">
      <c r="A353" s="247" t="s">
        <v>53</v>
      </c>
      <c r="B353" s="146"/>
      <c r="C353" s="146">
        <f>SUM(C343:C352)</f>
        <v>0</v>
      </c>
      <c r="D353" s="146">
        <f t="shared" ref="D353:AP353" si="166">SUM(D343:D352)</f>
        <v>0</v>
      </c>
      <c r="E353" s="146">
        <f t="shared" si="166"/>
        <v>0</v>
      </c>
      <c r="F353" s="146">
        <f t="shared" si="166"/>
        <v>0</v>
      </c>
      <c r="G353" s="146">
        <f t="shared" si="166"/>
        <v>0</v>
      </c>
      <c r="H353" s="146">
        <f t="shared" si="166"/>
        <v>0</v>
      </c>
      <c r="I353" s="146">
        <f t="shared" si="166"/>
        <v>0</v>
      </c>
      <c r="J353" s="146">
        <f t="shared" si="166"/>
        <v>0</v>
      </c>
      <c r="K353" s="146">
        <f t="shared" si="166"/>
        <v>0</v>
      </c>
      <c r="L353" s="146">
        <f t="shared" si="166"/>
        <v>0</v>
      </c>
      <c r="M353" s="146">
        <f t="shared" si="166"/>
        <v>0</v>
      </c>
      <c r="N353" s="146">
        <f t="shared" si="166"/>
        <v>588974.46870026283</v>
      </c>
      <c r="O353" s="146">
        <f t="shared" si="166"/>
        <v>942359.14992042049</v>
      </c>
      <c r="P353" s="146">
        <f t="shared" si="166"/>
        <v>565415.48995225236</v>
      </c>
      <c r="Q353" s="146">
        <f t="shared" si="166"/>
        <v>339249.29397135135</v>
      </c>
      <c r="R353" s="146">
        <f t="shared" si="166"/>
        <v>339249.29397135135</v>
      </c>
      <c r="S353" s="146">
        <f t="shared" si="166"/>
        <v>169624.64698567567</v>
      </c>
      <c r="T353" s="146">
        <f t="shared" si="166"/>
        <v>0</v>
      </c>
      <c r="U353" s="146">
        <f t="shared" si="166"/>
        <v>0</v>
      </c>
      <c r="V353" s="146">
        <f t="shared" si="166"/>
        <v>0</v>
      </c>
      <c r="W353" s="146">
        <f t="shared" si="166"/>
        <v>0</v>
      </c>
      <c r="X353" s="146">
        <f t="shared" si="166"/>
        <v>0</v>
      </c>
      <c r="Y353" s="146">
        <f t="shared" si="166"/>
        <v>0</v>
      </c>
      <c r="Z353" s="146">
        <f t="shared" si="166"/>
        <v>704188.57730493625</v>
      </c>
      <c r="AA353" s="146">
        <f t="shared" si="166"/>
        <v>1126701.7236878979</v>
      </c>
      <c r="AB353" s="146">
        <f t="shared" si="166"/>
        <v>676021.03421273874</v>
      </c>
      <c r="AC353" s="146">
        <f t="shared" si="166"/>
        <v>405612.62052764324</v>
      </c>
      <c r="AD353" s="146">
        <f t="shared" si="166"/>
        <v>405612.62052764324</v>
      </c>
      <c r="AE353" s="146">
        <f t="shared" si="166"/>
        <v>202806.31026382162</v>
      </c>
      <c r="AF353" s="146">
        <f t="shared" si="166"/>
        <v>0</v>
      </c>
      <c r="AG353" s="146">
        <f t="shared" si="166"/>
        <v>0</v>
      </c>
      <c r="AH353" s="146">
        <f t="shared" si="166"/>
        <v>0</v>
      </c>
      <c r="AI353" s="146">
        <f t="shared" si="166"/>
        <v>0</v>
      </c>
      <c r="AJ353" s="146">
        <f t="shared" si="166"/>
        <v>0</v>
      </c>
      <c r="AK353" s="146">
        <f t="shared" si="166"/>
        <v>0</v>
      </c>
      <c r="AL353" s="146">
        <f t="shared" si="166"/>
        <v>0</v>
      </c>
      <c r="AM353" s="146">
        <f t="shared" si="166"/>
        <v>0</v>
      </c>
      <c r="AN353" s="146">
        <f t="shared" si="166"/>
        <v>0</v>
      </c>
      <c r="AO353" s="146">
        <f t="shared" si="166"/>
        <v>0</v>
      </c>
      <c r="AP353" s="146">
        <f t="shared" si="166"/>
        <v>0</v>
      </c>
    </row>
    <row r="354" spans="1:42">
      <c r="A354" s="226"/>
      <c r="C354" s="208"/>
      <c r="D354" s="208"/>
      <c r="E354" s="208"/>
      <c r="F354" s="208"/>
      <c r="G354" s="208"/>
      <c r="H354" s="208"/>
      <c r="I354" s="208"/>
      <c r="J354" s="208"/>
      <c r="K354" s="208"/>
      <c r="L354" s="208"/>
      <c r="M354" s="208"/>
      <c r="N354" s="208"/>
      <c r="O354" s="208"/>
      <c r="P354" s="208"/>
      <c r="Q354" s="208"/>
      <c r="R354" s="208"/>
      <c r="S354" s="208"/>
      <c r="T354" s="208"/>
      <c r="U354" s="208"/>
      <c r="V354" s="208"/>
      <c r="W354" s="208"/>
      <c r="X354" s="208"/>
      <c r="Y354" s="208"/>
      <c r="Z354" s="208"/>
      <c r="AA354" s="208"/>
      <c r="AB354" s="208"/>
      <c r="AC354" s="208"/>
      <c r="AD354" s="208"/>
      <c r="AE354" s="208"/>
      <c r="AF354" s="208"/>
      <c r="AG354" s="208"/>
      <c r="AH354" s="208"/>
      <c r="AI354" s="208"/>
      <c r="AJ354" s="208"/>
      <c r="AK354" s="208"/>
      <c r="AL354" s="208"/>
      <c r="AM354" s="208"/>
      <c r="AN354" s="208"/>
      <c r="AO354" s="208"/>
      <c r="AP354" s="208"/>
    </row>
    <row r="355" spans="1:42">
      <c r="A355" s="219" t="s">
        <v>384</v>
      </c>
      <c r="C355" s="208"/>
      <c r="D355" s="208"/>
      <c r="E355" s="208"/>
      <c r="F355" s="208"/>
      <c r="G355" s="208"/>
      <c r="H355" s="208"/>
      <c r="I355" s="208"/>
      <c r="J355" s="208"/>
      <c r="K355" s="208"/>
      <c r="L355" s="208"/>
      <c r="M355" s="208"/>
      <c r="N355" s="208"/>
      <c r="O355" s="208"/>
      <c r="P355" s="208"/>
      <c r="Q355" s="208"/>
      <c r="R355" s="208"/>
      <c r="S355" s="208"/>
      <c r="T355" s="208"/>
      <c r="U355" s="208"/>
      <c r="V355" s="208"/>
      <c r="W355" s="208"/>
      <c r="X355" s="208"/>
      <c r="Y355" s="208"/>
      <c r="Z355" s="208"/>
      <c r="AA355" s="208"/>
      <c r="AB355" s="208"/>
      <c r="AC355" s="208"/>
      <c r="AD355" s="208"/>
      <c r="AE355" s="208"/>
      <c r="AF355" s="208"/>
      <c r="AG355" s="208"/>
      <c r="AH355" s="208"/>
      <c r="AI355" s="208"/>
      <c r="AJ355" s="208"/>
      <c r="AK355" s="208"/>
      <c r="AL355" s="208"/>
      <c r="AM355" s="208"/>
      <c r="AN355" s="208"/>
      <c r="AO355" s="208"/>
      <c r="AP355" s="208"/>
    </row>
    <row r="356" spans="1:42">
      <c r="A356" s="226" t="s">
        <v>217</v>
      </c>
      <c r="C356" s="208"/>
      <c r="D356" s="208"/>
      <c r="E356" s="208"/>
      <c r="F356" s="208"/>
      <c r="G356" s="208"/>
      <c r="H356" s="208"/>
      <c r="I356" s="208"/>
      <c r="J356" s="208"/>
      <c r="K356" s="208"/>
      <c r="L356" s="208"/>
      <c r="M356" s="208"/>
      <c r="N356" s="208"/>
      <c r="O356" s="208"/>
      <c r="P356" s="208"/>
      <c r="Q356" s="208"/>
      <c r="R356" s="208"/>
      <c r="S356" s="208"/>
      <c r="T356" s="208"/>
      <c r="U356" s="208"/>
      <c r="V356" s="208"/>
      <c r="W356" s="208"/>
      <c r="X356" s="208"/>
      <c r="Y356" s="208"/>
      <c r="Z356" s="208"/>
      <c r="AA356" s="208"/>
      <c r="AB356" s="208"/>
      <c r="AC356" s="208"/>
      <c r="AD356" s="208"/>
      <c r="AE356" s="208"/>
      <c r="AF356" s="208"/>
      <c r="AG356" s="208"/>
      <c r="AH356" s="208"/>
      <c r="AI356" s="208"/>
      <c r="AJ356" s="208"/>
      <c r="AK356" s="208"/>
      <c r="AL356" s="208"/>
      <c r="AM356" s="208"/>
      <c r="AN356" s="208"/>
      <c r="AO356" s="208"/>
      <c r="AP356" s="208"/>
    </row>
    <row r="357" spans="1:42">
      <c r="A357" s="119">
        <v>1</v>
      </c>
      <c r="C357" s="208">
        <f>IF(C$2&lt;=AnalysisPeriod,IF(SUM($C713:C713)&gt;0,B357+1,0),0)</f>
        <v>0</v>
      </c>
      <c r="D357" s="208">
        <f>IF(D$2&lt;=AnalysisPeriod,IF(SUM($C713:D713)&gt;0,C357+1,0),0)</f>
        <v>0</v>
      </c>
      <c r="E357" s="208">
        <f>IF(E$2&lt;=AnalysisPeriod,IF(SUM($C713:E713)&gt;0,D357+1,0),0)</f>
        <v>0</v>
      </c>
      <c r="F357" s="208">
        <f>IF(F$2&lt;=AnalysisPeriod,IF(SUM($C713:F713)&gt;0,E357+1,0),0)</f>
        <v>0</v>
      </c>
      <c r="G357" s="208">
        <f>IF(G$2&lt;=AnalysisPeriod,IF(SUM($C713:G713)&gt;0,F357+1,0),0)</f>
        <v>0</v>
      </c>
      <c r="H357" s="208">
        <f>IF(H$2&lt;=AnalysisPeriod,IF(SUM($C713:H713)&gt;0,G357+1,0),0)</f>
        <v>0</v>
      </c>
      <c r="I357" s="208">
        <f>IF(I$2&lt;=AnalysisPeriod,IF(SUM($C713:I713)&gt;0,H357+1,0),0)</f>
        <v>0</v>
      </c>
      <c r="J357" s="208">
        <f>IF(J$2&lt;=AnalysisPeriod,IF(SUM($C713:J713)&gt;0,I357+1,0),0)</f>
        <v>0</v>
      </c>
      <c r="K357" s="208">
        <f>IF(K$2&lt;=AnalysisPeriod,IF(SUM($C713:K713)&gt;0,J357+1,0),0)</f>
        <v>0</v>
      </c>
      <c r="L357" s="208">
        <f>IF(L$2&lt;=AnalysisPeriod,IF(SUM($C713:L713)&gt;0,K357+1,0),0)</f>
        <v>0</v>
      </c>
      <c r="M357" s="208">
        <f>IF(M$2&lt;=AnalysisPeriod,IF(SUM($C713:M713)&gt;0,L357+1,0),0)</f>
        <v>0</v>
      </c>
      <c r="N357" s="208">
        <f>IF(N$2&lt;=AnalysisPeriod,IF(SUM($C713:N713)&gt;0,M357+1,0),0)</f>
        <v>0</v>
      </c>
      <c r="O357" s="208">
        <f>IF(O$2&lt;=AnalysisPeriod,IF(SUM($C713:O713)&gt;0,N357+1,0),0)</f>
        <v>0</v>
      </c>
      <c r="P357" s="208">
        <f>IF(P$2&lt;=AnalysisPeriod,IF(SUM($C713:P713)&gt;0,O357+1,0),0)</f>
        <v>0</v>
      </c>
      <c r="Q357" s="208">
        <f>IF(Q$2&lt;=AnalysisPeriod,IF(SUM($C713:Q713)&gt;0,P357+1,0),0)</f>
        <v>1</v>
      </c>
      <c r="R357" s="208">
        <f>IF(R$2&lt;=AnalysisPeriod,IF(SUM($C713:R713)&gt;0,Q357+1,0),0)</f>
        <v>2</v>
      </c>
      <c r="S357" s="208">
        <f>IF(S$2&lt;=AnalysisPeriod,IF(SUM($C713:S713)&gt;0,R357+1,0),0)</f>
        <v>3</v>
      </c>
      <c r="T357" s="208">
        <f>IF(T$2&lt;=AnalysisPeriod,IF(SUM($C713:T713)&gt;0,S357+1,0),0)</f>
        <v>4</v>
      </c>
      <c r="U357" s="208">
        <f>IF(U$2&lt;=AnalysisPeriod,IF(SUM($C713:U713)&gt;0,T357+1,0),0)</f>
        <v>5</v>
      </c>
      <c r="V357" s="208">
        <f>IF(V$2&lt;=AnalysisPeriod,IF(SUM($C713:V713)&gt;0,U357+1,0),0)</f>
        <v>6</v>
      </c>
      <c r="W357" s="208">
        <f>IF(W$2&lt;=AnalysisPeriod,IF(SUM($C713:W713)&gt;0,V357+1,0),0)</f>
        <v>7</v>
      </c>
      <c r="X357" s="208">
        <f>IF(X$2&lt;=AnalysisPeriod,IF(SUM($C713:X713)&gt;0,W357+1,0),0)</f>
        <v>8</v>
      </c>
      <c r="Y357" s="208">
        <f>IF(Y$2&lt;=AnalysisPeriod,IF(SUM($C713:Y713)&gt;0,X357+1,0),0)</f>
        <v>9</v>
      </c>
      <c r="Z357" s="208">
        <f>IF(Z$2&lt;=AnalysisPeriod,IF(SUM($C713:Z713)&gt;0,Y357+1,0),0)</f>
        <v>10</v>
      </c>
      <c r="AA357" s="208">
        <f>IF(AA$2&lt;=AnalysisPeriod,IF(SUM($C713:AA713)&gt;0,Z357+1,0),0)</f>
        <v>11</v>
      </c>
      <c r="AB357" s="208">
        <f>IF(AB$2&lt;=AnalysisPeriod,IF(SUM($C713:AB713)&gt;0,AA357+1,0),0)</f>
        <v>12</v>
      </c>
      <c r="AC357" s="208">
        <f>IF(AC$2&lt;=AnalysisPeriod,IF(SUM($C713:AC713)&gt;0,AB357+1,0),0)</f>
        <v>13</v>
      </c>
      <c r="AD357" s="208">
        <f>IF(AD$2&lt;=AnalysisPeriod,IF(SUM($C713:AD713)&gt;0,AC357+1,0),0)</f>
        <v>14</v>
      </c>
      <c r="AE357" s="208">
        <f>IF(AE$2&lt;=AnalysisPeriod,IF(SUM($C713:AE713)&gt;0,AD357+1,0),0)</f>
        <v>15</v>
      </c>
      <c r="AF357" s="208">
        <f>IF(AF$2&lt;=AnalysisPeriod,IF(SUM($C713:AF713)&gt;0,AE357+1,0),0)</f>
        <v>16</v>
      </c>
      <c r="AG357" s="208">
        <f>IF(AG$2&lt;=AnalysisPeriod,IF(SUM($C713:AG713)&gt;0,AF357+1,0),0)</f>
        <v>0</v>
      </c>
      <c r="AH357" s="208">
        <f>IF(AH$2&lt;=AnalysisPeriod,IF(SUM($C713:AH713)&gt;0,AG357+1,0),0)</f>
        <v>0</v>
      </c>
      <c r="AI357" s="208">
        <f>IF(AI$2&lt;=AnalysisPeriod,IF(SUM($C713:AI713)&gt;0,AH357+1,0),0)</f>
        <v>0</v>
      </c>
      <c r="AJ357" s="208">
        <f>IF(AJ$2&lt;=AnalysisPeriod,IF(SUM($C713:AJ713)&gt;0,AI357+1,0),0)</f>
        <v>0</v>
      </c>
      <c r="AK357" s="208">
        <f>IF(AK$2&lt;=AnalysisPeriod,IF(SUM($C713:AK713)&gt;0,AJ357+1,0),0)</f>
        <v>0</v>
      </c>
      <c r="AL357" s="208">
        <f>IF(AL$2&lt;=AnalysisPeriod,IF(SUM($C713:AL713)&gt;0,AK357+1,0),0)</f>
        <v>0</v>
      </c>
      <c r="AM357" s="208">
        <f>IF(AM$2&lt;=AnalysisPeriod,IF(SUM($C713:AM713)&gt;0,AL357+1,0),0)</f>
        <v>0</v>
      </c>
      <c r="AN357" s="208">
        <f>IF(AN$2&lt;=AnalysisPeriod,IF(SUM($C713:AN713)&gt;0,AM357+1,0),0)</f>
        <v>0</v>
      </c>
      <c r="AO357" s="208">
        <f>IF(AO$2&lt;=AnalysisPeriod,IF(SUM($C713:AO713)&gt;0,AN357+1,0),0)</f>
        <v>0</v>
      </c>
      <c r="AP357" s="208">
        <f>IF(AP$2&lt;=AnalysisPeriod,IF(SUM($C713:AP713)&gt;0,AO357+1,0),0)</f>
        <v>0</v>
      </c>
    </row>
    <row r="358" spans="1:42">
      <c r="A358" s="119">
        <f>A357+1</f>
        <v>2</v>
      </c>
      <c r="C358" s="208">
        <f>IF(C$2&lt;=AnalysisPeriod,IF(SUM($C714:C714)&gt;0,B358+1,0),0)</f>
        <v>0</v>
      </c>
      <c r="D358" s="208">
        <f>IF(D$2&lt;=AnalysisPeriod,IF(SUM($C714:D714)&gt;0,C358+1,0),0)</f>
        <v>0</v>
      </c>
      <c r="E358" s="208">
        <f>IF(E$2&lt;=AnalysisPeriod,IF(SUM($C714:E714)&gt;0,D358+1,0),0)</f>
        <v>0</v>
      </c>
      <c r="F358" s="208">
        <f>IF(F$2&lt;=AnalysisPeriod,IF(SUM($C714:F714)&gt;0,E358+1,0),0)</f>
        <v>0</v>
      </c>
      <c r="G358" s="208">
        <f>IF(G$2&lt;=AnalysisPeriod,IF(SUM($C714:G714)&gt;0,F358+1,0),0)</f>
        <v>0</v>
      </c>
      <c r="H358" s="208">
        <f>IF(H$2&lt;=AnalysisPeriod,IF(SUM($C714:H714)&gt;0,G358+1,0),0)</f>
        <v>0</v>
      </c>
      <c r="I358" s="208">
        <f>IF(I$2&lt;=AnalysisPeriod,IF(SUM($C714:I714)&gt;0,H358+1,0),0)</f>
        <v>0</v>
      </c>
      <c r="J358" s="208">
        <f>IF(J$2&lt;=AnalysisPeriod,IF(SUM($C714:J714)&gt;0,I358+1,0),0)</f>
        <v>0</v>
      </c>
      <c r="K358" s="208">
        <f>IF(K$2&lt;=AnalysisPeriod,IF(SUM($C714:K714)&gt;0,J358+1,0),0)</f>
        <v>0</v>
      </c>
      <c r="L358" s="208">
        <f>IF(L$2&lt;=AnalysisPeriod,IF(SUM($C714:L714)&gt;0,K358+1,0),0)</f>
        <v>0</v>
      </c>
      <c r="M358" s="208">
        <f>IF(M$2&lt;=AnalysisPeriod,IF(SUM($C714:M714)&gt;0,L358+1,0),0)</f>
        <v>0</v>
      </c>
      <c r="N358" s="208">
        <f>IF(N$2&lt;=AnalysisPeriod,IF(SUM($C714:N714)&gt;0,M358+1,0),0)</f>
        <v>0</v>
      </c>
      <c r="O358" s="208">
        <f>IF(O$2&lt;=AnalysisPeriod,IF(SUM($C714:O714)&gt;0,N358+1,0),0)</f>
        <v>0</v>
      </c>
      <c r="P358" s="208">
        <f>IF(P$2&lt;=AnalysisPeriod,IF(SUM($C714:P714)&gt;0,O358+1,0),0)</f>
        <v>0</v>
      </c>
      <c r="Q358" s="208">
        <f>IF(Q$2&lt;=AnalysisPeriod,IF(SUM($C714:Q714)&gt;0,P358+1,0),0)</f>
        <v>0</v>
      </c>
      <c r="R358" s="208">
        <f>IF(R$2&lt;=AnalysisPeriod,IF(SUM($C714:R714)&gt;0,Q358+1,0),0)</f>
        <v>0</v>
      </c>
      <c r="S358" s="208">
        <f>IF(S$2&lt;=AnalysisPeriod,IF(SUM($C714:S714)&gt;0,R358+1,0),0)</f>
        <v>0</v>
      </c>
      <c r="T358" s="208">
        <f>IF(T$2&lt;=AnalysisPeriod,IF(SUM($C714:T714)&gt;0,S358+1,0),0)</f>
        <v>0</v>
      </c>
      <c r="U358" s="208">
        <f>IF(U$2&lt;=AnalysisPeriod,IF(SUM($C714:U714)&gt;0,T358+1,0),0)</f>
        <v>0</v>
      </c>
      <c r="V358" s="208">
        <f>IF(V$2&lt;=AnalysisPeriod,IF(SUM($C714:V714)&gt;0,U358+1,0),0)</f>
        <v>0</v>
      </c>
      <c r="W358" s="208">
        <f>IF(W$2&lt;=AnalysisPeriod,IF(SUM($C714:W714)&gt;0,V358+1,0),0)</f>
        <v>0</v>
      </c>
      <c r="X358" s="208">
        <f>IF(X$2&lt;=AnalysisPeriod,IF(SUM($C714:X714)&gt;0,W358+1,0),0)</f>
        <v>0</v>
      </c>
      <c r="Y358" s="208">
        <f>IF(Y$2&lt;=AnalysisPeriod,IF(SUM($C714:Y714)&gt;0,X358+1,0),0)</f>
        <v>0</v>
      </c>
      <c r="Z358" s="208">
        <f>IF(Z$2&lt;=AnalysisPeriod,IF(SUM($C714:Z714)&gt;0,Y358+1,0),0)</f>
        <v>0</v>
      </c>
      <c r="AA358" s="208">
        <f>IF(AA$2&lt;=AnalysisPeriod,IF(SUM($C714:AA714)&gt;0,Z358+1,0),0)</f>
        <v>0</v>
      </c>
      <c r="AB358" s="208">
        <f>IF(AB$2&lt;=AnalysisPeriod,IF(SUM($C714:AB714)&gt;0,AA358+1,0),0)</f>
        <v>0</v>
      </c>
      <c r="AC358" s="208">
        <f>IF(AC$2&lt;=AnalysisPeriod,IF(SUM($C714:AC714)&gt;0,AB358+1,0),0)</f>
        <v>0</v>
      </c>
      <c r="AD358" s="208">
        <f>IF(AD$2&lt;=AnalysisPeriod,IF(SUM($C714:AD714)&gt;0,AC358+1,0),0)</f>
        <v>0</v>
      </c>
      <c r="AE358" s="208">
        <f>IF(AE$2&lt;=AnalysisPeriod,IF(SUM($C714:AE714)&gt;0,AD358+1,0),0)</f>
        <v>0</v>
      </c>
      <c r="AF358" s="208">
        <f>IF(AF$2&lt;=AnalysisPeriod,IF(SUM($C714:AF714)&gt;0,AE358+1,0),0)</f>
        <v>1</v>
      </c>
      <c r="AG358" s="208">
        <f>IF(AG$2&lt;=AnalysisPeriod,IF(SUM($C714:AG714)&gt;0,AF358+1,0),0)</f>
        <v>0</v>
      </c>
      <c r="AH358" s="208">
        <f>IF(AH$2&lt;=AnalysisPeriod,IF(SUM($C714:AH714)&gt;0,AG358+1,0),0)</f>
        <v>0</v>
      </c>
      <c r="AI358" s="208">
        <f>IF(AI$2&lt;=AnalysisPeriod,IF(SUM($C714:AI714)&gt;0,AH358+1,0),0)</f>
        <v>0</v>
      </c>
      <c r="AJ358" s="208">
        <f>IF(AJ$2&lt;=AnalysisPeriod,IF(SUM($C714:AJ714)&gt;0,AI358+1,0),0)</f>
        <v>0</v>
      </c>
      <c r="AK358" s="208">
        <f>IF(AK$2&lt;=AnalysisPeriod,IF(SUM($C714:AK714)&gt;0,AJ358+1,0),0)</f>
        <v>0</v>
      </c>
      <c r="AL358" s="208">
        <f>IF(AL$2&lt;=AnalysisPeriod,IF(SUM($C714:AL714)&gt;0,AK358+1,0),0)</f>
        <v>0</v>
      </c>
      <c r="AM358" s="208">
        <f>IF(AM$2&lt;=AnalysisPeriod,IF(SUM($C714:AM714)&gt;0,AL358+1,0),0)</f>
        <v>0</v>
      </c>
      <c r="AN358" s="208">
        <f>IF(AN$2&lt;=AnalysisPeriod,IF(SUM($C714:AN714)&gt;0,AM358+1,0),0)</f>
        <v>0</v>
      </c>
      <c r="AO358" s="208">
        <f>IF(AO$2&lt;=AnalysisPeriod,IF(SUM($C714:AO714)&gt;0,AN358+1,0),0)</f>
        <v>0</v>
      </c>
      <c r="AP358" s="208">
        <f>IF(AP$2&lt;=AnalysisPeriod,IF(SUM($C714:AP714)&gt;0,AO358+1,0),0)</f>
        <v>0</v>
      </c>
    </row>
    <row r="359" spans="1:42">
      <c r="A359" s="119">
        <f t="shared" ref="A359:A366" si="167">A358+1</f>
        <v>3</v>
      </c>
      <c r="C359" s="208">
        <f>IF(C$2&lt;=AnalysisPeriod,IF(SUM($C715:C715)&gt;0,B359+1,0),0)</f>
        <v>0</v>
      </c>
      <c r="D359" s="208">
        <f>IF(D$2&lt;=AnalysisPeriod,IF(SUM($C715:D715)&gt;0,C359+1,0),0)</f>
        <v>0</v>
      </c>
      <c r="E359" s="208">
        <f>IF(E$2&lt;=AnalysisPeriod,IF(SUM($C715:E715)&gt;0,D359+1,0),0)</f>
        <v>0</v>
      </c>
      <c r="F359" s="208">
        <f>IF(F$2&lt;=AnalysisPeriod,IF(SUM($C715:F715)&gt;0,E359+1,0),0)</f>
        <v>0</v>
      </c>
      <c r="G359" s="208">
        <f>IF(G$2&lt;=AnalysisPeriod,IF(SUM($C715:G715)&gt;0,F359+1,0),0)</f>
        <v>0</v>
      </c>
      <c r="H359" s="208">
        <f>IF(H$2&lt;=AnalysisPeriod,IF(SUM($C715:H715)&gt;0,G359+1,0),0)</f>
        <v>0</v>
      </c>
      <c r="I359" s="208">
        <f>IF(I$2&lt;=AnalysisPeriod,IF(SUM($C715:I715)&gt;0,H359+1,0),0)</f>
        <v>0</v>
      </c>
      <c r="J359" s="208">
        <f>IF(J$2&lt;=AnalysisPeriod,IF(SUM($C715:J715)&gt;0,I359+1,0),0)</f>
        <v>0</v>
      </c>
      <c r="K359" s="208">
        <f>IF(K$2&lt;=AnalysisPeriod,IF(SUM($C715:K715)&gt;0,J359+1,0),0)</f>
        <v>0</v>
      </c>
      <c r="L359" s="208">
        <f>IF(L$2&lt;=AnalysisPeriod,IF(SUM($C715:L715)&gt;0,K359+1,0),0)</f>
        <v>0</v>
      </c>
      <c r="M359" s="208">
        <f>IF(M$2&lt;=AnalysisPeriod,IF(SUM($C715:M715)&gt;0,L359+1,0),0)</f>
        <v>0</v>
      </c>
      <c r="N359" s="208">
        <f>IF(N$2&lt;=AnalysisPeriod,IF(SUM($C715:N715)&gt;0,M359+1,0),0)</f>
        <v>0</v>
      </c>
      <c r="O359" s="208">
        <f>IF(O$2&lt;=AnalysisPeriod,IF(SUM($C715:O715)&gt;0,N359+1,0),0)</f>
        <v>0</v>
      </c>
      <c r="P359" s="208">
        <f>IF(P$2&lt;=AnalysisPeriod,IF(SUM($C715:P715)&gt;0,O359+1,0),0)</f>
        <v>0</v>
      </c>
      <c r="Q359" s="208">
        <f>IF(Q$2&lt;=AnalysisPeriod,IF(SUM($C715:Q715)&gt;0,P359+1,0),0)</f>
        <v>0</v>
      </c>
      <c r="R359" s="208">
        <f>IF(R$2&lt;=AnalysisPeriod,IF(SUM($C715:R715)&gt;0,Q359+1,0),0)</f>
        <v>0</v>
      </c>
      <c r="S359" s="208">
        <f>IF(S$2&lt;=AnalysisPeriod,IF(SUM($C715:S715)&gt;0,R359+1,0),0)</f>
        <v>0</v>
      </c>
      <c r="T359" s="208">
        <f>IF(T$2&lt;=AnalysisPeriod,IF(SUM($C715:T715)&gt;0,S359+1,0),0)</f>
        <v>0</v>
      </c>
      <c r="U359" s="208">
        <f>IF(U$2&lt;=AnalysisPeriod,IF(SUM($C715:U715)&gt;0,T359+1,0),0)</f>
        <v>0</v>
      </c>
      <c r="V359" s="208">
        <f>IF(V$2&lt;=AnalysisPeriod,IF(SUM($C715:V715)&gt;0,U359+1,0),0)</f>
        <v>0</v>
      </c>
      <c r="W359" s="208">
        <f>IF(W$2&lt;=AnalysisPeriod,IF(SUM($C715:W715)&gt;0,V359+1,0),0)</f>
        <v>0</v>
      </c>
      <c r="X359" s="208">
        <f>IF(X$2&lt;=AnalysisPeriod,IF(SUM($C715:X715)&gt;0,W359+1,0),0)</f>
        <v>0</v>
      </c>
      <c r="Y359" s="208">
        <f>IF(Y$2&lt;=AnalysisPeriod,IF(SUM($C715:Y715)&gt;0,X359+1,0),0)</f>
        <v>0</v>
      </c>
      <c r="Z359" s="208">
        <f>IF(Z$2&lt;=AnalysisPeriod,IF(SUM($C715:Z715)&gt;0,Y359+1,0),0)</f>
        <v>0</v>
      </c>
      <c r="AA359" s="208">
        <f>IF(AA$2&lt;=AnalysisPeriod,IF(SUM($C715:AA715)&gt;0,Z359+1,0),0)</f>
        <v>0</v>
      </c>
      <c r="AB359" s="208">
        <f>IF(AB$2&lt;=AnalysisPeriod,IF(SUM($C715:AB715)&gt;0,AA359+1,0),0)</f>
        <v>0</v>
      </c>
      <c r="AC359" s="208">
        <f>IF(AC$2&lt;=AnalysisPeriod,IF(SUM($C715:AC715)&gt;0,AB359+1,0),0)</f>
        <v>0</v>
      </c>
      <c r="AD359" s="208">
        <f>IF(AD$2&lt;=AnalysisPeriod,IF(SUM($C715:AD715)&gt;0,AC359+1,0),0)</f>
        <v>0</v>
      </c>
      <c r="AE359" s="208">
        <f>IF(AE$2&lt;=AnalysisPeriod,IF(SUM($C715:AE715)&gt;0,AD359+1,0),0)</f>
        <v>0</v>
      </c>
      <c r="AF359" s="208">
        <f>IF(AF$2&lt;=AnalysisPeriod,IF(SUM($C715:AF715)&gt;0,AE359+1,0),0)</f>
        <v>0</v>
      </c>
      <c r="AG359" s="208">
        <f>IF(AG$2&lt;=AnalysisPeriod,IF(SUM($C715:AG715)&gt;0,AF359+1,0),0)</f>
        <v>0</v>
      </c>
      <c r="AH359" s="208">
        <f>IF(AH$2&lt;=AnalysisPeriod,IF(SUM($C715:AH715)&gt;0,AG359+1,0),0)</f>
        <v>0</v>
      </c>
      <c r="AI359" s="208">
        <f>IF(AI$2&lt;=AnalysisPeriod,IF(SUM($C715:AI715)&gt;0,AH359+1,0),0)</f>
        <v>0</v>
      </c>
      <c r="AJ359" s="208">
        <f>IF(AJ$2&lt;=AnalysisPeriod,IF(SUM($C715:AJ715)&gt;0,AI359+1,0),0)</f>
        <v>0</v>
      </c>
      <c r="AK359" s="208">
        <f>IF(AK$2&lt;=AnalysisPeriod,IF(SUM($C715:AK715)&gt;0,AJ359+1,0),0)</f>
        <v>0</v>
      </c>
      <c r="AL359" s="208">
        <f>IF(AL$2&lt;=AnalysisPeriod,IF(SUM($C715:AL715)&gt;0,AK359+1,0),0)</f>
        <v>0</v>
      </c>
      <c r="AM359" s="208">
        <f>IF(AM$2&lt;=AnalysisPeriod,IF(SUM($C715:AM715)&gt;0,AL359+1,0),0)</f>
        <v>0</v>
      </c>
      <c r="AN359" s="208">
        <f>IF(AN$2&lt;=AnalysisPeriod,IF(SUM($C715:AN715)&gt;0,AM359+1,0),0)</f>
        <v>0</v>
      </c>
      <c r="AO359" s="208">
        <f>IF(AO$2&lt;=AnalysisPeriod,IF(SUM($C715:AO715)&gt;0,AN359+1,0),0)</f>
        <v>0</v>
      </c>
      <c r="AP359" s="208">
        <f>IF(AP$2&lt;=AnalysisPeriod,IF(SUM($C715:AP715)&gt;0,AO359+1,0),0)</f>
        <v>0</v>
      </c>
    </row>
    <row r="360" spans="1:42">
      <c r="A360" s="119">
        <f t="shared" si="167"/>
        <v>4</v>
      </c>
      <c r="C360" s="208">
        <f>IF(C$2&lt;=AnalysisPeriod,IF(SUM($C716:C716)&gt;0,B360+1,0),0)</f>
        <v>0</v>
      </c>
      <c r="D360" s="208">
        <f>IF(D$2&lt;=AnalysisPeriod,IF(SUM($C716:D716)&gt;0,C360+1,0),0)</f>
        <v>0</v>
      </c>
      <c r="E360" s="208">
        <f>IF(E$2&lt;=AnalysisPeriod,IF(SUM($C716:E716)&gt;0,D360+1,0),0)</f>
        <v>0</v>
      </c>
      <c r="F360" s="208">
        <f>IF(F$2&lt;=AnalysisPeriod,IF(SUM($C716:F716)&gt;0,E360+1,0),0)</f>
        <v>0</v>
      </c>
      <c r="G360" s="208">
        <f>IF(G$2&lt;=AnalysisPeriod,IF(SUM($C716:G716)&gt;0,F360+1,0),0)</f>
        <v>0</v>
      </c>
      <c r="H360" s="208">
        <f>IF(H$2&lt;=AnalysisPeriod,IF(SUM($C716:H716)&gt;0,G360+1,0),0)</f>
        <v>0</v>
      </c>
      <c r="I360" s="208">
        <f>IF(I$2&lt;=AnalysisPeriod,IF(SUM($C716:I716)&gt;0,H360+1,0),0)</f>
        <v>0</v>
      </c>
      <c r="J360" s="208">
        <f>IF(J$2&lt;=AnalysisPeriod,IF(SUM($C716:J716)&gt;0,I360+1,0),0)</f>
        <v>0</v>
      </c>
      <c r="K360" s="208">
        <f>IF(K$2&lt;=AnalysisPeriod,IF(SUM($C716:K716)&gt;0,J360+1,0),0)</f>
        <v>0</v>
      </c>
      <c r="L360" s="208">
        <f>IF(L$2&lt;=AnalysisPeriod,IF(SUM($C716:L716)&gt;0,K360+1,0),0)</f>
        <v>0</v>
      </c>
      <c r="M360" s="208">
        <f>IF(M$2&lt;=AnalysisPeriod,IF(SUM($C716:M716)&gt;0,L360+1,0),0)</f>
        <v>0</v>
      </c>
      <c r="N360" s="208">
        <f>IF(N$2&lt;=AnalysisPeriod,IF(SUM($C716:N716)&gt;0,M360+1,0),0)</f>
        <v>0</v>
      </c>
      <c r="O360" s="208">
        <f>IF(O$2&lt;=AnalysisPeriod,IF(SUM($C716:O716)&gt;0,N360+1,0),0)</f>
        <v>0</v>
      </c>
      <c r="P360" s="208">
        <f>IF(P$2&lt;=AnalysisPeriod,IF(SUM($C716:P716)&gt;0,O360+1,0),0)</f>
        <v>0</v>
      </c>
      <c r="Q360" s="208">
        <f>IF(Q$2&lt;=AnalysisPeriod,IF(SUM($C716:Q716)&gt;0,P360+1,0),0)</f>
        <v>0</v>
      </c>
      <c r="R360" s="208">
        <f>IF(R$2&lt;=AnalysisPeriod,IF(SUM($C716:R716)&gt;0,Q360+1,0),0)</f>
        <v>0</v>
      </c>
      <c r="S360" s="208">
        <f>IF(S$2&lt;=AnalysisPeriod,IF(SUM($C716:S716)&gt;0,R360+1,0),0)</f>
        <v>0</v>
      </c>
      <c r="T360" s="208">
        <f>IF(T$2&lt;=AnalysisPeriod,IF(SUM($C716:T716)&gt;0,S360+1,0),0)</f>
        <v>0</v>
      </c>
      <c r="U360" s="208">
        <f>IF(U$2&lt;=AnalysisPeriod,IF(SUM($C716:U716)&gt;0,T360+1,0),0)</f>
        <v>0</v>
      </c>
      <c r="V360" s="208">
        <f>IF(V$2&lt;=AnalysisPeriod,IF(SUM($C716:V716)&gt;0,U360+1,0),0)</f>
        <v>0</v>
      </c>
      <c r="W360" s="208">
        <f>IF(W$2&lt;=AnalysisPeriod,IF(SUM($C716:W716)&gt;0,V360+1,0),0)</f>
        <v>0</v>
      </c>
      <c r="X360" s="208">
        <f>IF(X$2&lt;=AnalysisPeriod,IF(SUM($C716:X716)&gt;0,W360+1,0),0)</f>
        <v>0</v>
      </c>
      <c r="Y360" s="208">
        <f>IF(Y$2&lt;=AnalysisPeriod,IF(SUM($C716:Y716)&gt;0,X360+1,0),0)</f>
        <v>0</v>
      </c>
      <c r="Z360" s="208">
        <f>IF(Z$2&lt;=AnalysisPeriod,IF(SUM($C716:Z716)&gt;0,Y360+1,0),0)</f>
        <v>0</v>
      </c>
      <c r="AA360" s="208">
        <f>IF(AA$2&lt;=AnalysisPeriod,IF(SUM($C716:AA716)&gt;0,Z360+1,0),0)</f>
        <v>0</v>
      </c>
      <c r="AB360" s="208">
        <f>IF(AB$2&lt;=AnalysisPeriod,IF(SUM($C716:AB716)&gt;0,AA360+1,0),0)</f>
        <v>0</v>
      </c>
      <c r="AC360" s="208">
        <f>IF(AC$2&lt;=AnalysisPeriod,IF(SUM($C716:AC716)&gt;0,AB360+1,0),0)</f>
        <v>0</v>
      </c>
      <c r="AD360" s="208">
        <f>IF(AD$2&lt;=AnalysisPeriod,IF(SUM($C716:AD716)&gt;0,AC360+1,0),0)</f>
        <v>0</v>
      </c>
      <c r="AE360" s="208">
        <f>IF(AE$2&lt;=AnalysisPeriod,IF(SUM($C716:AE716)&gt;0,AD360+1,0),0)</f>
        <v>0</v>
      </c>
      <c r="AF360" s="208">
        <f>IF(AF$2&lt;=AnalysisPeriod,IF(SUM($C716:AF716)&gt;0,AE360+1,0),0)</f>
        <v>0</v>
      </c>
      <c r="AG360" s="208">
        <f>IF(AG$2&lt;=AnalysisPeriod,IF(SUM($C716:AG716)&gt;0,AF360+1,0),0)</f>
        <v>0</v>
      </c>
      <c r="AH360" s="208">
        <f>IF(AH$2&lt;=AnalysisPeriod,IF(SUM($C716:AH716)&gt;0,AG360+1,0),0)</f>
        <v>0</v>
      </c>
      <c r="AI360" s="208">
        <f>IF(AI$2&lt;=AnalysisPeriod,IF(SUM($C716:AI716)&gt;0,AH360+1,0),0)</f>
        <v>0</v>
      </c>
      <c r="AJ360" s="208">
        <f>IF(AJ$2&lt;=AnalysisPeriod,IF(SUM($C716:AJ716)&gt;0,AI360+1,0),0)</f>
        <v>0</v>
      </c>
      <c r="AK360" s="208">
        <f>IF(AK$2&lt;=AnalysisPeriod,IF(SUM($C716:AK716)&gt;0,AJ360+1,0),0)</f>
        <v>0</v>
      </c>
      <c r="AL360" s="208">
        <f>IF(AL$2&lt;=AnalysisPeriod,IF(SUM($C716:AL716)&gt;0,AK360+1,0),0)</f>
        <v>0</v>
      </c>
      <c r="AM360" s="208">
        <f>IF(AM$2&lt;=AnalysisPeriod,IF(SUM($C716:AM716)&gt;0,AL360+1,0),0)</f>
        <v>0</v>
      </c>
      <c r="AN360" s="208">
        <f>IF(AN$2&lt;=AnalysisPeriod,IF(SUM($C716:AN716)&gt;0,AM360+1,0),0)</f>
        <v>0</v>
      </c>
      <c r="AO360" s="208">
        <f>IF(AO$2&lt;=AnalysisPeriod,IF(SUM($C716:AO716)&gt;0,AN360+1,0),0)</f>
        <v>0</v>
      </c>
      <c r="AP360" s="208">
        <f>IF(AP$2&lt;=AnalysisPeriod,IF(SUM($C716:AP716)&gt;0,AO360+1,0),0)</f>
        <v>0</v>
      </c>
    </row>
    <row r="361" spans="1:42">
      <c r="A361" s="119">
        <f t="shared" si="167"/>
        <v>5</v>
      </c>
      <c r="C361" s="208">
        <f>IF(C$2&lt;=AnalysisPeriod,IF(SUM($C717:C717)&gt;0,B361+1,0),0)</f>
        <v>0</v>
      </c>
      <c r="D361" s="208">
        <f>IF(D$2&lt;=AnalysisPeriod,IF(SUM($C717:D717)&gt;0,C361+1,0),0)</f>
        <v>0</v>
      </c>
      <c r="E361" s="208">
        <f>IF(E$2&lt;=AnalysisPeriod,IF(SUM($C717:E717)&gt;0,D361+1,0),0)</f>
        <v>0</v>
      </c>
      <c r="F361" s="208">
        <f>IF(F$2&lt;=AnalysisPeriod,IF(SUM($C717:F717)&gt;0,E361+1,0),0)</f>
        <v>0</v>
      </c>
      <c r="G361" s="208">
        <f>IF(G$2&lt;=AnalysisPeriod,IF(SUM($C717:G717)&gt;0,F361+1,0),0)</f>
        <v>0</v>
      </c>
      <c r="H361" s="208">
        <f>IF(H$2&lt;=AnalysisPeriod,IF(SUM($C717:H717)&gt;0,G361+1,0),0)</f>
        <v>0</v>
      </c>
      <c r="I361" s="208">
        <f>IF(I$2&lt;=AnalysisPeriod,IF(SUM($C717:I717)&gt;0,H361+1,0),0)</f>
        <v>0</v>
      </c>
      <c r="J361" s="208">
        <f>IF(J$2&lt;=AnalysisPeriod,IF(SUM($C717:J717)&gt;0,I361+1,0),0)</f>
        <v>0</v>
      </c>
      <c r="K361" s="208">
        <f>IF(K$2&lt;=AnalysisPeriod,IF(SUM($C717:K717)&gt;0,J361+1,0),0)</f>
        <v>0</v>
      </c>
      <c r="L361" s="208">
        <f>IF(L$2&lt;=AnalysisPeriod,IF(SUM($C717:L717)&gt;0,K361+1,0),0)</f>
        <v>0</v>
      </c>
      <c r="M361" s="208">
        <f>IF(M$2&lt;=AnalysisPeriod,IF(SUM($C717:M717)&gt;0,L361+1,0),0)</f>
        <v>0</v>
      </c>
      <c r="N361" s="208">
        <f>IF(N$2&lt;=AnalysisPeriod,IF(SUM($C717:N717)&gt;0,M361+1,0),0)</f>
        <v>0</v>
      </c>
      <c r="O361" s="208">
        <f>IF(O$2&lt;=AnalysisPeriod,IF(SUM($C717:O717)&gt;0,N361+1,0),0)</f>
        <v>0</v>
      </c>
      <c r="P361" s="208">
        <f>IF(P$2&lt;=AnalysisPeriod,IF(SUM($C717:P717)&gt;0,O361+1,0),0)</f>
        <v>0</v>
      </c>
      <c r="Q361" s="208">
        <f>IF(Q$2&lt;=AnalysisPeriod,IF(SUM($C717:Q717)&gt;0,P361+1,0),0)</f>
        <v>0</v>
      </c>
      <c r="R361" s="208">
        <f>IF(R$2&lt;=AnalysisPeriod,IF(SUM($C717:R717)&gt;0,Q361+1,0),0)</f>
        <v>0</v>
      </c>
      <c r="S361" s="208">
        <f>IF(S$2&lt;=AnalysisPeriod,IF(SUM($C717:S717)&gt;0,R361+1,0),0)</f>
        <v>0</v>
      </c>
      <c r="T361" s="208">
        <f>IF(T$2&lt;=AnalysisPeriod,IF(SUM($C717:T717)&gt;0,S361+1,0),0)</f>
        <v>0</v>
      </c>
      <c r="U361" s="208">
        <f>IF(U$2&lt;=AnalysisPeriod,IF(SUM($C717:U717)&gt;0,T361+1,0),0)</f>
        <v>0</v>
      </c>
      <c r="V361" s="208">
        <f>IF(V$2&lt;=AnalysisPeriod,IF(SUM($C717:V717)&gt;0,U361+1,0),0)</f>
        <v>0</v>
      </c>
      <c r="W361" s="208">
        <f>IF(W$2&lt;=AnalysisPeriod,IF(SUM($C717:W717)&gt;0,V361+1,0),0)</f>
        <v>0</v>
      </c>
      <c r="X361" s="208">
        <f>IF(X$2&lt;=AnalysisPeriod,IF(SUM($C717:X717)&gt;0,W361+1,0),0)</f>
        <v>0</v>
      </c>
      <c r="Y361" s="208">
        <f>IF(Y$2&lt;=AnalysisPeriod,IF(SUM($C717:Y717)&gt;0,X361+1,0),0)</f>
        <v>0</v>
      </c>
      <c r="Z361" s="208">
        <f>IF(Z$2&lt;=AnalysisPeriod,IF(SUM($C717:Z717)&gt;0,Y361+1,0),0)</f>
        <v>0</v>
      </c>
      <c r="AA361" s="208">
        <f>IF(AA$2&lt;=AnalysisPeriod,IF(SUM($C717:AA717)&gt;0,Z361+1,0),0)</f>
        <v>0</v>
      </c>
      <c r="AB361" s="208">
        <f>IF(AB$2&lt;=AnalysisPeriod,IF(SUM($C717:AB717)&gt;0,AA361+1,0),0)</f>
        <v>0</v>
      </c>
      <c r="AC361" s="208">
        <f>IF(AC$2&lt;=AnalysisPeriod,IF(SUM($C717:AC717)&gt;0,AB361+1,0),0)</f>
        <v>0</v>
      </c>
      <c r="AD361" s="208">
        <f>IF(AD$2&lt;=AnalysisPeriod,IF(SUM($C717:AD717)&gt;0,AC361+1,0),0)</f>
        <v>0</v>
      </c>
      <c r="AE361" s="208">
        <f>IF(AE$2&lt;=AnalysisPeriod,IF(SUM($C717:AE717)&gt;0,AD361+1,0),0)</f>
        <v>0</v>
      </c>
      <c r="AF361" s="208">
        <f>IF(AF$2&lt;=AnalysisPeriod,IF(SUM($C717:AF717)&gt;0,AE361+1,0),0)</f>
        <v>0</v>
      </c>
      <c r="AG361" s="208">
        <f>IF(AG$2&lt;=AnalysisPeriod,IF(SUM($C717:AG717)&gt;0,AF361+1,0),0)</f>
        <v>0</v>
      </c>
      <c r="AH361" s="208">
        <f>IF(AH$2&lt;=AnalysisPeriod,IF(SUM($C717:AH717)&gt;0,AG361+1,0),0)</f>
        <v>0</v>
      </c>
      <c r="AI361" s="208">
        <f>IF(AI$2&lt;=AnalysisPeriod,IF(SUM($C717:AI717)&gt;0,AH361+1,0),0)</f>
        <v>0</v>
      </c>
      <c r="AJ361" s="208">
        <f>IF(AJ$2&lt;=AnalysisPeriod,IF(SUM($C717:AJ717)&gt;0,AI361+1,0),0)</f>
        <v>0</v>
      </c>
      <c r="AK361" s="208">
        <f>IF(AK$2&lt;=AnalysisPeriod,IF(SUM($C717:AK717)&gt;0,AJ361+1,0),0)</f>
        <v>0</v>
      </c>
      <c r="AL361" s="208">
        <f>IF(AL$2&lt;=AnalysisPeriod,IF(SUM($C717:AL717)&gt;0,AK361+1,0),0)</f>
        <v>0</v>
      </c>
      <c r="AM361" s="208">
        <f>IF(AM$2&lt;=AnalysisPeriod,IF(SUM($C717:AM717)&gt;0,AL361+1,0),0)</f>
        <v>0</v>
      </c>
      <c r="AN361" s="208">
        <f>IF(AN$2&lt;=AnalysisPeriod,IF(SUM($C717:AN717)&gt;0,AM361+1,0),0)</f>
        <v>0</v>
      </c>
      <c r="AO361" s="208">
        <f>IF(AO$2&lt;=AnalysisPeriod,IF(SUM($C717:AO717)&gt;0,AN361+1,0),0)</f>
        <v>0</v>
      </c>
      <c r="AP361" s="208">
        <f>IF(AP$2&lt;=AnalysisPeriod,IF(SUM($C717:AP717)&gt;0,AO361+1,0),0)</f>
        <v>0</v>
      </c>
    </row>
    <row r="362" spans="1:42">
      <c r="A362" s="119">
        <f t="shared" si="167"/>
        <v>6</v>
      </c>
      <c r="C362" s="208">
        <f>IF(C$2&lt;=AnalysisPeriod,IF(SUM($C718:C718)&gt;0,B362+1,0),0)</f>
        <v>0</v>
      </c>
      <c r="D362" s="208">
        <f>IF(D$2&lt;=AnalysisPeriod,IF(SUM($C718:D718)&gt;0,C362+1,0),0)</f>
        <v>0</v>
      </c>
      <c r="E362" s="208">
        <f>IF(E$2&lt;=AnalysisPeriod,IF(SUM($C718:E718)&gt;0,D362+1,0),0)</f>
        <v>0</v>
      </c>
      <c r="F362" s="208">
        <f>IF(F$2&lt;=AnalysisPeriod,IF(SUM($C718:F718)&gt;0,E362+1,0),0)</f>
        <v>0</v>
      </c>
      <c r="G362" s="208">
        <f>IF(G$2&lt;=AnalysisPeriod,IF(SUM($C718:G718)&gt;0,F362+1,0),0)</f>
        <v>0</v>
      </c>
      <c r="H362" s="208">
        <f>IF(H$2&lt;=AnalysisPeriod,IF(SUM($C718:H718)&gt;0,G362+1,0),0)</f>
        <v>0</v>
      </c>
      <c r="I362" s="208">
        <f>IF(I$2&lt;=AnalysisPeriod,IF(SUM($C718:I718)&gt;0,H362+1,0),0)</f>
        <v>0</v>
      </c>
      <c r="J362" s="208">
        <f>IF(J$2&lt;=AnalysisPeriod,IF(SUM($C718:J718)&gt;0,I362+1,0),0)</f>
        <v>0</v>
      </c>
      <c r="K362" s="208">
        <f>IF(K$2&lt;=AnalysisPeriod,IF(SUM($C718:K718)&gt;0,J362+1,0),0)</f>
        <v>0</v>
      </c>
      <c r="L362" s="208">
        <f>IF(L$2&lt;=AnalysisPeriod,IF(SUM($C718:L718)&gt;0,K362+1,0),0)</f>
        <v>0</v>
      </c>
      <c r="M362" s="208">
        <f>IF(M$2&lt;=AnalysisPeriod,IF(SUM($C718:M718)&gt;0,L362+1,0),0)</f>
        <v>0</v>
      </c>
      <c r="N362" s="208">
        <f>IF(N$2&lt;=AnalysisPeriod,IF(SUM($C718:N718)&gt;0,M362+1,0),0)</f>
        <v>0</v>
      </c>
      <c r="O362" s="208">
        <f>IF(O$2&lt;=AnalysisPeriod,IF(SUM($C718:O718)&gt;0,N362+1,0),0)</f>
        <v>0</v>
      </c>
      <c r="P362" s="208">
        <f>IF(P$2&lt;=AnalysisPeriod,IF(SUM($C718:P718)&gt;0,O362+1,0),0)</f>
        <v>0</v>
      </c>
      <c r="Q362" s="208">
        <f>IF(Q$2&lt;=AnalysisPeriod,IF(SUM($C718:Q718)&gt;0,P362+1,0),0)</f>
        <v>0</v>
      </c>
      <c r="R362" s="208">
        <f>IF(R$2&lt;=AnalysisPeriod,IF(SUM($C718:R718)&gt;0,Q362+1,0),0)</f>
        <v>0</v>
      </c>
      <c r="S362" s="208">
        <f>IF(S$2&lt;=AnalysisPeriod,IF(SUM($C718:S718)&gt;0,R362+1,0),0)</f>
        <v>0</v>
      </c>
      <c r="T362" s="208">
        <f>IF(T$2&lt;=AnalysisPeriod,IF(SUM($C718:T718)&gt;0,S362+1,0),0)</f>
        <v>0</v>
      </c>
      <c r="U362" s="208">
        <f>IF(U$2&lt;=AnalysisPeriod,IF(SUM($C718:U718)&gt;0,T362+1,0),0)</f>
        <v>0</v>
      </c>
      <c r="V362" s="208">
        <f>IF(V$2&lt;=AnalysisPeriod,IF(SUM($C718:V718)&gt;0,U362+1,0),0)</f>
        <v>0</v>
      </c>
      <c r="W362" s="208">
        <f>IF(W$2&lt;=AnalysisPeriod,IF(SUM($C718:W718)&gt;0,V362+1,0),0)</f>
        <v>0</v>
      </c>
      <c r="X362" s="208">
        <f>IF(X$2&lt;=AnalysisPeriod,IF(SUM($C718:X718)&gt;0,W362+1,0),0)</f>
        <v>0</v>
      </c>
      <c r="Y362" s="208">
        <f>IF(Y$2&lt;=AnalysisPeriod,IF(SUM($C718:Y718)&gt;0,X362+1,0),0)</f>
        <v>0</v>
      </c>
      <c r="Z362" s="208">
        <f>IF(Z$2&lt;=AnalysisPeriod,IF(SUM($C718:Z718)&gt;0,Y362+1,0),0)</f>
        <v>0</v>
      </c>
      <c r="AA362" s="208">
        <f>IF(AA$2&lt;=AnalysisPeriod,IF(SUM($C718:AA718)&gt;0,Z362+1,0),0)</f>
        <v>0</v>
      </c>
      <c r="AB362" s="208">
        <f>IF(AB$2&lt;=AnalysisPeriod,IF(SUM($C718:AB718)&gt;0,AA362+1,0),0)</f>
        <v>0</v>
      </c>
      <c r="AC362" s="208">
        <f>IF(AC$2&lt;=AnalysisPeriod,IF(SUM($C718:AC718)&gt;0,AB362+1,0),0)</f>
        <v>0</v>
      </c>
      <c r="AD362" s="208">
        <f>IF(AD$2&lt;=AnalysisPeriod,IF(SUM($C718:AD718)&gt;0,AC362+1,0),0)</f>
        <v>0</v>
      </c>
      <c r="AE362" s="208">
        <f>IF(AE$2&lt;=AnalysisPeriod,IF(SUM($C718:AE718)&gt;0,AD362+1,0),0)</f>
        <v>0</v>
      </c>
      <c r="AF362" s="208">
        <f>IF(AF$2&lt;=AnalysisPeriod,IF(SUM($C718:AF718)&gt;0,AE362+1,0),0)</f>
        <v>0</v>
      </c>
      <c r="AG362" s="208">
        <f>IF(AG$2&lt;=AnalysisPeriod,IF(SUM($C718:AG718)&gt;0,AF362+1,0),0)</f>
        <v>0</v>
      </c>
      <c r="AH362" s="208">
        <f>IF(AH$2&lt;=AnalysisPeriod,IF(SUM($C718:AH718)&gt;0,AG362+1,0),0)</f>
        <v>0</v>
      </c>
      <c r="AI362" s="208">
        <f>IF(AI$2&lt;=AnalysisPeriod,IF(SUM($C718:AI718)&gt;0,AH362+1,0),0)</f>
        <v>0</v>
      </c>
      <c r="AJ362" s="208">
        <f>IF(AJ$2&lt;=AnalysisPeriod,IF(SUM($C718:AJ718)&gt;0,AI362+1,0),0)</f>
        <v>0</v>
      </c>
      <c r="AK362" s="208">
        <f>IF(AK$2&lt;=AnalysisPeriod,IF(SUM($C718:AK718)&gt;0,AJ362+1,0),0)</f>
        <v>0</v>
      </c>
      <c r="AL362" s="208">
        <f>IF(AL$2&lt;=AnalysisPeriod,IF(SUM($C718:AL718)&gt;0,AK362+1,0),0)</f>
        <v>0</v>
      </c>
      <c r="AM362" s="208">
        <f>IF(AM$2&lt;=AnalysisPeriod,IF(SUM($C718:AM718)&gt;0,AL362+1,0),0)</f>
        <v>0</v>
      </c>
      <c r="AN362" s="208">
        <f>IF(AN$2&lt;=AnalysisPeriod,IF(SUM($C718:AN718)&gt;0,AM362+1,0),0)</f>
        <v>0</v>
      </c>
      <c r="AO362" s="208">
        <f>IF(AO$2&lt;=AnalysisPeriod,IF(SUM($C718:AO718)&gt;0,AN362+1,0),0)</f>
        <v>0</v>
      </c>
      <c r="AP362" s="208">
        <f>IF(AP$2&lt;=AnalysisPeriod,IF(SUM($C718:AP718)&gt;0,AO362+1,0),0)</f>
        <v>0</v>
      </c>
    </row>
    <row r="363" spans="1:42">
      <c r="A363" s="119">
        <f t="shared" si="167"/>
        <v>7</v>
      </c>
      <c r="C363" s="208">
        <f>IF(C$2&lt;=AnalysisPeriod,IF(SUM($C719:C719)&gt;0,B363+1,0),0)</f>
        <v>0</v>
      </c>
      <c r="D363" s="208">
        <f>IF(D$2&lt;=AnalysisPeriod,IF(SUM($C719:D719)&gt;0,C363+1,0),0)</f>
        <v>0</v>
      </c>
      <c r="E363" s="208">
        <f>IF(E$2&lt;=AnalysisPeriod,IF(SUM($C719:E719)&gt;0,D363+1,0),0)</f>
        <v>0</v>
      </c>
      <c r="F363" s="208">
        <f>IF(F$2&lt;=AnalysisPeriod,IF(SUM($C719:F719)&gt;0,E363+1,0),0)</f>
        <v>0</v>
      </c>
      <c r="G363" s="208">
        <f>IF(G$2&lt;=AnalysisPeriod,IF(SUM($C719:G719)&gt;0,F363+1,0),0)</f>
        <v>0</v>
      </c>
      <c r="H363" s="208">
        <f>IF(H$2&lt;=AnalysisPeriod,IF(SUM($C719:H719)&gt;0,G363+1,0),0)</f>
        <v>0</v>
      </c>
      <c r="I363" s="208">
        <f>IF(I$2&lt;=AnalysisPeriod,IF(SUM($C719:I719)&gt;0,H363+1,0),0)</f>
        <v>0</v>
      </c>
      <c r="J363" s="208">
        <f>IF(J$2&lt;=AnalysisPeriod,IF(SUM($C719:J719)&gt;0,I363+1,0),0)</f>
        <v>0</v>
      </c>
      <c r="K363" s="208">
        <f>IF(K$2&lt;=AnalysisPeriod,IF(SUM($C719:K719)&gt;0,J363+1,0),0)</f>
        <v>0</v>
      </c>
      <c r="L363" s="208">
        <f>IF(L$2&lt;=AnalysisPeriod,IF(SUM($C719:L719)&gt;0,K363+1,0),0)</f>
        <v>0</v>
      </c>
      <c r="M363" s="208">
        <f>IF(M$2&lt;=AnalysisPeriod,IF(SUM($C719:M719)&gt;0,L363+1,0),0)</f>
        <v>0</v>
      </c>
      <c r="N363" s="208">
        <f>IF(N$2&lt;=AnalysisPeriod,IF(SUM($C719:N719)&gt;0,M363+1,0),0)</f>
        <v>0</v>
      </c>
      <c r="O363" s="208">
        <f>IF(O$2&lt;=AnalysisPeriod,IF(SUM($C719:O719)&gt;0,N363+1,0),0)</f>
        <v>0</v>
      </c>
      <c r="P363" s="208">
        <f>IF(P$2&lt;=AnalysisPeriod,IF(SUM($C719:P719)&gt;0,O363+1,0),0)</f>
        <v>0</v>
      </c>
      <c r="Q363" s="208">
        <f>IF(Q$2&lt;=AnalysisPeriod,IF(SUM($C719:Q719)&gt;0,P363+1,0),0)</f>
        <v>0</v>
      </c>
      <c r="R363" s="208">
        <f>IF(R$2&lt;=AnalysisPeriod,IF(SUM($C719:R719)&gt;0,Q363+1,0),0)</f>
        <v>0</v>
      </c>
      <c r="S363" s="208">
        <f>IF(S$2&lt;=AnalysisPeriod,IF(SUM($C719:S719)&gt;0,R363+1,0),0)</f>
        <v>0</v>
      </c>
      <c r="T363" s="208">
        <f>IF(T$2&lt;=AnalysisPeriod,IF(SUM($C719:T719)&gt;0,S363+1,0),0)</f>
        <v>0</v>
      </c>
      <c r="U363" s="208">
        <f>IF(U$2&lt;=AnalysisPeriod,IF(SUM($C719:U719)&gt;0,T363+1,0),0)</f>
        <v>0</v>
      </c>
      <c r="V363" s="208">
        <f>IF(V$2&lt;=AnalysisPeriod,IF(SUM($C719:V719)&gt;0,U363+1,0),0)</f>
        <v>0</v>
      </c>
      <c r="W363" s="208">
        <f>IF(W$2&lt;=AnalysisPeriod,IF(SUM($C719:W719)&gt;0,V363+1,0),0)</f>
        <v>0</v>
      </c>
      <c r="X363" s="208">
        <f>IF(X$2&lt;=AnalysisPeriod,IF(SUM($C719:X719)&gt;0,W363+1,0),0)</f>
        <v>0</v>
      </c>
      <c r="Y363" s="208">
        <f>IF(Y$2&lt;=AnalysisPeriod,IF(SUM($C719:Y719)&gt;0,X363+1,0),0)</f>
        <v>0</v>
      </c>
      <c r="Z363" s="208">
        <f>IF(Z$2&lt;=AnalysisPeriod,IF(SUM($C719:Z719)&gt;0,Y363+1,0),0)</f>
        <v>0</v>
      </c>
      <c r="AA363" s="208">
        <f>IF(AA$2&lt;=AnalysisPeriod,IF(SUM($C719:AA719)&gt;0,Z363+1,0),0)</f>
        <v>0</v>
      </c>
      <c r="AB363" s="208">
        <f>IF(AB$2&lt;=AnalysisPeriod,IF(SUM($C719:AB719)&gt;0,AA363+1,0),0)</f>
        <v>0</v>
      </c>
      <c r="AC363" s="208">
        <f>IF(AC$2&lt;=AnalysisPeriod,IF(SUM($C719:AC719)&gt;0,AB363+1,0),0)</f>
        <v>0</v>
      </c>
      <c r="AD363" s="208">
        <f>IF(AD$2&lt;=AnalysisPeriod,IF(SUM($C719:AD719)&gt;0,AC363+1,0),0)</f>
        <v>0</v>
      </c>
      <c r="AE363" s="208">
        <f>IF(AE$2&lt;=AnalysisPeriod,IF(SUM($C719:AE719)&gt;0,AD363+1,0),0)</f>
        <v>0</v>
      </c>
      <c r="AF363" s="208">
        <f>IF(AF$2&lt;=AnalysisPeriod,IF(SUM($C719:AF719)&gt;0,AE363+1,0),0)</f>
        <v>0</v>
      </c>
      <c r="AG363" s="208">
        <f>IF(AG$2&lt;=AnalysisPeriod,IF(SUM($C719:AG719)&gt;0,AF363+1,0),0)</f>
        <v>0</v>
      </c>
      <c r="AH363" s="208">
        <f>IF(AH$2&lt;=AnalysisPeriod,IF(SUM($C719:AH719)&gt;0,AG363+1,0),0)</f>
        <v>0</v>
      </c>
      <c r="AI363" s="208">
        <f>IF(AI$2&lt;=AnalysisPeriod,IF(SUM($C719:AI719)&gt;0,AH363+1,0),0)</f>
        <v>0</v>
      </c>
      <c r="AJ363" s="208">
        <f>IF(AJ$2&lt;=AnalysisPeriod,IF(SUM($C719:AJ719)&gt;0,AI363+1,0),0)</f>
        <v>0</v>
      </c>
      <c r="AK363" s="208">
        <f>IF(AK$2&lt;=AnalysisPeriod,IF(SUM($C719:AK719)&gt;0,AJ363+1,0),0)</f>
        <v>0</v>
      </c>
      <c r="AL363" s="208">
        <f>IF(AL$2&lt;=AnalysisPeriod,IF(SUM($C719:AL719)&gt;0,AK363+1,0),0)</f>
        <v>0</v>
      </c>
      <c r="AM363" s="208">
        <f>IF(AM$2&lt;=AnalysisPeriod,IF(SUM($C719:AM719)&gt;0,AL363+1,0),0)</f>
        <v>0</v>
      </c>
      <c r="AN363" s="208">
        <f>IF(AN$2&lt;=AnalysisPeriod,IF(SUM($C719:AN719)&gt;0,AM363+1,0),0)</f>
        <v>0</v>
      </c>
      <c r="AO363" s="208">
        <f>IF(AO$2&lt;=AnalysisPeriod,IF(SUM($C719:AO719)&gt;0,AN363+1,0),0)</f>
        <v>0</v>
      </c>
      <c r="AP363" s="208">
        <f>IF(AP$2&lt;=AnalysisPeriod,IF(SUM($C719:AP719)&gt;0,AO363+1,0),0)</f>
        <v>0</v>
      </c>
    </row>
    <row r="364" spans="1:42">
      <c r="A364" s="119">
        <f t="shared" si="167"/>
        <v>8</v>
      </c>
      <c r="C364" s="208">
        <f>IF(C$2&lt;=AnalysisPeriod,IF(SUM($C720:C720)&gt;0,B364+1,0),0)</f>
        <v>0</v>
      </c>
      <c r="D364" s="208">
        <f>IF(D$2&lt;=AnalysisPeriod,IF(SUM($C720:D720)&gt;0,C364+1,0),0)</f>
        <v>0</v>
      </c>
      <c r="E364" s="208">
        <f>IF(E$2&lt;=AnalysisPeriod,IF(SUM($C720:E720)&gt;0,D364+1,0),0)</f>
        <v>0</v>
      </c>
      <c r="F364" s="208">
        <f>IF(F$2&lt;=AnalysisPeriod,IF(SUM($C720:F720)&gt;0,E364+1,0),0)</f>
        <v>0</v>
      </c>
      <c r="G364" s="208">
        <f>IF(G$2&lt;=AnalysisPeriod,IF(SUM($C720:G720)&gt;0,F364+1,0),0)</f>
        <v>0</v>
      </c>
      <c r="H364" s="208">
        <f>IF(H$2&lt;=AnalysisPeriod,IF(SUM($C720:H720)&gt;0,G364+1,0),0)</f>
        <v>0</v>
      </c>
      <c r="I364" s="208">
        <f>IF(I$2&lt;=AnalysisPeriod,IF(SUM($C720:I720)&gt;0,H364+1,0),0)</f>
        <v>0</v>
      </c>
      <c r="J364" s="208">
        <f>IF(J$2&lt;=AnalysisPeriod,IF(SUM($C720:J720)&gt;0,I364+1,0),0)</f>
        <v>0</v>
      </c>
      <c r="K364" s="208">
        <f>IF(K$2&lt;=AnalysisPeriod,IF(SUM($C720:K720)&gt;0,J364+1,0),0)</f>
        <v>0</v>
      </c>
      <c r="L364" s="208">
        <f>IF(L$2&lt;=AnalysisPeriod,IF(SUM($C720:L720)&gt;0,K364+1,0),0)</f>
        <v>0</v>
      </c>
      <c r="M364" s="208">
        <f>IF(M$2&lt;=AnalysisPeriod,IF(SUM($C720:M720)&gt;0,L364+1,0),0)</f>
        <v>0</v>
      </c>
      <c r="N364" s="208">
        <f>IF(N$2&lt;=AnalysisPeriod,IF(SUM($C720:N720)&gt;0,M364+1,0),0)</f>
        <v>0</v>
      </c>
      <c r="O364" s="208">
        <f>IF(O$2&lt;=AnalysisPeriod,IF(SUM($C720:O720)&gt;0,N364+1,0),0)</f>
        <v>0</v>
      </c>
      <c r="P364" s="208">
        <f>IF(P$2&lt;=AnalysisPeriod,IF(SUM($C720:P720)&gt;0,O364+1,0),0)</f>
        <v>0</v>
      </c>
      <c r="Q364" s="208">
        <f>IF(Q$2&lt;=AnalysisPeriod,IF(SUM($C720:Q720)&gt;0,P364+1,0),0)</f>
        <v>0</v>
      </c>
      <c r="R364" s="208">
        <f>IF(R$2&lt;=AnalysisPeriod,IF(SUM($C720:R720)&gt;0,Q364+1,0),0)</f>
        <v>0</v>
      </c>
      <c r="S364" s="208">
        <f>IF(S$2&lt;=AnalysisPeriod,IF(SUM($C720:S720)&gt;0,R364+1,0),0)</f>
        <v>0</v>
      </c>
      <c r="T364" s="208">
        <f>IF(T$2&lt;=AnalysisPeriod,IF(SUM($C720:T720)&gt;0,S364+1,0),0)</f>
        <v>0</v>
      </c>
      <c r="U364" s="208">
        <f>IF(U$2&lt;=AnalysisPeriod,IF(SUM($C720:U720)&gt;0,T364+1,0),0)</f>
        <v>0</v>
      </c>
      <c r="V364" s="208">
        <f>IF(V$2&lt;=AnalysisPeriod,IF(SUM($C720:V720)&gt;0,U364+1,0),0)</f>
        <v>0</v>
      </c>
      <c r="W364" s="208">
        <f>IF(W$2&lt;=AnalysisPeriod,IF(SUM($C720:W720)&gt;0,V364+1,0),0)</f>
        <v>0</v>
      </c>
      <c r="X364" s="208">
        <f>IF(X$2&lt;=AnalysisPeriod,IF(SUM($C720:X720)&gt;0,W364+1,0),0)</f>
        <v>0</v>
      </c>
      <c r="Y364" s="208">
        <f>IF(Y$2&lt;=AnalysisPeriod,IF(SUM($C720:Y720)&gt;0,X364+1,0),0)</f>
        <v>0</v>
      </c>
      <c r="Z364" s="208">
        <f>IF(Z$2&lt;=AnalysisPeriod,IF(SUM($C720:Z720)&gt;0,Y364+1,0),0)</f>
        <v>0</v>
      </c>
      <c r="AA364" s="208">
        <f>IF(AA$2&lt;=AnalysisPeriod,IF(SUM($C720:AA720)&gt;0,Z364+1,0),0)</f>
        <v>0</v>
      </c>
      <c r="AB364" s="208">
        <f>IF(AB$2&lt;=AnalysisPeriod,IF(SUM($C720:AB720)&gt;0,AA364+1,0),0)</f>
        <v>0</v>
      </c>
      <c r="AC364" s="208">
        <f>IF(AC$2&lt;=AnalysisPeriod,IF(SUM($C720:AC720)&gt;0,AB364+1,0),0)</f>
        <v>0</v>
      </c>
      <c r="AD364" s="208">
        <f>IF(AD$2&lt;=AnalysisPeriod,IF(SUM($C720:AD720)&gt;0,AC364+1,0),0)</f>
        <v>0</v>
      </c>
      <c r="AE364" s="208">
        <f>IF(AE$2&lt;=AnalysisPeriod,IF(SUM($C720:AE720)&gt;0,AD364+1,0),0)</f>
        <v>0</v>
      </c>
      <c r="AF364" s="208">
        <f>IF(AF$2&lt;=AnalysisPeriod,IF(SUM($C720:AF720)&gt;0,AE364+1,0),0)</f>
        <v>0</v>
      </c>
      <c r="AG364" s="208">
        <f>IF(AG$2&lt;=AnalysisPeriod,IF(SUM($C720:AG720)&gt;0,AF364+1,0),0)</f>
        <v>0</v>
      </c>
      <c r="AH364" s="208">
        <f>IF(AH$2&lt;=AnalysisPeriod,IF(SUM($C720:AH720)&gt;0,AG364+1,0),0)</f>
        <v>0</v>
      </c>
      <c r="AI364" s="208">
        <f>IF(AI$2&lt;=AnalysisPeriod,IF(SUM($C720:AI720)&gt;0,AH364+1,0),0)</f>
        <v>0</v>
      </c>
      <c r="AJ364" s="208">
        <f>IF(AJ$2&lt;=AnalysisPeriod,IF(SUM($C720:AJ720)&gt;0,AI364+1,0),0)</f>
        <v>0</v>
      </c>
      <c r="AK364" s="208">
        <f>IF(AK$2&lt;=AnalysisPeriod,IF(SUM($C720:AK720)&gt;0,AJ364+1,0),0)</f>
        <v>0</v>
      </c>
      <c r="AL364" s="208">
        <f>IF(AL$2&lt;=AnalysisPeriod,IF(SUM($C720:AL720)&gt;0,AK364+1,0),0)</f>
        <v>0</v>
      </c>
      <c r="AM364" s="208">
        <f>IF(AM$2&lt;=AnalysisPeriod,IF(SUM($C720:AM720)&gt;0,AL364+1,0),0)</f>
        <v>0</v>
      </c>
      <c r="AN364" s="208">
        <f>IF(AN$2&lt;=AnalysisPeriod,IF(SUM($C720:AN720)&gt;0,AM364+1,0),0)</f>
        <v>0</v>
      </c>
      <c r="AO364" s="208">
        <f>IF(AO$2&lt;=AnalysisPeriod,IF(SUM($C720:AO720)&gt;0,AN364+1,0),0)</f>
        <v>0</v>
      </c>
      <c r="AP364" s="208">
        <f>IF(AP$2&lt;=AnalysisPeriod,IF(SUM($C720:AP720)&gt;0,AO364+1,0),0)</f>
        <v>0</v>
      </c>
    </row>
    <row r="365" spans="1:42">
      <c r="A365" s="119">
        <f>A364+1</f>
        <v>9</v>
      </c>
      <c r="C365" s="208">
        <f>IF(C$2&lt;=AnalysisPeriod,IF(SUM($C721:C721)&gt;0,B365+1,0),0)</f>
        <v>0</v>
      </c>
      <c r="D365" s="208">
        <f>IF(D$2&lt;=AnalysisPeriod,IF(SUM($C721:D721)&gt;0,C365+1,0),0)</f>
        <v>0</v>
      </c>
      <c r="E365" s="208">
        <f>IF(E$2&lt;=AnalysisPeriod,IF(SUM($C721:E721)&gt;0,D365+1,0),0)</f>
        <v>0</v>
      </c>
      <c r="F365" s="208">
        <f>IF(F$2&lt;=AnalysisPeriod,IF(SUM($C721:F721)&gt;0,E365+1,0),0)</f>
        <v>0</v>
      </c>
      <c r="G365" s="208">
        <f>IF(G$2&lt;=AnalysisPeriod,IF(SUM($C721:G721)&gt;0,F365+1,0),0)</f>
        <v>0</v>
      </c>
      <c r="H365" s="208">
        <f>IF(H$2&lt;=AnalysisPeriod,IF(SUM($C721:H721)&gt;0,G365+1,0),0)</f>
        <v>0</v>
      </c>
      <c r="I365" s="208">
        <f>IF(I$2&lt;=AnalysisPeriod,IF(SUM($C721:I721)&gt;0,H365+1,0),0)</f>
        <v>0</v>
      </c>
      <c r="J365" s="208">
        <f>IF(J$2&lt;=AnalysisPeriod,IF(SUM($C721:J721)&gt;0,I365+1,0),0)</f>
        <v>0</v>
      </c>
      <c r="K365" s="208">
        <f>IF(K$2&lt;=AnalysisPeriod,IF(SUM($C721:K721)&gt;0,J365+1,0),0)</f>
        <v>0</v>
      </c>
      <c r="L365" s="208">
        <f>IF(L$2&lt;=AnalysisPeriod,IF(SUM($C721:L721)&gt;0,K365+1,0),0)</f>
        <v>0</v>
      </c>
      <c r="M365" s="208">
        <f>IF(M$2&lt;=AnalysisPeriod,IF(SUM($C721:M721)&gt;0,L365+1,0),0)</f>
        <v>0</v>
      </c>
      <c r="N365" s="208">
        <f>IF(N$2&lt;=AnalysisPeriod,IF(SUM($C721:N721)&gt;0,M365+1,0),0)</f>
        <v>0</v>
      </c>
      <c r="O365" s="208">
        <f>IF(O$2&lt;=AnalysisPeriod,IF(SUM($C721:O721)&gt;0,N365+1,0),0)</f>
        <v>0</v>
      </c>
      <c r="P365" s="208">
        <f>IF(P$2&lt;=AnalysisPeriod,IF(SUM($C721:P721)&gt;0,O365+1,0),0)</f>
        <v>0</v>
      </c>
      <c r="Q365" s="208">
        <f>IF(Q$2&lt;=AnalysisPeriod,IF(SUM($C721:Q721)&gt;0,P365+1,0),0)</f>
        <v>0</v>
      </c>
      <c r="R365" s="208">
        <f>IF(R$2&lt;=AnalysisPeriod,IF(SUM($C721:R721)&gt;0,Q365+1,0),0)</f>
        <v>0</v>
      </c>
      <c r="S365" s="208">
        <f>IF(S$2&lt;=AnalysisPeriod,IF(SUM($C721:S721)&gt;0,R365+1,0),0)</f>
        <v>0</v>
      </c>
      <c r="T365" s="208">
        <f>IF(T$2&lt;=AnalysisPeriod,IF(SUM($C721:T721)&gt;0,S365+1,0),0)</f>
        <v>0</v>
      </c>
      <c r="U365" s="208">
        <f>IF(U$2&lt;=AnalysisPeriod,IF(SUM($C721:U721)&gt;0,T365+1,0),0)</f>
        <v>0</v>
      </c>
      <c r="V365" s="208">
        <f>IF(V$2&lt;=AnalysisPeriod,IF(SUM($C721:V721)&gt;0,U365+1,0),0)</f>
        <v>0</v>
      </c>
      <c r="W365" s="208">
        <f>IF(W$2&lt;=AnalysisPeriod,IF(SUM($C721:W721)&gt;0,V365+1,0),0)</f>
        <v>0</v>
      </c>
      <c r="X365" s="208">
        <f>IF(X$2&lt;=AnalysisPeriod,IF(SUM($C721:X721)&gt;0,W365+1,0),0)</f>
        <v>0</v>
      </c>
      <c r="Y365" s="208">
        <f>IF(Y$2&lt;=AnalysisPeriod,IF(SUM($C721:Y721)&gt;0,X365+1,0),0)</f>
        <v>0</v>
      </c>
      <c r="Z365" s="208">
        <f>IF(Z$2&lt;=AnalysisPeriod,IF(SUM($C721:Z721)&gt;0,Y365+1,0),0)</f>
        <v>0</v>
      </c>
      <c r="AA365" s="208">
        <f>IF(AA$2&lt;=AnalysisPeriod,IF(SUM($C721:AA721)&gt;0,Z365+1,0),0)</f>
        <v>0</v>
      </c>
      <c r="AB365" s="208">
        <f>IF(AB$2&lt;=AnalysisPeriod,IF(SUM($C721:AB721)&gt;0,AA365+1,0),0)</f>
        <v>0</v>
      </c>
      <c r="AC365" s="208">
        <f>IF(AC$2&lt;=AnalysisPeriod,IF(SUM($C721:AC721)&gt;0,AB365+1,0),0)</f>
        <v>0</v>
      </c>
      <c r="AD365" s="208">
        <f>IF(AD$2&lt;=AnalysisPeriod,IF(SUM($C721:AD721)&gt;0,AC365+1,0),0)</f>
        <v>0</v>
      </c>
      <c r="AE365" s="208">
        <f>IF(AE$2&lt;=AnalysisPeriod,IF(SUM($C721:AE721)&gt;0,AD365+1,0),0)</f>
        <v>0</v>
      </c>
      <c r="AF365" s="208">
        <f>IF(AF$2&lt;=AnalysisPeriod,IF(SUM($C721:AF721)&gt;0,AE365+1,0),0)</f>
        <v>0</v>
      </c>
      <c r="AG365" s="208">
        <f>IF(AG$2&lt;=AnalysisPeriod,IF(SUM($C721:AG721)&gt;0,AF365+1,0),0)</f>
        <v>0</v>
      </c>
      <c r="AH365" s="208">
        <f>IF(AH$2&lt;=AnalysisPeriod,IF(SUM($C721:AH721)&gt;0,AG365+1,0),0)</f>
        <v>0</v>
      </c>
      <c r="AI365" s="208">
        <f>IF(AI$2&lt;=AnalysisPeriod,IF(SUM($C721:AI721)&gt;0,AH365+1,0),0)</f>
        <v>0</v>
      </c>
      <c r="AJ365" s="208">
        <f>IF(AJ$2&lt;=AnalysisPeriod,IF(SUM($C721:AJ721)&gt;0,AI365+1,0),0)</f>
        <v>0</v>
      </c>
      <c r="AK365" s="208">
        <f>IF(AK$2&lt;=AnalysisPeriod,IF(SUM($C721:AK721)&gt;0,AJ365+1,0),0)</f>
        <v>0</v>
      </c>
      <c r="AL365" s="208">
        <f>IF(AL$2&lt;=AnalysisPeriod,IF(SUM($C721:AL721)&gt;0,AK365+1,0),0)</f>
        <v>0</v>
      </c>
      <c r="AM365" s="208">
        <f>IF(AM$2&lt;=AnalysisPeriod,IF(SUM($C721:AM721)&gt;0,AL365+1,0),0)</f>
        <v>0</v>
      </c>
      <c r="AN365" s="208">
        <f>IF(AN$2&lt;=AnalysisPeriod,IF(SUM($C721:AN721)&gt;0,AM365+1,0),0)</f>
        <v>0</v>
      </c>
      <c r="AO365" s="208">
        <f>IF(AO$2&lt;=AnalysisPeriod,IF(SUM($C721:AO721)&gt;0,AN365+1,0),0)</f>
        <v>0</v>
      </c>
      <c r="AP365" s="208">
        <f>IF(AP$2&lt;=AnalysisPeriod,IF(SUM($C721:AP721)&gt;0,AO365+1,0),0)</f>
        <v>0</v>
      </c>
    </row>
    <row r="366" spans="1:42">
      <c r="A366" s="119">
        <f t="shared" si="167"/>
        <v>10</v>
      </c>
      <c r="C366" s="208">
        <f>IF(C$2&lt;=AnalysisPeriod,IF(SUM($C722:C722)&gt;0,B366+1,0),0)</f>
        <v>0</v>
      </c>
      <c r="D366" s="208">
        <f>IF(D$2&lt;=AnalysisPeriod,IF(SUM($C722:D722)&gt;0,C366+1,0),0)</f>
        <v>0</v>
      </c>
      <c r="E366" s="208">
        <f>IF(E$2&lt;=AnalysisPeriod,IF(SUM($C722:E722)&gt;0,D366+1,0),0)</f>
        <v>0</v>
      </c>
      <c r="F366" s="208">
        <f>IF(F$2&lt;=AnalysisPeriod,IF(SUM($C722:F722)&gt;0,E366+1,0),0)</f>
        <v>0</v>
      </c>
      <c r="G366" s="208">
        <f>IF(G$2&lt;=AnalysisPeriod,IF(SUM($C722:G722)&gt;0,F366+1,0),0)</f>
        <v>0</v>
      </c>
      <c r="H366" s="208">
        <f>IF(H$2&lt;=AnalysisPeriod,IF(SUM($C722:H722)&gt;0,G366+1,0),0)</f>
        <v>0</v>
      </c>
      <c r="I366" s="208">
        <f>IF(I$2&lt;=AnalysisPeriod,IF(SUM($C722:I722)&gt;0,H366+1,0),0)</f>
        <v>0</v>
      </c>
      <c r="J366" s="208">
        <f>IF(J$2&lt;=AnalysisPeriod,IF(SUM($C722:J722)&gt;0,I366+1,0),0)</f>
        <v>0</v>
      </c>
      <c r="K366" s="208">
        <f>IF(K$2&lt;=AnalysisPeriod,IF(SUM($C722:K722)&gt;0,J366+1,0),0)</f>
        <v>0</v>
      </c>
      <c r="L366" s="208">
        <f>IF(L$2&lt;=AnalysisPeriod,IF(SUM($C722:L722)&gt;0,K366+1,0),0)</f>
        <v>0</v>
      </c>
      <c r="M366" s="208">
        <f>IF(M$2&lt;=AnalysisPeriod,IF(SUM($C722:M722)&gt;0,L366+1,0),0)</f>
        <v>0</v>
      </c>
      <c r="N366" s="208">
        <f>IF(N$2&lt;=AnalysisPeriod,IF(SUM($C722:N722)&gt;0,M366+1,0),0)</f>
        <v>0</v>
      </c>
      <c r="O366" s="208">
        <f>IF(O$2&lt;=AnalysisPeriod,IF(SUM($C722:O722)&gt;0,N366+1,0),0)</f>
        <v>0</v>
      </c>
      <c r="P366" s="208">
        <f>IF(P$2&lt;=AnalysisPeriod,IF(SUM($C722:P722)&gt;0,O366+1,0),0)</f>
        <v>0</v>
      </c>
      <c r="Q366" s="208">
        <f>IF(Q$2&lt;=AnalysisPeriod,IF(SUM($C722:Q722)&gt;0,P366+1,0),0)</f>
        <v>0</v>
      </c>
      <c r="R366" s="208">
        <f>IF(R$2&lt;=AnalysisPeriod,IF(SUM($C722:R722)&gt;0,Q366+1,0),0)</f>
        <v>0</v>
      </c>
      <c r="S366" s="208">
        <f>IF(S$2&lt;=AnalysisPeriod,IF(SUM($C722:S722)&gt;0,R366+1,0),0)</f>
        <v>0</v>
      </c>
      <c r="T366" s="208">
        <f>IF(T$2&lt;=AnalysisPeriod,IF(SUM($C722:T722)&gt;0,S366+1,0),0)</f>
        <v>0</v>
      </c>
      <c r="U366" s="208">
        <f>IF(U$2&lt;=AnalysisPeriod,IF(SUM($C722:U722)&gt;0,T366+1,0),0)</f>
        <v>0</v>
      </c>
      <c r="V366" s="208">
        <f>IF(V$2&lt;=AnalysisPeriod,IF(SUM($C722:V722)&gt;0,U366+1,0),0)</f>
        <v>0</v>
      </c>
      <c r="W366" s="208">
        <f>IF(W$2&lt;=AnalysisPeriod,IF(SUM($C722:W722)&gt;0,V366+1,0),0)</f>
        <v>0</v>
      </c>
      <c r="X366" s="208">
        <f>IF(X$2&lt;=AnalysisPeriod,IF(SUM($C722:X722)&gt;0,W366+1,0),0)</f>
        <v>0</v>
      </c>
      <c r="Y366" s="208">
        <f>IF(Y$2&lt;=AnalysisPeriod,IF(SUM($C722:Y722)&gt;0,X366+1,0),0)</f>
        <v>0</v>
      </c>
      <c r="Z366" s="208">
        <f>IF(Z$2&lt;=AnalysisPeriod,IF(SUM($C722:Z722)&gt;0,Y366+1,0),0)</f>
        <v>0</v>
      </c>
      <c r="AA366" s="208">
        <f>IF(AA$2&lt;=AnalysisPeriod,IF(SUM($C722:AA722)&gt;0,Z366+1,0),0)</f>
        <v>0</v>
      </c>
      <c r="AB366" s="208">
        <f>IF(AB$2&lt;=AnalysisPeriod,IF(SUM($C722:AB722)&gt;0,AA366+1,0),0)</f>
        <v>0</v>
      </c>
      <c r="AC366" s="208">
        <f>IF(AC$2&lt;=AnalysisPeriod,IF(SUM($C722:AC722)&gt;0,AB366+1,0),0)</f>
        <v>0</v>
      </c>
      <c r="AD366" s="208">
        <f>IF(AD$2&lt;=AnalysisPeriod,IF(SUM($C722:AD722)&gt;0,AC366+1,0),0)</f>
        <v>0</v>
      </c>
      <c r="AE366" s="208">
        <f>IF(AE$2&lt;=AnalysisPeriod,IF(SUM($C722:AE722)&gt;0,AD366+1,0),0)</f>
        <v>0</v>
      </c>
      <c r="AF366" s="208">
        <f>IF(AF$2&lt;=AnalysisPeriod,IF(SUM($C722:AF722)&gt;0,AE366+1,0),0)</f>
        <v>0</v>
      </c>
      <c r="AG366" s="208">
        <f>IF(AG$2&lt;=AnalysisPeriod,IF(SUM($C722:AG722)&gt;0,AF366+1,0),0)</f>
        <v>0</v>
      </c>
      <c r="AH366" s="208">
        <f>IF(AH$2&lt;=AnalysisPeriod,IF(SUM($C722:AH722)&gt;0,AG366+1,0),0)</f>
        <v>0</v>
      </c>
      <c r="AI366" s="208">
        <f>IF(AI$2&lt;=AnalysisPeriod,IF(SUM($C722:AI722)&gt;0,AH366+1,0),0)</f>
        <v>0</v>
      </c>
      <c r="AJ366" s="208">
        <f>IF(AJ$2&lt;=AnalysisPeriod,IF(SUM($C722:AJ722)&gt;0,AI366+1,0),0)</f>
        <v>0</v>
      </c>
      <c r="AK366" s="208">
        <f>IF(AK$2&lt;=AnalysisPeriod,IF(SUM($C722:AK722)&gt;0,AJ366+1,0),0)</f>
        <v>0</v>
      </c>
      <c r="AL366" s="208">
        <f>IF(AL$2&lt;=AnalysisPeriod,IF(SUM($C722:AL722)&gt;0,AK366+1,0),0)</f>
        <v>0</v>
      </c>
      <c r="AM366" s="208">
        <f>IF(AM$2&lt;=AnalysisPeriod,IF(SUM($C722:AM722)&gt;0,AL366+1,0),0)</f>
        <v>0</v>
      </c>
      <c r="AN366" s="208">
        <f>IF(AN$2&lt;=AnalysisPeriod,IF(SUM($C722:AN722)&gt;0,AM366+1,0),0)</f>
        <v>0</v>
      </c>
      <c r="AO366" s="208">
        <f>IF(AO$2&lt;=AnalysisPeriod,IF(SUM($C722:AO722)&gt;0,AN366+1,0),0)</f>
        <v>0</v>
      </c>
      <c r="AP366" s="208">
        <f>IF(AP$2&lt;=AnalysisPeriod,IF(SUM($C722:AP722)&gt;0,AO366+1,0),0)</f>
        <v>0</v>
      </c>
    </row>
    <row r="367" spans="1:42">
      <c r="A367" s="226"/>
      <c r="C367" s="208"/>
      <c r="D367" s="208"/>
      <c r="E367" s="208"/>
      <c r="F367" s="208"/>
      <c r="G367" s="208"/>
      <c r="H367" s="208"/>
      <c r="I367" s="208"/>
      <c r="J367" s="208"/>
      <c r="K367" s="208"/>
      <c r="L367" s="208"/>
      <c r="M367" s="208"/>
      <c r="N367" s="208"/>
      <c r="O367" s="208"/>
      <c r="P367" s="208"/>
      <c r="Q367" s="208"/>
      <c r="R367" s="208"/>
      <c r="S367" s="208"/>
      <c r="T367" s="208"/>
      <c r="U367" s="208"/>
      <c r="V367" s="208"/>
      <c r="W367" s="208"/>
      <c r="X367" s="208"/>
      <c r="Y367" s="208"/>
      <c r="Z367" s="208"/>
      <c r="AA367" s="208"/>
      <c r="AB367" s="208"/>
      <c r="AC367" s="208"/>
      <c r="AD367" s="208"/>
      <c r="AE367" s="208"/>
      <c r="AF367" s="208"/>
      <c r="AG367" s="208"/>
      <c r="AH367" s="208"/>
      <c r="AI367" s="208"/>
      <c r="AJ367" s="208"/>
      <c r="AK367" s="208"/>
      <c r="AL367" s="208"/>
      <c r="AM367" s="208"/>
      <c r="AN367" s="208"/>
      <c r="AO367" s="208"/>
      <c r="AP367" s="208"/>
    </row>
    <row r="368" spans="1:42">
      <c r="A368" s="226" t="s">
        <v>221</v>
      </c>
      <c r="C368" s="208"/>
      <c r="D368" s="208"/>
      <c r="E368" s="208"/>
      <c r="F368" s="208"/>
      <c r="G368" s="208"/>
      <c r="H368" s="208"/>
      <c r="I368" s="208"/>
      <c r="J368" s="208"/>
      <c r="K368" s="208"/>
      <c r="L368" s="208"/>
      <c r="M368" s="208"/>
      <c r="N368" s="208"/>
      <c r="O368" s="208"/>
      <c r="P368" s="208"/>
      <c r="Q368" s="208"/>
      <c r="R368" s="208"/>
      <c r="S368" s="208"/>
      <c r="T368" s="208"/>
      <c r="U368" s="208"/>
      <c r="V368" s="208"/>
      <c r="W368" s="208"/>
      <c r="X368" s="208"/>
      <c r="Y368" s="208"/>
      <c r="Z368" s="208"/>
      <c r="AA368" s="208"/>
      <c r="AB368" s="208"/>
      <c r="AC368" s="208"/>
      <c r="AD368" s="208"/>
      <c r="AE368" s="208"/>
      <c r="AF368" s="208"/>
      <c r="AG368" s="208"/>
      <c r="AH368" s="208"/>
      <c r="AI368" s="208"/>
      <c r="AJ368" s="208"/>
      <c r="AK368" s="208"/>
      <c r="AL368" s="208"/>
      <c r="AM368" s="208"/>
      <c r="AN368" s="208"/>
      <c r="AO368" s="208"/>
      <c r="AP368" s="208"/>
    </row>
    <row r="369" spans="1:42">
      <c r="A369" s="119">
        <v>1</v>
      </c>
      <c r="B369" s="218">
        <f t="shared" ref="B369:B378" si="168">SUM(C369:AP369)</f>
        <v>6158778.6534697898</v>
      </c>
      <c r="C369" s="250">
        <f t="shared" ref="C369:AP369" si="169">LOOKUP(C357,$B$327:$AP$327,$B$328:$AP$328)*$B713</f>
        <v>0</v>
      </c>
      <c r="D369" s="208">
        <f t="shared" si="169"/>
        <v>0</v>
      </c>
      <c r="E369" s="208">
        <f t="shared" si="169"/>
        <v>0</v>
      </c>
      <c r="F369" s="208">
        <f t="shared" si="169"/>
        <v>0</v>
      </c>
      <c r="G369" s="208">
        <f t="shared" si="169"/>
        <v>0</v>
      </c>
      <c r="H369" s="208">
        <f t="shared" si="169"/>
        <v>0</v>
      </c>
      <c r="I369" s="208">
        <f t="shared" si="169"/>
        <v>0</v>
      </c>
      <c r="J369" s="208">
        <f t="shared" si="169"/>
        <v>0</v>
      </c>
      <c r="K369" s="208">
        <f t="shared" si="169"/>
        <v>0</v>
      </c>
      <c r="L369" s="208">
        <f t="shared" si="169"/>
        <v>0</v>
      </c>
      <c r="M369" s="208">
        <f t="shared" si="169"/>
        <v>0</v>
      </c>
      <c r="N369" s="208">
        <f t="shared" si="169"/>
        <v>0</v>
      </c>
      <c r="O369" s="208">
        <f t="shared" si="169"/>
        <v>0</v>
      </c>
      <c r="P369" s="208">
        <f t="shared" si="169"/>
        <v>0</v>
      </c>
      <c r="Q369" s="208">
        <f t="shared" si="169"/>
        <v>1231755.7306939578</v>
      </c>
      <c r="R369" s="208">
        <f t="shared" si="169"/>
        <v>1970809.1691103324</v>
      </c>
      <c r="S369" s="208">
        <f t="shared" si="169"/>
        <v>1182485.5014661995</v>
      </c>
      <c r="T369" s="208">
        <f t="shared" si="169"/>
        <v>709491.30087971967</v>
      </c>
      <c r="U369" s="208">
        <f t="shared" si="169"/>
        <v>709491.30087971967</v>
      </c>
      <c r="V369" s="208">
        <f t="shared" si="169"/>
        <v>354745.65043985983</v>
      </c>
      <c r="W369" s="208">
        <f t="shared" si="169"/>
        <v>0</v>
      </c>
      <c r="X369" s="208">
        <f t="shared" si="169"/>
        <v>0</v>
      </c>
      <c r="Y369" s="208">
        <f t="shared" si="169"/>
        <v>0</v>
      </c>
      <c r="Z369" s="208">
        <f t="shared" si="169"/>
        <v>0</v>
      </c>
      <c r="AA369" s="208">
        <f t="shared" si="169"/>
        <v>0</v>
      </c>
      <c r="AB369" s="208">
        <f t="shared" si="169"/>
        <v>0</v>
      </c>
      <c r="AC369" s="208">
        <f t="shared" si="169"/>
        <v>0</v>
      </c>
      <c r="AD369" s="208">
        <f t="shared" si="169"/>
        <v>0</v>
      </c>
      <c r="AE369" s="208">
        <f t="shared" si="169"/>
        <v>0</v>
      </c>
      <c r="AF369" s="208">
        <f t="shared" si="169"/>
        <v>0</v>
      </c>
      <c r="AG369" s="208">
        <f t="shared" si="169"/>
        <v>0</v>
      </c>
      <c r="AH369" s="208">
        <f t="shared" si="169"/>
        <v>0</v>
      </c>
      <c r="AI369" s="208">
        <f t="shared" si="169"/>
        <v>0</v>
      </c>
      <c r="AJ369" s="208">
        <f t="shared" si="169"/>
        <v>0</v>
      </c>
      <c r="AK369" s="208">
        <f t="shared" si="169"/>
        <v>0</v>
      </c>
      <c r="AL369" s="208">
        <f t="shared" si="169"/>
        <v>0</v>
      </c>
      <c r="AM369" s="208">
        <f t="shared" si="169"/>
        <v>0</v>
      </c>
      <c r="AN369" s="208">
        <f t="shared" si="169"/>
        <v>0</v>
      </c>
      <c r="AO369" s="208">
        <f t="shared" si="169"/>
        <v>0</v>
      </c>
      <c r="AP369" s="208">
        <f t="shared" si="169"/>
        <v>0</v>
      </c>
    </row>
    <row r="370" spans="1:42">
      <c r="A370" s="119">
        <f>A369+1</f>
        <v>2</v>
      </c>
      <c r="B370" s="218">
        <f t="shared" si="168"/>
        <v>1539980.512798867</v>
      </c>
      <c r="C370" s="250">
        <f t="shared" ref="C370:AP370" si="170">LOOKUP(C358,$B$327:$AP$327,$B$328:$AP$328)*$B714</f>
        <v>0</v>
      </c>
      <c r="D370" s="208">
        <f t="shared" si="170"/>
        <v>0</v>
      </c>
      <c r="E370" s="208">
        <f t="shared" si="170"/>
        <v>0</v>
      </c>
      <c r="F370" s="208">
        <f t="shared" si="170"/>
        <v>0</v>
      </c>
      <c r="G370" s="208">
        <f t="shared" si="170"/>
        <v>0</v>
      </c>
      <c r="H370" s="208">
        <f t="shared" si="170"/>
        <v>0</v>
      </c>
      <c r="I370" s="208">
        <f t="shared" si="170"/>
        <v>0</v>
      </c>
      <c r="J370" s="208">
        <f t="shared" si="170"/>
        <v>0</v>
      </c>
      <c r="K370" s="208">
        <f t="shared" si="170"/>
        <v>0</v>
      </c>
      <c r="L370" s="208">
        <f t="shared" si="170"/>
        <v>0</v>
      </c>
      <c r="M370" s="208">
        <f t="shared" si="170"/>
        <v>0</v>
      </c>
      <c r="N370" s="208">
        <f t="shared" si="170"/>
        <v>0</v>
      </c>
      <c r="O370" s="208">
        <f t="shared" si="170"/>
        <v>0</v>
      </c>
      <c r="P370" s="208">
        <f t="shared" si="170"/>
        <v>0</v>
      </c>
      <c r="Q370" s="208">
        <f t="shared" si="170"/>
        <v>0</v>
      </c>
      <c r="R370" s="208">
        <f t="shared" si="170"/>
        <v>0</v>
      </c>
      <c r="S370" s="208">
        <f t="shared" si="170"/>
        <v>0</v>
      </c>
      <c r="T370" s="208">
        <f t="shared" si="170"/>
        <v>0</v>
      </c>
      <c r="U370" s="208">
        <f t="shared" si="170"/>
        <v>0</v>
      </c>
      <c r="V370" s="208">
        <f t="shared" si="170"/>
        <v>0</v>
      </c>
      <c r="W370" s="208">
        <f t="shared" si="170"/>
        <v>0</v>
      </c>
      <c r="X370" s="208">
        <f t="shared" si="170"/>
        <v>0</v>
      </c>
      <c r="Y370" s="208">
        <f t="shared" si="170"/>
        <v>0</v>
      </c>
      <c r="Z370" s="208">
        <f t="shared" si="170"/>
        <v>0</v>
      </c>
      <c r="AA370" s="208">
        <f t="shared" si="170"/>
        <v>0</v>
      </c>
      <c r="AB370" s="208">
        <f t="shared" si="170"/>
        <v>0</v>
      </c>
      <c r="AC370" s="208">
        <f t="shared" si="170"/>
        <v>0</v>
      </c>
      <c r="AD370" s="208">
        <f t="shared" si="170"/>
        <v>0</v>
      </c>
      <c r="AE370" s="208">
        <f t="shared" si="170"/>
        <v>0</v>
      </c>
      <c r="AF370" s="208">
        <f t="shared" si="170"/>
        <v>1539980.512798867</v>
      </c>
      <c r="AG370" s="208">
        <f t="shared" si="170"/>
        <v>0</v>
      </c>
      <c r="AH370" s="208">
        <f t="shared" si="170"/>
        <v>0</v>
      </c>
      <c r="AI370" s="208">
        <f t="shared" si="170"/>
        <v>0</v>
      </c>
      <c r="AJ370" s="208">
        <f t="shared" si="170"/>
        <v>0</v>
      </c>
      <c r="AK370" s="208">
        <f t="shared" si="170"/>
        <v>0</v>
      </c>
      <c r="AL370" s="208">
        <f t="shared" si="170"/>
        <v>0</v>
      </c>
      <c r="AM370" s="208">
        <f t="shared" si="170"/>
        <v>0</v>
      </c>
      <c r="AN370" s="208">
        <f t="shared" si="170"/>
        <v>0</v>
      </c>
      <c r="AO370" s="208">
        <f t="shared" si="170"/>
        <v>0</v>
      </c>
      <c r="AP370" s="208">
        <f t="shared" si="170"/>
        <v>0</v>
      </c>
    </row>
    <row r="371" spans="1:42">
      <c r="A371" s="119">
        <f t="shared" ref="A371:A378" si="171">A370+1</f>
        <v>3</v>
      </c>
      <c r="B371" s="218">
        <f t="shared" si="168"/>
        <v>0</v>
      </c>
      <c r="C371" s="250">
        <f t="shared" ref="C371:AP371" si="172">LOOKUP(C359,$B$327:$AP$327,$B$328:$AP$328)*$B715</f>
        <v>0</v>
      </c>
      <c r="D371" s="208">
        <f t="shared" si="172"/>
        <v>0</v>
      </c>
      <c r="E371" s="208">
        <f t="shared" si="172"/>
        <v>0</v>
      </c>
      <c r="F371" s="208">
        <f t="shared" si="172"/>
        <v>0</v>
      </c>
      <c r="G371" s="208">
        <f t="shared" si="172"/>
        <v>0</v>
      </c>
      <c r="H371" s="208">
        <f t="shared" si="172"/>
        <v>0</v>
      </c>
      <c r="I371" s="208">
        <f t="shared" si="172"/>
        <v>0</v>
      </c>
      <c r="J371" s="208">
        <f t="shared" si="172"/>
        <v>0</v>
      </c>
      <c r="K371" s="208">
        <f t="shared" si="172"/>
        <v>0</v>
      </c>
      <c r="L371" s="208">
        <f t="shared" si="172"/>
        <v>0</v>
      </c>
      <c r="M371" s="208">
        <f t="shared" si="172"/>
        <v>0</v>
      </c>
      <c r="N371" s="208">
        <f t="shared" si="172"/>
        <v>0</v>
      </c>
      <c r="O371" s="208">
        <f t="shared" si="172"/>
        <v>0</v>
      </c>
      <c r="P371" s="208">
        <f t="shared" si="172"/>
        <v>0</v>
      </c>
      <c r="Q371" s="208">
        <f t="shared" si="172"/>
        <v>0</v>
      </c>
      <c r="R371" s="208">
        <f t="shared" si="172"/>
        <v>0</v>
      </c>
      <c r="S371" s="208">
        <f t="shared" si="172"/>
        <v>0</v>
      </c>
      <c r="T371" s="208">
        <f t="shared" si="172"/>
        <v>0</v>
      </c>
      <c r="U371" s="208">
        <f t="shared" si="172"/>
        <v>0</v>
      </c>
      <c r="V371" s="208">
        <f t="shared" si="172"/>
        <v>0</v>
      </c>
      <c r="W371" s="208">
        <f t="shared" si="172"/>
        <v>0</v>
      </c>
      <c r="X371" s="208">
        <f t="shared" si="172"/>
        <v>0</v>
      </c>
      <c r="Y371" s="208">
        <f t="shared" si="172"/>
        <v>0</v>
      </c>
      <c r="Z371" s="208">
        <f t="shared" si="172"/>
        <v>0</v>
      </c>
      <c r="AA371" s="208">
        <f t="shared" si="172"/>
        <v>0</v>
      </c>
      <c r="AB371" s="208">
        <f t="shared" si="172"/>
        <v>0</v>
      </c>
      <c r="AC371" s="208">
        <f t="shared" si="172"/>
        <v>0</v>
      </c>
      <c r="AD371" s="208">
        <f t="shared" si="172"/>
        <v>0</v>
      </c>
      <c r="AE371" s="208">
        <f t="shared" si="172"/>
        <v>0</v>
      </c>
      <c r="AF371" s="208">
        <f t="shared" si="172"/>
        <v>0</v>
      </c>
      <c r="AG371" s="208">
        <f t="shared" si="172"/>
        <v>0</v>
      </c>
      <c r="AH371" s="208">
        <f t="shared" si="172"/>
        <v>0</v>
      </c>
      <c r="AI371" s="208">
        <f t="shared" si="172"/>
        <v>0</v>
      </c>
      <c r="AJ371" s="208">
        <f t="shared" si="172"/>
        <v>0</v>
      </c>
      <c r="AK371" s="208">
        <f t="shared" si="172"/>
        <v>0</v>
      </c>
      <c r="AL371" s="208">
        <f t="shared" si="172"/>
        <v>0</v>
      </c>
      <c r="AM371" s="208">
        <f t="shared" si="172"/>
        <v>0</v>
      </c>
      <c r="AN371" s="208">
        <f t="shared" si="172"/>
        <v>0</v>
      </c>
      <c r="AO371" s="208">
        <f t="shared" si="172"/>
        <v>0</v>
      </c>
      <c r="AP371" s="208">
        <f t="shared" si="172"/>
        <v>0</v>
      </c>
    </row>
    <row r="372" spans="1:42">
      <c r="A372" s="119">
        <f t="shared" si="171"/>
        <v>4</v>
      </c>
      <c r="B372" s="218">
        <f t="shared" si="168"/>
        <v>0</v>
      </c>
      <c r="C372" s="250">
        <f t="shared" ref="C372:AP372" si="173">LOOKUP(C360,$B$327:$AP$327,$B$328:$AP$328)*$B716</f>
        <v>0</v>
      </c>
      <c r="D372" s="208">
        <f t="shared" si="173"/>
        <v>0</v>
      </c>
      <c r="E372" s="208">
        <f t="shared" si="173"/>
        <v>0</v>
      </c>
      <c r="F372" s="208">
        <f t="shared" si="173"/>
        <v>0</v>
      </c>
      <c r="G372" s="208">
        <f t="shared" si="173"/>
        <v>0</v>
      </c>
      <c r="H372" s="208">
        <f t="shared" si="173"/>
        <v>0</v>
      </c>
      <c r="I372" s="208">
        <f t="shared" si="173"/>
        <v>0</v>
      </c>
      <c r="J372" s="208">
        <f t="shared" si="173"/>
        <v>0</v>
      </c>
      <c r="K372" s="208">
        <f t="shared" si="173"/>
        <v>0</v>
      </c>
      <c r="L372" s="208">
        <f t="shared" si="173"/>
        <v>0</v>
      </c>
      <c r="M372" s="208">
        <f t="shared" si="173"/>
        <v>0</v>
      </c>
      <c r="N372" s="208">
        <f t="shared" si="173"/>
        <v>0</v>
      </c>
      <c r="O372" s="208">
        <f t="shared" si="173"/>
        <v>0</v>
      </c>
      <c r="P372" s="208">
        <f t="shared" si="173"/>
        <v>0</v>
      </c>
      <c r="Q372" s="208">
        <f t="shared" si="173"/>
        <v>0</v>
      </c>
      <c r="R372" s="208">
        <f t="shared" si="173"/>
        <v>0</v>
      </c>
      <c r="S372" s="208">
        <f t="shared" si="173"/>
        <v>0</v>
      </c>
      <c r="T372" s="208">
        <f t="shared" si="173"/>
        <v>0</v>
      </c>
      <c r="U372" s="208">
        <f t="shared" si="173"/>
        <v>0</v>
      </c>
      <c r="V372" s="208">
        <f t="shared" si="173"/>
        <v>0</v>
      </c>
      <c r="W372" s="208">
        <f t="shared" si="173"/>
        <v>0</v>
      </c>
      <c r="X372" s="208">
        <f t="shared" si="173"/>
        <v>0</v>
      </c>
      <c r="Y372" s="208">
        <f t="shared" si="173"/>
        <v>0</v>
      </c>
      <c r="Z372" s="208">
        <f t="shared" si="173"/>
        <v>0</v>
      </c>
      <c r="AA372" s="208">
        <f t="shared" si="173"/>
        <v>0</v>
      </c>
      <c r="AB372" s="208">
        <f t="shared" si="173"/>
        <v>0</v>
      </c>
      <c r="AC372" s="208">
        <f t="shared" si="173"/>
        <v>0</v>
      </c>
      <c r="AD372" s="208">
        <f t="shared" si="173"/>
        <v>0</v>
      </c>
      <c r="AE372" s="208">
        <f t="shared" si="173"/>
        <v>0</v>
      </c>
      <c r="AF372" s="208">
        <f t="shared" si="173"/>
        <v>0</v>
      </c>
      <c r="AG372" s="208">
        <f t="shared" si="173"/>
        <v>0</v>
      </c>
      <c r="AH372" s="208">
        <f t="shared" si="173"/>
        <v>0</v>
      </c>
      <c r="AI372" s="208">
        <f t="shared" si="173"/>
        <v>0</v>
      </c>
      <c r="AJ372" s="208">
        <f t="shared" si="173"/>
        <v>0</v>
      </c>
      <c r="AK372" s="208">
        <f t="shared" si="173"/>
        <v>0</v>
      </c>
      <c r="AL372" s="208">
        <f t="shared" si="173"/>
        <v>0</v>
      </c>
      <c r="AM372" s="208">
        <f t="shared" si="173"/>
        <v>0</v>
      </c>
      <c r="AN372" s="208">
        <f t="shared" si="173"/>
        <v>0</v>
      </c>
      <c r="AO372" s="208">
        <f t="shared" si="173"/>
        <v>0</v>
      </c>
      <c r="AP372" s="208">
        <f t="shared" si="173"/>
        <v>0</v>
      </c>
    </row>
    <row r="373" spans="1:42">
      <c r="A373" s="119">
        <f t="shared" si="171"/>
        <v>5</v>
      </c>
      <c r="B373" s="218">
        <f t="shared" si="168"/>
        <v>0</v>
      </c>
      <c r="C373" s="250">
        <f t="shared" ref="C373:AP373" si="174">LOOKUP(C361,$B$327:$AP$327,$B$328:$AP$328)*$B717</f>
        <v>0</v>
      </c>
      <c r="D373" s="208">
        <f t="shared" si="174"/>
        <v>0</v>
      </c>
      <c r="E373" s="208">
        <f t="shared" si="174"/>
        <v>0</v>
      </c>
      <c r="F373" s="208">
        <f t="shared" si="174"/>
        <v>0</v>
      </c>
      <c r="G373" s="208">
        <f t="shared" si="174"/>
        <v>0</v>
      </c>
      <c r="H373" s="208">
        <f t="shared" si="174"/>
        <v>0</v>
      </c>
      <c r="I373" s="208">
        <f t="shared" si="174"/>
        <v>0</v>
      </c>
      <c r="J373" s="208">
        <f t="shared" si="174"/>
        <v>0</v>
      </c>
      <c r="K373" s="208">
        <f t="shared" si="174"/>
        <v>0</v>
      </c>
      <c r="L373" s="208">
        <f t="shared" si="174"/>
        <v>0</v>
      </c>
      <c r="M373" s="208">
        <f t="shared" si="174"/>
        <v>0</v>
      </c>
      <c r="N373" s="208">
        <f t="shared" si="174"/>
        <v>0</v>
      </c>
      <c r="O373" s="208">
        <f t="shared" si="174"/>
        <v>0</v>
      </c>
      <c r="P373" s="208">
        <f t="shared" si="174"/>
        <v>0</v>
      </c>
      <c r="Q373" s="208">
        <f t="shared" si="174"/>
        <v>0</v>
      </c>
      <c r="R373" s="208">
        <f t="shared" si="174"/>
        <v>0</v>
      </c>
      <c r="S373" s="208">
        <f t="shared" si="174"/>
        <v>0</v>
      </c>
      <c r="T373" s="208">
        <f t="shared" si="174"/>
        <v>0</v>
      </c>
      <c r="U373" s="208">
        <f t="shared" si="174"/>
        <v>0</v>
      </c>
      <c r="V373" s="208">
        <f t="shared" si="174"/>
        <v>0</v>
      </c>
      <c r="W373" s="208">
        <f t="shared" si="174"/>
        <v>0</v>
      </c>
      <c r="X373" s="208">
        <f t="shared" si="174"/>
        <v>0</v>
      </c>
      <c r="Y373" s="208">
        <f t="shared" si="174"/>
        <v>0</v>
      </c>
      <c r="Z373" s="208">
        <f t="shared" si="174"/>
        <v>0</v>
      </c>
      <c r="AA373" s="208">
        <f t="shared" si="174"/>
        <v>0</v>
      </c>
      <c r="AB373" s="208">
        <f t="shared" si="174"/>
        <v>0</v>
      </c>
      <c r="AC373" s="208">
        <f t="shared" si="174"/>
        <v>0</v>
      </c>
      <c r="AD373" s="208">
        <f t="shared" si="174"/>
        <v>0</v>
      </c>
      <c r="AE373" s="208">
        <f t="shared" si="174"/>
        <v>0</v>
      </c>
      <c r="AF373" s="208">
        <f t="shared" si="174"/>
        <v>0</v>
      </c>
      <c r="AG373" s="208">
        <f t="shared" si="174"/>
        <v>0</v>
      </c>
      <c r="AH373" s="208">
        <f t="shared" si="174"/>
        <v>0</v>
      </c>
      <c r="AI373" s="208">
        <f t="shared" si="174"/>
        <v>0</v>
      </c>
      <c r="AJ373" s="208">
        <f t="shared" si="174"/>
        <v>0</v>
      </c>
      <c r="AK373" s="208">
        <f t="shared" si="174"/>
        <v>0</v>
      </c>
      <c r="AL373" s="208">
        <f t="shared" si="174"/>
        <v>0</v>
      </c>
      <c r="AM373" s="208">
        <f t="shared" si="174"/>
        <v>0</v>
      </c>
      <c r="AN373" s="208">
        <f t="shared" si="174"/>
        <v>0</v>
      </c>
      <c r="AO373" s="208">
        <f t="shared" si="174"/>
        <v>0</v>
      </c>
      <c r="AP373" s="208">
        <f t="shared" si="174"/>
        <v>0</v>
      </c>
    </row>
    <row r="374" spans="1:42">
      <c r="A374" s="119">
        <f t="shared" si="171"/>
        <v>6</v>
      </c>
      <c r="B374" s="218">
        <f t="shared" si="168"/>
        <v>0</v>
      </c>
      <c r="C374" s="250">
        <f t="shared" ref="C374:AP374" si="175">LOOKUP(C362,$B$327:$AP$327,$B$328:$AP$328)*$B718</f>
        <v>0</v>
      </c>
      <c r="D374" s="208">
        <f t="shared" si="175"/>
        <v>0</v>
      </c>
      <c r="E374" s="208">
        <f t="shared" si="175"/>
        <v>0</v>
      </c>
      <c r="F374" s="208">
        <f t="shared" si="175"/>
        <v>0</v>
      </c>
      <c r="G374" s="208">
        <f t="shared" si="175"/>
        <v>0</v>
      </c>
      <c r="H374" s="208">
        <f t="shared" si="175"/>
        <v>0</v>
      </c>
      <c r="I374" s="208">
        <f t="shared" si="175"/>
        <v>0</v>
      </c>
      <c r="J374" s="208">
        <f t="shared" si="175"/>
        <v>0</v>
      </c>
      <c r="K374" s="208">
        <f t="shared" si="175"/>
        <v>0</v>
      </c>
      <c r="L374" s="208">
        <f t="shared" si="175"/>
        <v>0</v>
      </c>
      <c r="M374" s="208">
        <f t="shared" si="175"/>
        <v>0</v>
      </c>
      <c r="N374" s="208">
        <f t="shared" si="175"/>
        <v>0</v>
      </c>
      <c r="O374" s="208">
        <f t="shared" si="175"/>
        <v>0</v>
      </c>
      <c r="P374" s="208">
        <f t="shared" si="175"/>
        <v>0</v>
      </c>
      <c r="Q374" s="208">
        <f t="shared" si="175"/>
        <v>0</v>
      </c>
      <c r="R374" s="208">
        <f t="shared" si="175"/>
        <v>0</v>
      </c>
      <c r="S374" s="208">
        <f t="shared" si="175"/>
        <v>0</v>
      </c>
      <c r="T374" s="208">
        <f t="shared" si="175"/>
        <v>0</v>
      </c>
      <c r="U374" s="208">
        <f t="shared" si="175"/>
        <v>0</v>
      </c>
      <c r="V374" s="208">
        <f t="shared" si="175"/>
        <v>0</v>
      </c>
      <c r="W374" s="208">
        <f t="shared" si="175"/>
        <v>0</v>
      </c>
      <c r="X374" s="208">
        <f t="shared" si="175"/>
        <v>0</v>
      </c>
      <c r="Y374" s="208">
        <f t="shared" si="175"/>
        <v>0</v>
      </c>
      <c r="Z374" s="208">
        <f t="shared" si="175"/>
        <v>0</v>
      </c>
      <c r="AA374" s="208">
        <f t="shared" si="175"/>
        <v>0</v>
      </c>
      <c r="AB374" s="208">
        <f t="shared" si="175"/>
        <v>0</v>
      </c>
      <c r="AC374" s="208">
        <f t="shared" si="175"/>
        <v>0</v>
      </c>
      <c r="AD374" s="208">
        <f t="shared" si="175"/>
        <v>0</v>
      </c>
      <c r="AE374" s="208">
        <f t="shared" si="175"/>
        <v>0</v>
      </c>
      <c r="AF374" s="208">
        <f t="shared" si="175"/>
        <v>0</v>
      </c>
      <c r="AG374" s="208">
        <f t="shared" si="175"/>
        <v>0</v>
      </c>
      <c r="AH374" s="208">
        <f t="shared" si="175"/>
        <v>0</v>
      </c>
      <c r="AI374" s="208">
        <f t="shared" si="175"/>
        <v>0</v>
      </c>
      <c r="AJ374" s="208">
        <f t="shared" si="175"/>
        <v>0</v>
      </c>
      <c r="AK374" s="208">
        <f t="shared" si="175"/>
        <v>0</v>
      </c>
      <c r="AL374" s="208">
        <f t="shared" si="175"/>
        <v>0</v>
      </c>
      <c r="AM374" s="208">
        <f t="shared" si="175"/>
        <v>0</v>
      </c>
      <c r="AN374" s="208">
        <f t="shared" si="175"/>
        <v>0</v>
      </c>
      <c r="AO374" s="208">
        <f t="shared" si="175"/>
        <v>0</v>
      </c>
      <c r="AP374" s="208">
        <f t="shared" si="175"/>
        <v>0</v>
      </c>
    </row>
    <row r="375" spans="1:42">
      <c r="A375" s="119">
        <f t="shared" si="171"/>
        <v>7</v>
      </c>
      <c r="B375" s="218">
        <f t="shared" si="168"/>
        <v>0</v>
      </c>
      <c r="C375" s="250">
        <f t="shared" ref="C375:AP375" si="176">LOOKUP(C363,$B$327:$AP$327,$B$328:$AP$328)*$B719</f>
        <v>0</v>
      </c>
      <c r="D375" s="208">
        <f t="shared" si="176"/>
        <v>0</v>
      </c>
      <c r="E375" s="208">
        <f t="shared" si="176"/>
        <v>0</v>
      </c>
      <c r="F375" s="208">
        <f t="shared" si="176"/>
        <v>0</v>
      </c>
      <c r="G375" s="208">
        <f t="shared" si="176"/>
        <v>0</v>
      </c>
      <c r="H375" s="208">
        <f t="shared" si="176"/>
        <v>0</v>
      </c>
      <c r="I375" s="208">
        <f t="shared" si="176"/>
        <v>0</v>
      </c>
      <c r="J375" s="208">
        <f t="shared" si="176"/>
        <v>0</v>
      </c>
      <c r="K375" s="208">
        <f t="shared" si="176"/>
        <v>0</v>
      </c>
      <c r="L375" s="208">
        <f t="shared" si="176"/>
        <v>0</v>
      </c>
      <c r="M375" s="208">
        <f t="shared" si="176"/>
        <v>0</v>
      </c>
      <c r="N375" s="208">
        <f t="shared" si="176"/>
        <v>0</v>
      </c>
      <c r="O375" s="208">
        <f t="shared" si="176"/>
        <v>0</v>
      </c>
      <c r="P375" s="208">
        <f t="shared" si="176"/>
        <v>0</v>
      </c>
      <c r="Q375" s="208">
        <f t="shared" si="176"/>
        <v>0</v>
      </c>
      <c r="R375" s="208">
        <f t="shared" si="176"/>
        <v>0</v>
      </c>
      <c r="S375" s="208">
        <f t="shared" si="176"/>
        <v>0</v>
      </c>
      <c r="T375" s="208">
        <f t="shared" si="176"/>
        <v>0</v>
      </c>
      <c r="U375" s="208">
        <f t="shared" si="176"/>
        <v>0</v>
      </c>
      <c r="V375" s="208">
        <f t="shared" si="176"/>
        <v>0</v>
      </c>
      <c r="W375" s="208">
        <f t="shared" si="176"/>
        <v>0</v>
      </c>
      <c r="X375" s="208">
        <f t="shared" si="176"/>
        <v>0</v>
      </c>
      <c r="Y375" s="208">
        <f t="shared" si="176"/>
        <v>0</v>
      </c>
      <c r="Z375" s="208">
        <f t="shared" si="176"/>
        <v>0</v>
      </c>
      <c r="AA375" s="208">
        <f t="shared" si="176"/>
        <v>0</v>
      </c>
      <c r="AB375" s="208">
        <f t="shared" si="176"/>
        <v>0</v>
      </c>
      <c r="AC375" s="208">
        <f t="shared" si="176"/>
        <v>0</v>
      </c>
      <c r="AD375" s="208">
        <f t="shared" si="176"/>
        <v>0</v>
      </c>
      <c r="AE375" s="208">
        <f t="shared" si="176"/>
        <v>0</v>
      </c>
      <c r="AF375" s="208">
        <f t="shared" si="176"/>
        <v>0</v>
      </c>
      <c r="AG375" s="208">
        <f t="shared" si="176"/>
        <v>0</v>
      </c>
      <c r="AH375" s="208">
        <f t="shared" si="176"/>
        <v>0</v>
      </c>
      <c r="AI375" s="208">
        <f t="shared" si="176"/>
        <v>0</v>
      </c>
      <c r="AJ375" s="208">
        <f t="shared" si="176"/>
        <v>0</v>
      </c>
      <c r="AK375" s="208">
        <f t="shared" si="176"/>
        <v>0</v>
      </c>
      <c r="AL375" s="208">
        <f t="shared" si="176"/>
        <v>0</v>
      </c>
      <c r="AM375" s="208">
        <f t="shared" si="176"/>
        <v>0</v>
      </c>
      <c r="AN375" s="208">
        <f t="shared" si="176"/>
        <v>0</v>
      </c>
      <c r="AO375" s="208">
        <f t="shared" si="176"/>
        <v>0</v>
      </c>
      <c r="AP375" s="208">
        <f t="shared" si="176"/>
        <v>0</v>
      </c>
    </row>
    <row r="376" spans="1:42">
      <c r="A376" s="119">
        <f t="shared" si="171"/>
        <v>8</v>
      </c>
      <c r="B376" s="218">
        <f t="shared" si="168"/>
        <v>0</v>
      </c>
      <c r="C376" s="250">
        <f t="shared" ref="C376:AP376" si="177">LOOKUP(C364,$B$327:$AP$327,$B$328:$AP$328)*$B720</f>
        <v>0</v>
      </c>
      <c r="D376" s="208">
        <f t="shared" si="177"/>
        <v>0</v>
      </c>
      <c r="E376" s="208">
        <f t="shared" si="177"/>
        <v>0</v>
      </c>
      <c r="F376" s="208">
        <f t="shared" si="177"/>
        <v>0</v>
      </c>
      <c r="G376" s="208">
        <f t="shared" si="177"/>
        <v>0</v>
      </c>
      <c r="H376" s="208">
        <f t="shared" si="177"/>
        <v>0</v>
      </c>
      <c r="I376" s="208">
        <f t="shared" si="177"/>
        <v>0</v>
      </c>
      <c r="J376" s="208">
        <f t="shared" si="177"/>
        <v>0</v>
      </c>
      <c r="K376" s="208">
        <f t="shared" si="177"/>
        <v>0</v>
      </c>
      <c r="L376" s="208">
        <f t="shared" si="177"/>
        <v>0</v>
      </c>
      <c r="M376" s="208">
        <f t="shared" si="177"/>
        <v>0</v>
      </c>
      <c r="N376" s="208">
        <f t="shared" si="177"/>
        <v>0</v>
      </c>
      <c r="O376" s="208">
        <f t="shared" si="177"/>
        <v>0</v>
      </c>
      <c r="P376" s="208">
        <f t="shared" si="177"/>
        <v>0</v>
      </c>
      <c r="Q376" s="208">
        <f t="shared" si="177"/>
        <v>0</v>
      </c>
      <c r="R376" s="208">
        <f t="shared" si="177"/>
        <v>0</v>
      </c>
      <c r="S376" s="208">
        <f t="shared" si="177"/>
        <v>0</v>
      </c>
      <c r="T376" s="208">
        <f t="shared" si="177"/>
        <v>0</v>
      </c>
      <c r="U376" s="208">
        <f t="shared" si="177"/>
        <v>0</v>
      </c>
      <c r="V376" s="208">
        <f t="shared" si="177"/>
        <v>0</v>
      </c>
      <c r="W376" s="208">
        <f t="shared" si="177"/>
        <v>0</v>
      </c>
      <c r="X376" s="208">
        <f t="shared" si="177"/>
        <v>0</v>
      </c>
      <c r="Y376" s="208">
        <f t="shared" si="177"/>
        <v>0</v>
      </c>
      <c r="Z376" s="208">
        <f t="shared" si="177"/>
        <v>0</v>
      </c>
      <c r="AA376" s="208">
        <f t="shared" si="177"/>
        <v>0</v>
      </c>
      <c r="AB376" s="208">
        <f t="shared" si="177"/>
        <v>0</v>
      </c>
      <c r="AC376" s="208">
        <f t="shared" si="177"/>
        <v>0</v>
      </c>
      <c r="AD376" s="208">
        <f t="shared" si="177"/>
        <v>0</v>
      </c>
      <c r="AE376" s="208">
        <f t="shared" si="177"/>
        <v>0</v>
      </c>
      <c r="AF376" s="208">
        <f t="shared" si="177"/>
        <v>0</v>
      </c>
      <c r="AG376" s="208">
        <f t="shared" si="177"/>
        <v>0</v>
      </c>
      <c r="AH376" s="208">
        <f t="shared" si="177"/>
        <v>0</v>
      </c>
      <c r="AI376" s="208">
        <f t="shared" si="177"/>
        <v>0</v>
      </c>
      <c r="AJ376" s="208">
        <f t="shared" si="177"/>
        <v>0</v>
      </c>
      <c r="AK376" s="208">
        <f t="shared" si="177"/>
        <v>0</v>
      </c>
      <c r="AL376" s="208">
        <f t="shared" si="177"/>
        <v>0</v>
      </c>
      <c r="AM376" s="208">
        <f t="shared" si="177"/>
        <v>0</v>
      </c>
      <c r="AN376" s="208">
        <f t="shared" si="177"/>
        <v>0</v>
      </c>
      <c r="AO376" s="208">
        <f t="shared" si="177"/>
        <v>0</v>
      </c>
      <c r="AP376" s="208">
        <f t="shared" si="177"/>
        <v>0</v>
      </c>
    </row>
    <row r="377" spans="1:42">
      <c r="A377" s="119">
        <f>A376+1</f>
        <v>9</v>
      </c>
      <c r="B377" s="218">
        <f t="shared" si="168"/>
        <v>0</v>
      </c>
      <c r="C377" s="250">
        <f t="shared" ref="C377:AP377" si="178">LOOKUP(C365,$B$327:$AP$327,$B$328:$AP$328)*$B721</f>
        <v>0</v>
      </c>
      <c r="D377" s="208">
        <f t="shared" si="178"/>
        <v>0</v>
      </c>
      <c r="E377" s="208">
        <f t="shared" si="178"/>
        <v>0</v>
      </c>
      <c r="F377" s="208">
        <f t="shared" si="178"/>
        <v>0</v>
      </c>
      <c r="G377" s="208">
        <f t="shared" si="178"/>
        <v>0</v>
      </c>
      <c r="H377" s="208">
        <f t="shared" si="178"/>
        <v>0</v>
      </c>
      <c r="I377" s="208">
        <f t="shared" si="178"/>
        <v>0</v>
      </c>
      <c r="J377" s="208">
        <f t="shared" si="178"/>
        <v>0</v>
      </c>
      <c r="K377" s="208">
        <f t="shared" si="178"/>
        <v>0</v>
      </c>
      <c r="L377" s="208">
        <f t="shared" si="178"/>
        <v>0</v>
      </c>
      <c r="M377" s="208">
        <f t="shared" si="178"/>
        <v>0</v>
      </c>
      <c r="N377" s="208">
        <f t="shared" si="178"/>
        <v>0</v>
      </c>
      <c r="O377" s="208">
        <f t="shared" si="178"/>
        <v>0</v>
      </c>
      <c r="P377" s="208">
        <f t="shared" si="178"/>
        <v>0</v>
      </c>
      <c r="Q377" s="208">
        <f t="shared" si="178"/>
        <v>0</v>
      </c>
      <c r="R377" s="208">
        <f t="shared" si="178"/>
        <v>0</v>
      </c>
      <c r="S377" s="208">
        <f t="shared" si="178"/>
        <v>0</v>
      </c>
      <c r="T377" s="208">
        <f t="shared" si="178"/>
        <v>0</v>
      </c>
      <c r="U377" s="208">
        <f t="shared" si="178"/>
        <v>0</v>
      </c>
      <c r="V377" s="208">
        <f t="shared" si="178"/>
        <v>0</v>
      </c>
      <c r="W377" s="208">
        <f t="shared" si="178"/>
        <v>0</v>
      </c>
      <c r="X377" s="208">
        <f t="shared" si="178"/>
        <v>0</v>
      </c>
      <c r="Y377" s="208">
        <f t="shared" si="178"/>
        <v>0</v>
      </c>
      <c r="Z377" s="208">
        <f t="shared" si="178"/>
        <v>0</v>
      </c>
      <c r="AA377" s="208">
        <f t="shared" si="178"/>
        <v>0</v>
      </c>
      <c r="AB377" s="208">
        <f t="shared" si="178"/>
        <v>0</v>
      </c>
      <c r="AC377" s="208">
        <f t="shared" si="178"/>
        <v>0</v>
      </c>
      <c r="AD377" s="208">
        <f t="shared" si="178"/>
        <v>0</v>
      </c>
      <c r="AE377" s="208">
        <f t="shared" si="178"/>
        <v>0</v>
      </c>
      <c r="AF377" s="208">
        <f t="shared" si="178"/>
        <v>0</v>
      </c>
      <c r="AG377" s="208">
        <f t="shared" si="178"/>
        <v>0</v>
      </c>
      <c r="AH377" s="208">
        <f t="shared" si="178"/>
        <v>0</v>
      </c>
      <c r="AI377" s="208">
        <f t="shared" si="178"/>
        <v>0</v>
      </c>
      <c r="AJ377" s="208">
        <f t="shared" si="178"/>
        <v>0</v>
      </c>
      <c r="AK377" s="208">
        <f t="shared" si="178"/>
        <v>0</v>
      </c>
      <c r="AL377" s="208">
        <f t="shared" si="178"/>
        <v>0</v>
      </c>
      <c r="AM377" s="208">
        <f t="shared" si="178"/>
        <v>0</v>
      </c>
      <c r="AN377" s="208">
        <f t="shared" si="178"/>
        <v>0</v>
      </c>
      <c r="AO377" s="208">
        <f t="shared" si="178"/>
        <v>0</v>
      </c>
      <c r="AP377" s="208">
        <f t="shared" si="178"/>
        <v>0</v>
      </c>
    </row>
    <row r="378" spans="1:42">
      <c r="A378" s="119">
        <f t="shared" si="171"/>
        <v>10</v>
      </c>
      <c r="B378" s="218">
        <f t="shared" si="168"/>
        <v>0</v>
      </c>
      <c r="C378" s="246">
        <f t="shared" ref="C378:AP378" si="179">LOOKUP(C366,$B$327:$AP$327,$B$328:$AP$328)*$B722</f>
        <v>0</v>
      </c>
      <c r="D378" s="209">
        <f t="shared" si="179"/>
        <v>0</v>
      </c>
      <c r="E378" s="209">
        <f t="shared" si="179"/>
        <v>0</v>
      </c>
      <c r="F378" s="209">
        <f t="shared" si="179"/>
        <v>0</v>
      </c>
      <c r="G378" s="209">
        <f t="shared" si="179"/>
        <v>0</v>
      </c>
      <c r="H378" s="209">
        <f t="shared" si="179"/>
        <v>0</v>
      </c>
      <c r="I378" s="209">
        <f t="shared" si="179"/>
        <v>0</v>
      </c>
      <c r="J378" s="209">
        <f t="shared" si="179"/>
        <v>0</v>
      </c>
      <c r="K378" s="209">
        <f t="shared" si="179"/>
        <v>0</v>
      </c>
      <c r="L378" s="209">
        <f t="shared" si="179"/>
        <v>0</v>
      </c>
      <c r="M378" s="209">
        <f t="shared" si="179"/>
        <v>0</v>
      </c>
      <c r="N378" s="209">
        <f t="shared" si="179"/>
        <v>0</v>
      </c>
      <c r="O378" s="209">
        <f t="shared" si="179"/>
        <v>0</v>
      </c>
      <c r="P378" s="209">
        <f t="shared" si="179"/>
        <v>0</v>
      </c>
      <c r="Q378" s="209">
        <f t="shared" si="179"/>
        <v>0</v>
      </c>
      <c r="R378" s="209">
        <f t="shared" si="179"/>
        <v>0</v>
      </c>
      <c r="S378" s="209">
        <f t="shared" si="179"/>
        <v>0</v>
      </c>
      <c r="T378" s="209">
        <f t="shared" si="179"/>
        <v>0</v>
      </c>
      <c r="U378" s="209">
        <f t="shared" si="179"/>
        <v>0</v>
      </c>
      <c r="V378" s="209">
        <f t="shared" si="179"/>
        <v>0</v>
      </c>
      <c r="W378" s="209">
        <f t="shared" si="179"/>
        <v>0</v>
      </c>
      <c r="X378" s="209">
        <f t="shared" si="179"/>
        <v>0</v>
      </c>
      <c r="Y378" s="209">
        <f t="shared" si="179"/>
        <v>0</v>
      </c>
      <c r="Z378" s="209">
        <f t="shared" si="179"/>
        <v>0</v>
      </c>
      <c r="AA378" s="209">
        <f t="shared" si="179"/>
        <v>0</v>
      </c>
      <c r="AB378" s="209">
        <f t="shared" si="179"/>
        <v>0</v>
      </c>
      <c r="AC378" s="209">
        <f t="shared" si="179"/>
        <v>0</v>
      </c>
      <c r="AD378" s="209">
        <f t="shared" si="179"/>
        <v>0</v>
      </c>
      <c r="AE378" s="209">
        <f t="shared" si="179"/>
        <v>0</v>
      </c>
      <c r="AF378" s="209">
        <f t="shared" si="179"/>
        <v>0</v>
      </c>
      <c r="AG378" s="209">
        <f t="shared" si="179"/>
        <v>0</v>
      </c>
      <c r="AH378" s="209">
        <f t="shared" si="179"/>
        <v>0</v>
      </c>
      <c r="AI378" s="209">
        <f t="shared" si="179"/>
        <v>0</v>
      </c>
      <c r="AJ378" s="209">
        <f t="shared" si="179"/>
        <v>0</v>
      </c>
      <c r="AK378" s="209">
        <f t="shared" si="179"/>
        <v>0</v>
      </c>
      <c r="AL378" s="209">
        <f t="shared" si="179"/>
        <v>0</v>
      </c>
      <c r="AM378" s="209">
        <f t="shared" si="179"/>
        <v>0</v>
      </c>
      <c r="AN378" s="209">
        <f t="shared" si="179"/>
        <v>0</v>
      </c>
      <c r="AO378" s="209">
        <f t="shared" si="179"/>
        <v>0</v>
      </c>
      <c r="AP378" s="209">
        <f t="shared" si="179"/>
        <v>0</v>
      </c>
    </row>
    <row r="379" spans="1:42" s="119" customFormat="1" ht="12" customHeight="1">
      <c r="A379" s="247" t="s">
        <v>53</v>
      </c>
      <c r="B379" s="146"/>
      <c r="C379" s="146">
        <f>SUM(C369:C378)</f>
        <v>0</v>
      </c>
      <c r="D379" s="146">
        <f t="shared" ref="D379:AP379" si="180">SUM(D369:D378)</f>
        <v>0</v>
      </c>
      <c r="E379" s="146">
        <f t="shared" si="180"/>
        <v>0</v>
      </c>
      <c r="F379" s="146">
        <f t="shared" si="180"/>
        <v>0</v>
      </c>
      <c r="G379" s="146">
        <f t="shared" si="180"/>
        <v>0</v>
      </c>
      <c r="H379" s="146">
        <f t="shared" si="180"/>
        <v>0</v>
      </c>
      <c r="I379" s="146">
        <f t="shared" si="180"/>
        <v>0</v>
      </c>
      <c r="J379" s="146">
        <f t="shared" si="180"/>
        <v>0</v>
      </c>
      <c r="K379" s="146">
        <f t="shared" si="180"/>
        <v>0</v>
      </c>
      <c r="L379" s="146">
        <f t="shared" si="180"/>
        <v>0</v>
      </c>
      <c r="M379" s="146">
        <f t="shared" si="180"/>
        <v>0</v>
      </c>
      <c r="N379" s="146">
        <f t="shared" si="180"/>
        <v>0</v>
      </c>
      <c r="O379" s="146">
        <f t="shared" si="180"/>
        <v>0</v>
      </c>
      <c r="P379" s="146">
        <f t="shared" si="180"/>
        <v>0</v>
      </c>
      <c r="Q379" s="146">
        <f t="shared" si="180"/>
        <v>1231755.7306939578</v>
      </c>
      <c r="R379" s="146">
        <f t="shared" si="180"/>
        <v>1970809.1691103324</v>
      </c>
      <c r="S379" s="146">
        <f t="shared" si="180"/>
        <v>1182485.5014661995</v>
      </c>
      <c r="T379" s="146">
        <f t="shared" si="180"/>
        <v>709491.30087971967</v>
      </c>
      <c r="U379" s="146">
        <f t="shared" si="180"/>
        <v>709491.30087971967</v>
      </c>
      <c r="V379" s="146">
        <f t="shared" si="180"/>
        <v>354745.65043985983</v>
      </c>
      <c r="W379" s="146">
        <f t="shared" si="180"/>
        <v>0</v>
      </c>
      <c r="X379" s="146">
        <f t="shared" si="180"/>
        <v>0</v>
      </c>
      <c r="Y379" s="146">
        <f t="shared" si="180"/>
        <v>0</v>
      </c>
      <c r="Z379" s="146">
        <f t="shared" si="180"/>
        <v>0</v>
      </c>
      <c r="AA379" s="146">
        <f t="shared" si="180"/>
        <v>0</v>
      </c>
      <c r="AB379" s="146">
        <f t="shared" si="180"/>
        <v>0</v>
      </c>
      <c r="AC379" s="146">
        <f t="shared" si="180"/>
        <v>0</v>
      </c>
      <c r="AD379" s="146">
        <f t="shared" si="180"/>
        <v>0</v>
      </c>
      <c r="AE379" s="146">
        <f t="shared" si="180"/>
        <v>0</v>
      </c>
      <c r="AF379" s="146">
        <f t="shared" si="180"/>
        <v>1539980.512798867</v>
      </c>
      <c r="AG379" s="146">
        <f t="shared" si="180"/>
        <v>0</v>
      </c>
      <c r="AH379" s="146">
        <f t="shared" si="180"/>
        <v>0</v>
      </c>
      <c r="AI379" s="146">
        <f t="shared" si="180"/>
        <v>0</v>
      </c>
      <c r="AJ379" s="146">
        <f t="shared" si="180"/>
        <v>0</v>
      </c>
      <c r="AK379" s="146">
        <f t="shared" si="180"/>
        <v>0</v>
      </c>
      <c r="AL379" s="146">
        <f t="shared" si="180"/>
        <v>0</v>
      </c>
      <c r="AM379" s="146">
        <f t="shared" si="180"/>
        <v>0</v>
      </c>
      <c r="AN379" s="146">
        <f t="shared" si="180"/>
        <v>0</v>
      </c>
      <c r="AO379" s="146">
        <f t="shared" si="180"/>
        <v>0</v>
      </c>
      <c r="AP379" s="146">
        <f t="shared" si="180"/>
        <v>0</v>
      </c>
    </row>
    <row r="380" spans="1:42">
      <c r="A380" s="226"/>
      <c r="C380" s="208"/>
      <c r="D380" s="208"/>
      <c r="E380" s="208"/>
      <c r="F380" s="208"/>
      <c r="G380" s="208"/>
      <c r="H380" s="208"/>
      <c r="I380" s="208"/>
      <c r="J380" s="208"/>
      <c r="K380" s="208"/>
      <c r="L380" s="208"/>
      <c r="M380" s="208"/>
      <c r="N380" s="208"/>
      <c r="O380" s="208"/>
      <c r="P380" s="208"/>
      <c r="Q380" s="208"/>
      <c r="R380" s="208"/>
      <c r="S380" s="208"/>
      <c r="T380" s="208"/>
      <c r="U380" s="208"/>
      <c r="V380" s="208"/>
      <c r="W380" s="208"/>
      <c r="X380" s="208"/>
      <c r="Y380" s="208"/>
      <c r="Z380" s="208"/>
      <c r="AA380" s="208"/>
      <c r="AB380" s="208"/>
      <c r="AC380" s="208"/>
      <c r="AD380" s="208"/>
      <c r="AE380" s="208"/>
      <c r="AF380" s="208"/>
      <c r="AG380" s="208"/>
      <c r="AH380" s="208"/>
      <c r="AI380" s="208"/>
      <c r="AJ380" s="208"/>
      <c r="AK380" s="208"/>
      <c r="AL380" s="208"/>
      <c r="AM380" s="208"/>
      <c r="AN380" s="208"/>
      <c r="AO380" s="208"/>
      <c r="AP380" s="208"/>
    </row>
    <row r="381" spans="1:42">
      <c r="A381" s="219" t="s">
        <v>385</v>
      </c>
      <c r="C381" s="208"/>
      <c r="D381" s="208"/>
      <c r="E381" s="208"/>
      <c r="F381" s="208"/>
      <c r="G381" s="208"/>
      <c r="H381" s="208"/>
      <c r="I381" s="208"/>
      <c r="J381" s="208"/>
      <c r="K381" s="208"/>
      <c r="L381" s="208"/>
      <c r="M381" s="208"/>
      <c r="N381" s="208"/>
      <c r="O381" s="208"/>
      <c r="P381" s="208"/>
      <c r="Q381" s="208"/>
      <c r="R381" s="208"/>
      <c r="S381" s="208"/>
      <c r="T381" s="208"/>
      <c r="U381" s="208"/>
      <c r="V381" s="208"/>
      <c r="W381" s="208"/>
      <c r="X381" s="208"/>
      <c r="Y381" s="208"/>
      <c r="Z381" s="208"/>
      <c r="AA381" s="208"/>
      <c r="AB381" s="208"/>
      <c r="AC381" s="208"/>
      <c r="AD381" s="208"/>
      <c r="AE381" s="208"/>
      <c r="AF381" s="208"/>
      <c r="AG381" s="208"/>
      <c r="AH381" s="208"/>
      <c r="AI381" s="208"/>
      <c r="AJ381" s="208"/>
      <c r="AK381" s="208"/>
      <c r="AL381" s="208"/>
      <c r="AM381" s="208"/>
      <c r="AN381" s="208"/>
      <c r="AO381" s="208"/>
      <c r="AP381" s="208"/>
    </row>
    <row r="382" spans="1:42">
      <c r="A382" s="226" t="s">
        <v>217</v>
      </c>
      <c r="C382" s="208"/>
      <c r="D382" s="208"/>
      <c r="E382" s="208"/>
      <c r="F382" s="208"/>
      <c r="G382" s="208"/>
      <c r="H382" s="208"/>
      <c r="I382" s="208"/>
      <c r="J382" s="208"/>
      <c r="K382" s="208"/>
      <c r="L382" s="208"/>
      <c r="M382" s="208"/>
      <c r="N382" s="208"/>
      <c r="O382" s="208"/>
      <c r="P382" s="208"/>
      <c r="Q382" s="208"/>
      <c r="R382" s="208"/>
      <c r="S382" s="208"/>
      <c r="T382" s="208"/>
      <c r="U382" s="208"/>
      <c r="V382" s="208"/>
      <c r="W382" s="208"/>
      <c r="X382" s="208"/>
      <c r="Y382" s="208"/>
      <c r="Z382" s="208"/>
      <c r="AA382" s="208"/>
      <c r="AB382" s="208"/>
      <c r="AC382" s="208"/>
      <c r="AD382" s="208"/>
      <c r="AE382" s="208"/>
      <c r="AF382" s="208"/>
      <c r="AG382" s="208"/>
      <c r="AH382" s="208"/>
      <c r="AI382" s="208"/>
      <c r="AJ382" s="208"/>
      <c r="AK382" s="208"/>
      <c r="AL382" s="208"/>
      <c r="AM382" s="208"/>
      <c r="AN382" s="208"/>
      <c r="AO382" s="208"/>
      <c r="AP382" s="208"/>
    </row>
    <row r="383" spans="1:42">
      <c r="A383" s="119">
        <v>1</v>
      </c>
      <c r="C383" s="208">
        <f>IF(C$2&lt;=AnalysisPeriod,IF(SUM($C745:C745)&gt;0,B383+1,0),0)</f>
        <v>0</v>
      </c>
      <c r="D383" s="208">
        <f>IF(D$2&lt;=AnalysisPeriod,IF(SUM($C745:D745)&gt;0,C383+1,0),0)</f>
        <v>0</v>
      </c>
      <c r="E383" s="208">
        <f>IF(E$2&lt;=AnalysisPeriod,IF(SUM($C745:E745)&gt;0,D383+1,0),0)</f>
        <v>1</v>
      </c>
      <c r="F383" s="208">
        <f>IF(F$2&lt;=AnalysisPeriod,IF(SUM($C745:F745)&gt;0,E383+1,0),0)</f>
        <v>2</v>
      </c>
      <c r="G383" s="208">
        <f>IF(G$2&lt;=AnalysisPeriod,IF(SUM($C745:G745)&gt;0,F383+1,0),0)</f>
        <v>3</v>
      </c>
      <c r="H383" s="208">
        <f>IF(H$2&lt;=AnalysisPeriod,IF(SUM($C745:H745)&gt;0,G383+1,0),0)</f>
        <v>4</v>
      </c>
      <c r="I383" s="208">
        <f>IF(I$2&lt;=AnalysisPeriod,IF(SUM($C745:I745)&gt;0,H383+1,0),0)</f>
        <v>5</v>
      </c>
      <c r="J383" s="208">
        <f>IF(J$2&lt;=AnalysisPeriod,IF(SUM($C745:J745)&gt;0,I383+1,0),0)</f>
        <v>6</v>
      </c>
      <c r="K383" s="208">
        <f>IF(K$2&lt;=AnalysisPeriod,IF(SUM($C745:K745)&gt;0,J383+1,0),0)</f>
        <v>7</v>
      </c>
      <c r="L383" s="208">
        <f>IF(L$2&lt;=AnalysisPeriod,IF(SUM($C745:L745)&gt;0,K383+1,0),0)</f>
        <v>8</v>
      </c>
      <c r="M383" s="208">
        <f>IF(M$2&lt;=AnalysisPeriod,IF(SUM($C745:M745)&gt;0,L383+1,0),0)</f>
        <v>9</v>
      </c>
      <c r="N383" s="208">
        <f>IF(N$2&lt;=AnalysisPeriod,IF(SUM($C745:N745)&gt;0,M383+1,0),0)</f>
        <v>10</v>
      </c>
      <c r="O383" s="208">
        <f>IF(O$2&lt;=AnalysisPeriod,IF(SUM($C745:O745)&gt;0,N383+1,0),0)</f>
        <v>11</v>
      </c>
      <c r="P383" s="208">
        <f>IF(P$2&lt;=AnalysisPeriod,IF(SUM($C745:P745)&gt;0,O383+1,0),0)</f>
        <v>12</v>
      </c>
      <c r="Q383" s="208">
        <f>IF(Q$2&lt;=AnalysisPeriod,IF(SUM($C745:Q745)&gt;0,P383+1,0),0)</f>
        <v>13</v>
      </c>
      <c r="R383" s="208">
        <f>IF(R$2&lt;=AnalysisPeriod,IF(SUM($C745:R745)&gt;0,Q383+1,0),0)</f>
        <v>14</v>
      </c>
      <c r="S383" s="208">
        <f>IF(S$2&lt;=AnalysisPeriod,IF(SUM($C745:S745)&gt;0,R383+1,0),0)</f>
        <v>15</v>
      </c>
      <c r="T383" s="208">
        <f>IF(T$2&lt;=AnalysisPeriod,IF(SUM($C745:T745)&gt;0,S383+1,0),0)</f>
        <v>16</v>
      </c>
      <c r="U383" s="208">
        <f>IF(U$2&lt;=AnalysisPeriod,IF(SUM($C745:U745)&gt;0,T383+1,0),0)</f>
        <v>17</v>
      </c>
      <c r="V383" s="208">
        <f>IF(V$2&lt;=AnalysisPeriod,IF(SUM($C745:V745)&gt;0,U383+1,0),0)</f>
        <v>18</v>
      </c>
      <c r="W383" s="208">
        <f>IF(W$2&lt;=AnalysisPeriod,IF(SUM($C745:W745)&gt;0,V383+1,0),0)</f>
        <v>19</v>
      </c>
      <c r="X383" s="208">
        <f>IF(X$2&lt;=AnalysisPeriod,IF(SUM($C745:X745)&gt;0,W383+1,0),0)</f>
        <v>20</v>
      </c>
      <c r="Y383" s="208">
        <f>IF(Y$2&lt;=AnalysisPeriod,IF(SUM($C745:Y745)&gt;0,X383+1,0),0)</f>
        <v>21</v>
      </c>
      <c r="Z383" s="208">
        <f>IF(Z$2&lt;=AnalysisPeriod,IF(SUM($C745:Z745)&gt;0,Y383+1,0),0)</f>
        <v>22</v>
      </c>
      <c r="AA383" s="208">
        <f>IF(AA$2&lt;=AnalysisPeriod,IF(SUM($C745:AA745)&gt;0,Z383+1,0),0)</f>
        <v>23</v>
      </c>
      <c r="AB383" s="208">
        <f>IF(AB$2&lt;=AnalysisPeriod,IF(SUM($C745:AB745)&gt;0,AA383+1,0),0)</f>
        <v>24</v>
      </c>
      <c r="AC383" s="208">
        <f>IF(AC$2&lt;=AnalysisPeriod,IF(SUM($C745:AC745)&gt;0,AB383+1,0),0)</f>
        <v>25</v>
      </c>
      <c r="AD383" s="208">
        <f>IF(AD$2&lt;=AnalysisPeriod,IF(SUM($C745:AD745)&gt;0,AC383+1,0),0)</f>
        <v>26</v>
      </c>
      <c r="AE383" s="208">
        <f>IF(AE$2&lt;=AnalysisPeriod,IF(SUM($C745:AE745)&gt;0,AD383+1,0),0)</f>
        <v>27</v>
      </c>
      <c r="AF383" s="208">
        <f>IF(AF$2&lt;=AnalysisPeriod,IF(SUM($C745:AF745)&gt;0,AE383+1,0),0)</f>
        <v>28</v>
      </c>
      <c r="AG383" s="208">
        <f>IF(AG$2&lt;=AnalysisPeriod,IF(SUM($C745:AG745)&gt;0,AF383+1,0),0)</f>
        <v>0</v>
      </c>
      <c r="AH383" s="208">
        <f>IF(AH$2&lt;=AnalysisPeriod,IF(SUM($C745:AH745)&gt;0,AG383+1,0),0)</f>
        <v>0</v>
      </c>
      <c r="AI383" s="208">
        <f>IF(AI$2&lt;=AnalysisPeriod,IF(SUM($C745:AI745)&gt;0,AH383+1,0),0)</f>
        <v>0</v>
      </c>
      <c r="AJ383" s="208">
        <f>IF(AJ$2&lt;=AnalysisPeriod,IF(SUM($C745:AJ745)&gt;0,AI383+1,0),0)</f>
        <v>0</v>
      </c>
      <c r="AK383" s="208">
        <f>IF(AK$2&lt;=AnalysisPeriod,IF(SUM($C745:AK745)&gt;0,AJ383+1,0),0)</f>
        <v>0</v>
      </c>
      <c r="AL383" s="208">
        <f>IF(AL$2&lt;=AnalysisPeriod,IF(SUM($C745:AL745)&gt;0,AK383+1,0),0)</f>
        <v>0</v>
      </c>
      <c r="AM383" s="208">
        <f>IF(AM$2&lt;=AnalysisPeriod,IF(SUM($C745:AM745)&gt;0,AL383+1,0),0)</f>
        <v>0</v>
      </c>
      <c r="AN383" s="208">
        <f>IF(AN$2&lt;=AnalysisPeriod,IF(SUM($C745:AN745)&gt;0,AM383+1,0),0)</f>
        <v>0</v>
      </c>
      <c r="AO383" s="208">
        <f>IF(AO$2&lt;=AnalysisPeriod,IF(SUM($C745:AO745)&gt;0,AN383+1,0),0)</f>
        <v>0</v>
      </c>
      <c r="AP383" s="208">
        <f>IF(AP$2&lt;=AnalysisPeriod,IF(SUM($C745:AP745)&gt;0,AO383+1,0),0)</f>
        <v>0</v>
      </c>
    </row>
    <row r="384" spans="1:42">
      <c r="A384" s="119">
        <f>A383+1</f>
        <v>2</v>
      </c>
      <c r="C384" s="208">
        <f>IF(C$2&lt;=AnalysisPeriod,IF(SUM($C746:C746)&gt;0,B384+1,0),0)</f>
        <v>0</v>
      </c>
      <c r="D384" s="208">
        <f>IF(D$2&lt;=AnalysisPeriod,IF(SUM($C746:D746)&gt;0,C384+1,0),0)</f>
        <v>0</v>
      </c>
      <c r="E384" s="208">
        <f>IF(E$2&lt;=AnalysisPeriod,IF(SUM($C746:E746)&gt;0,D384+1,0),0)</f>
        <v>0</v>
      </c>
      <c r="F384" s="208">
        <f>IF(F$2&lt;=AnalysisPeriod,IF(SUM($C746:F746)&gt;0,E384+1,0),0)</f>
        <v>0</v>
      </c>
      <c r="G384" s="208">
        <f>IF(G$2&lt;=AnalysisPeriod,IF(SUM($C746:G746)&gt;0,F384+1,0),0)</f>
        <v>0</v>
      </c>
      <c r="H384" s="208">
        <f>IF(H$2&lt;=AnalysisPeriod,IF(SUM($C746:H746)&gt;0,G384+1,0),0)</f>
        <v>1</v>
      </c>
      <c r="I384" s="208">
        <f>IF(I$2&lt;=AnalysisPeriod,IF(SUM($C746:I746)&gt;0,H384+1,0),0)</f>
        <v>2</v>
      </c>
      <c r="J384" s="208">
        <f>IF(J$2&lt;=AnalysisPeriod,IF(SUM($C746:J746)&gt;0,I384+1,0),0)</f>
        <v>3</v>
      </c>
      <c r="K384" s="208">
        <f>IF(K$2&lt;=AnalysisPeriod,IF(SUM($C746:K746)&gt;0,J384+1,0),0)</f>
        <v>4</v>
      </c>
      <c r="L384" s="208">
        <f>IF(L$2&lt;=AnalysisPeriod,IF(SUM($C746:L746)&gt;0,K384+1,0),0)</f>
        <v>5</v>
      </c>
      <c r="M384" s="208">
        <f>IF(M$2&lt;=AnalysisPeriod,IF(SUM($C746:M746)&gt;0,L384+1,0),0)</f>
        <v>6</v>
      </c>
      <c r="N384" s="208">
        <f>IF(N$2&lt;=AnalysisPeriod,IF(SUM($C746:N746)&gt;0,M384+1,0),0)</f>
        <v>7</v>
      </c>
      <c r="O384" s="208">
        <f>IF(O$2&lt;=AnalysisPeriod,IF(SUM($C746:O746)&gt;0,N384+1,0),0)</f>
        <v>8</v>
      </c>
      <c r="P384" s="208">
        <f>IF(P$2&lt;=AnalysisPeriod,IF(SUM($C746:P746)&gt;0,O384+1,0),0)</f>
        <v>9</v>
      </c>
      <c r="Q384" s="208">
        <f>IF(Q$2&lt;=AnalysisPeriod,IF(SUM($C746:Q746)&gt;0,P384+1,0),0)</f>
        <v>10</v>
      </c>
      <c r="R384" s="208">
        <f>IF(R$2&lt;=AnalysisPeriod,IF(SUM($C746:R746)&gt;0,Q384+1,0),0)</f>
        <v>11</v>
      </c>
      <c r="S384" s="208">
        <f>IF(S$2&lt;=AnalysisPeriod,IF(SUM($C746:S746)&gt;0,R384+1,0),0)</f>
        <v>12</v>
      </c>
      <c r="T384" s="208">
        <f>IF(T$2&lt;=AnalysisPeriod,IF(SUM($C746:T746)&gt;0,S384+1,0),0)</f>
        <v>13</v>
      </c>
      <c r="U384" s="208">
        <f>IF(U$2&lt;=AnalysisPeriod,IF(SUM($C746:U746)&gt;0,T384+1,0),0)</f>
        <v>14</v>
      </c>
      <c r="V384" s="208">
        <f>IF(V$2&lt;=AnalysisPeriod,IF(SUM($C746:V746)&gt;0,U384+1,0),0)</f>
        <v>15</v>
      </c>
      <c r="W384" s="208">
        <f>IF(W$2&lt;=AnalysisPeriod,IF(SUM($C746:W746)&gt;0,V384+1,0),0)</f>
        <v>16</v>
      </c>
      <c r="X384" s="208">
        <f>IF(X$2&lt;=AnalysisPeriod,IF(SUM($C746:X746)&gt;0,W384+1,0),0)</f>
        <v>17</v>
      </c>
      <c r="Y384" s="208">
        <f>IF(Y$2&lt;=AnalysisPeriod,IF(SUM($C746:Y746)&gt;0,X384+1,0),0)</f>
        <v>18</v>
      </c>
      <c r="Z384" s="208">
        <f>IF(Z$2&lt;=AnalysisPeriod,IF(SUM($C746:Z746)&gt;0,Y384+1,0),0)</f>
        <v>19</v>
      </c>
      <c r="AA384" s="208">
        <f>IF(AA$2&lt;=AnalysisPeriod,IF(SUM($C746:AA746)&gt;0,Z384+1,0),0)</f>
        <v>20</v>
      </c>
      <c r="AB384" s="208">
        <f>IF(AB$2&lt;=AnalysisPeriod,IF(SUM($C746:AB746)&gt;0,AA384+1,0),0)</f>
        <v>21</v>
      </c>
      <c r="AC384" s="208">
        <f>IF(AC$2&lt;=AnalysisPeriod,IF(SUM($C746:AC746)&gt;0,AB384+1,0),0)</f>
        <v>22</v>
      </c>
      <c r="AD384" s="208">
        <f>IF(AD$2&lt;=AnalysisPeriod,IF(SUM($C746:AD746)&gt;0,AC384+1,0),0)</f>
        <v>23</v>
      </c>
      <c r="AE384" s="208">
        <f>IF(AE$2&lt;=AnalysisPeriod,IF(SUM($C746:AE746)&gt;0,AD384+1,0),0)</f>
        <v>24</v>
      </c>
      <c r="AF384" s="208">
        <f>IF(AF$2&lt;=AnalysisPeriod,IF(SUM($C746:AF746)&gt;0,AE384+1,0),0)</f>
        <v>25</v>
      </c>
      <c r="AG384" s="208">
        <f>IF(AG$2&lt;=AnalysisPeriod,IF(SUM($C746:AG746)&gt;0,AF384+1,0),0)</f>
        <v>0</v>
      </c>
      <c r="AH384" s="208">
        <f>IF(AH$2&lt;=AnalysisPeriod,IF(SUM($C746:AH746)&gt;0,AG384+1,0),0)</f>
        <v>0</v>
      </c>
      <c r="AI384" s="208">
        <f>IF(AI$2&lt;=AnalysisPeriod,IF(SUM($C746:AI746)&gt;0,AH384+1,0),0)</f>
        <v>0</v>
      </c>
      <c r="AJ384" s="208">
        <f>IF(AJ$2&lt;=AnalysisPeriod,IF(SUM($C746:AJ746)&gt;0,AI384+1,0),0)</f>
        <v>0</v>
      </c>
      <c r="AK384" s="208">
        <f>IF(AK$2&lt;=AnalysisPeriod,IF(SUM($C746:AK746)&gt;0,AJ384+1,0),0)</f>
        <v>0</v>
      </c>
      <c r="AL384" s="208">
        <f>IF(AL$2&lt;=AnalysisPeriod,IF(SUM($C746:AL746)&gt;0,AK384+1,0),0)</f>
        <v>0</v>
      </c>
      <c r="AM384" s="208">
        <f>IF(AM$2&lt;=AnalysisPeriod,IF(SUM($C746:AM746)&gt;0,AL384+1,0),0)</f>
        <v>0</v>
      </c>
      <c r="AN384" s="208">
        <f>IF(AN$2&lt;=AnalysisPeriod,IF(SUM($C746:AN746)&gt;0,AM384+1,0),0)</f>
        <v>0</v>
      </c>
      <c r="AO384" s="208">
        <f>IF(AO$2&lt;=AnalysisPeriod,IF(SUM($C746:AO746)&gt;0,AN384+1,0),0)</f>
        <v>0</v>
      </c>
      <c r="AP384" s="208">
        <f>IF(AP$2&lt;=AnalysisPeriod,IF(SUM($C746:AP746)&gt;0,AO384+1,0),0)</f>
        <v>0</v>
      </c>
    </row>
    <row r="385" spans="1:42">
      <c r="A385" s="119">
        <f t="shared" ref="A385:A392" si="181">A384+1</f>
        <v>3</v>
      </c>
      <c r="C385" s="208">
        <f>IF(C$2&lt;=AnalysisPeriod,IF(SUM($C747:C747)&gt;0,B385+1,0),0)</f>
        <v>0</v>
      </c>
      <c r="D385" s="208">
        <f>IF(D$2&lt;=AnalysisPeriod,IF(SUM($C747:D747)&gt;0,C385+1,0),0)</f>
        <v>0</v>
      </c>
      <c r="E385" s="208">
        <f>IF(E$2&lt;=AnalysisPeriod,IF(SUM($C747:E747)&gt;0,D385+1,0),0)</f>
        <v>0</v>
      </c>
      <c r="F385" s="208">
        <f>IF(F$2&lt;=AnalysisPeriod,IF(SUM($C747:F747)&gt;0,E385+1,0),0)</f>
        <v>0</v>
      </c>
      <c r="G385" s="208">
        <f>IF(G$2&lt;=AnalysisPeriod,IF(SUM($C747:G747)&gt;0,F385+1,0),0)</f>
        <v>0</v>
      </c>
      <c r="H385" s="208">
        <f>IF(H$2&lt;=AnalysisPeriod,IF(SUM($C747:H747)&gt;0,G385+1,0),0)</f>
        <v>0</v>
      </c>
      <c r="I385" s="208">
        <f>IF(I$2&lt;=AnalysisPeriod,IF(SUM($C747:I747)&gt;0,H385+1,0),0)</f>
        <v>0</v>
      </c>
      <c r="J385" s="208">
        <f>IF(J$2&lt;=AnalysisPeriod,IF(SUM($C747:J747)&gt;0,I385+1,0),0)</f>
        <v>0</v>
      </c>
      <c r="K385" s="208">
        <f>IF(K$2&lt;=AnalysisPeriod,IF(SUM($C747:K747)&gt;0,J385+1,0),0)</f>
        <v>1</v>
      </c>
      <c r="L385" s="208">
        <f>IF(L$2&lt;=AnalysisPeriod,IF(SUM($C747:L747)&gt;0,K385+1,0),0)</f>
        <v>2</v>
      </c>
      <c r="M385" s="208">
        <f>IF(M$2&lt;=AnalysisPeriod,IF(SUM($C747:M747)&gt;0,L385+1,0),0)</f>
        <v>3</v>
      </c>
      <c r="N385" s="208">
        <f>IF(N$2&lt;=AnalysisPeriod,IF(SUM($C747:N747)&gt;0,M385+1,0),0)</f>
        <v>4</v>
      </c>
      <c r="O385" s="208">
        <f>IF(O$2&lt;=AnalysisPeriod,IF(SUM($C747:O747)&gt;0,N385+1,0),0)</f>
        <v>5</v>
      </c>
      <c r="P385" s="208">
        <f>IF(P$2&lt;=AnalysisPeriod,IF(SUM($C747:P747)&gt;0,O385+1,0),0)</f>
        <v>6</v>
      </c>
      <c r="Q385" s="208">
        <f>IF(Q$2&lt;=AnalysisPeriod,IF(SUM($C747:Q747)&gt;0,P385+1,0),0)</f>
        <v>7</v>
      </c>
      <c r="R385" s="208">
        <f>IF(R$2&lt;=AnalysisPeriod,IF(SUM($C747:R747)&gt;0,Q385+1,0),0)</f>
        <v>8</v>
      </c>
      <c r="S385" s="208">
        <f>IF(S$2&lt;=AnalysisPeriod,IF(SUM($C747:S747)&gt;0,R385+1,0),0)</f>
        <v>9</v>
      </c>
      <c r="T385" s="208">
        <f>IF(T$2&lt;=AnalysisPeriod,IF(SUM($C747:T747)&gt;0,S385+1,0),0)</f>
        <v>10</v>
      </c>
      <c r="U385" s="208">
        <f>IF(U$2&lt;=AnalysisPeriod,IF(SUM($C747:U747)&gt;0,T385+1,0),0)</f>
        <v>11</v>
      </c>
      <c r="V385" s="208">
        <f>IF(V$2&lt;=AnalysisPeriod,IF(SUM($C747:V747)&gt;0,U385+1,0),0)</f>
        <v>12</v>
      </c>
      <c r="W385" s="208">
        <f>IF(W$2&lt;=AnalysisPeriod,IF(SUM($C747:W747)&gt;0,V385+1,0),0)</f>
        <v>13</v>
      </c>
      <c r="X385" s="208">
        <f>IF(X$2&lt;=AnalysisPeriod,IF(SUM($C747:X747)&gt;0,W385+1,0),0)</f>
        <v>14</v>
      </c>
      <c r="Y385" s="208">
        <f>IF(Y$2&lt;=AnalysisPeriod,IF(SUM($C747:Y747)&gt;0,X385+1,0),0)</f>
        <v>15</v>
      </c>
      <c r="Z385" s="208">
        <f>IF(Z$2&lt;=AnalysisPeriod,IF(SUM($C747:Z747)&gt;0,Y385+1,0),0)</f>
        <v>16</v>
      </c>
      <c r="AA385" s="208">
        <f>IF(AA$2&lt;=AnalysisPeriod,IF(SUM($C747:AA747)&gt;0,Z385+1,0),0)</f>
        <v>17</v>
      </c>
      <c r="AB385" s="208">
        <f>IF(AB$2&lt;=AnalysisPeriod,IF(SUM($C747:AB747)&gt;0,AA385+1,0),0)</f>
        <v>18</v>
      </c>
      <c r="AC385" s="208">
        <f>IF(AC$2&lt;=AnalysisPeriod,IF(SUM($C747:AC747)&gt;0,AB385+1,0),0)</f>
        <v>19</v>
      </c>
      <c r="AD385" s="208">
        <f>IF(AD$2&lt;=AnalysisPeriod,IF(SUM($C747:AD747)&gt;0,AC385+1,0),0)</f>
        <v>20</v>
      </c>
      <c r="AE385" s="208">
        <f>IF(AE$2&lt;=AnalysisPeriod,IF(SUM($C747:AE747)&gt;0,AD385+1,0),0)</f>
        <v>21</v>
      </c>
      <c r="AF385" s="208">
        <f>IF(AF$2&lt;=AnalysisPeriod,IF(SUM($C747:AF747)&gt;0,AE385+1,0),0)</f>
        <v>22</v>
      </c>
      <c r="AG385" s="208">
        <f>IF(AG$2&lt;=AnalysisPeriod,IF(SUM($C747:AG747)&gt;0,AF385+1,0),0)</f>
        <v>0</v>
      </c>
      <c r="AH385" s="208">
        <f>IF(AH$2&lt;=AnalysisPeriod,IF(SUM($C747:AH747)&gt;0,AG385+1,0),0)</f>
        <v>0</v>
      </c>
      <c r="AI385" s="208">
        <f>IF(AI$2&lt;=AnalysisPeriod,IF(SUM($C747:AI747)&gt;0,AH385+1,0),0)</f>
        <v>0</v>
      </c>
      <c r="AJ385" s="208">
        <f>IF(AJ$2&lt;=AnalysisPeriod,IF(SUM($C747:AJ747)&gt;0,AI385+1,0),0)</f>
        <v>0</v>
      </c>
      <c r="AK385" s="208">
        <f>IF(AK$2&lt;=AnalysisPeriod,IF(SUM($C747:AK747)&gt;0,AJ385+1,0),0)</f>
        <v>0</v>
      </c>
      <c r="AL385" s="208">
        <f>IF(AL$2&lt;=AnalysisPeriod,IF(SUM($C747:AL747)&gt;0,AK385+1,0),0)</f>
        <v>0</v>
      </c>
      <c r="AM385" s="208">
        <f>IF(AM$2&lt;=AnalysisPeriod,IF(SUM($C747:AM747)&gt;0,AL385+1,0),0)</f>
        <v>0</v>
      </c>
      <c r="AN385" s="208">
        <f>IF(AN$2&lt;=AnalysisPeriod,IF(SUM($C747:AN747)&gt;0,AM385+1,0),0)</f>
        <v>0</v>
      </c>
      <c r="AO385" s="208">
        <f>IF(AO$2&lt;=AnalysisPeriod,IF(SUM($C747:AO747)&gt;0,AN385+1,0),0)</f>
        <v>0</v>
      </c>
      <c r="AP385" s="208">
        <f>IF(AP$2&lt;=AnalysisPeriod,IF(SUM($C747:AP747)&gt;0,AO385+1,0),0)</f>
        <v>0</v>
      </c>
    </row>
    <row r="386" spans="1:42">
      <c r="A386" s="119">
        <f t="shared" si="181"/>
        <v>4</v>
      </c>
      <c r="C386" s="208">
        <f>IF(C$2&lt;=AnalysisPeriod,IF(SUM($C748:C748)&gt;0,B386+1,0),0)</f>
        <v>0</v>
      </c>
      <c r="D386" s="208">
        <f>IF(D$2&lt;=AnalysisPeriod,IF(SUM($C748:D748)&gt;0,C386+1,0),0)</f>
        <v>0</v>
      </c>
      <c r="E386" s="208">
        <f>IF(E$2&lt;=AnalysisPeriod,IF(SUM($C748:E748)&gt;0,D386+1,0),0)</f>
        <v>0</v>
      </c>
      <c r="F386" s="208">
        <f>IF(F$2&lt;=AnalysisPeriod,IF(SUM($C748:F748)&gt;0,E386+1,0),0)</f>
        <v>0</v>
      </c>
      <c r="G386" s="208">
        <f>IF(G$2&lt;=AnalysisPeriod,IF(SUM($C748:G748)&gt;0,F386+1,0),0)</f>
        <v>0</v>
      </c>
      <c r="H386" s="208">
        <f>IF(H$2&lt;=AnalysisPeriod,IF(SUM($C748:H748)&gt;0,G386+1,0),0)</f>
        <v>0</v>
      </c>
      <c r="I386" s="208">
        <f>IF(I$2&lt;=AnalysisPeriod,IF(SUM($C748:I748)&gt;0,H386+1,0),0)</f>
        <v>0</v>
      </c>
      <c r="J386" s="208">
        <f>IF(J$2&lt;=AnalysisPeriod,IF(SUM($C748:J748)&gt;0,I386+1,0),0)</f>
        <v>0</v>
      </c>
      <c r="K386" s="208">
        <f>IF(K$2&lt;=AnalysisPeriod,IF(SUM($C748:K748)&gt;0,J386+1,0),0)</f>
        <v>0</v>
      </c>
      <c r="L386" s="208">
        <f>IF(L$2&lt;=AnalysisPeriod,IF(SUM($C748:L748)&gt;0,K386+1,0),0)</f>
        <v>0</v>
      </c>
      <c r="M386" s="208">
        <f>IF(M$2&lt;=AnalysisPeriod,IF(SUM($C748:M748)&gt;0,L386+1,0),0)</f>
        <v>0</v>
      </c>
      <c r="N386" s="208">
        <f>IF(N$2&lt;=AnalysisPeriod,IF(SUM($C748:N748)&gt;0,M386+1,0),0)</f>
        <v>1</v>
      </c>
      <c r="O386" s="208">
        <f>IF(O$2&lt;=AnalysisPeriod,IF(SUM($C748:O748)&gt;0,N386+1,0),0)</f>
        <v>2</v>
      </c>
      <c r="P386" s="208">
        <f>IF(P$2&lt;=AnalysisPeriod,IF(SUM($C748:P748)&gt;0,O386+1,0),0)</f>
        <v>3</v>
      </c>
      <c r="Q386" s="208">
        <f>IF(Q$2&lt;=AnalysisPeriod,IF(SUM($C748:Q748)&gt;0,P386+1,0),0)</f>
        <v>4</v>
      </c>
      <c r="R386" s="208">
        <f>IF(R$2&lt;=AnalysisPeriod,IF(SUM($C748:R748)&gt;0,Q386+1,0),0)</f>
        <v>5</v>
      </c>
      <c r="S386" s="208">
        <f>IF(S$2&lt;=AnalysisPeriod,IF(SUM($C748:S748)&gt;0,R386+1,0),0)</f>
        <v>6</v>
      </c>
      <c r="T386" s="208">
        <f>IF(T$2&lt;=AnalysisPeriod,IF(SUM($C748:T748)&gt;0,S386+1,0),0)</f>
        <v>7</v>
      </c>
      <c r="U386" s="208">
        <f>IF(U$2&lt;=AnalysisPeriod,IF(SUM($C748:U748)&gt;0,T386+1,0),0)</f>
        <v>8</v>
      </c>
      <c r="V386" s="208">
        <f>IF(V$2&lt;=AnalysisPeriod,IF(SUM($C748:V748)&gt;0,U386+1,0),0)</f>
        <v>9</v>
      </c>
      <c r="W386" s="208">
        <f>IF(W$2&lt;=AnalysisPeriod,IF(SUM($C748:W748)&gt;0,V386+1,0),0)</f>
        <v>10</v>
      </c>
      <c r="X386" s="208">
        <f>IF(X$2&lt;=AnalysisPeriod,IF(SUM($C748:X748)&gt;0,W386+1,0),0)</f>
        <v>11</v>
      </c>
      <c r="Y386" s="208">
        <f>IF(Y$2&lt;=AnalysisPeriod,IF(SUM($C748:Y748)&gt;0,X386+1,0),0)</f>
        <v>12</v>
      </c>
      <c r="Z386" s="208">
        <f>IF(Z$2&lt;=AnalysisPeriod,IF(SUM($C748:Z748)&gt;0,Y386+1,0),0)</f>
        <v>13</v>
      </c>
      <c r="AA386" s="208">
        <f>IF(AA$2&lt;=AnalysisPeriod,IF(SUM($C748:AA748)&gt;0,Z386+1,0),0)</f>
        <v>14</v>
      </c>
      <c r="AB386" s="208">
        <f>IF(AB$2&lt;=AnalysisPeriod,IF(SUM($C748:AB748)&gt;0,AA386+1,0),0)</f>
        <v>15</v>
      </c>
      <c r="AC386" s="208">
        <f>IF(AC$2&lt;=AnalysisPeriod,IF(SUM($C748:AC748)&gt;0,AB386+1,0),0)</f>
        <v>16</v>
      </c>
      <c r="AD386" s="208">
        <f>IF(AD$2&lt;=AnalysisPeriod,IF(SUM($C748:AD748)&gt;0,AC386+1,0),0)</f>
        <v>17</v>
      </c>
      <c r="AE386" s="208">
        <f>IF(AE$2&lt;=AnalysisPeriod,IF(SUM($C748:AE748)&gt;0,AD386+1,0),0)</f>
        <v>18</v>
      </c>
      <c r="AF386" s="208">
        <f>IF(AF$2&lt;=AnalysisPeriod,IF(SUM($C748:AF748)&gt;0,AE386+1,0),0)</f>
        <v>19</v>
      </c>
      <c r="AG386" s="208">
        <f>IF(AG$2&lt;=AnalysisPeriod,IF(SUM($C748:AG748)&gt;0,AF386+1,0),0)</f>
        <v>0</v>
      </c>
      <c r="AH386" s="208">
        <f>IF(AH$2&lt;=AnalysisPeriod,IF(SUM($C748:AH748)&gt;0,AG386+1,0),0)</f>
        <v>0</v>
      </c>
      <c r="AI386" s="208">
        <f>IF(AI$2&lt;=AnalysisPeriod,IF(SUM($C748:AI748)&gt;0,AH386+1,0),0)</f>
        <v>0</v>
      </c>
      <c r="AJ386" s="208">
        <f>IF(AJ$2&lt;=AnalysisPeriod,IF(SUM($C748:AJ748)&gt;0,AI386+1,0),0)</f>
        <v>0</v>
      </c>
      <c r="AK386" s="208">
        <f>IF(AK$2&lt;=AnalysisPeriod,IF(SUM($C748:AK748)&gt;0,AJ386+1,0),0)</f>
        <v>0</v>
      </c>
      <c r="AL386" s="208">
        <f>IF(AL$2&lt;=AnalysisPeriod,IF(SUM($C748:AL748)&gt;0,AK386+1,0),0)</f>
        <v>0</v>
      </c>
      <c r="AM386" s="208">
        <f>IF(AM$2&lt;=AnalysisPeriod,IF(SUM($C748:AM748)&gt;0,AL386+1,0),0)</f>
        <v>0</v>
      </c>
      <c r="AN386" s="208">
        <f>IF(AN$2&lt;=AnalysisPeriod,IF(SUM($C748:AN748)&gt;0,AM386+1,0),0)</f>
        <v>0</v>
      </c>
      <c r="AO386" s="208">
        <f>IF(AO$2&lt;=AnalysisPeriod,IF(SUM($C748:AO748)&gt;0,AN386+1,0),0)</f>
        <v>0</v>
      </c>
      <c r="AP386" s="208">
        <f>IF(AP$2&lt;=AnalysisPeriod,IF(SUM($C748:AP748)&gt;0,AO386+1,0),0)</f>
        <v>0</v>
      </c>
    </row>
    <row r="387" spans="1:42">
      <c r="A387" s="119">
        <f t="shared" si="181"/>
        <v>5</v>
      </c>
      <c r="C387" s="208">
        <f>IF(C$2&lt;=AnalysisPeriod,IF(SUM($C749:C749)&gt;0,B387+1,0),0)</f>
        <v>0</v>
      </c>
      <c r="D387" s="208">
        <f>IF(D$2&lt;=AnalysisPeriod,IF(SUM($C749:D749)&gt;0,C387+1,0),0)</f>
        <v>0</v>
      </c>
      <c r="E387" s="208">
        <f>IF(E$2&lt;=AnalysisPeriod,IF(SUM($C749:E749)&gt;0,D387+1,0),0)</f>
        <v>0</v>
      </c>
      <c r="F387" s="208">
        <f>IF(F$2&lt;=AnalysisPeriod,IF(SUM($C749:F749)&gt;0,E387+1,0),0)</f>
        <v>0</v>
      </c>
      <c r="G387" s="208">
        <f>IF(G$2&lt;=AnalysisPeriod,IF(SUM($C749:G749)&gt;0,F387+1,0),0)</f>
        <v>0</v>
      </c>
      <c r="H387" s="208">
        <f>IF(H$2&lt;=AnalysisPeriod,IF(SUM($C749:H749)&gt;0,G387+1,0),0)</f>
        <v>0</v>
      </c>
      <c r="I387" s="208">
        <f>IF(I$2&lt;=AnalysisPeriod,IF(SUM($C749:I749)&gt;0,H387+1,0),0)</f>
        <v>0</v>
      </c>
      <c r="J387" s="208">
        <f>IF(J$2&lt;=AnalysisPeriod,IF(SUM($C749:J749)&gt;0,I387+1,0),0)</f>
        <v>0</v>
      </c>
      <c r="K387" s="208">
        <f>IF(K$2&lt;=AnalysisPeriod,IF(SUM($C749:K749)&gt;0,J387+1,0),0)</f>
        <v>0</v>
      </c>
      <c r="L387" s="208">
        <f>IF(L$2&lt;=AnalysisPeriod,IF(SUM($C749:L749)&gt;0,K387+1,0),0)</f>
        <v>0</v>
      </c>
      <c r="M387" s="208">
        <f>IF(M$2&lt;=AnalysisPeriod,IF(SUM($C749:M749)&gt;0,L387+1,0),0)</f>
        <v>0</v>
      </c>
      <c r="N387" s="208">
        <f>IF(N$2&lt;=AnalysisPeriod,IF(SUM($C749:N749)&gt;0,M387+1,0),0)</f>
        <v>0</v>
      </c>
      <c r="O387" s="208">
        <f>IF(O$2&lt;=AnalysisPeriod,IF(SUM($C749:O749)&gt;0,N387+1,0),0)</f>
        <v>0</v>
      </c>
      <c r="P387" s="208">
        <f>IF(P$2&lt;=AnalysisPeriod,IF(SUM($C749:P749)&gt;0,O387+1,0),0)</f>
        <v>0</v>
      </c>
      <c r="Q387" s="208">
        <f>IF(Q$2&lt;=AnalysisPeriod,IF(SUM($C749:Q749)&gt;0,P387+1,0),0)</f>
        <v>1</v>
      </c>
      <c r="R387" s="208">
        <f>IF(R$2&lt;=AnalysisPeriod,IF(SUM($C749:R749)&gt;0,Q387+1,0),0)</f>
        <v>2</v>
      </c>
      <c r="S387" s="208">
        <f>IF(S$2&lt;=AnalysisPeriod,IF(SUM($C749:S749)&gt;0,R387+1,0),0)</f>
        <v>3</v>
      </c>
      <c r="T387" s="208">
        <f>IF(T$2&lt;=AnalysisPeriod,IF(SUM($C749:T749)&gt;0,S387+1,0),0)</f>
        <v>4</v>
      </c>
      <c r="U387" s="208">
        <f>IF(U$2&lt;=AnalysisPeriod,IF(SUM($C749:U749)&gt;0,T387+1,0),0)</f>
        <v>5</v>
      </c>
      <c r="V387" s="208">
        <f>IF(V$2&lt;=AnalysisPeriod,IF(SUM($C749:V749)&gt;0,U387+1,0),0)</f>
        <v>6</v>
      </c>
      <c r="W387" s="208">
        <f>IF(W$2&lt;=AnalysisPeriod,IF(SUM($C749:W749)&gt;0,V387+1,0),0)</f>
        <v>7</v>
      </c>
      <c r="X387" s="208">
        <f>IF(X$2&lt;=AnalysisPeriod,IF(SUM($C749:X749)&gt;0,W387+1,0),0)</f>
        <v>8</v>
      </c>
      <c r="Y387" s="208">
        <f>IF(Y$2&lt;=AnalysisPeriod,IF(SUM($C749:Y749)&gt;0,X387+1,0),0)</f>
        <v>9</v>
      </c>
      <c r="Z387" s="208">
        <f>IF(Z$2&lt;=AnalysisPeriod,IF(SUM($C749:Z749)&gt;0,Y387+1,0),0)</f>
        <v>10</v>
      </c>
      <c r="AA387" s="208">
        <f>IF(AA$2&lt;=AnalysisPeriod,IF(SUM($C749:AA749)&gt;0,Z387+1,0),0)</f>
        <v>11</v>
      </c>
      <c r="AB387" s="208">
        <f>IF(AB$2&lt;=AnalysisPeriod,IF(SUM($C749:AB749)&gt;0,AA387+1,0),0)</f>
        <v>12</v>
      </c>
      <c r="AC387" s="208">
        <f>IF(AC$2&lt;=AnalysisPeriod,IF(SUM($C749:AC749)&gt;0,AB387+1,0),0)</f>
        <v>13</v>
      </c>
      <c r="AD387" s="208">
        <f>IF(AD$2&lt;=AnalysisPeriod,IF(SUM($C749:AD749)&gt;0,AC387+1,0),0)</f>
        <v>14</v>
      </c>
      <c r="AE387" s="208">
        <f>IF(AE$2&lt;=AnalysisPeriod,IF(SUM($C749:AE749)&gt;0,AD387+1,0),0)</f>
        <v>15</v>
      </c>
      <c r="AF387" s="208">
        <f>IF(AF$2&lt;=AnalysisPeriod,IF(SUM($C749:AF749)&gt;0,AE387+1,0),0)</f>
        <v>16</v>
      </c>
      <c r="AG387" s="208">
        <f>IF(AG$2&lt;=AnalysisPeriod,IF(SUM($C749:AG749)&gt;0,AF387+1,0),0)</f>
        <v>0</v>
      </c>
      <c r="AH387" s="208">
        <f>IF(AH$2&lt;=AnalysisPeriod,IF(SUM($C749:AH749)&gt;0,AG387+1,0),0)</f>
        <v>0</v>
      </c>
      <c r="AI387" s="208">
        <f>IF(AI$2&lt;=AnalysisPeriod,IF(SUM($C749:AI749)&gt;0,AH387+1,0),0)</f>
        <v>0</v>
      </c>
      <c r="AJ387" s="208">
        <f>IF(AJ$2&lt;=AnalysisPeriod,IF(SUM($C749:AJ749)&gt;0,AI387+1,0),0)</f>
        <v>0</v>
      </c>
      <c r="AK387" s="208">
        <f>IF(AK$2&lt;=AnalysisPeriod,IF(SUM($C749:AK749)&gt;0,AJ387+1,0),0)</f>
        <v>0</v>
      </c>
      <c r="AL387" s="208">
        <f>IF(AL$2&lt;=AnalysisPeriod,IF(SUM($C749:AL749)&gt;0,AK387+1,0),0)</f>
        <v>0</v>
      </c>
      <c r="AM387" s="208">
        <f>IF(AM$2&lt;=AnalysisPeriod,IF(SUM($C749:AM749)&gt;0,AL387+1,0),0)</f>
        <v>0</v>
      </c>
      <c r="AN387" s="208">
        <f>IF(AN$2&lt;=AnalysisPeriod,IF(SUM($C749:AN749)&gt;0,AM387+1,0),0)</f>
        <v>0</v>
      </c>
      <c r="AO387" s="208">
        <f>IF(AO$2&lt;=AnalysisPeriod,IF(SUM($C749:AO749)&gt;0,AN387+1,0),0)</f>
        <v>0</v>
      </c>
      <c r="AP387" s="208">
        <f>IF(AP$2&lt;=AnalysisPeriod,IF(SUM($C749:AP749)&gt;0,AO387+1,0),0)</f>
        <v>0</v>
      </c>
    </row>
    <row r="388" spans="1:42">
      <c r="A388" s="119">
        <f t="shared" si="181"/>
        <v>6</v>
      </c>
      <c r="C388" s="208">
        <f>IF(C$2&lt;=AnalysisPeriod,IF(SUM($C750:C750)&gt;0,B388+1,0),0)</f>
        <v>0</v>
      </c>
      <c r="D388" s="208">
        <f>IF(D$2&lt;=AnalysisPeriod,IF(SUM($C750:D750)&gt;0,C388+1,0),0)</f>
        <v>0</v>
      </c>
      <c r="E388" s="208">
        <f>IF(E$2&lt;=AnalysisPeriod,IF(SUM($C750:E750)&gt;0,D388+1,0),0)</f>
        <v>0</v>
      </c>
      <c r="F388" s="208">
        <f>IF(F$2&lt;=AnalysisPeriod,IF(SUM($C750:F750)&gt;0,E388+1,0),0)</f>
        <v>0</v>
      </c>
      <c r="G388" s="208">
        <f>IF(G$2&lt;=AnalysisPeriod,IF(SUM($C750:G750)&gt;0,F388+1,0),0)</f>
        <v>0</v>
      </c>
      <c r="H388" s="208">
        <f>IF(H$2&lt;=AnalysisPeriod,IF(SUM($C750:H750)&gt;0,G388+1,0),0)</f>
        <v>0</v>
      </c>
      <c r="I388" s="208">
        <f>IF(I$2&lt;=AnalysisPeriod,IF(SUM($C750:I750)&gt;0,H388+1,0),0)</f>
        <v>0</v>
      </c>
      <c r="J388" s="208">
        <f>IF(J$2&lt;=AnalysisPeriod,IF(SUM($C750:J750)&gt;0,I388+1,0),0)</f>
        <v>0</v>
      </c>
      <c r="K388" s="208">
        <f>IF(K$2&lt;=AnalysisPeriod,IF(SUM($C750:K750)&gt;0,J388+1,0),0)</f>
        <v>0</v>
      </c>
      <c r="L388" s="208">
        <f>IF(L$2&lt;=AnalysisPeriod,IF(SUM($C750:L750)&gt;0,K388+1,0),0)</f>
        <v>0</v>
      </c>
      <c r="M388" s="208">
        <f>IF(M$2&lt;=AnalysisPeriod,IF(SUM($C750:M750)&gt;0,L388+1,0),0)</f>
        <v>0</v>
      </c>
      <c r="N388" s="208">
        <f>IF(N$2&lt;=AnalysisPeriod,IF(SUM($C750:N750)&gt;0,M388+1,0),0)</f>
        <v>0</v>
      </c>
      <c r="O388" s="208">
        <f>IF(O$2&lt;=AnalysisPeriod,IF(SUM($C750:O750)&gt;0,N388+1,0),0)</f>
        <v>0</v>
      </c>
      <c r="P388" s="208">
        <f>IF(P$2&lt;=AnalysisPeriod,IF(SUM($C750:P750)&gt;0,O388+1,0),0)</f>
        <v>0</v>
      </c>
      <c r="Q388" s="208">
        <f>IF(Q$2&lt;=AnalysisPeriod,IF(SUM($C750:Q750)&gt;0,P388+1,0),0)</f>
        <v>0</v>
      </c>
      <c r="R388" s="208">
        <f>IF(R$2&lt;=AnalysisPeriod,IF(SUM($C750:R750)&gt;0,Q388+1,0),0)</f>
        <v>0</v>
      </c>
      <c r="S388" s="208">
        <f>IF(S$2&lt;=AnalysisPeriod,IF(SUM($C750:S750)&gt;0,R388+1,0),0)</f>
        <v>0</v>
      </c>
      <c r="T388" s="208">
        <f>IF(T$2&lt;=AnalysisPeriod,IF(SUM($C750:T750)&gt;0,S388+1,0),0)</f>
        <v>1</v>
      </c>
      <c r="U388" s="208">
        <f>IF(U$2&lt;=AnalysisPeriod,IF(SUM($C750:U750)&gt;0,T388+1,0),0)</f>
        <v>2</v>
      </c>
      <c r="V388" s="208">
        <f>IF(V$2&lt;=AnalysisPeriod,IF(SUM($C750:V750)&gt;0,U388+1,0),0)</f>
        <v>3</v>
      </c>
      <c r="W388" s="208">
        <f>IF(W$2&lt;=AnalysisPeriod,IF(SUM($C750:W750)&gt;0,V388+1,0),0)</f>
        <v>4</v>
      </c>
      <c r="X388" s="208">
        <f>IF(X$2&lt;=AnalysisPeriod,IF(SUM($C750:X750)&gt;0,W388+1,0),0)</f>
        <v>5</v>
      </c>
      <c r="Y388" s="208">
        <f>IF(Y$2&lt;=AnalysisPeriod,IF(SUM($C750:Y750)&gt;0,X388+1,0),0)</f>
        <v>6</v>
      </c>
      <c r="Z388" s="208">
        <f>IF(Z$2&lt;=AnalysisPeriod,IF(SUM($C750:Z750)&gt;0,Y388+1,0),0)</f>
        <v>7</v>
      </c>
      <c r="AA388" s="208">
        <f>IF(AA$2&lt;=AnalysisPeriod,IF(SUM($C750:AA750)&gt;0,Z388+1,0),0)</f>
        <v>8</v>
      </c>
      <c r="AB388" s="208">
        <f>IF(AB$2&lt;=AnalysisPeriod,IF(SUM($C750:AB750)&gt;0,AA388+1,0),0)</f>
        <v>9</v>
      </c>
      <c r="AC388" s="208">
        <f>IF(AC$2&lt;=AnalysisPeriod,IF(SUM($C750:AC750)&gt;0,AB388+1,0),0)</f>
        <v>10</v>
      </c>
      <c r="AD388" s="208">
        <f>IF(AD$2&lt;=AnalysisPeriod,IF(SUM($C750:AD750)&gt;0,AC388+1,0),0)</f>
        <v>11</v>
      </c>
      <c r="AE388" s="208">
        <f>IF(AE$2&lt;=AnalysisPeriod,IF(SUM($C750:AE750)&gt;0,AD388+1,0),0)</f>
        <v>12</v>
      </c>
      <c r="AF388" s="208">
        <f>IF(AF$2&lt;=AnalysisPeriod,IF(SUM($C750:AF750)&gt;0,AE388+1,0),0)</f>
        <v>13</v>
      </c>
      <c r="AG388" s="208">
        <f>IF(AG$2&lt;=AnalysisPeriod,IF(SUM($C750:AG750)&gt;0,AF388+1,0),0)</f>
        <v>0</v>
      </c>
      <c r="AH388" s="208">
        <f>IF(AH$2&lt;=AnalysisPeriod,IF(SUM($C750:AH750)&gt;0,AG388+1,0),0)</f>
        <v>0</v>
      </c>
      <c r="AI388" s="208">
        <f>IF(AI$2&lt;=AnalysisPeriod,IF(SUM($C750:AI750)&gt;0,AH388+1,0),0)</f>
        <v>0</v>
      </c>
      <c r="AJ388" s="208">
        <f>IF(AJ$2&lt;=AnalysisPeriod,IF(SUM($C750:AJ750)&gt;0,AI388+1,0),0)</f>
        <v>0</v>
      </c>
      <c r="AK388" s="208">
        <f>IF(AK$2&lt;=AnalysisPeriod,IF(SUM($C750:AK750)&gt;0,AJ388+1,0),0)</f>
        <v>0</v>
      </c>
      <c r="AL388" s="208">
        <f>IF(AL$2&lt;=AnalysisPeriod,IF(SUM($C750:AL750)&gt;0,AK388+1,0),0)</f>
        <v>0</v>
      </c>
      <c r="AM388" s="208">
        <f>IF(AM$2&lt;=AnalysisPeriod,IF(SUM($C750:AM750)&gt;0,AL388+1,0),0)</f>
        <v>0</v>
      </c>
      <c r="AN388" s="208">
        <f>IF(AN$2&lt;=AnalysisPeriod,IF(SUM($C750:AN750)&gt;0,AM388+1,0),0)</f>
        <v>0</v>
      </c>
      <c r="AO388" s="208">
        <f>IF(AO$2&lt;=AnalysisPeriod,IF(SUM($C750:AO750)&gt;0,AN388+1,0),0)</f>
        <v>0</v>
      </c>
      <c r="AP388" s="208">
        <f>IF(AP$2&lt;=AnalysisPeriod,IF(SUM($C750:AP750)&gt;0,AO388+1,0),0)</f>
        <v>0</v>
      </c>
    </row>
    <row r="389" spans="1:42">
      <c r="A389" s="119">
        <f t="shared" si="181"/>
        <v>7</v>
      </c>
      <c r="C389" s="208">
        <f>IF(C$2&lt;=AnalysisPeriod,IF(SUM($C751:C751)&gt;0,B389+1,0),0)</f>
        <v>0</v>
      </c>
      <c r="D389" s="208">
        <f>IF(D$2&lt;=AnalysisPeriod,IF(SUM($C751:D751)&gt;0,C389+1,0),0)</f>
        <v>0</v>
      </c>
      <c r="E389" s="208">
        <f>IF(E$2&lt;=AnalysisPeriod,IF(SUM($C751:E751)&gt;0,D389+1,0),0)</f>
        <v>0</v>
      </c>
      <c r="F389" s="208">
        <f>IF(F$2&lt;=AnalysisPeriod,IF(SUM($C751:F751)&gt;0,E389+1,0),0)</f>
        <v>0</v>
      </c>
      <c r="G389" s="208">
        <f>IF(G$2&lt;=AnalysisPeriod,IF(SUM($C751:G751)&gt;0,F389+1,0),0)</f>
        <v>0</v>
      </c>
      <c r="H389" s="208">
        <f>IF(H$2&lt;=AnalysisPeriod,IF(SUM($C751:H751)&gt;0,G389+1,0),0)</f>
        <v>0</v>
      </c>
      <c r="I389" s="208">
        <f>IF(I$2&lt;=AnalysisPeriod,IF(SUM($C751:I751)&gt;0,H389+1,0),0)</f>
        <v>0</v>
      </c>
      <c r="J389" s="208">
        <f>IF(J$2&lt;=AnalysisPeriod,IF(SUM($C751:J751)&gt;0,I389+1,0),0)</f>
        <v>0</v>
      </c>
      <c r="K389" s="208">
        <f>IF(K$2&lt;=AnalysisPeriod,IF(SUM($C751:K751)&gt;0,J389+1,0),0)</f>
        <v>0</v>
      </c>
      <c r="L389" s="208">
        <f>IF(L$2&lt;=AnalysisPeriod,IF(SUM($C751:L751)&gt;0,K389+1,0),0)</f>
        <v>0</v>
      </c>
      <c r="M389" s="208">
        <f>IF(M$2&lt;=AnalysisPeriod,IF(SUM($C751:M751)&gt;0,L389+1,0),0)</f>
        <v>0</v>
      </c>
      <c r="N389" s="208">
        <f>IF(N$2&lt;=AnalysisPeriod,IF(SUM($C751:N751)&gt;0,M389+1,0),0)</f>
        <v>0</v>
      </c>
      <c r="O389" s="208">
        <f>IF(O$2&lt;=AnalysisPeriod,IF(SUM($C751:O751)&gt;0,N389+1,0),0)</f>
        <v>0</v>
      </c>
      <c r="P389" s="208">
        <f>IF(P$2&lt;=AnalysisPeriod,IF(SUM($C751:P751)&gt;0,O389+1,0),0)</f>
        <v>0</v>
      </c>
      <c r="Q389" s="208">
        <f>IF(Q$2&lt;=AnalysisPeriod,IF(SUM($C751:Q751)&gt;0,P389+1,0),0)</f>
        <v>0</v>
      </c>
      <c r="R389" s="208">
        <f>IF(R$2&lt;=AnalysisPeriod,IF(SUM($C751:R751)&gt;0,Q389+1,0),0)</f>
        <v>0</v>
      </c>
      <c r="S389" s="208">
        <f>IF(S$2&lt;=AnalysisPeriod,IF(SUM($C751:S751)&gt;0,R389+1,0),0)</f>
        <v>0</v>
      </c>
      <c r="T389" s="208">
        <f>IF(T$2&lt;=AnalysisPeriod,IF(SUM($C751:T751)&gt;0,S389+1,0),0)</f>
        <v>0</v>
      </c>
      <c r="U389" s="208">
        <f>IF(U$2&lt;=AnalysisPeriod,IF(SUM($C751:U751)&gt;0,T389+1,0),0)</f>
        <v>0</v>
      </c>
      <c r="V389" s="208">
        <f>IF(V$2&lt;=AnalysisPeriod,IF(SUM($C751:V751)&gt;0,U389+1,0),0)</f>
        <v>0</v>
      </c>
      <c r="W389" s="208">
        <f>IF(W$2&lt;=AnalysisPeriod,IF(SUM($C751:W751)&gt;0,V389+1,0),0)</f>
        <v>1</v>
      </c>
      <c r="X389" s="208">
        <f>IF(X$2&lt;=AnalysisPeriod,IF(SUM($C751:X751)&gt;0,W389+1,0),0)</f>
        <v>2</v>
      </c>
      <c r="Y389" s="208">
        <f>IF(Y$2&lt;=AnalysisPeriod,IF(SUM($C751:Y751)&gt;0,X389+1,0),0)</f>
        <v>3</v>
      </c>
      <c r="Z389" s="208">
        <f>IF(Z$2&lt;=AnalysisPeriod,IF(SUM($C751:Z751)&gt;0,Y389+1,0),0)</f>
        <v>4</v>
      </c>
      <c r="AA389" s="208">
        <f>IF(AA$2&lt;=AnalysisPeriod,IF(SUM($C751:AA751)&gt;0,Z389+1,0),0)</f>
        <v>5</v>
      </c>
      <c r="AB389" s="208">
        <f>IF(AB$2&lt;=AnalysisPeriod,IF(SUM($C751:AB751)&gt;0,AA389+1,0),0)</f>
        <v>6</v>
      </c>
      <c r="AC389" s="208">
        <f>IF(AC$2&lt;=AnalysisPeriod,IF(SUM($C751:AC751)&gt;0,AB389+1,0),0)</f>
        <v>7</v>
      </c>
      <c r="AD389" s="208">
        <f>IF(AD$2&lt;=AnalysisPeriod,IF(SUM($C751:AD751)&gt;0,AC389+1,0),0)</f>
        <v>8</v>
      </c>
      <c r="AE389" s="208">
        <f>IF(AE$2&lt;=AnalysisPeriod,IF(SUM($C751:AE751)&gt;0,AD389+1,0),0)</f>
        <v>9</v>
      </c>
      <c r="AF389" s="208">
        <f>IF(AF$2&lt;=AnalysisPeriod,IF(SUM($C751:AF751)&gt;0,AE389+1,0),0)</f>
        <v>10</v>
      </c>
      <c r="AG389" s="208">
        <f>IF(AG$2&lt;=AnalysisPeriod,IF(SUM($C751:AG751)&gt;0,AF389+1,0),0)</f>
        <v>0</v>
      </c>
      <c r="AH389" s="208">
        <f>IF(AH$2&lt;=AnalysisPeriod,IF(SUM($C751:AH751)&gt;0,AG389+1,0),0)</f>
        <v>0</v>
      </c>
      <c r="AI389" s="208">
        <f>IF(AI$2&lt;=AnalysisPeriod,IF(SUM($C751:AI751)&gt;0,AH389+1,0),0)</f>
        <v>0</v>
      </c>
      <c r="AJ389" s="208">
        <f>IF(AJ$2&lt;=AnalysisPeriod,IF(SUM($C751:AJ751)&gt;0,AI389+1,0),0)</f>
        <v>0</v>
      </c>
      <c r="AK389" s="208">
        <f>IF(AK$2&lt;=AnalysisPeriod,IF(SUM($C751:AK751)&gt;0,AJ389+1,0),0)</f>
        <v>0</v>
      </c>
      <c r="AL389" s="208">
        <f>IF(AL$2&lt;=AnalysisPeriod,IF(SUM($C751:AL751)&gt;0,AK389+1,0),0)</f>
        <v>0</v>
      </c>
      <c r="AM389" s="208">
        <f>IF(AM$2&lt;=AnalysisPeriod,IF(SUM($C751:AM751)&gt;0,AL389+1,0),0)</f>
        <v>0</v>
      </c>
      <c r="AN389" s="208">
        <f>IF(AN$2&lt;=AnalysisPeriod,IF(SUM($C751:AN751)&gt;0,AM389+1,0),0)</f>
        <v>0</v>
      </c>
      <c r="AO389" s="208">
        <f>IF(AO$2&lt;=AnalysisPeriod,IF(SUM($C751:AO751)&gt;0,AN389+1,0),0)</f>
        <v>0</v>
      </c>
      <c r="AP389" s="208">
        <f>IF(AP$2&lt;=AnalysisPeriod,IF(SUM($C751:AP751)&gt;0,AO389+1,0),0)</f>
        <v>0</v>
      </c>
    </row>
    <row r="390" spans="1:42">
      <c r="A390" s="119">
        <f t="shared" si="181"/>
        <v>8</v>
      </c>
      <c r="C390" s="208">
        <f>IF(C$2&lt;=AnalysisPeriod,IF(SUM($C752:C752)&gt;0,B390+1,0),0)</f>
        <v>0</v>
      </c>
      <c r="D390" s="208">
        <f>IF(D$2&lt;=AnalysisPeriod,IF(SUM($C752:D752)&gt;0,C390+1,0),0)</f>
        <v>0</v>
      </c>
      <c r="E390" s="208">
        <f>IF(E$2&lt;=AnalysisPeriod,IF(SUM($C752:E752)&gt;0,D390+1,0),0)</f>
        <v>0</v>
      </c>
      <c r="F390" s="208">
        <f>IF(F$2&lt;=AnalysisPeriod,IF(SUM($C752:F752)&gt;0,E390+1,0),0)</f>
        <v>0</v>
      </c>
      <c r="G390" s="208">
        <f>IF(G$2&lt;=AnalysisPeriod,IF(SUM($C752:G752)&gt;0,F390+1,0),0)</f>
        <v>0</v>
      </c>
      <c r="H390" s="208">
        <f>IF(H$2&lt;=AnalysisPeriod,IF(SUM($C752:H752)&gt;0,G390+1,0),0)</f>
        <v>0</v>
      </c>
      <c r="I390" s="208">
        <f>IF(I$2&lt;=AnalysisPeriod,IF(SUM($C752:I752)&gt;0,H390+1,0),0)</f>
        <v>0</v>
      </c>
      <c r="J390" s="208">
        <f>IF(J$2&lt;=AnalysisPeriod,IF(SUM($C752:J752)&gt;0,I390+1,0),0)</f>
        <v>0</v>
      </c>
      <c r="K390" s="208">
        <f>IF(K$2&lt;=AnalysisPeriod,IF(SUM($C752:K752)&gt;0,J390+1,0),0)</f>
        <v>0</v>
      </c>
      <c r="L390" s="208">
        <f>IF(L$2&lt;=AnalysisPeriod,IF(SUM($C752:L752)&gt;0,K390+1,0),0)</f>
        <v>0</v>
      </c>
      <c r="M390" s="208">
        <f>IF(M$2&lt;=AnalysisPeriod,IF(SUM($C752:M752)&gt;0,L390+1,0),0)</f>
        <v>0</v>
      </c>
      <c r="N390" s="208">
        <f>IF(N$2&lt;=AnalysisPeriod,IF(SUM($C752:N752)&gt;0,M390+1,0),0)</f>
        <v>0</v>
      </c>
      <c r="O390" s="208">
        <f>IF(O$2&lt;=AnalysisPeriod,IF(SUM($C752:O752)&gt;0,N390+1,0),0)</f>
        <v>0</v>
      </c>
      <c r="P390" s="208">
        <f>IF(P$2&lt;=AnalysisPeriod,IF(SUM($C752:P752)&gt;0,O390+1,0),0)</f>
        <v>0</v>
      </c>
      <c r="Q390" s="208">
        <f>IF(Q$2&lt;=AnalysisPeriod,IF(SUM($C752:Q752)&gt;0,P390+1,0),0)</f>
        <v>0</v>
      </c>
      <c r="R390" s="208">
        <f>IF(R$2&lt;=AnalysisPeriod,IF(SUM($C752:R752)&gt;0,Q390+1,0),0)</f>
        <v>0</v>
      </c>
      <c r="S390" s="208">
        <f>IF(S$2&lt;=AnalysisPeriod,IF(SUM($C752:S752)&gt;0,R390+1,0),0)</f>
        <v>0</v>
      </c>
      <c r="T390" s="208">
        <f>IF(T$2&lt;=AnalysisPeriod,IF(SUM($C752:T752)&gt;0,S390+1,0),0)</f>
        <v>0</v>
      </c>
      <c r="U390" s="208">
        <f>IF(U$2&lt;=AnalysisPeriod,IF(SUM($C752:U752)&gt;0,T390+1,0),0)</f>
        <v>0</v>
      </c>
      <c r="V390" s="208">
        <f>IF(V$2&lt;=AnalysisPeriod,IF(SUM($C752:V752)&gt;0,U390+1,0),0)</f>
        <v>0</v>
      </c>
      <c r="W390" s="208">
        <f>IF(W$2&lt;=AnalysisPeriod,IF(SUM($C752:W752)&gt;0,V390+1,0),0)</f>
        <v>0</v>
      </c>
      <c r="X390" s="208">
        <f>IF(X$2&lt;=AnalysisPeriod,IF(SUM($C752:X752)&gt;0,W390+1,0),0)</f>
        <v>0</v>
      </c>
      <c r="Y390" s="208">
        <f>IF(Y$2&lt;=AnalysisPeriod,IF(SUM($C752:Y752)&gt;0,X390+1,0),0)</f>
        <v>0</v>
      </c>
      <c r="Z390" s="208">
        <f>IF(Z$2&lt;=AnalysisPeriod,IF(SUM($C752:Z752)&gt;0,Y390+1,0),0)</f>
        <v>1</v>
      </c>
      <c r="AA390" s="208">
        <f>IF(AA$2&lt;=AnalysisPeriod,IF(SUM($C752:AA752)&gt;0,Z390+1,0),0)</f>
        <v>2</v>
      </c>
      <c r="AB390" s="208">
        <f>IF(AB$2&lt;=AnalysisPeriod,IF(SUM($C752:AB752)&gt;0,AA390+1,0),0)</f>
        <v>3</v>
      </c>
      <c r="AC390" s="208">
        <f>IF(AC$2&lt;=AnalysisPeriod,IF(SUM($C752:AC752)&gt;0,AB390+1,0),0)</f>
        <v>4</v>
      </c>
      <c r="AD390" s="208">
        <f>IF(AD$2&lt;=AnalysisPeriod,IF(SUM($C752:AD752)&gt;0,AC390+1,0),0)</f>
        <v>5</v>
      </c>
      <c r="AE390" s="208">
        <f>IF(AE$2&lt;=AnalysisPeriod,IF(SUM($C752:AE752)&gt;0,AD390+1,0),0)</f>
        <v>6</v>
      </c>
      <c r="AF390" s="208">
        <f>IF(AF$2&lt;=AnalysisPeriod,IF(SUM($C752:AF752)&gt;0,AE390+1,0),0)</f>
        <v>7</v>
      </c>
      <c r="AG390" s="208">
        <f>IF(AG$2&lt;=AnalysisPeriod,IF(SUM($C752:AG752)&gt;0,AF390+1,0),0)</f>
        <v>0</v>
      </c>
      <c r="AH390" s="208">
        <f>IF(AH$2&lt;=AnalysisPeriod,IF(SUM($C752:AH752)&gt;0,AG390+1,0),0)</f>
        <v>0</v>
      </c>
      <c r="AI390" s="208">
        <f>IF(AI$2&lt;=AnalysisPeriod,IF(SUM($C752:AI752)&gt;0,AH390+1,0),0)</f>
        <v>0</v>
      </c>
      <c r="AJ390" s="208">
        <f>IF(AJ$2&lt;=AnalysisPeriod,IF(SUM($C752:AJ752)&gt;0,AI390+1,0),0)</f>
        <v>0</v>
      </c>
      <c r="AK390" s="208">
        <f>IF(AK$2&lt;=AnalysisPeriod,IF(SUM($C752:AK752)&gt;0,AJ390+1,0),0)</f>
        <v>0</v>
      </c>
      <c r="AL390" s="208">
        <f>IF(AL$2&lt;=AnalysisPeriod,IF(SUM($C752:AL752)&gt;0,AK390+1,0),0)</f>
        <v>0</v>
      </c>
      <c r="AM390" s="208">
        <f>IF(AM$2&lt;=AnalysisPeriod,IF(SUM($C752:AM752)&gt;0,AL390+1,0),0)</f>
        <v>0</v>
      </c>
      <c r="AN390" s="208">
        <f>IF(AN$2&lt;=AnalysisPeriod,IF(SUM($C752:AN752)&gt;0,AM390+1,0),0)</f>
        <v>0</v>
      </c>
      <c r="AO390" s="208">
        <f>IF(AO$2&lt;=AnalysisPeriod,IF(SUM($C752:AO752)&gt;0,AN390+1,0),0)</f>
        <v>0</v>
      </c>
      <c r="AP390" s="208">
        <f>IF(AP$2&lt;=AnalysisPeriod,IF(SUM($C752:AP752)&gt;0,AO390+1,0),0)</f>
        <v>0</v>
      </c>
    </row>
    <row r="391" spans="1:42">
      <c r="A391" s="119">
        <f>A390+1</f>
        <v>9</v>
      </c>
      <c r="C391" s="208">
        <f>IF(C$2&lt;=AnalysisPeriod,IF(SUM($C753:C753)&gt;0,B391+1,0),0)</f>
        <v>0</v>
      </c>
      <c r="D391" s="208">
        <f>IF(D$2&lt;=AnalysisPeriod,IF(SUM($C753:D753)&gt;0,C391+1,0),0)</f>
        <v>0</v>
      </c>
      <c r="E391" s="208">
        <f>IF(E$2&lt;=AnalysisPeriod,IF(SUM($C753:E753)&gt;0,D391+1,0),0)</f>
        <v>0</v>
      </c>
      <c r="F391" s="208">
        <f>IF(F$2&lt;=AnalysisPeriod,IF(SUM($C753:F753)&gt;0,E391+1,0),0)</f>
        <v>0</v>
      </c>
      <c r="G391" s="208">
        <f>IF(G$2&lt;=AnalysisPeriod,IF(SUM($C753:G753)&gt;0,F391+1,0),0)</f>
        <v>0</v>
      </c>
      <c r="H391" s="208">
        <f>IF(H$2&lt;=AnalysisPeriod,IF(SUM($C753:H753)&gt;0,G391+1,0),0)</f>
        <v>0</v>
      </c>
      <c r="I391" s="208">
        <f>IF(I$2&lt;=AnalysisPeriod,IF(SUM($C753:I753)&gt;0,H391+1,0),0)</f>
        <v>0</v>
      </c>
      <c r="J391" s="208">
        <f>IF(J$2&lt;=AnalysisPeriod,IF(SUM($C753:J753)&gt;0,I391+1,0),0)</f>
        <v>0</v>
      </c>
      <c r="K391" s="208">
        <f>IF(K$2&lt;=AnalysisPeriod,IF(SUM($C753:K753)&gt;0,J391+1,0),0)</f>
        <v>0</v>
      </c>
      <c r="L391" s="208">
        <f>IF(L$2&lt;=AnalysisPeriod,IF(SUM($C753:L753)&gt;0,K391+1,0),0)</f>
        <v>0</v>
      </c>
      <c r="M391" s="208">
        <f>IF(M$2&lt;=AnalysisPeriod,IF(SUM($C753:M753)&gt;0,L391+1,0),0)</f>
        <v>0</v>
      </c>
      <c r="N391" s="208">
        <f>IF(N$2&lt;=AnalysisPeriod,IF(SUM($C753:N753)&gt;0,M391+1,0),0)</f>
        <v>0</v>
      </c>
      <c r="O391" s="208">
        <f>IF(O$2&lt;=AnalysisPeriod,IF(SUM($C753:O753)&gt;0,N391+1,0),0)</f>
        <v>0</v>
      </c>
      <c r="P391" s="208">
        <f>IF(P$2&lt;=AnalysisPeriod,IF(SUM($C753:P753)&gt;0,O391+1,0),0)</f>
        <v>0</v>
      </c>
      <c r="Q391" s="208">
        <f>IF(Q$2&lt;=AnalysisPeriod,IF(SUM($C753:Q753)&gt;0,P391+1,0),0)</f>
        <v>0</v>
      </c>
      <c r="R391" s="208">
        <f>IF(R$2&lt;=AnalysisPeriod,IF(SUM($C753:R753)&gt;0,Q391+1,0),0)</f>
        <v>0</v>
      </c>
      <c r="S391" s="208">
        <f>IF(S$2&lt;=AnalysisPeriod,IF(SUM($C753:S753)&gt;0,R391+1,0),0)</f>
        <v>0</v>
      </c>
      <c r="T391" s="208">
        <f>IF(T$2&lt;=AnalysisPeriod,IF(SUM($C753:T753)&gt;0,S391+1,0),0)</f>
        <v>0</v>
      </c>
      <c r="U391" s="208">
        <f>IF(U$2&lt;=AnalysisPeriod,IF(SUM($C753:U753)&gt;0,T391+1,0),0)</f>
        <v>0</v>
      </c>
      <c r="V391" s="208">
        <f>IF(V$2&lt;=AnalysisPeriod,IF(SUM($C753:V753)&gt;0,U391+1,0),0)</f>
        <v>0</v>
      </c>
      <c r="W391" s="208">
        <f>IF(W$2&lt;=AnalysisPeriod,IF(SUM($C753:W753)&gt;0,V391+1,0),0)</f>
        <v>0</v>
      </c>
      <c r="X391" s="208">
        <f>IF(X$2&lt;=AnalysisPeriod,IF(SUM($C753:X753)&gt;0,W391+1,0),0)</f>
        <v>0</v>
      </c>
      <c r="Y391" s="208">
        <f>IF(Y$2&lt;=AnalysisPeriod,IF(SUM($C753:Y753)&gt;0,X391+1,0),0)</f>
        <v>0</v>
      </c>
      <c r="Z391" s="208">
        <f>IF(Z$2&lt;=AnalysisPeriod,IF(SUM($C753:Z753)&gt;0,Y391+1,0),0)</f>
        <v>0</v>
      </c>
      <c r="AA391" s="208">
        <f>IF(AA$2&lt;=AnalysisPeriod,IF(SUM($C753:AA753)&gt;0,Z391+1,0),0)</f>
        <v>0</v>
      </c>
      <c r="AB391" s="208">
        <f>IF(AB$2&lt;=AnalysisPeriod,IF(SUM($C753:AB753)&gt;0,AA391+1,0),0)</f>
        <v>0</v>
      </c>
      <c r="AC391" s="208">
        <f>IF(AC$2&lt;=AnalysisPeriod,IF(SUM($C753:AC753)&gt;0,AB391+1,0),0)</f>
        <v>1</v>
      </c>
      <c r="AD391" s="208">
        <f>IF(AD$2&lt;=AnalysisPeriod,IF(SUM($C753:AD753)&gt;0,AC391+1,0),0)</f>
        <v>2</v>
      </c>
      <c r="AE391" s="208">
        <f>IF(AE$2&lt;=AnalysisPeriod,IF(SUM($C753:AE753)&gt;0,AD391+1,0),0)</f>
        <v>3</v>
      </c>
      <c r="AF391" s="208">
        <f>IF(AF$2&lt;=AnalysisPeriod,IF(SUM($C753:AF753)&gt;0,AE391+1,0),0)</f>
        <v>4</v>
      </c>
      <c r="AG391" s="208">
        <f>IF(AG$2&lt;=AnalysisPeriod,IF(SUM($C753:AG753)&gt;0,AF391+1,0),0)</f>
        <v>0</v>
      </c>
      <c r="AH391" s="208">
        <f>IF(AH$2&lt;=AnalysisPeriod,IF(SUM($C753:AH753)&gt;0,AG391+1,0),0)</f>
        <v>0</v>
      </c>
      <c r="AI391" s="208">
        <f>IF(AI$2&lt;=AnalysisPeriod,IF(SUM($C753:AI753)&gt;0,AH391+1,0),0)</f>
        <v>0</v>
      </c>
      <c r="AJ391" s="208">
        <f>IF(AJ$2&lt;=AnalysisPeriod,IF(SUM($C753:AJ753)&gt;0,AI391+1,0),0)</f>
        <v>0</v>
      </c>
      <c r="AK391" s="208">
        <f>IF(AK$2&lt;=AnalysisPeriod,IF(SUM($C753:AK753)&gt;0,AJ391+1,0),0)</f>
        <v>0</v>
      </c>
      <c r="AL391" s="208">
        <f>IF(AL$2&lt;=AnalysisPeriod,IF(SUM($C753:AL753)&gt;0,AK391+1,0),0)</f>
        <v>0</v>
      </c>
      <c r="AM391" s="208">
        <f>IF(AM$2&lt;=AnalysisPeriod,IF(SUM($C753:AM753)&gt;0,AL391+1,0),0)</f>
        <v>0</v>
      </c>
      <c r="AN391" s="208">
        <f>IF(AN$2&lt;=AnalysisPeriod,IF(SUM($C753:AN753)&gt;0,AM391+1,0),0)</f>
        <v>0</v>
      </c>
      <c r="AO391" s="208">
        <f>IF(AO$2&lt;=AnalysisPeriod,IF(SUM($C753:AO753)&gt;0,AN391+1,0),0)</f>
        <v>0</v>
      </c>
      <c r="AP391" s="208">
        <f>IF(AP$2&lt;=AnalysisPeriod,IF(SUM($C753:AP753)&gt;0,AO391+1,0),0)</f>
        <v>0</v>
      </c>
    </row>
    <row r="392" spans="1:42">
      <c r="A392" s="119">
        <f t="shared" si="181"/>
        <v>10</v>
      </c>
      <c r="C392" s="208">
        <f>IF(C$2&lt;=AnalysisPeriod,IF(SUM($C754:C754)&gt;0,B392+1,0),0)</f>
        <v>0</v>
      </c>
      <c r="D392" s="208">
        <f>IF(D$2&lt;=AnalysisPeriod,IF(SUM($C754:D754)&gt;0,C392+1,0),0)</f>
        <v>0</v>
      </c>
      <c r="E392" s="208">
        <f>IF(E$2&lt;=AnalysisPeriod,IF(SUM($C754:E754)&gt;0,D392+1,0),0)</f>
        <v>0</v>
      </c>
      <c r="F392" s="208">
        <f>IF(F$2&lt;=AnalysisPeriod,IF(SUM($C754:F754)&gt;0,E392+1,0),0)</f>
        <v>0</v>
      </c>
      <c r="G392" s="208">
        <f>IF(G$2&lt;=AnalysisPeriod,IF(SUM($C754:G754)&gt;0,F392+1,0),0)</f>
        <v>0</v>
      </c>
      <c r="H392" s="208">
        <f>IF(H$2&lt;=AnalysisPeriod,IF(SUM($C754:H754)&gt;0,G392+1,0),0)</f>
        <v>0</v>
      </c>
      <c r="I392" s="208">
        <f>IF(I$2&lt;=AnalysisPeriod,IF(SUM($C754:I754)&gt;0,H392+1,0),0)</f>
        <v>0</v>
      </c>
      <c r="J392" s="208">
        <f>IF(J$2&lt;=AnalysisPeriod,IF(SUM($C754:J754)&gt;0,I392+1,0),0)</f>
        <v>0</v>
      </c>
      <c r="K392" s="208">
        <f>IF(K$2&lt;=AnalysisPeriod,IF(SUM($C754:K754)&gt;0,J392+1,0),0)</f>
        <v>0</v>
      </c>
      <c r="L392" s="208">
        <f>IF(L$2&lt;=AnalysisPeriod,IF(SUM($C754:L754)&gt;0,K392+1,0),0)</f>
        <v>0</v>
      </c>
      <c r="M392" s="208">
        <f>IF(M$2&lt;=AnalysisPeriod,IF(SUM($C754:M754)&gt;0,L392+1,0),0)</f>
        <v>0</v>
      </c>
      <c r="N392" s="208">
        <f>IF(N$2&lt;=AnalysisPeriod,IF(SUM($C754:N754)&gt;0,M392+1,0),0)</f>
        <v>0</v>
      </c>
      <c r="O392" s="208">
        <f>IF(O$2&lt;=AnalysisPeriod,IF(SUM($C754:O754)&gt;0,N392+1,0),0)</f>
        <v>0</v>
      </c>
      <c r="P392" s="208">
        <f>IF(P$2&lt;=AnalysisPeriod,IF(SUM($C754:P754)&gt;0,O392+1,0),0)</f>
        <v>0</v>
      </c>
      <c r="Q392" s="208">
        <f>IF(Q$2&lt;=AnalysisPeriod,IF(SUM($C754:Q754)&gt;0,P392+1,0),0)</f>
        <v>0</v>
      </c>
      <c r="R392" s="208">
        <f>IF(R$2&lt;=AnalysisPeriod,IF(SUM($C754:R754)&gt;0,Q392+1,0),0)</f>
        <v>0</v>
      </c>
      <c r="S392" s="208">
        <f>IF(S$2&lt;=AnalysisPeriod,IF(SUM($C754:S754)&gt;0,R392+1,0),0)</f>
        <v>0</v>
      </c>
      <c r="T392" s="208">
        <f>IF(T$2&lt;=AnalysisPeriod,IF(SUM($C754:T754)&gt;0,S392+1,0),0)</f>
        <v>0</v>
      </c>
      <c r="U392" s="208">
        <f>IF(U$2&lt;=AnalysisPeriod,IF(SUM($C754:U754)&gt;0,T392+1,0),0)</f>
        <v>0</v>
      </c>
      <c r="V392" s="208">
        <f>IF(V$2&lt;=AnalysisPeriod,IF(SUM($C754:V754)&gt;0,U392+1,0),0)</f>
        <v>0</v>
      </c>
      <c r="W392" s="208">
        <f>IF(W$2&lt;=AnalysisPeriod,IF(SUM($C754:W754)&gt;0,V392+1,0),0)</f>
        <v>0</v>
      </c>
      <c r="X392" s="208">
        <f>IF(X$2&lt;=AnalysisPeriod,IF(SUM($C754:X754)&gt;0,W392+1,0),0)</f>
        <v>0</v>
      </c>
      <c r="Y392" s="208">
        <f>IF(Y$2&lt;=AnalysisPeriod,IF(SUM($C754:Y754)&gt;0,X392+1,0),0)</f>
        <v>0</v>
      </c>
      <c r="Z392" s="208">
        <f>IF(Z$2&lt;=AnalysisPeriod,IF(SUM($C754:Z754)&gt;0,Y392+1,0),0)</f>
        <v>0</v>
      </c>
      <c r="AA392" s="208">
        <f>IF(AA$2&lt;=AnalysisPeriod,IF(SUM($C754:AA754)&gt;0,Z392+1,0),0)</f>
        <v>0</v>
      </c>
      <c r="AB392" s="208">
        <f>IF(AB$2&lt;=AnalysisPeriod,IF(SUM($C754:AB754)&gt;0,AA392+1,0),0)</f>
        <v>0</v>
      </c>
      <c r="AC392" s="208">
        <f>IF(AC$2&lt;=AnalysisPeriod,IF(SUM($C754:AC754)&gt;0,AB392+1,0),0)</f>
        <v>0</v>
      </c>
      <c r="AD392" s="208">
        <f>IF(AD$2&lt;=AnalysisPeriod,IF(SUM($C754:AD754)&gt;0,AC392+1,0),0)</f>
        <v>0</v>
      </c>
      <c r="AE392" s="208">
        <f>IF(AE$2&lt;=AnalysisPeriod,IF(SUM($C754:AE754)&gt;0,AD392+1,0),0)</f>
        <v>0</v>
      </c>
      <c r="AF392" s="208">
        <f>IF(AF$2&lt;=AnalysisPeriod,IF(SUM($C754:AF754)&gt;0,AE392+1,0),0)</f>
        <v>1</v>
      </c>
      <c r="AG392" s="208">
        <f>IF(AG$2&lt;=AnalysisPeriod,IF(SUM($C754:AG754)&gt;0,AF392+1,0),0)</f>
        <v>0</v>
      </c>
      <c r="AH392" s="208">
        <f>IF(AH$2&lt;=AnalysisPeriod,IF(SUM($C754:AH754)&gt;0,AG392+1,0),0)</f>
        <v>0</v>
      </c>
      <c r="AI392" s="208">
        <f>IF(AI$2&lt;=AnalysisPeriod,IF(SUM($C754:AI754)&gt;0,AH392+1,0),0)</f>
        <v>0</v>
      </c>
      <c r="AJ392" s="208">
        <f>IF(AJ$2&lt;=AnalysisPeriod,IF(SUM($C754:AJ754)&gt;0,AI392+1,0),0)</f>
        <v>0</v>
      </c>
      <c r="AK392" s="208">
        <f>IF(AK$2&lt;=AnalysisPeriod,IF(SUM($C754:AK754)&gt;0,AJ392+1,0),0)</f>
        <v>0</v>
      </c>
      <c r="AL392" s="208">
        <f>IF(AL$2&lt;=AnalysisPeriod,IF(SUM($C754:AL754)&gt;0,AK392+1,0),0)</f>
        <v>0</v>
      </c>
      <c r="AM392" s="208">
        <f>IF(AM$2&lt;=AnalysisPeriod,IF(SUM($C754:AM754)&gt;0,AL392+1,0),0)</f>
        <v>0</v>
      </c>
      <c r="AN392" s="208">
        <f>IF(AN$2&lt;=AnalysisPeriod,IF(SUM($C754:AN754)&gt;0,AM392+1,0),0)</f>
        <v>0</v>
      </c>
      <c r="AO392" s="208">
        <f>IF(AO$2&lt;=AnalysisPeriod,IF(SUM($C754:AO754)&gt;0,AN392+1,0),0)</f>
        <v>0</v>
      </c>
      <c r="AP392" s="208">
        <f>IF(AP$2&lt;=AnalysisPeriod,IF(SUM($C754:AP754)&gt;0,AO392+1,0),0)</f>
        <v>0</v>
      </c>
    </row>
    <row r="393" spans="1:42">
      <c r="A393" s="226"/>
      <c r="C393" s="208"/>
      <c r="D393" s="208"/>
      <c r="E393" s="208"/>
      <c r="F393" s="208"/>
      <c r="G393" s="208"/>
      <c r="H393" s="208"/>
      <c r="I393" s="208"/>
      <c r="J393" s="208"/>
      <c r="K393" s="208"/>
      <c r="L393" s="208"/>
      <c r="M393" s="208"/>
      <c r="N393" s="208"/>
      <c r="O393" s="208"/>
      <c r="P393" s="208"/>
      <c r="Q393" s="208"/>
      <c r="R393" s="208"/>
      <c r="S393" s="208"/>
      <c r="T393" s="208"/>
      <c r="U393" s="208"/>
      <c r="V393" s="208"/>
      <c r="W393" s="208"/>
      <c r="X393" s="208"/>
      <c r="Y393" s="208"/>
      <c r="Z393" s="208"/>
      <c r="AA393" s="208"/>
      <c r="AB393" s="208"/>
      <c r="AC393" s="208"/>
      <c r="AD393" s="208"/>
      <c r="AE393" s="208"/>
      <c r="AF393" s="208"/>
      <c r="AG393" s="208"/>
      <c r="AH393" s="208"/>
      <c r="AI393" s="208"/>
      <c r="AJ393" s="208"/>
      <c r="AK393" s="208"/>
      <c r="AL393" s="208"/>
      <c r="AM393" s="208"/>
      <c r="AN393" s="208"/>
      <c r="AO393" s="208"/>
      <c r="AP393" s="208"/>
    </row>
    <row r="394" spans="1:42">
      <c r="A394" s="226" t="s">
        <v>221</v>
      </c>
      <c r="C394" s="208"/>
      <c r="D394" s="208"/>
      <c r="E394" s="208"/>
      <c r="F394" s="208"/>
      <c r="G394" s="208"/>
      <c r="H394" s="208"/>
      <c r="I394" s="208"/>
      <c r="J394" s="208"/>
      <c r="K394" s="208"/>
      <c r="L394" s="208"/>
      <c r="M394" s="208"/>
      <c r="N394" s="208"/>
      <c r="O394" s="208"/>
      <c r="P394" s="208"/>
      <c r="Q394" s="208"/>
      <c r="R394" s="208"/>
      <c r="S394" s="208"/>
      <c r="T394" s="208"/>
      <c r="U394" s="208"/>
      <c r="V394" s="208"/>
      <c r="W394" s="208"/>
      <c r="X394" s="208"/>
      <c r="Y394" s="208"/>
      <c r="Z394" s="208"/>
      <c r="AA394" s="208"/>
      <c r="AB394" s="208"/>
      <c r="AC394" s="208"/>
      <c r="AD394" s="208"/>
      <c r="AE394" s="208"/>
      <c r="AF394" s="208"/>
      <c r="AG394" s="208"/>
      <c r="AH394" s="208"/>
      <c r="AI394" s="208"/>
      <c r="AJ394" s="208"/>
      <c r="AK394" s="208"/>
      <c r="AL394" s="208"/>
      <c r="AM394" s="208"/>
      <c r="AN394" s="208"/>
      <c r="AO394" s="208"/>
      <c r="AP394" s="208"/>
    </row>
    <row r="395" spans="1:42">
      <c r="A395" s="119">
        <v>1</v>
      </c>
      <c r="B395" s="218">
        <f t="shared" ref="B395:B404" si="182">SUM(C395:AP395)</f>
        <v>103022.49999999997</v>
      </c>
      <c r="C395" s="250">
        <f t="shared" ref="C395:AP395" si="183">LOOKUP(C383,$B$327:$AP$327,$B$328:$AP$328)*$B745</f>
        <v>0</v>
      </c>
      <c r="D395" s="208">
        <f t="shared" si="183"/>
        <v>0</v>
      </c>
      <c r="E395" s="208">
        <f t="shared" si="183"/>
        <v>20604.499999999996</v>
      </c>
      <c r="F395" s="208">
        <f t="shared" si="183"/>
        <v>32967.19999999999</v>
      </c>
      <c r="G395" s="208">
        <f t="shared" si="183"/>
        <v>19780.319999999996</v>
      </c>
      <c r="H395" s="208">
        <f t="shared" si="183"/>
        <v>11868.191999999995</v>
      </c>
      <c r="I395" s="208">
        <f t="shared" si="183"/>
        <v>11868.191999999995</v>
      </c>
      <c r="J395" s="208">
        <f t="shared" si="183"/>
        <v>5934.0959999999977</v>
      </c>
      <c r="K395" s="208">
        <f t="shared" si="183"/>
        <v>0</v>
      </c>
      <c r="L395" s="208">
        <f t="shared" si="183"/>
        <v>0</v>
      </c>
      <c r="M395" s="208">
        <f t="shared" si="183"/>
        <v>0</v>
      </c>
      <c r="N395" s="208">
        <f t="shared" si="183"/>
        <v>0</v>
      </c>
      <c r="O395" s="208">
        <f t="shared" si="183"/>
        <v>0</v>
      </c>
      <c r="P395" s="208">
        <f t="shared" si="183"/>
        <v>0</v>
      </c>
      <c r="Q395" s="208">
        <f t="shared" si="183"/>
        <v>0</v>
      </c>
      <c r="R395" s="208">
        <f t="shared" si="183"/>
        <v>0</v>
      </c>
      <c r="S395" s="208">
        <f t="shared" si="183"/>
        <v>0</v>
      </c>
      <c r="T395" s="208">
        <f t="shared" si="183"/>
        <v>0</v>
      </c>
      <c r="U395" s="208">
        <f t="shared" si="183"/>
        <v>0</v>
      </c>
      <c r="V395" s="208">
        <f t="shared" si="183"/>
        <v>0</v>
      </c>
      <c r="W395" s="208">
        <f t="shared" si="183"/>
        <v>0</v>
      </c>
      <c r="X395" s="208">
        <f t="shared" si="183"/>
        <v>0</v>
      </c>
      <c r="Y395" s="208">
        <f t="shared" si="183"/>
        <v>0</v>
      </c>
      <c r="Z395" s="208">
        <f t="shared" si="183"/>
        <v>0</v>
      </c>
      <c r="AA395" s="208">
        <f t="shared" si="183"/>
        <v>0</v>
      </c>
      <c r="AB395" s="208">
        <f t="shared" si="183"/>
        <v>0</v>
      </c>
      <c r="AC395" s="208">
        <f t="shared" si="183"/>
        <v>0</v>
      </c>
      <c r="AD395" s="208">
        <f t="shared" si="183"/>
        <v>0</v>
      </c>
      <c r="AE395" s="208">
        <f t="shared" si="183"/>
        <v>0</v>
      </c>
      <c r="AF395" s="208">
        <f t="shared" si="183"/>
        <v>0</v>
      </c>
      <c r="AG395" s="208">
        <f t="shared" si="183"/>
        <v>0</v>
      </c>
      <c r="AH395" s="208">
        <f t="shared" si="183"/>
        <v>0</v>
      </c>
      <c r="AI395" s="208">
        <f t="shared" si="183"/>
        <v>0</v>
      </c>
      <c r="AJ395" s="208">
        <f t="shared" si="183"/>
        <v>0</v>
      </c>
      <c r="AK395" s="208">
        <f t="shared" si="183"/>
        <v>0</v>
      </c>
      <c r="AL395" s="208">
        <f t="shared" si="183"/>
        <v>0</v>
      </c>
      <c r="AM395" s="208">
        <f t="shared" si="183"/>
        <v>0</v>
      </c>
      <c r="AN395" s="208">
        <f t="shared" si="183"/>
        <v>0</v>
      </c>
      <c r="AO395" s="208">
        <f t="shared" si="183"/>
        <v>0</v>
      </c>
      <c r="AP395" s="208">
        <f t="shared" si="183"/>
        <v>0</v>
      </c>
    </row>
    <row r="396" spans="1:42">
      <c r="A396" s="119">
        <f>A395+1</f>
        <v>2</v>
      </c>
      <c r="B396" s="218">
        <f t="shared" si="182"/>
        <v>107728.40038843744</v>
      </c>
      <c r="C396" s="250">
        <f t="shared" ref="C396:AP396" si="184">LOOKUP(C384,$B$327:$AP$327,$B$328:$AP$328)*$B746</f>
        <v>0</v>
      </c>
      <c r="D396" s="208">
        <f t="shared" si="184"/>
        <v>0</v>
      </c>
      <c r="E396" s="208">
        <f t="shared" si="184"/>
        <v>0</v>
      </c>
      <c r="F396" s="208">
        <f t="shared" si="184"/>
        <v>0</v>
      </c>
      <c r="G396" s="208">
        <f t="shared" si="184"/>
        <v>0</v>
      </c>
      <c r="H396" s="208">
        <f t="shared" si="184"/>
        <v>21545.680077687488</v>
      </c>
      <c r="I396" s="208">
        <f t="shared" si="184"/>
        <v>34473.088124299975</v>
      </c>
      <c r="J396" s="208">
        <f t="shared" si="184"/>
        <v>20683.852874579985</v>
      </c>
      <c r="K396" s="208">
        <f t="shared" si="184"/>
        <v>12410.311724747991</v>
      </c>
      <c r="L396" s="208">
        <f t="shared" si="184"/>
        <v>12410.311724747991</v>
      </c>
      <c r="M396" s="208">
        <f t="shared" si="184"/>
        <v>6205.1558623739957</v>
      </c>
      <c r="N396" s="208">
        <f t="shared" si="184"/>
        <v>0</v>
      </c>
      <c r="O396" s="208">
        <f t="shared" si="184"/>
        <v>0</v>
      </c>
      <c r="P396" s="208">
        <f t="shared" si="184"/>
        <v>0</v>
      </c>
      <c r="Q396" s="208">
        <f t="shared" si="184"/>
        <v>0</v>
      </c>
      <c r="R396" s="208">
        <f t="shared" si="184"/>
        <v>0</v>
      </c>
      <c r="S396" s="208">
        <f t="shared" si="184"/>
        <v>0</v>
      </c>
      <c r="T396" s="208">
        <f t="shared" si="184"/>
        <v>0</v>
      </c>
      <c r="U396" s="208">
        <f t="shared" si="184"/>
        <v>0</v>
      </c>
      <c r="V396" s="208">
        <f t="shared" si="184"/>
        <v>0</v>
      </c>
      <c r="W396" s="208">
        <f t="shared" si="184"/>
        <v>0</v>
      </c>
      <c r="X396" s="208">
        <f t="shared" si="184"/>
        <v>0</v>
      </c>
      <c r="Y396" s="208">
        <f t="shared" si="184"/>
        <v>0</v>
      </c>
      <c r="Z396" s="208">
        <f t="shared" si="184"/>
        <v>0</v>
      </c>
      <c r="AA396" s="208">
        <f t="shared" si="184"/>
        <v>0</v>
      </c>
      <c r="AB396" s="208">
        <f t="shared" si="184"/>
        <v>0</v>
      </c>
      <c r="AC396" s="208">
        <f t="shared" si="184"/>
        <v>0</v>
      </c>
      <c r="AD396" s="208">
        <f t="shared" si="184"/>
        <v>0</v>
      </c>
      <c r="AE396" s="208">
        <f t="shared" si="184"/>
        <v>0</v>
      </c>
      <c r="AF396" s="208">
        <f t="shared" si="184"/>
        <v>0</v>
      </c>
      <c r="AG396" s="208">
        <f t="shared" si="184"/>
        <v>0</v>
      </c>
      <c r="AH396" s="208">
        <f t="shared" si="184"/>
        <v>0</v>
      </c>
      <c r="AI396" s="208">
        <f t="shared" si="184"/>
        <v>0</v>
      </c>
      <c r="AJ396" s="208">
        <f t="shared" si="184"/>
        <v>0</v>
      </c>
      <c r="AK396" s="208">
        <f t="shared" si="184"/>
        <v>0</v>
      </c>
      <c r="AL396" s="208">
        <f t="shared" si="184"/>
        <v>0</v>
      </c>
      <c r="AM396" s="208">
        <f t="shared" si="184"/>
        <v>0</v>
      </c>
      <c r="AN396" s="208">
        <f t="shared" si="184"/>
        <v>0</v>
      </c>
      <c r="AO396" s="208">
        <f t="shared" si="184"/>
        <v>0</v>
      </c>
      <c r="AP396" s="208">
        <f t="shared" si="184"/>
        <v>0</v>
      </c>
    </row>
    <row r="397" spans="1:42">
      <c r="A397" s="119">
        <f t="shared" ref="A397:A404" si="185">A396+1</f>
        <v>3</v>
      </c>
      <c r="B397" s="218">
        <f t="shared" si="182"/>
        <v>112649.25865953058</v>
      </c>
      <c r="C397" s="250">
        <f t="shared" ref="C397:AP397" si="186">LOOKUP(C385,$B$327:$AP$327,$B$328:$AP$328)*$B747</f>
        <v>0</v>
      </c>
      <c r="D397" s="208">
        <f t="shared" si="186"/>
        <v>0</v>
      </c>
      <c r="E397" s="208">
        <f t="shared" si="186"/>
        <v>0</v>
      </c>
      <c r="F397" s="208">
        <f t="shared" si="186"/>
        <v>0</v>
      </c>
      <c r="G397" s="208">
        <f t="shared" si="186"/>
        <v>0</v>
      </c>
      <c r="H397" s="208">
        <f t="shared" si="186"/>
        <v>0</v>
      </c>
      <c r="I397" s="208">
        <f t="shared" si="186"/>
        <v>0</v>
      </c>
      <c r="J397" s="208">
        <f t="shared" si="186"/>
        <v>0</v>
      </c>
      <c r="K397" s="208">
        <f t="shared" si="186"/>
        <v>22529.851731906117</v>
      </c>
      <c r="L397" s="208">
        <f t="shared" si="186"/>
        <v>36047.762771049784</v>
      </c>
      <c r="M397" s="208">
        <f t="shared" si="186"/>
        <v>21628.65766262987</v>
      </c>
      <c r="N397" s="208">
        <f t="shared" si="186"/>
        <v>12977.194597577922</v>
      </c>
      <c r="O397" s="208">
        <f t="shared" si="186"/>
        <v>12977.194597577922</v>
      </c>
      <c r="P397" s="208">
        <f t="shared" si="186"/>
        <v>6488.5972987889609</v>
      </c>
      <c r="Q397" s="208">
        <f t="shared" si="186"/>
        <v>0</v>
      </c>
      <c r="R397" s="208">
        <f t="shared" si="186"/>
        <v>0</v>
      </c>
      <c r="S397" s="208">
        <f t="shared" si="186"/>
        <v>0</v>
      </c>
      <c r="T397" s="208">
        <f t="shared" si="186"/>
        <v>0</v>
      </c>
      <c r="U397" s="208">
        <f t="shared" si="186"/>
        <v>0</v>
      </c>
      <c r="V397" s="208">
        <f t="shared" si="186"/>
        <v>0</v>
      </c>
      <c r="W397" s="208">
        <f t="shared" si="186"/>
        <v>0</v>
      </c>
      <c r="X397" s="208">
        <f t="shared" si="186"/>
        <v>0</v>
      </c>
      <c r="Y397" s="208">
        <f t="shared" si="186"/>
        <v>0</v>
      </c>
      <c r="Z397" s="208">
        <f t="shared" si="186"/>
        <v>0</v>
      </c>
      <c r="AA397" s="208">
        <f t="shared" si="186"/>
        <v>0</v>
      </c>
      <c r="AB397" s="208">
        <f t="shared" si="186"/>
        <v>0</v>
      </c>
      <c r="AC397" s="208">
        <f t="shared" si="186"/>
        <v>0</v>
      </c>
      <c r="AD397" s="208">
        <f t="shared" si="186"/>
        <v>0</v>
      </c>
      <c r="AE397" s="208">
        <f t="shared" si="186"/>
        <v>0</v>
      </c>
      <c r="AF397" s="208">
        <f t="shared" si="186"/>
        <v>0</v>
      </c>
      <c r="AG397" s="208">
        <f t="shared" si="186"/>
        <v>0</v>
      </c>
      <c r="AH397" s="208">
        <f t="shared" si="186"/>
        <v>0</v>
      </c>
      <c r="AI397" s="208">
        <f t="shared" si="186"/>
        <v>0</v>
      </c>
      <c r="AJ397" s="208">
        <f t="shared" si="186"/>
        <v>0</v>
      </c>
      <c r="AK397" s="208">
        <f t="shared" si="186"/>
        <v>0</v>
      </c>
      <c r="AL397" s="208">
        <f t="shared" si="186"/>
        <v>0</v>
      </c>
      <c r="AM397" s="208">
        <f t="shared" si="186"/>
        <v>0</v>
      </c>
      <c r="AN397" s="208">
        <f t="shared" si="186"/>
        <v>0</v>
      </c>
      <c r="AO397" s="208">
        <f t="shared" si="186"/>
        <v>0</v>
      </c>
      <c r="AP397" s="208">
        <f t="shared" si="186"/>
        <v>0</v>
      </c>
    </row>
    <row r="398" spans="1:42">
      <c r="A398" s="119">
        <f t="shared" si="185"/>
        <v>4</v>
      </c>
      <c r="B398" s="218">
        <f t="shared" si="182"/>
        <v>117794.89374005256</v>
      </c>
      <c r="C398" s="250">
        <f t="shared" ref="C398:AP398" si="187">LOOKUP(C386,$B$327:$AP$327,$B$328:$AP$328)*$B748</f>
        <v>0</v>
      </c>
      <c r="D398" s="208">
        <f t="shared" si="187"/>
        <v>0</v>
      </c>
      <c r="E398" s="208">
        <f t="shared" si="187"/>
        <v>0</v>
      </c>
      <c r="F398" s="208">
        <f t="shared" si="187"/>
        <v>0</v>
      </c>
      <c r="G398" s="208">
        <f t="shared" si="187"/>
        <v>0</v>
      </c>
      <c r="H398" s="208">
        <f t="shared" si="187"/>
        <v>0</v>
      </c>
      <c r="I398" s="208">
        <f t="shared" si="187"/>
        <v>0</v>
      </c>
      <c r="J398" s="208">
        <f t="shared" si="187"/>
        <v>0</v>
      </c>
      <c r="K398" s="208">
        <f t="shared" si="187"/>
        <v>0</v>
      </c>
      <c r="L398" s="208">
        <f t="shared" si="187"/>
        <v>0</v>
      </c>
      <c r="M398" s="208">
        <f t="shared" si="187"/>
        <v>0</v>
      </c>
      <c r="N398" s="208">
        <f t="shared" si="187"/>
        <v>23558.978748010515</v>
      </c>
      <c r="O398" s="208">
        <f t="shared" si="187"/>
        <v>37694.365996816821</v>
      </c>
      <c r="P398" s="208">
        <f t="shared" si="187"/>
        <v>22616.619598090092</v>
      </c>
      <c r="Q398" s="208">
        <f t="shared" si="187"/>
        <v>13569.971758854055</v>
      </c>
      <c r="R398" s="208">
        <f t="shared" si="187"/>
        <v>13569.971758854055</v>
      </c>
      <c r="S398" s="208">
        <f t="shared" si="187"/>
        <v>6784.9858794270276</v>
      </c>
      <c r="T398" s="208">
        <f t="shared" si="187"/>
        <v>0</v>
      </c>
      <c r="U398" s="208">
        <f t="shared" si="187"/>
        <v>0</v>
      </c>
      <c r="V398" s="208">
        <f t="shared" si="187"/>
        <v>0</v>
      </c>
      <c r="W398" s="208">
        <f t="shared" si="187"/>
        <v>0</v>
      </c>
      <c r="X398" s="208">
        <f t="shared" si="187"/>
        <v>0</v>
      </c>
      <c r="Y398" s="208">
        <f t="shared" si="187"/>
        <v>0</v>
      </c>
      <c r="Z398" s="208">
        <f t="shared" si="187"/>
        <v>0</v>
      </c>
      <c r="AA398" s="208">
        <f t="shared" si="187"/>
        <v>0</v>
      </c>
      <c r="AB398" s="208">
        <f t="shared" si="187"/>
        <v>0</v>
      </c>
      <c r="AC398" s="208">
        <f t="shared" si="187"/>
        <v>0</v>
      </c>
      <c r="AD398" s="208">
        <f t="shared" si="187"/>
        <v>0</v>
      </c>
      <c r="AE398" s="208">
        <f t="shared" si="187"/>
        <v>0</v>
      </c>
      <c r="AF398" s="208">
        <f t="shared" si="187"/>
        <v>0</v>
      </c>
      <c r="AG398" s="208">
        <f t="shared" si="187"/>
        <v>0</v>
      </c>
      <c r="AH398" s="208">
        <f t="shared" si="187"/>
        <v>0</v>
      </c>
      <c r="AI398" s="208">
        <f t="shared" si="187"/>
        <v>0</v>
      </c>
      <c r="AJ398" s="208">
        <f t="shared" si="187"/>
        <v>0</v>
      </c>
      <c r="AK398" s="208">
        <f t="shared" si="187"/>
        <v>0</v>
      </c>
      <c r="AL398" s="208">
        <f t="shared" si="187"/>
        <v>0</v>
      </c>
      <c r="AM398" s="208">
        <f t="shared" si="187"/>
        <v>0</v>
      </c>
      <c r="AN398" s="208">
        <f t="shared" si="187"/>
        <v>0</v>
      </c>
      <c r="AO398" s="208">
        <f t="shared" si="187"/>
        <v>0</v>
      </c>
      <c r="AP398" s="208">
        <f t="shared" si="187"/>
        <v>0</v>
      </c>
    </row>
    <row r="399" spans="1:42">
      <c r="A399" s="119">
        <f t="shared" si="185"/>
        <v>5</v>
      </c>
      <c r="B399" s="218">
        <f t="shared" si="182"/>
        <v>123175.57306939577</v>
      </c>
      <c r="C399" s="250">
        <f t="shared" ref="C399:AP399" si="188">LOOKUP(C387,$B$327:$AP$327,$B$328:$AP$328)*$B749</f>
        <v>0</v>
      </c>
      <c r="D399" s="208">
        <f t="shared" si="188"/>
        <v>0</v>
      </c>
      <c r="E399" s="208">
        <f t="shared" si="188"/>
        <v>0</v>
      </c>
      <c r="F399" s="208">
        <f t="shared" si="188"/>
        <v>0</v>
      </c>
      <c r="G399" s="208">
        <f t="shared" si="188"/>
        <v>0</v>
      </c>
      <c r="H399" s="208">
        <f t="shared" si="188"/>
        <v>0</v>
      </c>
      <c r="I399" s="208">
        <f t="shared" si="188"/>
        <v>0</v>
      </c>
      <c r="J399" s="208">
        <f t="shared" si="188"/>
        <v>0</v>
      </c>
      <c r="K399" s="208">
        <f t="shared" si="188"/>
        <v>0</v>
      </c>
      <c r="L399" s="208">
        <f t="shared" si="188"/>
        <v>0</v>
      </c>
      <c r="M399" s="208">
        <f t="shared" si="188"/>
        <v>0</v>
      </c>
      <c r="N399" s="208">
        <f t="shared" si="188"/>
        <v>0</v>
      </c>
      <c r="O399" s="208">
        <f t="shared" si="188"/>
        <v>0</v>
      </c>
      <c r="P399" s="208">
        <f t="shared" si="188"/>
        <v>0</v>
      </c>
      <c r="Q399" s="208">
        <f t="shared" si="188"/>
        <v>24635.114613879156</v>
      </c>
      <c r="R399" s="208">
        <f t="shared" si="188"/>
        <v>39416.183382206647</v>
      </c>
      <c r="S399" s="208">
        <f t="shared" si="188"/>
        <v>23649.710029323989</v>
      </c>
      <c r="T399" s="208">
        <f t="shared" si="188"/>
        <v>14189.826017594392</v>
      </c>
      <c r="U399" s="208">
        <f t="shared" si="188"/>
        <v>14189.826017594392</v>
      </c>
      <c r="V399" s="208">
        <f t="shared" si="188"/>
        <v>7094.9130087971962</v>
      </c>
      <c r="W399" s="208">
        <f t="shared" si="188"/>
        <v>0</v>
      </c>
      <c r="X399" s="208">
        <f t="shared" si="188"/>
        <v>0</v>
      </c>
      <c r="Y399" s="208">
        <f t="shared" si="188"/>
        <v>0</v>
      </c>
      <c r="Z399" s="208">
        <f t="shared" si="188"/>
        <v>0</v>
      </c>
      <c r="AA399" s="208">
        <f t="shared" si="188"/>
        <v>0</v>
      </c>
      <c r="AB399" s="208">
        <f t="shared" si="188"/>
        <v>0</v>
      </c>
      <c r="AC399" s="208">
        <f t="shared" si="188"/>
        <v>0</v>
      </c>
      <c r="AD399" s="208">
        <f t="shared" si="188"/>
        <v>0</v>
      </c>
      <c r="AE399" s="208">
        <f t="shared" si="188"/>
        <v>0</v>
      </c>
      <c r="AF399" s="208">
        <f t="shared" si="188"/>
        <v>0</v>
      </c>
      <c r="AG399" s="208">
        <f t="shared" si="188"/>
        <v>0</v>
      </c>
      <c r="AH399" s="208">
        <f t="shared" si="188"/>
        <v>0</v>
      </c>
      <c r="AI399" s="208">
        <f t="shared" si="188"/>
        <v>0</v>
      </c>
      <c r="AJ399" s="208">
        <f t="shared" si="188"/>
        <v>0</v>
      </c>
      <c r="AK399" s="208">
        <f t="shared" si="188"/>
        <v>0</v>
      </c>
      <c r="AL399" s="208">
        <f t="shared" si="188"/>
        <v>0</v>
      </c>
      <c r="AM399" s="208">
        <f t="shared" si="188"/>
        <v>0</v>
      </c>
      <c r="AN399" s="208">
        <f t="shared" si="188"/>
        <v>0</v>
      </c>
      <c r="AO399" s="208">
        <f t="shared" si="188"/>
        <v>0</v>
      </c>
      <c r="AP399" s="208">
        <f t="shared" si="188"/>
        <v>0</v>
      </c>
    </row>
    <row r="400" spans="1:42">
      <c r="A400" s="119">
        <f t="shared" si="185"/>
        <v>6</v>
      </c>
      <c r="B400" s="218">
        <f t="shared" si="182"/>
        <v>128802.03308689946</v>
      </c>
      <c r="C400" s="250">
        <f t="shared" ref="C400:AP400" si="189">LOOKUP(C388,$B$327:$AP$327,$B$328:$AP$328)*$B750</f>
        <v>0</v>
      </c>
      <c r="D400" s="208">
        <f t="shared" si="189"/>
        <v>0</v>
      </c>
      <c r="E400" s="208">
        <f t="shared" si="189"/>
        <v>0</v>
      </c>
      <c r="F400" s="208">
        <f t="shared" si="189"/>
        <v>0</v>
      </c>
      <c r="G400" s="208">
        <f t="shared" si="189"/>
        <v>0</v>
      </c>
      <c r="H400" s="208">
        <f t="shared" si="189"/>
        <v>0</v>
      </c>
      <c r="I400" s="208">
        <f t="shared" si="189"/>
        <v>0</v>
      </c>
      <c r="J400" s="208">
        <f t="shared" si="189"/>
        <v>0</v>
      </c>
      <c r="K400" s="208">
        <f t="shared" si="189"/>
        <v>0</v>
      </c>
      <c r="L400" s="208">
        <f t="shared" si="189"/>
        <v>0</v>
      </c>
      <c r="M400" s="208">
        <f t="shared" si="189"/>
        <v>0</v>
      </c>
      <c r="N400" s="208">
        <f t="shared" si="189"/>
        <v>0</v>
      </c>
      <c r="O400" s="208">
        <f t="shared" si="189"/>
        <v>0</v>
      </c>
      <c r="P400" s="208">
        <f t="shared" si="189"/>
        <v>0</v>
      </c>
      <c r="Q400" s="208">
        <f t="shared" si="189"/>
        <v>0</v>
      </c>
      <c r="R400" s="208">
        <f t="shared" si="189"/>
        <v>0</v>
      </c>
      <c r="S400" s="208">
        <f t="shared" si="189"/>
        <v>0</v>
      </c>
      <c r="T400" s="208">
        <f t="shared" si="189"/>
        <v>25760.406617379896</v>
      </c>
      <c r="U400" s="208">
        <f t="shared" si="189"/>
        <v>41216.650587807831</v>
      </c>
      <c r="V400" s="208">
        <f t="shared" si="189"/>
        <v>24729.990352684701</v>
      </c>
      <c r="W400" s="208">
        <f t="shared" si="189"/>
        <v>14837.99421161082</v>
      </c>
      <c r="X400" s="208">
        <f t="shared" si="189"/>
        <v>14837.99421161082</v>
      </c>
      <c r="Y400" s="208">
        <f t="shared" si="189"/>
        <v>7418.9971058054098</v>
      </c>
      <c r="Z400" s="208">
        <f t="shared" si="189"/>
        <v>0</v>
      </c>
      <c r="AA400" s="208">
        <f t="shared" si="189"/>
        <v>0</v>
      </c>
      <c r="AB400" s="208">
        <f t="shared" si="189"/>
        <v>0</v>
      </c>
      <c r="AC400" s="208">
        <f t="shared" si="189"/>
        <v>0</v>
      </c>
      <c r="AD400" s="208">
        <f t="shared" si="189"/>
        <v>0</v>
      </c>
      <c r="AE400" s="208">
        <f t="shared" si="189"/>
        <v>0</v>
      </c>
      <c r="AF400" s="208">
        <f t="shared" si="189"/>
        <v>0</v>
      </c>
      <c r="AG400" s="208">
        <f t="shared" si="189"/>
        <v>0</v>
      </c>
      <c r="AH400" s="208">
        <f t="shared" si="189"/>
        <v>0</v>
      </c>
      <c r="AI400" s="208">
        <f t="shared" si="189"/>
        <v>0</v>
      </c>
      <c r="AJ400" s="208">
        <f t="shared" si="189"/>
        <v>0</v>
      </c>
      <c r="AK400" s="208">
        <f t="shared" si="189"/>
        <v>0</v>
      </c>
      <c r="AL400" s="208">
        <f t="shared" si="189"/>
        <v>0</v>
      </c>
      <c r="AM400" s="208">
        <f t="shared" si="189"/>
        <v>0</v>
      </c>
      <c r="AN400" s="208">
        <f t="shared" si="189"/>
        <v>0</v>
      </c>
      <c r="AO400" s="208">
        <f t="shared" si="189"/>
        <v>0</v>
      </c>
      <c r="AP400" s="208">
        <f t="shared" si="189"/>
        <v>0</v>
      </c>
    </row>
    <row r="401" spans="1:42">
      <c r="A401" s="119">
        <f t="shared" si="185"/>
        <v>7</v>
      </c>
      <c r="B401" s="218">
        <f t="shared" si="182"/>
        <v>134685.50065500522</v>
      </c>
      <c r="C401" s="250">
        <f t="shared" ref="C401:AP401" si="190">LOOKUP(C389,$B$327:$AP$327,$B$328:$AP$328)*$B751</f>
        <v>0</v>
      </c>
      <c r="D401" s="208">
        <f t="shared" si="190"/>
        <v>0</v>
      </c>
      <c r="E401" s="208">
        <f t="shared" si="190"/>
        <v>0</v>
      </c>
      <c r="F401" s="208">
        <f t="shared" si="190"/>
        <v>0</v>
      </c>
      <c r="G401" s="208">
        <f t="shared" si="190"/>
        <v>0</v>
      </c>
      <c r="H401" s="208">
        <f t="shared" si="190"/>
        <v>0</v>
      </c>
      <c r="I401" s="208">
        <f t="shared" si="190"/>
        <v>0</v>
      </c>
      <c r="J401" s="208">
        <f t="shared" si="190"/>
        <v>0</v>
      </c>
      <c r="K401" s="208">
        <f t="shared" si="190"/>
        <v>0</v>
      </c>
      <c r="L401" s="208">
        <f t="shared" si="190"/>
        <v>0</v>
      </c>
      <c r="M401" s="208">
        <f t="shared" si="190"/>
        <v>0</v>
      </c>
      <c r="N401" s="208">
        <f t="shared" si="190"/>
        <v>0</v>
      </c>
      <c r="O401" s="208">
        <f t="shared" si="190"/>
        <v>0</v>
      </c>
      <c r="P401" s="208">
        <f t="shared" si="190"/>
        <v>0</v>
      </c>
      <c r="Q401" s="208">
        <f t="shared" si="190"/>
        <v>0</v>
      </c>
      <c r="R401" s="208">
        <f t="shared" si="190"/>
        <v>0</v>
      </c>
      <c r="S401" s="208">
        <f t="shared" si="190"/>
        <v>0</v>
      </c>
      <c r="T401" s="208">
        <f t="shared" si="190"/>
        <v>0</v>
      </c>
      <c r="U401" s="208">
        <f t="shared" si="190"/>
        <v>0</v>
      </c>
      <c r="V401" s="208">
        <f t="shared" si="190"/>
        <v>0</v>
      </c>
      <c r="W401" s="208">
        <f t="shared" si="190"/>
        <v>26937.100131001047</v>
      </c>
      <c r="X401" s="208">
        <f t="shared" si="190"/>
        <v>43099.360209601669</v>
      </c>
      <c r="Y401" s="208">
        <f t="shared" si="190"/>
        <v>25859.616125761004</v>
      </c>
      <c r="Z401" s="208">
        <f t="shared" si="190"/>
        <v>15515.7696754566</v>
      </c>
      <c r="AA401" s="208">
        <f t="shared" si="190"/>
        <v>15515.7696754566</v>
      </c>
      <c r="AB401" s="208">
        <f t="shared" si="190"/>
        <v>7757.8848377283002</v>
      </c>
      <c r="AC401" s="208">
        <f t="shared" si="190"/>
        <v>0</v>
      </c>
      <c r="AD401" s="208">
        <f t="shared" si="190"/>
        <v>0</v>
      </c>
      <c r="AE401" s="208">
        <f t="shared" si="190"/>
        <v>0</v>
      </c>
      <c r="AF401" s="208">
        <f t="shared" si="190"/>
        <v>0</v>
      </c>
      <c r="AG401" s="208">
        <f t="shared" si="190"/>
        <v>0</v>
      </c>
      <c r="AH401" s="208">
        <f t="shared" si="190"/>
        <v>0</v>
      </c>
      <c r="AI401" s="208">
        <f t="shared" si="190"/>
        <v>0</v>
      </c>
      <c r="AJ401" s="208">
        <f t="shared" si="190"/>
        <v>0</v>
      </c>
      <c r="AK401" s="208">
        <f t="shared" si="190"/>
        <v>0</v>
      </c>
      <c r="AL401" s="208">
        <f t="shared" si="190"/>
        <v>0</v>
      </c>
      <c r="AM401" s="208">
        <f t="shared" si="190"/>
        <v>0</v>
      </c>
      <c r="AN401" s="208">
        <f t="shared" si="190"/>
        <v>0</v>
      </c>
      <c r="AO401" s="208">
        <f t="shared" si="190"/>
        <v>0</v>
      </c>
      <c r="AP401" s="208">
        <f t="shared" si="190"/>
        <v>0</v>
      </c>
    </row>
    <row r="402" spans="1:42">
      <c r="A402" s="119">
        <f t="shared" si="185"/>
        <v>8</v>
      </c>
      <c r="B402" s="218">
        <f t="shared" si="182"/>
        <v>140837.71546098724</v>
      </c>
      <c r="C402" s="250">
        <f t="shared" ref="C402:AP402" si="191">LOOKUP(C390,$B$327:$AP$327,$B$328:$AP$328)*$B752</f>
        <v>0</v>
      </c>
      <c r="D402" s="208">
        <f t="shared" si="191"/>
        <v>0</v>
      </c>
      <c r="E402" s="208">
        <f t="shared" si="191"/>
        <v>0</v>
      </c>
      <c r="F402" s="208">
        <f t="shared" si="191"/>
        <v>0</v>
      </c>
      <c r="G402" s="208">
        <f t="shared" si="191"/>
        <v>0</v>
      </c>
      <c r="H402" s="208">
        <f t="shared" si="191"/>
        <v>0</v>
      </c>
      <c r="I402" s="208">
        <f t="shared" si="191"/>
        <v>0</v>
      </c>
      <c r="J402" s="208">
        <f t="shared" si="191"/>
        <v>0</v>
      </c>
      <c r="K402" s="208">
        <f t="shared" si="191"/>
        <v>0</v>
      </c>
      <c r="L402" s="208">
        <f t="shared" si="191"/>
        <v>0</v>
      </c>
      <c r="M402" s="208">
        <f t="shared" si="191"/>
        <v>0</v>
      </c>
      <c r="N402" s="208">
        <f t="shared" si="191"/>
        <v>0</v>
      </c>
      <c r="O402" s="208">
        <f t="shared" si="191"/>
        <v>0</v>
      </c>
      <c r="P402" s="208">
        <f t="shared" si="191"/>
        <v>0</v>
      </c>
      <c r="Q402" s="208">
        <f t="shared" si="191"/>
        <v>0</v>
      </c>
      <c r="R402" s="208">
        <f t="shared" si="191"/>
        <v>0</v>
      </c>
      <c r="S402" s="208">
        <f t="shared" si="191"/>
        <v>0</v>
      </c>
      <c r="T402" s="208">
        <f t="shared" si="191"/>
        <v>0</v>
      </c>
      <c r="U402" s="208">
        <f t="shared" si="191"/>
        <v>0</v>
      </c>
      <c r="V402" s="208">
        <f t="shared" si="191"/>
        <v>0</v>
      </c>
      <c r="W402" s="208">
        <f t="shared" si="191"/>
        <v>0</v>
      </c>
      <c r="X402" s="208">
        <f t="shared" si="191"/>
        <v>0</v>
      </c>
      <c r="Y402" s="208">
        <f t="shared" si="191"/>
        <v>0</v>
      </c>
      <c r="Z402" s="208">
        <f t="shared" si="191"/>
        <v>28167.543092197448</v>
      </c>
      <c r="AA402" s="208">
        <f t="shared" si="191"/>
        <v>45068.068947515916</v>
      </c>
      <c r="AB402" s="208">
        <f t="shared" si="191"/>
        <v>27040.841368509551</v>
      </c>
      <c r="AC402" s="208">
        <f t="shared" si="191"/>
        <v>16224.504821105729</v>
      </c>
      <c r="AD402" s="208">
        <f t="shared" si="191"/>
        <v>16224.504821105729</v>
      </c>
      <c r="AE402" s="208">
        <f t="shared" si="191"/>
        <v>8112.2524105528646</v>
      </c>
      <c r="AF402" s="208">
        <f t="shared" si="191"/>
        <v>0</v>
      </c>
      <c r="AG402" s="208">
        <f t="shared" si="191"/>
        <v>0</v>
      </c>
      <c r="AH402" s="208">
        <f t="shared" si="191"/>
        <v>0</v>
      </c>
      <c r="AI402" s="208">
        <f t="shared" si="191"/>
        <v>0</v>
      </c>
      <c r="AJ402" s="208">
        <f t="shared" si="191"/>
        <v>0</v>
      </c>
      <c r="AK402" s="208">
        <f t="shared" si="191"/>
        <v>0</v>
      </c>
      <c r="AL402" s="208">
        <f t="shared" si="191"/>
        <v>0</v>
      </c>
      <c r="AM402" s="208">
        <f t="shared" si="191"/>
        <v>0</v>
      </c>
      <c r="AN402" s="208">
        <f t="shared" si="191"/>
        <v>0</v>
      </c>
      <c r="AO402" s="208">
        <f t="shared" si="191"/>
        <v>0</v>
      </c>
      <c r="AP402" s="208">
        <f t="shared" si="191"/>
        <v>0</v>
      </c>
    </row>
    <row r="403" spans="1:42">
      <c r="A403" s="119">
        <f>A402+1</f>
        <v>9</v>
      </c>
      <c r="B403" s="218">
        <f t="shared" si="182"/>
        <v>121822.53268718722</v>
      </c>
      <c r="C403" s="250">
        <f t="shared" ref="C403:AP403" si="192">LOOKUP(C391,$B$327:$AP$327,$B$328:$AP$328)*$B753</f>
        <v>0</v>
      </c>
      <c r="D403" s="208">
        <f t="shared" si="192"/>
        <v>0</v>
      </c>
      <c r="E403" s="208">
        <f t="shared" si="192"/>
        <v>0</v>
      </c>
      <c r="F403" s="208">
        <f t="shared" si="192"/>
        <v>0</v>
      </c>
      <c r="G403" s="208">
        <f t="shared" si="192"/>
        <v>0</v>
      </c>
      <c r="H403" s="208">
        <f t="shared" si="192"/>
        <v>0</v>
      </c>
      <c r="I403" s="208">
        <f t="shared" si="192"/>
        <v>0</v>
      </c>
      <c r="J403" s="208">
        <f t="shared" si="192"/>
        <v>0</v>
      </c>
      <c r="K403" s="208">
        <f t="shared" si="192"/>
        <v>0</v>
      </c>
      <c r="L403" s="208">
        <f t="shared" si="192"/>
        <v>0</v>
      </c>
      <c r="M403" s="208">
        <f t="shared" si="192"/>
        <v>0</v>
      </c>
      <c r="N403" s="208">
        <f t="shared" si="192"/>
        <v>0</v>
      </c>
      <c r="O403" s="208">
        <f t="shared" si="192"/>
        <v>0</v>
      </c>
      <c r="P403" s="208">
        <f t="shared" si="192"/>
        <v>0</v>
      </c>
      <c r="Q403" s="208">
        <f t="shared" si="192"/>
        <v>0</v>
      </c>
      <c r="R403" s="208">
        <f t="shared" si="192"/>
        <v>0</v>
      </c>
      <c r="S403" s="208">
        <f t="shared" si="192"/>
        <v>0</v>
      </c>
      <c r="T403" s="208">
        <f t="shared" si="192"/>
        <v>0</v>
      </c>
      <c r="U403" s="208">
        <f t="shared" si="192"/>
        <v>0</v>
      </c>
      <c r="V403" s="208">
        <f t="shared" si="192"/>
        <v>0</v>
      </c>
      <c r="W403" s="208">
        <f t="shared" si="192"/>
        <v>0</v>
      </c>
      <c r="X403" s="208">
        <f t="shared" si="192"/>
        <v>0</v>
      </c>
      <c r="Y403" s="208">
        <f t="shared" si="192"/>
        <v>0</v>
      </c>
      <c r="Z403" s="208">
        <f t="shared" si="192"/>
        <v>0</v>
      </c>
      <c r="AA403" s="208">
        <f t="shared" si="192"/>
        <v>0</v>
      </c>
      <c r="AB403" s="208">
        <f t="shared" si="192"/>
        <v>0</v>
      </c>
      <c r="AC403" s="208">
        <f t="shared" si="192"/>
        <v>29454.190688391496</v>
      </c>
      <c r="AD403" s="208">
        <f t="shared" si="192"/>
        <v>47126.705101426393</v>
      </c>
      <c r="AE403" s="208">
        <f t="shared" si="192"/>
        <v>28276.023060855838</v>
      </c>
      <c r="AF403" s="208">
        <f t="shared" si="192"/>
        <v>16965.613836513501</v>
      </c>
      <c r="AG403" s="208">
        <f t="shared" si="192"/>
        <v>0</v>
      </c>
      <c r="AH403" s="208">
        <f t="shared" si="192"/>
        <v>0</v>
      </c>
      <c r="AI403" s="208">
        <f t="shared" si="192"/>
        <v>0</v>
      </c>
      <c r="AJ403" s="208">
        <f t="shared" si="192"/>
        <v>0</v>
      </c>
      <c r="AK403" s="208">
        <f t="shared" si="192"/>
        <v>0</v>
      </c>
      <c r="AL403" s="208">
        <f t="shared" si="192"/>
        <v>0</v>
      </c>
      <c r="AM403" s="208">
        <f t="shared" si="192"/>
        <v>0</v>
      </c>
      <c r="AN403" s="208">
        <f t="shared" si="192"/>
        <v>0</v>
      </c>
      <c r="AO403" s="208">
        <f t="shared" si="192"/>
        <v>0</v>
      </c>
      <c r="AP403" s="208">
        <f t="shared" si="192"/>
        <v>0</v>
      </c>
    </row>
    <row r="404" spans="1:42">
      <c r="A404" s="119">
        <f t="shared" si="185"/>
        <v>10</v>
      </c>
      <c r="B404" s="218">
        <f t="shared" si="182"/>
        <v>30799.610255977339</v>
      </c>
      <c r="C404" s="246">
        <f t="shared" ref="C404:AP404" si="193">LOOKUP(C392,$B$327:$AP$327,$B$328:$AP$328)*$B754</f>
        <v>0</v>
      </c>
      <c r="D404" s="209">
        <f t="shared" si="193"/>
        <v>0</v>
      </c>
      <c r="E404" s="209">
        <f t="shared" si="193"/>
        <v>0</v>
      </c>
      <c r="F404" s="209">
        <f t="shared" si="193"/>
        <v>0</v>
      </c>
      <c r="G404" s="209">
        <f t="shared" si="193"/>
        <v>0</v>
      </c>
      <c r="H404" s="209">
        <f t="shared" si="193"/>
        <v>0</v>
      </c>
      <c r="I404" s="209">
        <f t="shared" si="193"/>
        <v>0</v>
      </c>
      <c r="J404" s="209">
        <f t="shared" si="193"/>
        <v>0</v>
      </c>
      <c r="K404" s="209">
        <f t="shared" si="193"/>
        <v>0</v>
      </c>
      <c r="L404" s="209">
        <f t="shared" si="193"/>
        <v>0</v>
      </c>
      <c r="M404" s="209">
        <f t="shared" si="193"/>
        <v>0</v>
      </c>
      <c r="N404" s="209">
        <f t="shared" si="193"/>
        <v>0</v>
      </c>
      <c r="O404" s="209">
        <f t="shared" si="193"/>
        <v>0</v>
      </c>
      <c r="P404" s="209">
        <f t="shared" si="193"/>
        <v>0</v>
      </c>
      <c r="Q404" s="209">
        <f t="shared" si="193"/>
        <v>0</v>
      </c>
      <c r="R404" s="209">
        <f t="shared" si="193"/>
        <v>0</v>
      </c>
      <c r="S404" s="209">
        <f t="shared" si="193"/>
        <v>0</v>
      </c>
      <c r="T404" s="209">
        <f t="shared" si="193"/>
        <v>0</v>
      </c>
      <c r="U404" s="209">
        <f t="shared" si="193"/>
        <v>0</v>
      </c>
      <c r="V404" s="209">
        <f t="shared" si="193"/>
        <v>0</v>
      </c>
      <c r="W404" s="209">
        <f t="shared" si="193"/>
        <v>0</v>
      </c>
      <c r="X404" s="209">
        <f t="shared" si="193"/>
        <v>0</v>
      </c>
      <c r="Y404" s="209">
        <f t="shared" si="193"/>
        <v>0</v>
      </c>
      <c r="Z404" s="209">
        <f t="shared" si="193"/>
        <v>0</v>
      </c>
      <c r="AA404" s="209">
        <f t="shared" si="193"/>
        <v>0</v>
      </c>
      <c r="AB404" s="209">
        <f t="shared" si="193"/>
        <v>0</v>
      </c>
      <c r="AC404" s="209">
        <f t="shared" si="193"/>
        <v>0</v>
      </c>
      <c r="AD404" s="209">
        <f t="shared" si="193"/>
        <v>0</v>
      </c>
      <c r="AE404" s="209">
        <f t="shared" si="193"/>
        <v>0</v>
      </c>
      <c r="AF404" s="209">
        <f t="shared" si="193"/>
        <v>30799.610255977339</v>
      </c>
      <c r="AG404" s="209">
        <f t="shared" si="193"/>
        <v>0</v>
      </c>
      <c r="AH404" s="209">
        <f t="shared" si="193"/>
        <v>0</v>
      </c>
      <c r="AI404" s="209">
        <f t="shared" si="193"/>
        <v>0</v>
      </c>
      <c r="AJ404" s="209">
        <f t="shared" si="193"/>
        <v>0</v>
      </c>
      <c r="AK404" s="209">
        <f t="shared" si="193"/>
        <v>0</v>
      </c>
      <c r="AL404" s="209">
        <f t="shared" si="193"/>
        <v>0</v>
      </c>
      <c r="AM404" s="209">
        <f t="shared" si="193"/>
        <v>0</v>
      </c>
      <c r="AN404" s="209">
        <f t="shared" si="193"/>
        <v>0</v>
      </c>
      <c r="AO404" s="209">
        <f t="shared" si="193"/>
        <v>0</v>
      </c>
      <c r="AP404" s="209">
        <f t="shared" si="193"/>
        <v>0</v>
      </c>
    </row>
    <row r="405" spans="1:42" s="119" customFormat="1" ht="12" customHeight="1">
      <c r="A405" s="247" t="s">
        <v>53</v>
      </c>
      <c r="B405" s="146"/>
      <c r="C405" s="146">
        <f>SUM(C395:C404)</f>
        <v>0</v>
      </c>
      <c r="D405" s="146">
        <f t="shared" ref="D405:AP405" si="194">SUM(D395:D404)</f>
        <v>0</v>
      </c>
      <c r="E405" s="146">
        <f t="shared" si="194"/>
        <v>20604.499999999996</v>
      </c>
      <c r="F405" s="146">
        <f t="shared" si="194"/>
        <v>32967.19999999999</v>
      </c>
      <c r="G405" s="146">
        <f t="shared" si="194"/>
        <v>19780.319999999996</v>
      </c>
      <c r="H405" s="146">
        <f t="shared" si="194"/>
        <v>33413.872077687483</v>
      </c>
      <c r="I405" s="146">
        <f t="shared" si="194"/>
        <v>46341.28012429997</v>
      </c>
      <c r="J405" s="146">
        <f t="shared" si="194"/>
        <v>26617.948874579983</v>
      </c>
      <c r="K405" s="146">
        <f t="shared" si="194"/>
        <v>34940.163456654111</v>
      </c>
      <c r="L405" s="146">
        <f t="shared" si="194"/>
        <v>48458.074495797773</v>
      </c>
      <c r="M405" s="146">
        <f t="shared" si="194"/>
        <v>27833.813525003865</v>
      </c>
      <c r="N405" s="146">
        <f t="shared" si="194"/>
        <v>36536.173345588439</v>
      </c>
      <c r="O405" s="146">
        <f t="shared" si="194"/>
        <v>50671.560594394745</v>
      </c>
      <c r="P405" s="146">
        <f t="shared" si="194"/>
        <v>29105.216896879054</v>
      </c>
      <c r="Q405" s="146">
        <f t="shared" si="194"/>
        <v>38205.086372733211</v>
      </c>
      <c r="R405" s="146">
        <f t="shared" si="194"/>
        <v>52986.155141060706</v>
      </c>
      <c r="S405" s="146">
        <f t="shared" si="194"/>
        <v>30434.695908751019</v>
      </c>
      <c r="T405" s="146">
        <f t="shared" si="194"/>
        <v>39950.232634974287</v>
      </c>
      <c r="U405" s="146">
        <f t="shared" si="194"/>
        <v>55406.476605402226</v>
      </c>
      <c r="V405" s="146">
        <f t="shared" si="194"/>
        <v>31824.903361481898</v>
      </c>
      <c r="W405" s="146">
        <f t="shared" si="194"/>
        <v>41775.094342611868</v>
      </c>
      <c r="X405" s="146">
        <f t="shared" si="194"/>
        <v>57937.354421212491</v>
      </c>
      <c r="Y405" s="146">
        <f t="shared" si="194"/>
        <v>33278.613231566414</v>
      </c>
      <c r="Z405" s="146">
        <f t="shared" si="194"/>
        <v>43683.312767654046</v>
      </c>
      <c r="AA405" s="146">
        <f t="shared" si="194"/>
        <v>60583.838622972515</v>
      </c>
      <c r="AB405" s="146">
        <f t="shared" si="194"/>
        <v>34798.72620623785</v>
      </c>
      <c r="AC405" s="146">
        <f t="shared" si="194"/>
        <v>45678.695509497222</v>
      </c>
      <c r="AD405" s="146">
        <f t="shared" si="194"/>
        <v>63351.209922532122</v>
      </c>
      <c r="AE405" s="146">
        <f t="shared" si="194"/>
        <v>36388.275471408706</v>
      </c>
      <c r="AF405" s="146">
        <f t="shared" si="194"/>
        <v>47765.22409249084</v>
      </c>
      <c r="AG405" s="146">
        <f t="shared" si="194"/>
        <v>0</v>
      </c>
      <c r="AH405" s="146">
        <f t="shared" si="194"/>
        <v>0</v>
      </c>
      <c r="AI405" s="146">
        <f t="shared" si="194"/>
        <v>0</v>
      </c>
      <c r="AJ405" s="146">
        <f t="shared" si="194"/>
        <v>0</v>
      </c>
      <c r="AK405" s="146">
        <f t="shared" si="194"/>
        <v>0</v>
      </c>
      <c r="AL405" s="146">
        <f t="shared" si="194"/>
        <v>0</v>
      </c>
      <c r="AM405" s="146">
        <f t="shared" si="194"/>
        <v>0</v>
      </c>
      <c r="AN405" s="146">
        <f t="shared" si="194"/>
        <v>0</v>
      </c>
      <c r="AO405" s="146">
        <f t="shared" si="194"/>
        <v>0</v>
      </c>
      <c r="AP405" s="146">
        <f t="shared" si="194"/>
        <v>0</v>
      </c>
    </row>
    <row r="406" spans="1:42">
      <c r="A406" s="226"/>
      <c r="C406" s="208"/>
      <c r="D406" s="208"/>
      <c r="E406" s="208"/>
      <c r="F406" s="208"/>
      <c r="G406" s="208"/>
      <c r="H406" s="208"/>
      <c r="I406" s="208"/>
      <c r="J406" s="208"/>
      <c r="K406" s="208"/>
      <c r="L406" s="208"/>
      <c r="M406" s="208"/>
      <c r="N406" s="208"/>
      <c r="O406" s="208"/>
      <c r="P406" s="208"/>
      <c r="Q406" s="208"/>
      <c r="R406" s="208"/>
      <c r="S406" s="208"/>
      <c r="T406" s="208"/>
      <c r="U406" s="208"/>
      <c r="V406" s="208"/>
      <c r="W406" s="208"/>
      <c r="X406" s="208"/>
      <c r="Y406" s="208"/>
      <c r="Z406" s="208"/>
      <c r="AA406" s="208"/>
      <c r="AB406" s="208"/>
      <c r="AC406" s="208"/>
      <c r="AD406" s="208"/>
      <c r="AE406" s="208"/>
      <c r="AF406" s="208"/>
      <c r="AG406" s="208"/>
      <c r="AH406" s="208"/>
      <c r="AI406" s="208"/>
      <c r="AJ406" s="208"/>
      <c r="AK406" s="208"/>
      <c r="AL406" s="208"/>
      <c r="AM406" s="208"/>
      <c r="AN406" s="208"/>
      <c r="AO406" s="208"/>
      <c r="AP406" s="208"/>
    </row>
    <row r="407" spans="1:42">
      <c r="A407" s="217" t="s">
        <v>150</v>
      </c>
    </row>
    <row r="408" spans="1:42">
      <c r="A408" s="119" t="s">
        <v>83</v>
      </c>
    </row>
    <row r="409" spans="1:42" ht="51">
      <c r="A409" s="119"/>
      <c r="B409" s="133" t="s">
        <v>157</v>
      </c>
      <c r="C409" s="133" t="s">
        <v>153</v>
      </c>
      <c r="D409" s="133" t="s">
        <v>155</v>
      </c>
      <c r="E409" s="228" t="s">
        <v>156</v>
      </c>
      <c r="F409" s="133" t="s">
        <v>158</v>
      </c>
      <c r="G409" s="229" t="s">
        <v>175</v>
      </c>
      <c r="H409" s="229" t="s">
        <v>176</v>
      </c>
      <c r="I409" s="133" t="s">
        <v>159</v>
      </c>
      <c r="J409" s="230" t="s">
        <v>332</v>
      </c>
      <c r="K409" s="133" t="s">
        <v>337</v>
      </c>
    </row>
    <row r="410" spans="1:42">
      <c r="A410" s="297" t="str">
        <f>A276</f>
        <v>5-yr MACRS</v>
      </c>
      <c r="B410" s="231">
        <f>C410/$C$417</f>
        <v>0.93401015228426387</v>
      </c>
      <c r="C410" s="208">
        <f>'Inputs &amp; Results'!B221</f>
        <v>39336153.420000002</v>
      </c>
      <c r="D410" s="146">
        <f>$B410*D$417</f>
        <v>0</v>
      </c>
      <c r="E410" s="146">
        <f>$B410*E$417</f>
        <v>0</v>
      </c>
      <c r="F410" s="248">
        <f>C410-D410-E410</f>
        <v>39336153.420000002</v>
      </c>
      <c r="G410" s="208">
        <f t="shared" ref="G410:G415" si="195">IF(ITCStateFixedFedDeprec="Yes",K546,0)+IF(ITCStatePercentFedDeprec="Yes",I546,0)</f>
        <v>0</v>
      </c>
      <c r="H410" s="208">
        <f t="shared" ref="H410:H415" si="196">IF(ITCFedFixedFedDeprec="Yes",K581,0)+IF(ITCFedPercentFedDeprec="Yes",I581,0)</f>
        <v>5000</v>
      </c>
      <c r="I410" s="232">
        <f>F410-G410-H410</f>
        <v>39331153.420000002</v>
      </c>
      <c r="J410" s="208">
        <f>IF('Inputs &amp; Results'!B242="Yes",I410*FedBonusDeprec,0)</f>
        <v>3933115.3420000002</v>
      </c>
      <c r="K410" s="165">
        <f>I410-J410</f>
        <v>35398038.078000002</v>
      </c>
    </row>
    <row r="411" spans="1:42">
      <c r="A411" s="297" t="str">
        <f t="shared" ref="A411:A415" si="197">A277</f>
        <v>15-yr MACRS</v>
      </c>
      <c r="B411" s="231">
        <f t="shared" ref="B411:B415" si="198">C411/$C$417</f>
        <v>1.5228426395939083E-2</v>
      </c>
      <c r="C411" s="208">
        <f>'Inputs &amp; Results'!B222</f>
        <v>641350.32750000001</v>
      </c>
      <c r="D411" s="146">
        <f t="shared" ref="D411:E415" si="199">$B411*D$417</f>
        <v>0</v>
      </c>
      <c r="E411" s="146">
        <f t="shared" si="199"/>
        <v>0</v>
      </c>
      <c r="F411" s="248">
        <f t="shared" ref="F411:F415" si="200">C411-D411-E411</f>
        <v>641350.32750000001</v>
      </c>
      <c r="G411" s="208">
        <f t="shared" si="195"/>
        <v>0</v>
      </c>
      <c r="H411" s="208">
        <f t="shared" si="196"/>
        <v>0</v>
      </c>
      <c r="I411" s="165">
        <f t="shared" ref="I411:I415" si="201">F411-G411-H411</f>
        <v>641350.32750000001</v>
      </c>
      <c r="J411" s="208">
        <f>IF('Inputs &amp; Results'!B243="Yes",I411*FedBonusDeprec,0)</f>
        <v>0</v>
      </c>
      <c r="K411" s="165">
        <f t="shared" ref="K411:K415" si="202">I411-J411</f>
        <v>641350.32750000001</v>
      </c>
    </row>
    <row r="412" spans="1:42">
      <c r="A412" s="297" t="str">
        <f t="shared" si="197"/>
        <v>5-yr SL</v>
      </c>
      <c r="B412" s="231">
        <f t="shared" si="198"/>
        <v>0</v>
      </c>
      <c r="C412" s="208">
        <f>'Inputs &amp; Results'!B223</f>
        <v>0</v>
      </c>
      <c r="D412" s="146">
        <f t="shared" si="199"/>
        <v>0</v>
      </c>
      <c r="E412" s="146">
        <f t="shared" si="199"/>
        <v>0</v>
      </c>
      <c r="F412" s="248">
        <f t="shared" si="200"/>
        <v>0</v>
      </c>
      <c r="G412" s="208">
        <f t="shared" si="195"/>
        <v>0</v>
      </c>
      <c r="H412" s="208">
        <f t="shared" si="196"/>
        <v>0</v>
      </c>
      <c r="I412" s="165">
        <f t="shared" si="201"/>
        <v>0</v>
      </c>
      <c r="J412" s="208">
        <f>IF('Inputs &amp; Results'!B244="Yes",I412*FedBonusDeprec,0)</f>
        <v>0</v>
      </c>
      <c r="K412" s="165">
        <f t="shared" si="202"/>
        <v>0</v>
      </c>
    </row>
    <row r="413" spans="1:42">
      <c r="A413" s="297" t="str">
        <f t="shared" si="197"/>
        <v>15-yr SL</v>
      </c>
      <c r="B413" s="231">
        <f t="shared" si="198"/>
        <v>1.5228426395939083E-2</v>
      </c>
      <c r="C413" s="208">
        <f>'Inputs &amp; Results'!B224</f>
        <v>641350.32750000001</v>
      </c>
      <c r="D413" s="146">
        <f t="shared" si="199"/>
        <v>0</v>
      </c>
      <c r="E413" s="146">
        <f t="shared" si="199"/>
        <v>0</v>
      </c>
      <c r="F413" s="248">
        <f t="shared" si="200"/>
        <v>641350.32750000001</v>
      </c>
      <c r="G413" s="208">
        <f t="shared" si="195"/>
        <v>0</v>
      </c>
      <c r="H413" s="208">
        <f t="shared" si="196"/>
        <v>0</v>
      </c>
      <c r="I413" s="165">
        <f t="shared" si="201"/>
        <v>641350.32750000001</v>
      </c>
      <c r="J413" s="208">
        <f>IF('Inputs &amp; Results'!B245="Yes",I413*FedBonusDeprec,0)</f>
        <v>0</v>
      </c>
      <c r="K413" s="165">
        <f t="shared" si="202"/>
        <v>641350.32750000001</v>
      </c>
    </row>
    <row r="414" spans="1:42">
      <c r="A414" s="297" t="str">
        <f t="shared" si="197"/>
        <v>20-yr SL</v>
      </c>
      <c r="B414" s="231">
        <f t="shared" si="198"/>
        <v>3.0456852791878167E-2</v>
      </c>
      <c r="C414" s="208">
        <f>'Inputs &amp; Results'!B225</f>
        <v>1282700.655</v>
      </c>
      <c r="D414" s="146">
        <f t="shared" si="199"/>
        <v>0</v>
      </c>
      <c r="E414" s="146">
        <f t="shared" si="199"/>
        <v>0</v>
      </c>
      <c r="F414" s="248">
        <f t="shared" si="200"/>
        <v>1282700.655</v>
      </c>
      <c r="G414" s="208">
        <f t="shared" si="195"/>
        <v>0</v>
      </c>
      <c r="H414" s="208">
        <f t="shared" si="196"/>
        <v>0</v>
      </c>
      <c r="I414" s="165">
        <f t="shared" si="201"/>
        <v>1282700.655</v>
      </c>
      <c r="J414" s="208">
        <f>IF('Inputs &amp; Results'!B246="Yes",I414*FedBonusDeprec,0)</f>
        <v>0</v>
      </c>
      <c r="K414" s="165">
        <f t="shared" si="202"/>
        <v>1282700.655</v>
      </c>
    </row>
    <row r="415" spans="1:42">
      <c r="A415" s="297" t="str">
        <f t="shared" si="197"/>
        <v>39-yr SL</v>
      </c>
      <c r="B415" s="231">
        <f t="shared" si="198"/>
        <v>5.076142131979695E-3</v>
      </c>
      <c r="C415" s="208">
        <f>'Inputs &amp; Results'!B226</f>
        <v>213783.4425</v>
      </c>
      <c r="D415" s="146">
        <f t="shared" si="199"/>
        <v>0</v>
      </c>
      <c r="E415" s="146">
        <f t="shared" si="199"/>
        <v>0</v>
      </c>
      <c r="F415" s="248">
        <f t="shared" si="200"/>
        <v>213783.4425</v>
      </c>
      <c r="G415" s="208">
        <f t="shared" si="195"/>
        <v>0</v>
      </c>
      <c r="H415" s="208">
        <f t="shared" si="196"/>
        <v>0</v>
      </c>
      <c r="I415" s="165">
        <f t="shared" si="201"/>
        <v>213783.4425</v>
      </c>
      <c r="J415" s="208">
        <f>IF('Inputs &amp; Results'!B247="Yes",I415*FedBonusDeprec,0)</f>
        <v>0</v>
      </c>
      <c r="K415" s="165">
        <f t="shared" si="202"/>
        <v>213783.4425</v>
      </c>
    </row>
    <row r="416" spans="1:42">
      <c r="A416" s="301" t="s">
        <v>391</v>
      </c>
      <c r="B416" s="233"/>
      <c r="C416" s="234"/>
      <c r="D416" s="234"/>
      <c r="E416" s="234"/>
      <c r="F416" s="234"/>
      <c r="G416" s="235"/>
      <c r="H416" s="235"/>
      <c r="I416" s="103"/>
      <c r="J416" s="235"/>
      <c r="K416" s="103"/>
    </row>
    <row r="417" spans="1:11">
      <c r="A417" s="119"/>
      <c r="B417" s="236">
        <f>SUM(B410:B416)</f>
        <v>1</v>
      </c>
      <c r="C417" s="209">
        <f>SUM(C410:C416)</f>
        <v>42115338.172500007</v>
      </c>
      <c r="D417" s="225">
        <f>B426+B432</f>
        <v>0</v>
      </c>
      <c r="E417" s="225">
        <f>B438</f>
        <v>0</v>
      </c>
      <c r="F417" s="249">
        <f t="shared" ref="F417:K417" si="203">SUM(F410:F416)</f>
        <v>42115338.172500007</v>
      </c>
      <c r="G417" s="209">
        <f t="shared" si="203"/>
        <v>0</v>
      </c>
      <c r="H417" s="209">
        <f t="shared" si="203"/>
        <v>5000</v>
      </c>
      <c r="I417" s="237">
        <f t="shared" si="203"/>
        <v>42110338.172500007</v>
      </c>
      <c r="J417" s="237">
        <f t="shared" si="203"/>
        <v>3933115.3420000002</v>
      </c>
      <c r="K417" s="237">
        <f t="shared" si="203"/>
        <v>38177222.830500007</v>
      </c>
    </row>
    <row r="418" spans="1:11">
      <c r="A418" s="119"/>
    </row>
    <row r="419" spans="1:11">
      <c r="A419" s="119" t="s">
        <v>171</v>
      </c>
    </row>
    <row r="420" spans="1:11">
      <c r="A420" s="297" t="str">
        <f>A286</f>
        <v>Investment Based Incentive (IBI)</v>
      </c>
    </row>
    <row r="421" spans="1:11">
      <c r="A421" s="298" t="str">
        <f t="shared" ref="A421:A439" si="204">A287</f>
        <v>Fixed Amount ($)</v>
      </c>
    </row>
    <row r="422" spans="1:11">
      <c r="A422" s="299" t="str">
        <f t="shared" si="204"/>
        <v>Federal</v>
      </c>
      <c r="B422" s="164">
        <f>IF(IBIFedFixedFedDeprec="Yes",IBIFedFixed,0)</f>
        <v>0</v>
      </c>
    </row>
    <row r="423" spans="1:11">
      <c r="A423" s="299" t="str">
        <f t="shared" si="204"/>
        <v>State</v>
      </c>
      <c r="B423" s="164">
        <f>IF(IBIStateFixedFedDeprec="Yes",IBIStateFixed,0)</f>
        <v>0</v>
      </c>
    </row>
    <row r="424" spans="1:11">
      <c r="A424" s="299" t="str">
        <f t="shared" si="204"/>
        <v>Utility</v>
      </c>
      <c r="B424" s="164">
        <f>IF(IBIUtilityFixedFedDeprec="Yes",IBIUtilityFixed,0)</f>
        <v>0</v>
      </c>
    </row>
    <row r="425" spans="1:11">
      <c r="A425" s="299" t="str">
        <f t="shared" si="204"/>
        <v>Other</v>
      </c>
      <c r="B425" s="209">
        <f>IF(IBIOtherFixedFedDeprec="Yes",IBIOtherFixed,0)</f>
        <v>0</v>
      </c>
    </row>
    <row r="426" spans="1:11">
      <c r="A426" s="299" t="str">
        <f t="shared" si="204"/>
        <v>Total</v>
      </c>
      <c r="B426" s="164">
        <f>SUM(B422:B425)</f>
        <v>0</v>
      </c>
    </row>
    <row r="427" spans="1:11">
      <c r="A427" s="298" t="str">
        <f t="shared" si="204"/>
        <v>Percentage of Pre-Financing Costs</v>
      </c>
    </row>
    <row r="428" spans="1:11">
      <c r="A428" s="299" t="str">
        <f t="shared" si="204"/>
        <v>Federal</v>
      </c>
      <c r="B428" s="164">
        <f>IF(IBIFedPercentFedDeprec="Yes",IBIFedPercent,0)</f>
        <v>0</v>
      </c>
    </row>
    <row r="429" spans="1:11">
      <c r="A429" s="299" t="str">
        <f t="shared" si="204"/>
        <v>State</v>
      </c>
      <c r="B429" s="164">
        <f>IF(IBIStatePercentFedDeprec="Yes",IBIStatePercent,0)</f>
        <v>0</v>
      </c>
    </row>
    <row r="430" spans="1:11">
      <c r="A430" s="299" t="str">
        <f t="shared" si="204"/>
        <v>Utility</v>
      </c>
      <c r="B430" s="164">
        <f>IF(IBIUtilityPercentFedDeprec="Yes",IBIUtilityPercent,0)</f>
        <v>0</v>
      </c>
    </row>
    <row r="431" spans="1:11">
      <c r="A431" s="299" t="str">
        <f t="shared" si="204"/>
        <v>Other</v>
      </c>
      <c r="B431" s="209">
        <f>IF(IBIOtherPercentFedDeprec="Yes",IBIOtherPercent,0)</f>
        <v>0</v>
      </c>
    </row>
    <row r="432" spans="1:11">
      <c r="A432" s="299" t="str">
        <f t="shared" si="204"/>
        <v>Total</v>
      </c>
      <c r="B432" s="164">
        <f>SUM(B428:B431)</f>
        <v>0</v>
      </c>
    </row>
    <row r="433" spans="1:42">
      <c r="A433" s="297" t="str">
        <f t="shared" si="204"/>
        <v>Capacity Based Incentive (CBI)</v>
      </c>
    </row>
    <row r="434" spans="1:42">
      <c r="A434" s="298" t="str">
        <f t="shared" si="204"/>
        <v>Federal</v>
      </c>
      <c r="B434" s="164">
        <f>IF(CBIFedFedDeprec="Yes",CBIFed,0)</f>
        <v>0</v>
      </c>
    </row>
    <row r="435" spans="1:42">
      <c r="A435" s="298" t="str">
        <f t="shared" si="204"/>
        <v>State</v>
      </c>
      <c r="B435" s="164">
        <f>IF(CBIStateFedDeprec="Yes",CBIState,0)</f>
        <v>0</v>
      </c>
    </row>
    <row r="436" spans="1:42">
      <c r="A436" s="298" t="str">
        <f t="shared" si="204"/>
        <v>Utility</v>
      </c>
      <c r="B436" s="164">
        <f>IF(CBIUtilityFedDeprec="Yes",CBIUtility,0)</f>
        <v>0</v>
      </c>
    </row>
    <row r="437" spans="1:42">
      <c r="A437" s="298" t="str">
        <f t="shared" si="204"/>
        <v>Other</v>
      </c>
      <c r="B437" s="209">
        <f>IF(CBIOtherFedDeprec="Yes",CBIOther,0)</f>
        <v>0</v>
      </c>
    </row>
    <row r="438" spans="1:42">
      <c r="A438" s="298" t="str">
        <f t="shared" si="204"/>
        <v>Total</v>
      </c>
      <c r="B438" s="216">
        <f>SUM(B434:B437)</f>
        <v>0</v>
      </c>
    </row>
    <row r="439" spans="1:42">
      <c r="A439" s="297" t="str">
        <f t="shared" si="204"/>
        <v>Total Basis Reduction</v>
      </c>
      <c r="B439" s="164">
        <f>B426+B432+B438</f>
        <v>0</v>
      </c>
    </row>
    <row r="440" spans="1:42">
      <c r="A440" s="119"/>
    </row>
    <row r="441" spans="1:42">
      <c r="A441" s="119" t="s">
        <v>264</v>
      </c>
    </row>
    <row r="442" spans="1:42">
      <c r="A442" s="297" t="s">
        <v>160</v>
      </c>
    </row>
    <row r="443" spans="1:42">
      <c r="A443" s="227" t="str">
        <f>A410</f>
        <v>5-yr MACRS</v>
      </c>
      <c r="B443" s="239">
        <f>SUM(C443:AP443)</f>
        <v>0.99999999999999989</v>
      </c>
      <c r="C443" s="240">
        <f>LOOKUP(C$2,'Depreciation Schedules'!$A$3:$A$42,'Depreciation Schedules'!$B$3:$B$42)</f>
        <v>0.2</v>
      </c>
      <c r="D443" s="240">
        <f>LOOKUP(D$2,'Depreciation Schedules'!$A$3:$A$42,'Depreciation Schedules'!$B$3:$B$42)</f>
        <v>0.32</v>
      </c>
      <c r="E443" s="240">
        <f>LOOKUP(E$2,'Depreciation Schedules'!$A$3:$A$42,'Depreciation Schedules'!$B$3:$B$42)</f>
        <v>0.192</v>
      </c>
      <c r="F443" s="240">
        <f>LOOKUP(F$2,'Depreciation Schedules'!$A$3:$A$42,'Depreciation Schedules'!$B$3:$B$42)</f>
        <v>0.1152</v>
      </c>
      <c r="G443" s="240">
        <f>LOOKUP(G$2,'Depreciation Schedules'!$A$3:$A$42,'Depreciation Schedules'!$B$3:$B$42)</f>
        <v>0.1152</v>
      </c>
      <c r="H443" s="240">
        <f>LOOKUP(H$2,'Depreciation Schedules'!$A$3:$A$42,'Depreciation Schedules'!$B$3:$B$42)</f>
        <v>5.7599999999999998E-2</v>
      </c>
      <c r="I443" s="240">
        <f>LOOKUP(I$2,'Depreciation Schedules'!$A$3:$A$42,'Depreciation Schedules'!$B$3:$B$42)</f>
        <v>0</v>
      </c>
      <c r="J443" s="240">
        <f>LOOKUP(J$2,'Depreciation Schedules'!$A$3:$A$42,'Depreciation Schedules'!$B$3:$B$42)</f>
        <v>0</v>
      </c>
      <c r="K443" s="240">
        <f>LOOKUP(K$2,'Depreciation Schedules'!$A$3:$A$42,'Depreciation Schedules'!$B$3:$B$42)</f>
        <v>0</v>
      </c>
      <c r="L443" s="240">
        <f>LOOKUP(L$2,'Depreciation Schedules'!$A$3:$A$42,'Depreciation Schedules'!$B$3:$B$42)</f>
        <v>0</v>
      </c>
      <c r="M443" s="240">
        <f>LOOKUP(M$2,'Depreciation Schedules'!$A$3:$A$42,'Depreciation Schedules'!$B$3:$B$42)</f>
        <v>0</v>
      </c>
      <c r="N443" s="240">
        <f>LOOKUP(N$2,'Depreciation Schedules'!$A$3:$A$42,'Depreciation Schedules'!$B$3:$B$42)</f>
        <v>0</v>
      </c>
      <c r="O443" s="240">
        <f>LOOKUP(O$2,'Depreciation Schedules'!$A$3:$A$42,'Depreciation Schedules'!$B$3:$B$42)</f>
        <v>0</v>
      </c>
      <c r="P443" s="240">
        <f>LOOKUP(P$2,'Depreciation Schedules'!$A$3:$A$42,'Depreciation Schedules'!$B$3:$B$42)</f>
        <v>0</v>
      </c>
      <c r="Q443" s="240">
        <f>LOOKUP(Q$2,'Depreciation Schedules'!$A$3:$A$42,'Depreciation Schedules'!$B$3:$B$42)</f>
        <v>0</v>
      </c>
      <c r="R443" s="240">
        <f>LOOKUP(R$2,'Depreciation Schedules'!$A$3:$A$42,'Depreciation Schedules'!$B$3:$B$42)</f>
        <v>0</v>
      </c>
      <c r="S443" s="240">
        <f>LOOKUP(S$2,'Depreciation Schedules'!$A$3:$A$42,'Depreciation Schedules'!$B$3:$B$42)</f>
        <v>0</v>
      </c>
      <c r="T443" s="240">
        <f>LOOKUP(T$2,'Depreciation Schedules'!$A$3:$A$42,'Depreciation Schedules'!$B$3:$B$42)</f>
        <v>0</v>
      </c>
      <c r="U443" s="240">
        <f>LOOKUP(U$2,'Depreciation Schedules'!$A$3:$A$42,'Depreciation Schedules'!$B$3:$B$42)</f>
        <v>0</v>
      </c>
      <c r="V443" s="240">
        <f>LOOKUP(V$2,'Depreciation Schedules'!$A$3:$A$42,'Depreciation Schedules'!$B$3:$B$42)</f>
        <v>0</v>
      </c>
      <c r="W443" s="240">
        <f>LOOKUP(W$2,'Depreciation Schedules'!$A$3:$A$42,'Depreciation Schedules'!$B$3:$B$42)</f>
        <v>0</v>
      </c>
      <c r="X443" s="240">
        <f>LOOKUP(X$2,'Depreciation Schedules'!$A$3:$A$42,'Depreciation Schedules'!$B$3:$B$42)</f>
        <v>0</v>
      </c>
      <c r="Y443" s="240">
        <f>LOOKUP(Y$2,'Depreciation Schedules'!$A$3:$A$42,'Depreciation Schedules'!$B$3:$B$42)</f>
        <v>0</v>
      </c>
      <c r="Z443" s="240">
        <f>LOOKUP(Z$2,'Depreciation Schedules'!$A$3:$A$42,'Depreciation Schedules'!$B$3:$B$42)</f>
        <v>0</v>
      </c>
      <c r="AA443" s="240">
        <f>LOOKUP(AA$2,'Depreciation Schedules'!$A$3:$A$42,'Depreciation Schedules'!$B$3:$B$42)</f>
        <v>0</v>
      </c>
      <c r="AB443" s="240">
        <f>LOOKUP(AB$2,'Depreciation Schedules'!$A$3:$A$42,'Depreciation Schedules'!$B$3:$B$42)</f>
        <v>0</v>
      </c>
      <c r="AC443" s="240">
        <f>LOOKUP(AC$2,'Depreciation Schedules'!$A$3:$A$42,'Depreciation Schedules'!$B$3:$B$42)</f>
        <v>0</v>
      </c>
      <c r="AD443" s="240">
        <f>LOOKUP(AD$2,'Depreciation Schedules'!$A$3:$A$42,'Depreciation Schedules'!$B$3:$B$42)</f>
        <v>0</v>
      </c>
      <c r="AE443" s="240">
        <f>LOOKUP(AE$2,'Depreciation Schedules'!$A$3:$A$42,'Depreciation Schedules'!$B$3:$B$42)</f>
        <v>0</v>
      </c>
      <c r="AF443" s="240">
        <f>LOOKUP(AF$2,'Depreciation Schedules'!$A$3:$A$42,'Depreciation Schedules'!$B$3:$B$42)</f>
        <v>0</v>
      </c>
      <c r="AG443" s="240">
        <f>LOOKUP(AG$2,'Depreciation Schedules'!$A$3:$A$42,'Depreciation Schedules'!$B$3:$B$42)</f>
        <v>0</v>
      </c>
      <c r="AH443" s="240">
        <f>LOOKUP(AH$2,'Depreciation Schedules'!$A$3:$A$42,'Depreciation Schedules'!$B$3:$B$42)</f>
        <v>0</v>
      </c>
      <c r="AI443" s="240">
        <f>LOOKUP(AI$2,'Depreciation Schedules'!$A$3:$A$42,'Depreciation Schedules'!$B$3:$B$42)</f>
        <v>0</v>
      </c>
      <c r="AJ443" s="240">
        <f>LOOKUP(AJ$2,'Depreciation Schedules'!$A$3:$A$42,'Depreciation Schedules'!$B$3:$B$42)</f>
        <v>0</v>
      </c>
      <c r="AK443" s="240">
        <f>LOOKUP(AK$2,'Depreciation Schedules'!$A$3:$A$42,'Depreciation Schedules'!$B$3:$B$42)</f>
        <v>0</v>
      </c>
      <c r="AL443" s="240">
        <f>LOOKUP(AL$2,'Depreciation Schedules'!$A$3:$A$42,'Depreciation Schedules'!$B$3:$B$42)</f>
        <v>0</v>
      </c>
      <c r="AM443" s="240">
        <f>LOOKUP(AM$2,'Depreciation Schedules'!$A$3:$A$42,'Depreciation Schedules'!$B$3:$B$42)</f>
        <v>0</v>
      </c>
      <c r="AN443" s="240">
        <f>LOOKUP(AN$2,'Depreciation Schedules'!$A$3:$A$42,'Depreciation Schedules'!$B$3:$B$42)</f>
        <v>0</v>
      </c>
      <c r="AO443" s="240">
        <f>LOOKUP(AO$2,'Depreciation Schedules'!$A$3:$A$42,'Depreciation Schedules'!$B$3:$B$42)</f>
        <v>0</v>
      </c>
      <c r="AP443" s="240">
        <f>LOOKUP(AP$2,'Depreciation Schedules'!$A$3:$A$42,'Depreciation Schedules'!$B$3:$B$42)</f>
        <v>0</v>
      </c>
    </row>
    <row r="444" spans="1:42">
      <c r="A444" s="227" t="str">
        <f t="shared" ref="A444:A448" si="205">A411</f>
        <v>15-yr MACRS</v>
      </c>
      <c r="B444" s="241">
        <f t="shared" ref="B444:B448" si="206">SUM(C444:AP444)</f>
        <v>1.0000000000000002</v>
      </c>
      <c r="C444" s="240">
        <f>LOOKUP(C$2,'Depreciation Schedules'!$A$3:$A$42,'Depreciation Schedules'!$C$3:$C$42)</f>
        <v>0.05</v>
      </c>
      <c r="D444" s="240">
        <f>LOOKUP(D$2,'Depreciation Schedules'!$A$3:$A$42,'Depreciation Schedules'!$C$3:$C$42)</f>
        <v>9.5000000000000001E-2</v>
      </c>
      <c r="E444" s="240">
        <f>LOOKUP(E$2,'Depreciation Schedules'!$A$3:$A$42,'Depreciation Schedules'!$C$3:$C$42)</f>
        <v>8.5500000000000007E-2</v>
      </c>
      <c r="F444" s="240">
        <f>LOOKUP(F$2,'Depreciation Schedules'!$A$3:$A$42,'Depreciation Schedules'!$C$3:$C$42)</f>
        <v>7.6999999999999999E-2</v>
      </c>
      <c r="G444" s="240">
        <f>LOOKUP(G$2,'Depreciation Schedules'!$A$3:$A$42,'Depreciation Schedules'!$C$3:$C$42)</f>
        <v>6.93E-2</v>
      </c>
      <c r="H444" s="240">
        <f>LOOKUP(H$2,'Depreciation Schedules'!$A$3:$A$42,'Depreciation Schedules'!$C$3:$C$42)</f>
        <v>6.2300000000000001E-2</v>
      </c>
      <c r="I444" s="240">
        <f>LOOKUP(I$2,'Depreciation Schedules'!$A$3:$A$42,'Depreciation Schedules'!$C$3:$C$42)</f>
        <v>5.8999999999999997E-2</v>
      </c>
      <c r="J444" s="240">
        <f>LOOKUP(J$2,'Depreciation Schedules'!$A$3:$A$42,'Depreciation Schedules'!$C$3:$C$42)</f>
        <v>5.8999999999999997E-2</v>
      </c>
      <c r="K444" s="240">
        <f>LOOKUP(K$2,'Depreciation Schedules'!$A$3:$A$42,'Depreciation Schedules'!$C$3:$C$42)</f>
        <v>5.91E-2</v>
      </c>
      <c r="L444" s="240">
        <f>LOOKUP(L$2,'Depreciation Schedules'!$A$3:$A$42,'Depreciation Schedules'!$C$3:$C$42)</f>
        <v>5.8999999999999997E-2</v>
      </c>
      <c r="M444" s="240">
        <f>LOOKUP(M$2,'Depreciation Schedules'!$A$3:$A$42,'Depreciation Schedules'!$C$3:$C$42)</f>
        <v>5.91E-2</v>
      </c>
      <c r="N444" s="240">
        <f>LOOKUP(N$2,'Depreciation Schedules'!$A$3:$A$42,'Depreciation Schedules'!$C$3:$C$42)</f>
        <v>5.8999999999999997E-2</v>
      </c>
      <c r="O444" s="240">
        <f>LOOKUP(O$2,'Depreciation Schedules'!$A$3:$A$42,'Depreciation Schedules'!$C$3:$C$42)</f>
        <v>5.91E-2</v>
      </c>
      <c r="P444" s="240">
        <f>LOOKUP(P$2,'Depreciation Schedules'!$A$3:$A$42,'Depreciation Schedules'!$C$3:$C$42)</f>
        <v>5.8999999999999997E-2</v>
      </c>
      <c r="Q444" s="240">
        <f>LOOKUP(Q$2,'Depreciation Schedules'!$A$3:$A$42,'Depreciation Schedules'!$C$3:$C$42)</f>
        <v>5.91E-2</v>
      </c>
      <c r="R444" s="240">
        <f>LOOKUP(R$2,'Depreciation Schedules'!$A$3:$A$42,'Depreciation Schedules'!$C$3:$C$42)</f>
        <v>2.9499999999999998E-2</v>
      </c>
      <c r="S444" s="240">
        <f>LOOKUP(S$2,'Depreciation Schedules'!$A$3:$A$42,'Depreciation Schedules'!$C$3:$C$42)</f>
        <v>0</v>
      </c>
      <c r="T444" s="240">
        <f>LOOKUP(T$2,'Depreciation Schedules'!$A$3:$A$42,'Depreciation Schedules'!$C$3:$C$42)</f>
        <v>0</v>
      </c>
      <c r="U444" s="240">
        <f>LOOKUP(U$2,'Depreciation Schedules'!$A$3:$A$42,'Depreciation Schedules'!$C$3:$C$42)</f>
        <v>0</v>
      </c>
      <c r="V444" s="240">
        <f>LOOKUP(V$2,'Depreciation Schedules'!$A$3:$A$42,'Depreciation Schedules'!$C$3:$C$42)</f>
        <v>0</v>
      </c>
      <c r="W444" s="240">
        <f>LOOKUP(W$2,'Depreciation Schedules'!$A$3:$A$42,'Depreciation Schedules'!$C$3:$C$42)</f>
        <v>0</v>
      </c>
      <c r="X444" s="240">
        <f>LOOKUP(X$2,'Depreciation Schedules'!$A$3:$A$42,'Depreciation Schedules'!$C$3:$C$42)</f>
        <v>0</v>
      </c>
      <c r="Y444" s="240">
        <f>LOOKUP(Y$2,'Depreciation Schedules'!$A$3:$A$42,'Depreciation Schedules'!$C$3:$C$42)</f>
        <v>0</v>
      </c>
      <c r="Z444" s="240">
        <f>LOOKUP(Z$2,'Depreciation Schedules'!$A$3:$A$42,'Depreciation Schedules'!$C$3:$C$42)</f>
        <v>0</v>
      </c>
      <c r="AA444" s="240">
        <f>LOOKUP(AA$2,'Depreciation Schedules'!$A$3:$A$42,'Depreciation Schedules'!$C$3:$C$42)</f>
        <v>0</v>
      </c>
      <c r="AB444" s="240">
        <f>LOOKUP(AB$2,'Depreciation Schedules'!$A$3:$A$42,'Depreciation Schedules'!$C$3:$C$42)</f>
        <v>0</v>
      </c>
      <c r="AC444" s="240">
        <f>LOOKUP(AC$2,'Depreciation Schedules'!$A$3:$A$42,'Depreciation Schedules'!$C$3:$C$42)</f>
        <v>0</v>
      </c>
      <c r="AD444" s="240">
        <f>LOOKUP(AD$2,'Depreciation Schedules'!$A$3:$A$42,'Depreciation Schedules'!$C$3:$C$42)</f>
        <v>0</v>
      </c>
      <c r="AE444" s="240">
        <f>LOOKUP(AE$2,'Depreciation Schedules'!$A$3:$A$42,'Depreciation Schedules'!$C$3:$C$42)</f>
        <v>0</v>
      </c>
      <c r="AF444" s="240">
        <f>LOOKUP(AF$2,'Depreciation Schedules'!$A$3:$A$42,'Depreciation Schedules'!$C$3:$C$42)</f>
        <v>0</v>
      </c>
      <c r="AG444" s="240">
        <f>LOOKUP(AG$2,'Depreciation Schedules'!$A$3:$A$42,'Depreciation Schedules'!$C$3:$C$42)</f>
        <v>0</v>
      </c>
      <c r="AH444" s="240">
        <f>LOOKUP(AH$2,'Depreciation Schedules'!$A$3:$A$42,'Depreciation Schedules'!$C$3:$C$42)</f>
        <v>0</v>
      </c>
      <c r="AI444" s="240">
        <f>LOOKUP(AI$2,'Depreciation Schedules'!$A$3:$A$42,'Depreciation Schedules'!$C$3:$C$42)</f>
        <v>0</v>
      </c>
      <c r="AJ444" s="240">
        <f>LOOKUP(AJ$2,'Depreciation Schedules'!$A$3:$A$42,'Depreciation Schedules'!$C$3:$C$42)</f>
        <v>0</v>
      </c>
      <c r="AK444" s="240">
        <f>LOOKUP(AK$2,'Depreciation Schedules'!$A$3:$A$42,'Depreciation Schedules'!$C$3:$C$42)</f>
        <v>0</v>
      </c>
      <c r="AL444" s="240">
        <f>LOOKUP(AL$2,'Depreciation Schedules'!$A$3:$A$42,'Depreciation Schedules'!$C$3:$C$42)</f>
        <v>0</v>
      </c>
      <c r="AM444" s="240">
        <f>LOOKUP(AM$2,'Depreciation Schedules'!$A$3:$A$42,'Depreciation Schedules'!$C$3:$C$42)</f>
        <v>0</v>
      </c>
      <c r="AN444" s="240">
        <f>LOOKUP(AN$2,'Depreciation Schedules'!$A$3:$A$42,'Depreciation Schedules'!$C$3:$C$42)</f>
        <v>0</v>
      </c>
      <c r="AO444" s="240">
        <f>LOOKUP(AO$2,'Depreciation Schedules'!$A$3:$A$42,'Depreciation Schedules'!$C$3:$C$42)</f>
        <v>0</v>
      </c>
      <c r="AP444" s="240">
        <f>LOOKUP(AP$2,'Depreciation Schedules'!$A$3:$A$42,'Depreciation Schedules'!$C$3:$C$42)</f>
        <v>0</v>
      </c>
    </row>
    <row r="445" spans="1:42">
      <c r="A445" s="227" t="str">
        <f t="shared" si="205"/>
        <v>5-yr SL</v>
      </c>
      <c r="B445" s="241">
        <f t="shared" si="206"/>
        <v>0.99999999999999989</v>
      </c>
      <c r="C445" s="240">
        <f>LOOKUP(C$2,'Depreciation Schedules'!$A$3:$A$42,'Depreciation Schedules'!$D$3:$D$42)</f>
        <v>0.1</v>
      </c>
      <c r="D445" s="240">
        <f>LOOKUP(D$2,'Depreciation Schedules'!$A$3:$A$42,'Depreciation Schedules'!$D$3:$D$42)</f>
        <v>0.2</v>
      </c>
      <c r="E445" s="240">
        <f>LOOKUP(E$2,'Depreciation Schedules'!$A$3:$A$42,'Depreciation Schedules'!$D$3:$D$42)</f>
        <v>0.2</v>
      </c>
      <c r="F445" s="240">
        <f>LOOKUP(F$2,'Depreciation Schedules'!$A$3:$A$42,'Depreciation Schedules'!$D$3:$D$42)</f>
        <v>0.2</v>
      </c>
      <c r="G445" s="240">
        <f>LOOKUP(G$2,'Depreciation Schedules'!$A$3:$A$42,'Depreciation Schedules'!$D$3:$D$42)</f>
        <v>0.2</v>
      </c>
      <c r="H445" s="240">
        <f>LOOKUP(H$2,'Depreciation Schedules'!$A$3:$A$42,'Depreciation Schedules'!$D$3:$D$42)</f>
        <v>0.1</v>
      </c>
      <c r="I445" s="240">
        <f>LOOKUP(I$2,'Depreciation Schedules'!$A$3:$A$42,'Depreciation Schedules'!$D$3:$D$42)</f>
        <v>0</v>
      </c>
      <c r="J445" s="240">
        <f>LOOKUP(J$2,'Depreciation Schedules'!$A$3:$A$42,'Depreciation Schedules'!$D$3:$D$42)</f>
        <v>0</v>
      </c>
      <c r="K445" s="240">
        <f>LOOKUP(K$2,'Depreciation Schedules'!$A$3:$A$42,'Depreciation Schedules'!$D$3:$D$42)</f>
        <v>0</v>
      </c>
      <c r="L445" s="240">
        <f>LOOKUP(L$2,'Depreciation Schedules'!$A$3:$A$42,'Depreciation Schedules'!$D$3:$D$42)</f>
        <v>0</v>
      </c>
      <c r="M445" s="240">
        <f>LOOKUP(M$2,'Depreciation Schedules'!$A$3:$A$42,'Depreciation Schedules'!$D$3:$D$42)</f>
        <v>0</v>
      </c>
      <c r="N445" s="240">
        <f>LOOKUP(N$2,'Depreciation Schedules'!$A$3:$A$42,'Depreciation Schedules'!$D$3:$D$42)</f>
        <v>0</v>
      </c>
      <c r="O445" s="240">
        <f>LOOKUP(O$2,'Depreciation Schedules'!$A$3:$A$42,'Depreciation Schedules'!$D$3:$D$42)</f>
        <v>0</v>
      </c>
      <c r="P445" s="240">
        <f>LOOKUP(P$2,'Depreciation Schedules'!$A$3:$A$42,'Depreciation Schedules'!$D$3:$D$42)</f>
        <v>0</v>
      </c>
      <c r="Q445" s="240">
        <f>LOOKUP(Q$2,'Depreciation Schedules'!$A$3:$A$42,'Depreciation Schedules'!$D$3:$D$42)</f>
        <v>0</v>
      </c>
      <c r="R445" s="240">
        <f>LOOKUP(R$2,'Depreciation Schedules'!$A$3:$A$42,'Depreciation Schedules'!$D$3:$D$42)</f>
        <v>0</v>
      </c>
      <c r="S445" s="240">
        <f>LOOKUP(S$2,'Depreciation Schedules'!$A$3:$A$42,'Depreciation Schedules'!$D$3:$D$42)</f>
        <v>0</v>
      </c>
      <c r="T445" s="240">
        <f>LOOKUP(T$2,'Depreciation Schedules'!$A$3:$A$42,'Depreciation Schedules'!$D$3:$D$42)</f>
        <v>0</v>
      </c>
      <c r="U445" s="240">
        <f>LOOKUP(U$2,'Depreciation Schedules'!$A$3:$A$42,'Depreciation Schedules'!$D$3:$D$42)</f>
        <v>0</v>
      </c>
      <c r="V445" s="240">
        <f>LOOKUP(V$2,'Depreciation Schedules'!$A$3:$A$42,'Depreciation Schedules'!$D$3:$D$42)</f>
        <v>0</v>
      </c>
      <c r="W445" s="240">
        <f>LOOKUP(W$2,'Depreciation Schedules'!$A$3:$A$42,'Depreciation Schedules'!$D$3:$D$42)</f>
        <v>0</v>
      </c>
      <c r="X445" s="240">
        <f>LOOKUP(X$2,'Depreciation Schedules'!$A$3:$A$42,'Depreciation Schedules'!$D$3:$D$42)</f>
        <v>0</v>
      </c>
      <c r="Y445" s="240">
        <f>LOOKUP(Y$2,'Depreciation Schedules'!$A$3:$A$42,'Depreciation Schedules'!$D$3:$D$42)</f>
        <v>0</v>
      </c>
      <c r="Z445" s="240">
        <f>LOOKUP(Z$2,'Depreciation Schedules'!$A$3:$A$42,'Depreciation Schedules'!$D$3:$D$42)</f>
        <v>0</v>
      </c>
      <c r="AA445" s="240">
        <f>LOOKUP(AA$2,'Depreciation Schedules'!$A$3:$A$42,'Depreciation Schedules'!$D$3:$D$42)</f>
        <v>0</v>
      </c>
      <c r="AB445" s="240">
        <f>LOOKUP(AB$2,'Depreciation Schedules'!$A$3:$A$42,'Depreciation Schedules'!$D$3:$D$42)</f>
        <v>0</v>
      </c>
      <c r="AC445" s="240">
        <f>LOOKUP(AC$2,'Depreciation Schedules'!$A$3:$A$42,'Depreciation Schedules'!$D$3:$D$42)</f>
        <v>0</v>
      </c>
      <c r="AD445" s="240">
        <f>LOOKUP(AD$2,'Depreciation Schedules'!$A$3:$A$42,'Depreciation Schedules'!$D$3:$D$42)</f>
        <v>0</v>
      </c>
      <c r="AE445" s="240">
        <f>LOOKUP(AE$2,'Depreciation Schedules'!$A$3:$A$42,'Depreciation Schedules'!$D$3:$D$42)</f>
        <v>0</v>
      </c>
      <c r="AF445" s="240">
        <f>LOOKUP(AF$2,'Depreciation Schedules'!$A$3:$A$42,'Depreciation Schedules'!$D$3:$D$42)</f>
        <v>0</v>
      </c>
      <c r="AG445" s="240">
        <f>LOOKUP(AG$2,'Depreciation Schedules'!$A$3:$A$42,'Depreciation Schedules'!$D$3:$D$42)</f>
        <v>0</v>
      </c>
      <c r="AH445" s="240">
        <f>LOOKUP(AH$2,'Depreciation Schedules'!$A$3:$A$42,'Depreciation Schedules'!$D$3:$D$42)</f>
        <v>0</v>
      </c>
      <c r="AI445" s="240">
        <f>LOOKUP(AI$2,'Depreciation Schedules'!$A$3:$A$42,'Depreciation Schedules'!$D$3:$D$42)</f>
        <v>0</v>
      </c>
      <c r="AJ445" s="240">
        <f>LOOKUP(AJ$2,'Depreciation Schedules'!$A$3:$A$42,'Depreciation Schedules'!$D$3:$D$42)</f>
        <v>0</v>
      </c>
      <c r="AK445" s="240">
        <f>LOOKUP(AK$2,'Depreciation Schedules'!$A$3:$A$42,'Depreciation Schedules'!$D$3:$D$42)</f>
        <v>0</v>
      </c>
      <c r="AL445" s="240">
        <f>LOOKUP(AL$2,'Depreciation Schedules'!$A$3:$A$42,'Depreciation Schedules'!$D$3:$D$42)</f>
        <v>0</v>
      </c>
      <c r="AM445" s="240">
        <f>LOOKUP(AM$2,'Depreciation Schedules'!$A$3:$A$42,'Depreciation Schedules'!$D$3:$D$42)</f>
        <v>0</v>
      </c>
      <c r="AN445" s="240">
        <f>LOOKUP(AN$2,'Depreciation Schedules'!$A$3:$A$42,'Depreciation Schedules'!$D$3:$D$42)</f>
        <v>0</v>
      </c>
      <c r="AO445" s="240">
        <f>LOOKUP(AO$2,'Depreciation Schedules'!$A$3:$A$42,'Depreciation Schedules'!$D$3:$D$42)</f>
        <v>0</v>
      </c>
      <c r="AP445" s="240">
        <f>LOOKUP(AP$2,'Depreciation Schedules'!$A$3:$A$42,'Depreciation Schedules'!$D$3:$D$42)</f>
        <v>0</v>
      </c>
    </row>
    <row r="446" spans="1:42">
      <c r="A446" s="227" t="str">
        <f t="shared" si="205"/>
        <v>15-yr SL</v>
      </c>
      <c r="B446" s="241">
        <f t="shared" si="206"/>
        <v>0.99999999999999989</v>
      </c>
      <c r="C446" s="240">
        <f>LOOKUP(C$2,'Depreciation Schedules'!$A$3:$A$42,'Depreciation Schedules'!$E$3:$E$42)</f>
        <v>3.3300000000000003E-2</v>
      </c>
      <c r="D446" s="240">
        <f>LOOKUP(D$2,'Depreciation Schedules'!$A$3:$A$42,'Depreciation Schedules'!$E$3:$E$42)</f>
        <v>6.6699999999999995E-2</v>
      </c>
      <c r="E446" s="240">
        <f>LOOKUP(E$2,'Depreciation Schedules'!$A$3:$A$42,'Depreciation Schedules'!$E$3:$E$42)</f>
        <v>6.6699999999999995E-2</v>
      </c>
      <c r="F446" s="240">
        <f>LOOKUP(F$2,'Depreciation Schedules'!$A$3:$A$42,'Depreciation Schedules'!$E$3:$E$42)</f>
        <v>6.6699999999999995E-2</v>
      </c>
      <c r="G446" s="240">
        <f>LOOKUP(G$2,'Depreciation Schedules'!$A$3:$A$42,'Depreciation Schedules'!$E$3:$E$42)</f>
        <v>6.6699999999999995E-2</v>
      </c>
      <c r="H446" s="240">
        <f>LOOKUP(H$2,'Depreciation Schedules'!$A$3:$A$42,'Depreciation Schedules'!$E$3:$E$42)</f>
        <v>6.6699999999999995E-2</v>
      </c>
      <c r="I446" s="240">
        <f>LOOKUP(I$2,'Depreciation Schedules'!$A$3:$A$42,'Depreciation Schedules'!$E$3:$E$42)</f>
        <v>6.6699999999999995E-2</v>
      </c>
      <c r="J446" s="240">
        <f>LOOKUP(J$2,'Depreciation Schedules'!$A$3:$A$42,'Depreciation Schedules'!$E$3:$E$42)</f>
        <v>6.6600000000000006E-2</v>
      </c>
      <c r="K446" s="240">
        <f>LOOKUP(K$2,'Depreciation Schedules'!$A$3:$A$42,'Depreciation Schedules'!$E$3:$E$42)</f>
        <v>6.6699999999999995E-2</v>
      </c>
      <c r="L446" s="240">
        <f>LOOKUP(L$2,'Depreciation Schedules'!$A$3:$A$42,'Depreciation Schedules'!$E$3:$E$42)</f>
        <v>6.6600000000000006E-2</v>
      </c>
      <c r="M446" s="240">
        <f>LOOKUP(M$2,'Depreciation Schedules'!$A$3:$A$42,'Depreciation Schedules'!$E$3:$E$42)</f>
        <v>6.6699999999999995E-2</v>
      </c>
      <c r="N446" s="240">
        <f>LOOKUP(N$2,'Depreciation Schedules'!$A$3:$A$42,'Depreciation Schedules'!$E$3:$E$42)</f>
        <v>6.6600000000000006E-2</v>
      </c>
      <c r="O446" s="240">
        <f>LOOKUP(O$2,'Depreciation Schedules'!$A$3:$A$42,'Depreciation Schedules'!$E$3:$E$42)</f>
        <v>6.6699999999999995E-2</v>
      </c>
      <c r="P446" s="240">
        <f>LOOKUP(P$2,'Depreciation Schedules'!$A$3:$A$42,'Depreciation Schedules'!$E$3:$E$42)</f>
        <v>6.6600000000000006E-2</v>
      </c>
      <c r="Q446" s="240">
        <f>LOOKUP(Q$2,'Depreciation Schedules'!$A$3:$A$42,'Depreciation Schedules'!$E$3:$E$42)</f>
        <v>6.6699999999999995E-2</v>
      </c>
      <c r="R446" s="240">
        <f>LOOKUP(R$2,'Depreciation Schedules'!$A$3:$A$42,'Depreciation Schedules'!$E$3:$E$42)</f>
        <v>3.3300000000000003E-2</v>
      </c>
      <c r="S446" s="240">
        <f>LOOKUP(S$2,'Depreciation Schedules'!$A$3:$A$42,'Depreciation Schedules'!$E$3:$E$42)</f>
        <v>0</v>
      </c>
      <c r="T446" s="240">
        <f>LOOKUP(T$2,'Depreciation Schedules'!$A$3:$A$42,'Depreciation Schedules'!$E$3:$E$42)</f>
        <v>0</v>
      </c>
      <c r="U446" s="240">
        <f>LOOKUP(U$2,'Depreciation Schedules'!$A$3:$A$42,'Depreciation Schedules'!$E$3:$E$42)</f>
        <v>0</v>
      </c>
      <c r="V446" s="240">
        <f>LOOKUP(V$2,'Depreciation Schedules'!$A$3:$A$42,'Depreciation Schedules'!$E$3:$E$42)</f>
        <v>0</v>
      </c>
      <c r="W446" s="240">
        <f>LOOKUP(W$2,'Depreciation Schedules'!$A$3:$A$42,'Depreciation Schedules'!$E$3:$E$42)</f>
        <v>0</v>
      </c>
      <c r="X446" s="240">
        <f>LOOKUP(X$2,'Depreciation Schedules'!$A$3:$A$42,'Depreciation Schedules'!$E$3:$E$42)</f>
        <v>0</v>
      </c>
      <c r="Y446" s="240">
        <f>LOOKUP(Y$2,'Depreciation Schedules'!$A$3:$A$42,'Depreciation Schedules'!$E$3:$E$42)</f>
        <v>0</v>
      </c>
      <c r="Z446" s="240">
        <f>LOOKUP(Z$2,'Depreciation Schedules'!$A$3:$A$42,'Depreciation Schedules'!$E$3:$E$42)</f>
        <v>0</v>
      </c>
      <c r="AA446" s="240">
        <f>LOOKUP(AA$2,'Depreciation Schedules'!$A$3:$A$42,'Depreciation Schedules'!$E$3:$E$42)</f>
        <v>0</v>
      </c>
      <c r="AB446" s="240">
        <f>LOOKUP(AB$2,'Depreciation Schedules'!$A$3:$A$42,'Depreciation Schedules'!$E$3:$E$42)</f>
        <v>0</v>
      </c>
      <c r="AC446" s="240">
        <f>LOOKUP(AC$2,'Depreciation Schedules'!$A$3:$A$42,'Depreciation Schedules'!$E$3:$E$42)</f>
        <v>0</v>
      </c>
      <c r="AD446" s="240">
        <f>LOOKUP(AD$2,'Depreciation Schedules'!$A$3:$A$42,'Depreciation Schedules'!$E$3:$E$42)</f>
        <v>0</v>
      </c>
      <c r="AE446" s="240">
        <f>LOOKUP(AE$2,'Depreciation Schedules'!$A$3:$A$42,'Depreciation Schedules'!$E$3:$E$42)</f>
        <v>0</v>
      </c>
      <c r="AF446" s="240">
        <f>LOOKUP(AF$2,'Depreciation Schedules'!$A$3:$A$42,'Depreciation Schedules'!$E$3:$E$42)</f>
        <v>0</v>
      </c>
      <c r="AG446" s="240">
        <f>LOOKUP(AG$2,'Depreciation Schedules'!$A$3:$A$42,'Depreciation Schedules'!$E$3:$E$42)</f>
        <v>0</v>
      </c>
      <c r="AH446" s="240">
        <f>LOOKUP(AH$2,'Depreciation Schedules'!$A$3:$A$42,'Depreciation Schedules'!$E$3:$E$42)</f>
        <v>0</v>
      </c>
      <c r="AI446" s="240">
        <f>LOOKUP(AI$2,'Depreciation Schedules'!$A$3:$A$42,'Depreciation Schedules'!$E$3:$E$42)</f>
        <v>0</v>
      </c>
      <c r="AJ446" s="240">
        <f>LOOKUP(AJ$2,'Depreciation Schedules'!$A$3:$A$42,'Depreciation Schedules'!$E$3:$E$42)</f>
        <v>0</v>
      </c>
      <c r="AK446" s="240">
        <f>LOOKUP(AK$2,'Depreciation Schedules'!$A$3:$A$42,'Depreciation Schedules'!$E$3:$E$42)</f>
        <v>0</v>
      </c>
      <c r="AL446" s="240">
        <f>LOOKUP(AL$2,'Depreciation Schedules'!$A$3:$A$42,'Depreciation Schedules'!$E$3:$E$42)</f>
        <v>0</v>
      </c>
      <c r="AM446" s="240">
        <f>LOOKUP(AM$2,'Depreciation Schedules'!$A$3:$A$42,'Depreciation Schedules'!$E$3:$E$42)</f>
        <v>0</v>
      </c>
      <c r="AN446" s="240">
        <f>LOOKUP(AN$2,'Depreciation Schedules'!$A$3:$A$42,'Depreciation Schedules'!$E$3:$E$42)</f>
        <v>0</v>
      </c>
      <c r="AO446" s="240">
        <f>LOOKUP(AO$2,'Depreciation Schedules'!$A$3:$A$42,'Depreciation Schedules'!$E$3:$E$42)</f>
        <v>0</v>
      </c>
      <c r="AP446" s="240">
        <f>LOOKUP(AP$2,'Depreciation Schedules'!$A$3:$A$42,'Depreciation Schedules'!$E$3:$E$42)</f>
        <v>0</v>
      </c>
    </row>
    <row r="447" spans="1:42">
      <c r="A447" s="227" t="str">
        <f t="shared" si="205"/>
        <v>20-yr SL</v>
      </c>
      <c r="B447" s="241">
        <f t="shared" si="206"/>
        <v>1.0000000000000002</v>
      </c>
      <c r="C447" s="240">
        <f>LOOKUP(C$2,'Depreciation Schedules'!$A$3:$A$42,'Depreciation Schedules'!$F$3:$F$42)</f>
        <v>2.5000000000000001E-2</v>
      </c>
      <c r="D447" s="240">
        <f>LOOKUP(D$2,'Depreciation Schedules'!$A$3:$A$42,'Depreciation Schedules'!$F$3:$F$42)</f>
        <v>0.05</v>
      </c>
      <c r="E447" s="240">
        <f>LOOKUP(E$2,'Depreciation Schedules'!$A$3:$A$42,'Depreciation Schedules'!$F$3:$F$42)</f>
        <v>0.05</v>
      </c>
      <c r="F447" s="240">
        <f>LOOKUP(F$2,'Depreciation Schedules'!$A$3:$A$42,'Depreciation Schedules'!$F$3:$F$42)</f>
        <v>0.05</v>
      </c>
      <c r="G447" s="240">
        <f>LOOKUP(G$2,'Depreciation Schedules'!$A$3:$A$42,'Depreciation Schedules'!$F$3:$F$42)</f>
        <v>0.05</v>
      </c>
      <c r="H447" s="240">
        <f>LOOKUP(H$2,'Depreciation Schedules'!$A$3:$A$42,'Depreciation Schedules'!$F$3:$F$42)</f>
        <v>0.05</v>
      </c>
      <c r="I447" s="240">
        <f>LOOKUP(I$2,'Depreciation Schedules'!$A$3:$A$42,'Depreciation Schedules'!$F$3:$F$42)</f>
        <v>0.05</v>
      </c>
      <c r="J447" s="240">
        <f>LOOKUP(J$2,'Depreciation Schedules'!$A$3:$A$42,'Depreciation Schedules'!$F$3:$F$42)</f>
        <v>0.05</v>
      </c>
      <c r="K447" s="240">
        <f>LOOKUP(K$2,'Depreciation Schedules'!$A$3:$A$42,'Depreciation Schedules'!$F$3:$F$42)</f>
        <v>0.05</v>
      </c>
      <c r="L447" s="240">
        <f>LOOKUP(L$2,'Depreciation Schedules'!$A$3:$A$42,'Depreciation Schedules'!$F$3:$F$42)</f>
        <v>0.05</v>
      </c>
      <c r="M447" s="240">
        <f>LOOKUP(M$2,'Depreciation Schedules'!$A$3:$A$42,'Depreciation Schedules'!$F$3:$F$42)</f>
        <v>0.05</v>
      </c>
      <c r="N447" s="240">
        <f>LOOKUP(N$2,'Depreciation Schedules'!$A$3:$A$42,'Depreciation Schedules'!$F$3:$F$42)</f>
        <v>0.05</v>
      </c>
      <c r="O447" s="240">
        <f>LOOKUP(O$2,'Depreciation Schedules'!$A$3:$A$42,'Depreciation Schedules'!$F$3:$F$42)</f>
        <v>0.05</v>
      </c>
      <c r="P447" s="240">
        <f>LOOKUP(P$2,'Depreciation Schedules'!$A$3:$A$42,'Depreciation Schedules'!$F$3:$F$42)</f>
        <v>0.05</v>
      </c>
      <c r="Q447" s="240">
        <f>LOOKUP(Q$2,'Depreciation Schedules'!$A$3:$A$42,'Depreciation Schedules'!$F$3:$F$42)</f>
        <v>0.05</v>
      </c>
      <c r="R447" s="240">
        <f>LOOKUP(R$2,'Depreciation Schedules'!$A$3:$A$42,'Depreciation Schedules'!$F$3:$F$42)</f>
        <v>0.05</v>
      </c>
      <c r="S447" s="240">
        <f>LOOKUP(S$2,'Depreciation Schedules'!$A$3:$A$42,'Depreciation Schedules'!$F$3:$F$42)</f>
        <v>0.05</v>
      </c>
      <c r="T447" s="240">
        <f>LOOKUP(T$2,'Depreciation Schedules'!$A$3:$A$42,'Depreciation Schedules'!$F$3:$F$42)</f>
        <v>0.05</v>
      </c>
      <c r="U447" s="240">
        <f>LOOKUP(U$2,'Depreciation Schedules'!$A$3:$A$42,'Depreciation Schedules'!$F$3:$F$42)</f>
        <v>0.05</v>
      </c>
      <c r="V447" s="240">
        <f>LOOKUP(V$2,'Depreciation Schedules'!$A$3:$A$42,'Depreciation Schedules'!$F$3:$F$42)</f>
        <v>0.05</v>
      </c>
      <c r="W447" s="240">
        <f>LOOKUP(W$2,'Depreciation Schedules'!$A$3:$A$42,'Depreciation Schedules'!$F$3:$F$42)</f>
        <v>2.5000000000000001E-2</v>
      </c>
      <c r="X447" s="240">
        <f>LOOKUP(X$2,'Depreciation Schedules'!$A$3:$A$42,'Depreciation Schedules'!$F$3:$F$42)</f>
        <v>0</v>
      </c>
      <c r="Y447" s="240">
        <f>LOOKUP(Y$2,'Depreciation Schedules'!$A$3:$A$42,'Depreciation Schedules'!$F$3:$F$42)</f>
        <v>0</v>
      </c>
      <c r="Z447" s="240">
        <f>LOOKUP(Z$2,'Depreciation Schedules'!$A$3:$A$42,'Depreciation Schedules'!$F$3:$F$42)</f>
        <v>0</v>
      </c>
      <c r="AA447" s="240">
        <f>LOOKUP(AA$2,'Depreciation Schedules'!$A$3:$A$42,'Depreciation Schedules'!$F$3:$F$42)</f>
        <v>0</v>
      </c>
      <c r="AB447" s="240">
        <f>LOOKUP(AB$2,'Depreciation Schedules'!$A$3:$A$42,'Depreciation Schedules'!$F$3:$F$42)</f>
        <v>0</v>
      </c>
      <c r="AC447" s="240">
        <f>LOOKUP(AC$2,'Depreciation Schedules'!$A$3:$A$42,'Depreciation Schedules'!$F$3:$F$42)</f>
        <v>0</v>
      </c>
      <c r="AD447" s="240">
        <f>LOOKUP(AD$2,'Depreciation Schedules'!$A$3:$A$42,'Depreciation Schedules'!$F$3:$F$42)</f>
        <v>0</v>
      </c>
      <c r="AE447" s="240">
        <f>LOOKUP(AE$2,'Depreciation Schedules'!$A$3:$A$42,'Depreciation Schedules'!$F$3:$F$42)</f>
        <v>0</v>
      </c>
      <c r="AF447" s="240">
        <f>LOOKUP(AF$2,'Depreciation Schedules'!$A$3:$A$42,'Depreciation Schedules'!$F$3:$F$42)</f>
        <v>0</v>
      </c>
      <c r="AG447" s="240">
        <f>LOOKUP(AG$2,'Depreciation Schedules'!$A$3:$A$42,'Depreciation Schedules'!$F$3:$F$42)</f>
        <v>0</v>
      </c>
      <c r="AH447" s="240">
        <f>LOOKUP(AH$2,'Depreciation Schedules'!$A$3:$A$42,'Depreciation Schedules'!$F$3:$F$42)</f>
        <v>0</v>
      </c>
      <c r="AI447" s="240">
        <f>LOOKUP(AI$2,'Depreciation Schedules'!$A$3:$A$42,'Depreciation Schedules'!$F$3:$F$42)</f>
        <v>0</v>
      </c>
      <c r="AJ447" s="240">
        <f>LOOKUP(AJ$2,'Depreciation Schedules'!$A$3:$A$42,'Depreciation Schedules'!$F$3:$F$42)</f>
        <v>0</v>
      </c>
      <c r="AK447" s="240">
        <f>LOOKUP(AK$2,'Depreciation Schedules'!$A$3:$A$42,'Depreciation Schedules'!$F$3:$F$42)</f>
        <v>0</v>
      </c>
      <c r="AL447" s="240">
        <f>LOOKUP(AL$2,'Depreciation Schedules'!$A$3:$A$42,'Depreciation Schedules'!$F$3:$F$42)</f>
        <v>0</v>
      </c>
      <c r="AM447" s="240">
        <f>LOOKUP(AM$2,'Depreciation Schedules'!$A$3:$A$42,'Depreciation Schedules'!$F$3:$F$42)</f>
        <v>0</v>
      </c>
      <c r="AN447" s="240">
        <f>LOOKUP(AN$2,'Depreciation Schedules'!$A$3:$A$42,'Depreciation Schedules'!$F$3:$F$42)</f>
        <v>0</v>
      </c>
      <c r="AO447" s="240">
        <f>LOOKUP(AO$2,'Depreciation Schedules'!$A$3:$A$42,'Depreciation Schedules'!$F$3:$F$42)</f>
        <v>0</v>
      </c>
      <c r="AP447" s="240">
        <f>LOOKUP(AP$2,'Depreciation Schedules'!$A$3:$A$42,'Depreciation Schedules'!$F$3:$F$42)</f>
        <v>0</v>
      </c>
    </row>
    <row r="448" spans="1:42">
      <c r="A448" s="227" t="str">
        <f t="shared" si="205"/>
        <v>39-yr SL</v>
      </c>
      <c r="B448" s="242">
        <f t="shared" si="206"/>
        <v>1.0000000000000004</v>
      </c>
      <c r="C448" s="240">
        <f>LOOKUP(C$2,'Depreciation Schedules'!$A$3:$A$42,'Depreciation Schedules'!$G$3:$G$42)</f>
        <v>1.2820512820512799E-2</v>
      </c>
      <c r="D448" s="240">
        <f>LOOKUP(D$2,'Depreciation Schedules'!$A$3:$A$42,'Depreciation Schedules'!$G$3:$G$42)</f>
        <v>2.564102564102564E-2</v>
      </c>
      <c r="E448" s="240">
        <f>LOOKUP(E$2,'Depreciation Schedules'!$A$3:$A$42,'Depreciation Schedules'!$G$3:$G$42)</f>
        <v>2.564102564102564E-2</v>
      </c>
      <c r="F448" s="240">
        <f>LOOKUP(F$2,'Depreciation Schedules'!$A$3:$A$42,'Depreciation Schedules'!$G$3:$G$42)</f>
        <v>2.564102564102564E-2</v>
      </c>
      <c r="G448" s="240">
        <f>LOOKUP(G$2,'Depreciation Schedules'!$A$3:$A$42,'Depreciation Schedules'!$G$3:$G$42)</f>
        <v>2.564102564102564E-2</v>
      </c>
      <c r="H448" s="240">
        <f>LOOKUP(H$2,'Depreciation Schedules'!$A$3:$A$42,'Depreciation Schedules'!$G$3:$G$42)</f>
        <v>2.564102564102564E-2</v>
      </c>
      <c r="I448" s="240">
        <f>LOOKUP(I$2,'Depreciation Schedules'!$A$3:$A$42,'Depreciation Schedules'!$G$3:$G$42)</f>
        <v>2.564102564102564E-2</v>
      </c>
      <c r="J448" s="240">
        <f>LOOKUP(J$2,'Depreciation Schedules'!$A$3:$A$42,'Depreciation Schedules'!$G$3:$G$42)</f>
        <v>2.564102564102564E-2</v>
      </c>
      <c r="K448" s="240">
        <f>LOOKUP(K$2,'Depreciation Schedules'!$A$3:$A$42,'Depreciation Schedules'!$G$3:$G$42)</f>
        <v>2.564102564102564E-2</v>
      </c>
      <c r="L448" s="240">
        <f>LOOKUP(L$2,'Depreciation Schedules'!$A$3:$A$42,'Depreciation Schedules'!$G$3:$G$42)</f>
        <v>2.564102564102564E-2</v>
      </c>
      <c r="M448" s="240">
        <f>LOOKUP(M$2,'Depreciation Schedules'!$A$3:$A$42,'Depreciation Schedules'!$G$3:$G$42)</f>
        <v>2.564102564102564E-2</v>
      </c>
      <c r="N448" s="240">
        <f>LOOKUP(N$2,'Depreciation Schedules'!$A$3:$A$42,'Depreciation Schedules'!$G$3:$G$42)</f>
        <v>2.564102564102564E-2</v>
      </c>
      <c r="O448" s="240">
        <f>LOOKUP(O$2,'Depreciation Schedules'!$A$3:$A$42,'Depreciation Schedules'!$G$3:$G$42)</f>
        <v>2.564102564102564E-2</v>
      </c>
      <c r="P448" s="240">
        <f>LOOKUP(P$2,'Depreciation Schedules'!$A$3:$A$42,'Depreciation Schedules'!$G$3:$G$42)</f>
        <v>2.564102564102564E-2</v>
      </c>
      <c r="Q448" s="240">
        <f>LOOKUP(Q$2,'Depreciation Schedules'!$A$3:$A$42,'Depreciation Schedules'!$G$3:$G$42)</f>
        <v>2.564102564102564E-2</v>
      </c>
      <c r="R448" s="240">
        <f>LOOKUP(R$2,'Depreciation Schedules'!$A$3:$A$42,'Depreciation Schedules'!$G$3:$G$42)</f>
        <v>2.564102564102564E-2</v>
      </c>
      <c r="S448" s="240">
        <f>LOOKUP(S$2,'Depreciation Schedules'!$A$3:$A$42,'Depreciation Schedules'!$G$3:$G$42)</f>
        <v>2.564102564102564E-2</v>
      </c>
      <c r="T448" s="240">
        <f>LOOKUP(T$2,'Depreciation Schedules'!$A$3:$A$42,'Depreciation Schedules'!$G$3:$G$42)</f>
        <v>2.564102564102564E-2</v>
      </c>
      <c r="U448" s="240">
        <f>LOOKUP(U$2,'Depreciation Schedules'!$A$3:$A$42,'Depreciation Schedules'!$G$3:$G$42)</f>
        <v>2.564102564102564E-2</v>
      </c>
      <c r="V448" s="240">
        <f>LOOKUP(V$2,'Depreciation Schedules'!$A$3:$A$42,'Depreciation Schedules'!$G$3:$G$42)</f>
        <v>2.564102564102564E-2</v>
      </c>
      <c r="W448" s="240">
        <f>LOOKUP(W$2,'Depreciation Schedules'!$A$3:$A$42,'Depreciation Schedules'!$G$3:$G$42)</f>
        <v>2.564102564102564E-2</v>
      </c>
      <c r="X448" s="240">
        <f>LOOKUP(X$2,'Depreciation Schedules'!$A$3:$A$42,'Depreciation Schedules'!$G$3:$G$42)</f>
        <v>2.564102564102564E-2</v>
      </c>
      <c r="Y448" s="240">
        <f>LOOKUP(Y$2,'Depreciation Schedules'!$A$3:$A$42,'Depreciation Schedules'!$G$3:$G$42)</f>
        <v>2.564102564102564E-2</v>
      </c>
      <c r="Z448" s="240">
        <f>LOOKUP(Z$2,'Depreciation Schedules'!$A$3:$A$42,'Depreciation Schedules'!$G$3:$G$42)</f>
        <v>2.564102564102564E-2</v>
      </c>
      <c r="AA448" s="240">
        <f>LOOKUP(AA$2,'Depreciation Schedules'!$A$3:$A$42,'Depreciation Schedules'!$G$3:$G$42)</f>
        <v>2.564102564102564E-2</v>
      </c>
      <c r="AB448" s="240">
        <f>LOOKUP(AB$2,'Depreciation Schedules'!$A$3:$A$42,'Depreciation Schedules'!$G$3:$G$42)</f>
        <v>2.564102564102564E-2</v>
      </c>
      <c r="AC448" s="240">
        <f>LOOKUP(AC$2,'Depreciation Schedules'!$A$3:$A$42,'Depreciation Schedules'!$G$3:$G$42)</f>
        <v>2.564102564102564E-2</v>
      </c>
      <c r="AD448" s="240">
        <f>LOOKUP(AD$2,'Depreciation Schedules'!$A$3:$A$42,'Depreciation Schedules'!$G$3:$G$42)</f>
        <v>2.564102564102564E-2</v>
      </c>
      <c r="AE448" s="240">
        <f>LOOKUP(AE$2,'Depreciation Schedules'!$A$3:$A$42,'Depreciation Schedules'!$G$3:$G$42)</f>
        <v>2.564102564102564E-2</v>
      </c>
      <c r="AF448" s="240">
        <f>LOOKUP(AF$2,'Depreciation Schedules'!$A$3:$A$42,'Depreciation Schedules'!$G$3:$G$42)</f>
        <v>2.564102564102564E-2</v>
      </c>
      <c r="AG448" s="240">
        <f>LOOKUP(AG$2,'Depreciation Schedules'!$A$3:$A$42,'Depreciation Schedules'!$G$3:$G$42)</f>
        <v>2.564102564102564E-2</v>
      </c>
      <c r="AH448" s="240">
        <f>LOOKUP(AH$2,'Depreciation Schedules'!$A$3:$A$42,'Depreciation Schedules'!$G$3:$G$42)</f>
        <v>2.564102564102564E-2</v>
      </c>
      <c r="AI448" s="240">
        <f>LOOKUP(AI$2,'Depreciation Schedules'!$A$3:$A$42,'Depreciation Schedules'!$G$3:$G$42)</f>
        <v>2.564102564102564E-2</v>
      </c>
      <c r="AJ448" s="240">
        <f>LOOKUP(AJ$2,'Depreciation Schedules'!$A$3:$A$42,'Depreciation Schedules'!$G$3:$G$42)</f>
        <v>2.564102564102564E-2</v>
      </c>
      <c r="AK448" s="240">
        <f>LOOKUP(AK$2,'Depreciation Schedules'!$A$3:$A$42,'Depreciation Schedules'!$G$3:$G$42)</f>
        <v>2.564102564102564E-2</v>
      </c>
      <c r="AL448" s="240">
        <f>LOOKUP(AL$2,'Depreciation Schedules'!$A$3:$A$42,'Depreciation Schedules'!$G$3:$G$42)</f>
        <v>2.564102564102564E-2</v>
      </c>
      <c r="AM448" s="240">
        <f>LOOKUP(AM$2,'Depreciation Schedules'!$A$3:$A$42,'Depreciation Schedules'!$G$3:$G$42)</f>
        <v>2.564102564102564E-2</v>
      </c>
      <c r="AN448" s="240">
        <f>LOOKUP(AN$2,'Depreciation Schedules'!$A$3:$A$42,'Depreciation Schedules'!$G$3:$G$42)</f>
        <v>2.564102564102564E-2</v>
      </c>
      <c r="AO448" s="240">
        <f>LOOKUP(AO$2,'Depreciation Schedules'!$A$3:$A$42,'Depreciation Schedules'!$G$3:$G$42)</f>
        <v>2.564102564102564E-2</v>
      </c>
      <c r="AP448" s="240">
        <f>LOOKUP(AP$2,'Depreciation Schedules'!$A$3:$A$42,'Depreciation Schedules'!$G$3:$G$42)</f>
        <v>1.2820512820512799E-2</v>
      </c>
    </row>
    <row r="449" spans="1:42">
      <c r="A449" s="297" t="s">
        <v>34</v>
      </c>
      <c r="C449" s="208"/>
      <c r="D449" s="208"/>
      <c r="E449" s="208"/>
      <c r="F449" s="208"/>
      <c r="G449" s="208"/>
      <c r="H449" s="208"/>
      <c r="I449" s="208"/>
      <c r="J449" s="208"/>
      <c r="K449" s="208"/>
      <c r="L449" s="208"/>
      <c r="M449" s="208"/>
      <c r="N449" s="208"/>
      <c r="O449" s="208"/>
      <c r="P449" s="208"/>
      <c r="Q449" s="208"/>
      <c r="R449" s="208"/>
      <c r="S449" s="208"/>
      <c r="T449" s="208"/>
      <c r="U449" s="208"/>
      <c r="V449" s="208"/>
      <c r="W449" s="208"/>
      <c r="X449" s="208"/>
      <c r="Y449" s="208"/>
      <c r="Z449" s="208"/>
      <c r="AA449" s="208"/>
      <c r="AB449" s="208"/>
      <c r="AC449" s="208"/>
      <c r="AD449" s="208"/>
      <c r="AE449" s="208"/>
      <c r="AF449" s="208"/>
      <c r="AG449" s="208"/>
      <c r="AH449" s="208"/>
      <c r="AI449" s="208"/>
      <c r="AJ449" s="208"/>
      <c r="AK449" s="208"/>
      <c r="AL449" s="208"/>
      <c r="AM449" s="208"/>
      <c r="AN449" s="208"/>
      <c r="AO449" s="208"/>
      <c r="AP449" s="208"/>
    </row>
    <row r="450" spans="1:42">
      <c r="A450" s="227" t="str">
        <f>A443</f>
        <v>5-yr MACRS</v>
      </c>
      <c r="B450" s="243">
        <f>SUM(C450:AP450)</f>
        <v>35398038.078000009</v>
      </c>
      <c r="C450" s="208">
        <f t="shared" ref="C450:AP455" si="207">C443*$K410</f>
        <v>7079607.6156000011</v>
      </c>
      <c r="D450" s="208">
        <f t="shared" si="207"/>
        <v>11327372.18496</v>
      </c>
      <c r="E450" s="208">
        <f t="shared" si="207"/>
        <v>6796423.3109760005</v>
      </c>
      <c r="F450" s="208">
        <f t="shared" si="207"/>
        <v>4077853.9865856003</v>
      </c>
      <c r="G450" s="208">
        <f t="shared" si="207"/>
        <v>4077853.9865856003</v>
      </c>
      <c r="H450" s="208">
        <f t="shared" si="207"/>
        <v>2038926.9932928002</v>
      </c>
      <c r="I450" s="208">
        <f t="shared" si="207"/>
        <v>0</v>
      </c>
      <c r="J450" s="208">
        <f t="shared" si="207"/>
        <v>0</v>
      </c>
      <c r="K450" s="208">
        <f t="shared" si="207"/>
        <v>0</v>
      </c>
      <c r="L450" s="208">
        <f t="shared" si="207"/>
        <v>0</v>
      </c>
      <c r="M450" s="208">
        <f t="shared" si="207"/>
        <v>0</v>
      </c>
      <c r="N450" s="208">
        <f t="shared" si="207"/>
        <v>0</v>
      </c>
      <c r="O450" s="208">
        <f t="shared" si="207"/>
        <v>0</v>
      </c>
      <c r="P450" s="208">
        <f t="shared" si="207"/>
        <v>0</v>
      </c>
      <c r="Q450" s="208">
        <f t="shared" si="207"/>
        <v>0</v>
      </c>
      <c r="R450" s="208">
        <f t="shared" si="207"/>
        <v>0</v>
      </c>
      <c r="S450" s="208">
        <f t="shared" si="207"/>
        <v>0</v>
      </c>
      <c r="T450" s="208">
        <f t="shared" si="207"/>
        <v>0</v>
      </c>
      <c r="U450" s="208">
        <f t="shared" si="207"/>
        <v>0</v>
      </c>
      <c r="V450" s="208">
        <f t="shared" si="207"/>
        <v>0</v>
      </c>
      <c r="W450" s="208">
        <f t="shared" si="207"/>
        <v>0</v>
      </c>
      <c r="X450" s="208">
        <f t="shared" si="207"/>
        <v>0</v>
      </c>
      <c r="Y450" s="208">
        <f t="shared" si="207"/>
        <v>0</v>
      </c>
      <c r="Z450" s="208">
        <f t="shared" si="207"/>
        <v>0</v>
      </c>
      <c r="AA450" s="208">
        <f t="shared" si="207"/>
        <v>0</v>
      </c>
      <c r="AB450" s="208">
        <f t="shared" si="207"/>
        <v>0</v>
      </c>
      <c r="AC450" s="208">
        <f t="shared" si="207"/>
        <v>0</v>
      </c>
      <c r="AD450" s="208">
        <f t="shared" si="207"/>
        <v>0</v>
      </c>
      <c r="AE450" s="208">
        <f t="shared" si="207"/>
        <v>0</v>
      </c>
      <c r="AF450" s="208">
        <f t="shared" si="207"/>
        <v>0</v>
      </c>
      <c r="AG450" s="208">
        <f t="shared" si="207"/>
        <v>0</v>
      </c>
      <c r="AH450" s="208">
        <f t="shared" si="207"/>
        <v>0</v>
      </c>
      <c r="AI450" s="208">
        <f t="shared" si="207"/>
        <v>0</v>
      </c>
      <c r="AJ450" s="208">
        <f t="shared" si="207"/>
        <v>0</v>
      </c>
      <c r="AK450" s="208">
        <f t="shared" si="207"/>
        <v>0</v>
      </c>
      <c r="AL450" s="208">
        <f t="shared" si="207"/>
        <v>0</v>
      </c>
      <c r="AM450" s="208">
        <f t="shared" si="207"/>
        <v>0</v>
      </c>
      <c r="AN450" s="208">
        <f t="shared" si="207"/>
        <v>0</v>
      </c>
      <c r="AO450" s="208">
        <f t="shared" si="207"/>
        <v>0</v>
      </c>
      <c r="AP450" s="208">
        <f t="shared" si="207"/>
        <v>0</v>
      </c>
    </row>
    <row r="451" spans="1:42">
      <c r="A451" s="227" t="str">
        <f t="shared" ref="A451:A455" si="208">A444</f>
        <v>15-yr MACRS</v>
      </c>
      <c r="B451" s="165">
        <f t="shared" ref="B451:B457" si="209">SUM(C451:AP451)</f>
        <v>641350.3274999999</v>
      </c>
      <c r="C451" s="208">
        <f t="shared" si="207"/>
        <v>32067.516375000003</v>
      </c>
      <c r="D451" s="208">
        <f t="shared" si="207"/>
        <v>60928.281112500001</v>
      </c>
      <c r="E451" s="208">
        <f t="shared" si="207"/>
        <v>54835.453001250004</v>
      </c>
      <c r="F451" s="208">
        <f t="shared" si="207"/>
        <v>49383.975217500003</v>
      </c>
      <c r="G451" s="208">
        <f t="shared" si="207"/>
        <v>44445.577695749998</v>
      </c>
      <c r="H451" s="208">
        <f t="shared" si="207"/>
        <v>39956.12540325</v>
      </c>
      <c r="I451" s="208">
        <f t="shared" si="207"/>
        <v>37839.669322499998</v>
      </c>
      <c r="J451" s="208">
        <f t="shared" si="207"/>
        <v>37839.669322499998</v>
      </c>
      <c r="K451" s="208">
        <f t="shared" si="207"/>
        <v>37903.804355250002</v>
      </c>
      <c r="L451" s="208">
        <f t="shared" si="207"/>
        <v>37839.669322499998</v>
      </c>
      <c r="M451" s="208">
        <f t="shared" si="207"/>
        <v>37903.804355250002</v>
      </c>
      <c r="N451" s="208">
        <f t="shared" si="207"/>
        <v>37839.669322499998</v>
      </c>
      <c r="O451" s="208">
        <f t="shared" si="207"/>
        <v>37903.804355250002</v>
      </c>
      <c r="P451" s="208">
        <f t="shared" si="207"/>
        <v>37839.669322499998</v>
      </c>
      <c r="Q451" s="208">
        <f t="shared" si="207"/>
        <v>37903.804355250002</v>
      </c>
      <c r="R451" s="208">
        <f t="shared" si="207"/>
        <v>18919.834661249999</v>
      </c>
      <c r="S451" s="208">
        <f t="shared" si="207"/>
        <v>0</v>
      </c>
      <c r="T451" s="208">
        <f t="shared" si="207"/>
        <v>0</v>
      </c>
      <c r="U451" s="208">
        <f t="shared" si="207"/>
        <v>0</v>
      </c>
      <c r="V451" s="208">
        <f t="shared" si="207"/>
        <v>0</v>
      </c>
      <c r="W451" s="208">
        <f t="shared" si="207"/>
        <v>0</v>
      </c>
      <c r="X451" s="208">
        <f t="shared" si="207"/>
        <v>0</v>
      </c>
      <c r="Y451" s="208">
        <f t="shared" si="207"/>
        <v>0</v>
      </c>
      <c r="Z451" s="208">
        <f t="shared" si="207"/>
        <v>0</v>
      </c>
      <c r="AA451" s="208">
        <f t="shared" si="207"/>
        <v>0</v>
      </c>
      <c r="AB451" s="208">
        <f t="shared" si="207"/>
        <v>0</v>
      </c>
      <c r="AC451" s="208">
        <f t="shared" si="207"/>
        <v>0</v>
      </c>
      <c r="AD451" s="208">
        <f t="shared" si="207"/>
        <v>0</v>
      </c>
      <c r="AE451" s="208">
        <f t="shared" si="207"/>
        <v>0</v>
      </c>
      <c r="AF451" s="208">
        <f t="shared" si="207"/>
        <v>0</v>
      </c>
      <c r="AG451" s="208">
        <f t="shared" si="207"/>
        <v>0</v>
      </c>
      <c r="AH451" s="208">
        <f t="shared" si="207"/>
        <v>0</v>
      </c>
      <c r="AI451" s="208">
        <f t="shared" si="207"/>
        <v>0</v>
      </c>
      <c r="AJ451" s="208">
        <f t="shared" si="207"/>
        <v>0</v>
      </c>
      <c r="AK451" s="208">
        <f t="shared" si="207"/>
        <v>0</v>
      </c>
      <c r="AL451" s="208">
        <f t="shared" si="207"/>
        <v>0</v>
      </c>
      <c r="AM451" s="208">
        <f t="shared" si="207"/>
        <v>0</v>
      </c>
      <c r="AN451" s="208">
        <f t="shared" si="207"/>
        <v>0</v>
      </c>
      <c r="AO451" s="208">
        <f t="shared" si="207"/>
        <v>0</v>
      </c>
      <c r="AP451" s="208">
        <f t="shared" si="207"/>
        <v>0</v>
      </c>
    </row>
    <row r="452" spans="1:42">
      <c r="A452" s="227" t="str">
        <f t="shared" si="208"/>
        <v>5-yr SL</v>
      </c>
      <c r="B452" s="165">
        <f t="shared" si="209"/>
        <v>0</v>
      </c>
      <c r="C452" s="208">
        <f t="shared" si="207"/>
        <v>0</v>
      </c>
      <c r="D452" s="208">
        <f t="shared" si="207"/>
        <v>0</v>
      </c>
      <c r="E452" s="208">
        <f t="shared" si="207"/>
        <v>0</v>
      </c>
      <c r="F452" s="208">
        <f t="shared" si="207"/>
        <v>0</v>
      </c>
      <c r="G452" s="208">
        <f t="shared" si="207"/>
        <v>0</v>
      </c>
      <c r="H452" s="208">
        <f t="shared" si="207"/>
        <v>0</v>
      </c>
      <c r="I452" s="208">
        <f t="shared" si="207"/>
        <v>0</v>
      </c>
      <c r="J452" s="208">
        <f t="shared" si="207"/>
        <v>0</v>
      </c>
      <c r="K452" s="208">
        <f t="shared" si="207"/>
        <v>0</v>
      </c>
      <c r="L452" s="208">
        <f t="shared" si="207"/>
        <v>0</v>
      </c>
      <c r="M452" s="208">
        <f t="shared" si="207"/>
        <v>0</v>
      </c>
      <c r="N452" s="208">
        <f t="shared" si="207"/>
        <v>0</v>
      </c>
      <c r="O452" s="208">
        <f t="shared" si="207"/>
        <v>0</v>
      </c>
      <c r="P452" s="208">
        <f t="shared" si="207"/>
        <v>0</v>
      </c>
      <c r="Q452" s="208">
        <f t="shared" si="207"/>
        <v>0</v>
      </c>
      <c r="R452" s="208">
        <f t="shared" si="207"/>
        <v>0</v>
      </c>
      <c r="S452" s="208">
        <f t="shared" si="207"/>
        <v>0</v>
      </c>
      <c r="T452" s="208">
        <f t="shared" si="207"/>
        <v>0</v>
      </c>
      <c r="U452" s="208">
        <f t="shared" si="207"/>
        <v>0</v>
      </c>
      <c r="V452" s="208">
        <f t="shared" si="207"/>
        <v>0</v>
      </c>
      <c r="W452" s="208">
        <f t="shared" si="207"/>
        <v>0</v>
      </c>
      <c r="X452" s="208">
        <f t="shared" si="207"/>
        <v>0</v>
      </c>
      <c r="Y452" s="208">
        <f t="shared" si="207"/>
        <v>0</v>
      </c>
      <c r="Z452" s="208">
        <f t="shared" si="207"/>
        <v>0</v>
      </c>
      <c r="AA452" s="208">
        <f t="shared" si="207"/>
        <v>0</v>
      </c>
      <c r="AB452" s="208">
        <f t="shared" si="207"/>
        <v>0</v>
      </c>
      <c r="AC452" s="208">
        <f t="shared" si="207"/>
        <v>0</v>
      </c>
      <c r="AD452" s="208">
        <f t="shared" si="207"/>
        <v>0</v>
      </c>
      <c r="AE452" s="208">
        <f t="shared" si="207"/>
        <v>0</v>
      </c>
      <c r="AF452" s="208">
        <f t="shared" si="207"/>
        <v>0</v>
      </c>
      <c r="AG452" s="208">
        <f t="shared" si="207"/>
        <v>0</v>
      </c>
      <c r="AH452" s="208">
        <f t="shared" si="207"/>
        <v>0</v>
      </c>
      <c r="AI452" s="208">
        <f t="shared" si="207"/>
        <v>0</v>
      </c>
      <c r="AJ452" s="208">
        <f t="shared" si="207"/>
        <v>0</v>
      </c>
      <c r="AK452" s="208">
        <f t="shared" si="207"/>
        <v>0</v>
      </c>
      <c r="AL452" s="208">
        <f t="shared" si="207"/>
        <v>0</v>
      </c>
      <c r="AM452" s="208">
        <f t="shared" si="207"/>
        <v>0</v>
      </c>
      <c r="AN452" s="208">
        <f t="shared" si="207"/>
        <v>0</v>
      </c>
      <c r="AO452" s="208">
        <f t="shared" si="207"/>
        <v>0</v>
      </c>
      <c r="AP452" s="208">
        <f t="shared" si="207"/>
        <v>0</v>
      </c>
    </row>
    <row r="453" spans="1:42">
      <c r="A453" s="227" t="str">
        <f t="shared" si="208"/>
        <v>15-yr SL</v>
      </c>
      <c r="B453" s="165">
        <f t="shared" si="209"/>
        <v>641350.32750000001</v>
      </c>
      <c r="C453" s="208">
        <f t="shared" si="207"/>
        <v>21356.965905750003</v>
      </c>
      <c r="D453" s="208">
        <f t="shared" si="207"/>
        <v>42778.066844249995</v>
      </c>
      <c r="E453" s="208">
        <f t="shared" si="207"/>
        <v>42778.066844249995</v>
      </c>
      <c r="F453" s="208">
        <f t="shared" si="207"/>
        <v>42778.066844249995</v>
      </c>
      <c r="G453" s="208">
        <f t="shared" si="207"/>
        <v>42778.066844249995</v>
      </c>
      <c r="H453" s="208">
        <f t="shared" si="207"/>
        <v>42778.066844249995</v>
      </c>
      <c r="I453" s="208">
        <f t="shared" si="207"/>
        <v>42778.066844249995</v>
      </c>
      <c r="J453" s="208">
        <f t="shared" si="207"/>
        <v>42713.931811500006</v>
      </c>
      <c r="K453" s="208">
        <f t="shared" si="207"/>
        <v>42778.066844249995</v>
      </c>
      <c r="L453" s="208">
        <f t="shared" si="207"/>
        <v>42713.931811500006</v>
      </c>
      <c r="M453" s="208">
        <f t="shared" si="207"/>
        <v>42778.066844249995</v>
      </c>
      <c r="N453" s="208">
        <f t="shared" si="207"/>
        <v>42713.931811500006</v>
      </c>
      <c r="O453" s="208">
        <f t="shared" si="207"/>
        <v>42778.066844249995</v>
      </c>
      <c r="P453" s="208">
        <f t="shared" si="207"/>
        <v>42713.931811500006</v>
      </c>
      <c r="Q453" s="208">
        <f t="shared" si="207"/>
        <v>42778.066844249995</v>
      </c>
      <c r="R453" s="208">
        <f t="shared" si="207"/>
        <v>21356.965905750003</v>
      </c>
      <c r="S453" s="208">
        <f t="shared" si="207"/>
        <v>0</v>
      </c>
      <c r="T453" s="208">
        <f t="shared" si="207"/>
        <v>0</v>
      </c>
      <c r="U453" s="208">
        <f t="shared" si="207"/>
        <v>0</v>
      </c>
      <c r="V453" s="208">
        <f t="shared" si="207"/>
        <v>0</v>
      </c>
      <c r="W453" s="208">
        <f t="shared" si="207"/>
        <v>0</v>
      </c>
      <c r="X453" s="208">
        <f t="shared" si="207"/>
        <v>0</v>
      </c>
      <c r="Y453" s="208">
        <f t="shared" si="207"/>
        <v>0</v>
      </c>
      <c r="Z453" s="208">
        <f t="shared" si="207"/>
        <v>0</v>
      </c>
      <c r="AA453" s="208">
        <f t="shared" si="207"/>
        <v>0</v>
      </c>
      <c r="AB453" s="208">
        <f t="shared" si="207"/>
        <v>0</v>
      </c>
      <c r="AC453" s="208">
        <f t="shared" si="207"/>
        <v>0</v>
      </c>
      <c r="AD453" s="208">
        <f t="shared" si="207"/>
        <v>0</v>
      </c>
      <c r="AE453" s="208">
        <f t="shared" si="207"/>
        <v>0</v>
      </c>
      <c r="AF453" s="208">
        <f t="shared" si="207"/>
        <v>0</v>
      </c>
      <c r="AG453" s="208">
        <f t="shared" si="207"/>
        <v>0</v>
      </c>
      <c r="AH453" s="208">
        <f t="shared" si="207"/>
        <v>0</v>
      </c>
      <c r="AI453" s="208">
        <f t="shared" si="207"/>
        <v>0</v>
      </c>
      <c r="AJ453" s="208">
        <f t="shared" si="207"/>
        <v>0</v>
      </c>
      <c r="AK453" s="208">
        <f t="shared" si="207"/>
        <v>0</v>
      </c>
      <c r="AL453" s="208">
        <f t="shared" si="207"/>
        <v>0</v>
      </c>
      <c r="AM453" s="208">
        <f t="shared" si="207"/>
        <v>0</v>
      </c>
      <c r="AN453" s="208">
        <f t="shared" si="207"/>
        <v>0</v>
      </c>
      <c r="AO453" s="208">
        <f t="shared" si="207"/>
        <v>0</v>
      </c>
      <c r="AP453" s="208">
        <f t="shared" si="207"/>
        <v>0</v>
      </c>
    </row>
    <row r="454" spans="1:42">
      <c r="A454" s="227" t="str">
        <f t="shared" si="208"/>
        <v>20-yr SL</v>
      </c>
      <c r="B454" s="165">
        <f t="shared" si="209"/>
        <v>1282700.655</v>
      </c>
      <c r="C454" s="208">
        <f t="shared" si="207"/>
        <v>32067.516375000003</v>
      </c>
      <c r="D454" s="208">
        <f t="shared" si="207"/>
        <v>64135.032750000006</v>
      </c>
      <c r="E454" s="208">
        <f t="shared" si="207"/>
        <v>64135.032750000006</v>
      </c>
      <c r="F454" s="208">
        <f t="shared" si="207"/>
        <v>64135.032750000006</v>
      </c>
      <c r="G454" s="208">
        <f t="shared" si="207"/>
        <v>64135.032750000006</v>
      </c>
      <c r="H454" s="208">
        <f t="shared" si="207"/>
        <v>64135.032750000006</v>
      </c>
      <c r="I454" s="208">
        <f t="shared" si="207"/>
        <v>64135.032750000006</v>
      </c>
      <c r="J454" s="208">
        <f t="shared" si="207"/>
        <v>64135.032750000006</v>
      </c>
      <c r="K454" s="208">
        <f t="shared" si="207"/>
        <v>64135.032750000006</v>
      </c>
      <c r="L454" s="208">
        <f t="shared" si="207"/>
        <v>64135.032750000006</v>
      </c>
      <c r="M454" s="208">
        <f t="shared" si="207"/>
        <v>64135.032750000006</v>
      </c>
      <c r="N454" s="208">
        <f t="shared" si="207"/>
        <v>64135.032750000006</v>
      </c>
      <c r="O454" s="208">
        <f t="shared" si="207"/>
        <v>64135.032750000006</v>
      </c>
      <c r="P454" s="208">
        <f t="shared" si="207"/>
        <v>64135.032750000006</v>
      </c>
      <c r="Q454" s="208">
        <f t="shared" si="207"/>
        <v>64135.032750000006</v>
      </c>
      <c r="R454" s="208">
        <f t="shared" si="207"/>
        <v>64135.032750000006</v>
      </c>
      <c r="S454" s="208">
        <f t="shared" si="207"/>
        <v>64135.032750000006</v>
      </c>
      <c r="T454" s="208">
        <f t="shared" si="207"/>
        <v>64135.032750000006</v>
      </c>
      <c r="U454" s="208">
        <f t="shared" si="207"/>
        <v>64135.032750000006</v>
      </c>
      <c r="V454" s="208">
        <f t="shared" si="207"/>
        <v>64135.032750000006</v>
      </c>
      <c r="W454" s="208">
        <f t="shared" si="207"/>
        <v>32067.516375000003</v>
      </c>
      <c r="X454" s="208">
        <f t="shared" si="207"/>
        <v>0</v>
      </c>
      <c r="Y454" s="208">
        <f t="shared" si="207"/>
        <v>0</v>
      </c>
      <c r="Z454" s="208">
        <f t="shared" si="207"/>
        <v>0</v>
      </c>
      <c r="AA454" s="208">
        <f t="shared" si="207"/>
        <v>0</v>
      </c>
      <c r="AB454" s="208">
        <f t="shared" si="207"/>
        <v>0</v>
      </c>
      <c r="AC454" s="208">
        <f t="shared" si="207"/>
        <v>0</v>
      </c>
      <c r="AD454" s="208">
        <f t="shared" si="207"/>
        <v>0</v>
      </c>
      <c r="AE454" s="208">
        <f t="shared" si="207"/>
        <v>0</v>
      </c>
      <c r="AF454" s="208">
        <f t="shared" si="207"/>
        <v>0</v>
      </c>
      <c r="AG454" s="208">
        <f t="shared" si="207"/>
        <v>0</v>
      </c>
      <c r="AH454" s="208">
        <f t="shared" si="207"/>
        <v>0</v>
      </c>
      <c r="AI454" s="208">
        <f t="shared" si="207"/>
        <v>0</v>
      </c>
      <c r="AJ454" s="208">
        <f t="shared" si="207"/>
        <v>0</v>
      </c>
      <c r="AK454" s="208">
        <f t="shared" si="207"/>
        <v>0</v>
      </c>
      <c r="AL454" s="208">
        <f t="shared" si="207"/>
        <v>0</v>
      </c>
      <c r="AM454" s="208">
        <f t="shared" si="207"/>
        <v>0</v>
      </c>
      <c r="AN454" s="208">
        <f t="shared" si="207"/>
        <v>0</v>
      </c>
      <c r="AO454" s="208">
        <f t="shared" si="207"/>
        <v>0</v>
      </c>
      <c r="AP454" s="208">
        <f t="shared" si="207"/>
        <v>0</v>
      </c>
    </row>
    <row r="455" spans="1:42">
      <c r="A455" s="227" t="str">
        <f t="shared" si="208"/>
        <v>39-yr SL</v>
      </c>
      <c r="B455" s="165">
        <f t="shared" si="209"/>
        <v>213783.44250000003</v>
      </c>
      <c r="C455" s="208">
        <f t="shared" si="207"/>
        <v>2740.8133653846107</v>
      </c>
      <c r="D455" s="208">
        <f t="shared" si="207"/>
        <v>5481.6267307692306</v>
      </c>
      <c r="E455" s="208">
        <f t="shared" si="207"/>
        <v>5481.6267307692306</v>
      </c>
      <c r="F455" s="208">
        <f t="shared" si="207"/>
        <v>5481.6267307692306</v>
      </c>
      <c r="G455" s="208">
        <f t="shared" si="207"/>
        <v>5481.6267307692306</v>
      </c>
      <c r="H455" s="208">
        <f t="shared" si="207"/>
        <v>5481.6267307692306</v>
      </c>
      <c r="I455" s="208">
        <f t="shared" si="207"/>
        <v>5481.6267307692306</v>
      </c>
      <c r="J455" s="208">
        <f t="shared" si="207"/>
        <v>5481.6267307692306</v>
      </c>
      <c r="K455" s="208">
        <f t="shared" si="207"/>
        <v>5481.6267307692306</v>
      </c>
      <c r="L455" s="208">
        <f t="shared" si="207"/>
        <v>5481.6267307692306</v>
      </c>
      <c r="M455" s="208">
        <f t="shared" si="207"/>
        <v>5481.6267307692306</v>
      </c>
      <c r="N455" s="208">
        <f t="shared" si="207"/>
        <v>5481.6267307692306</v>
      </c>
      <c r="O455" s="208">
        <f t="shared" si="207"/>
        <v>5481.6267307692306</v>
      </c>
      <c r="P455" s="208">
        <f t="shared" si="207"/>
        <v>5481.6267307692306</v>
      </c>
      <c r="Q455" s="208">
        <f t="shared" si="207"/>
        <v>5481.6267307692306</v>
      </c>
      <c r="R455" s="208">
        <f t="shared" si="207"/>
        <v>5481.6267307692306</v>
      </c>
      <c r="S455" s="208">
        <f t="shared" si="207"/>
        <v>5481.6267307692306</v>
      </c>
      <c r="T455" s="208">
        <f t="shared" si="207"/>
        <v>5481.6267307692306</v>
      </c>
      <c r="U455" s="208">
        <f t="shared" si="207"/>
        <v>5481.6267307692306</v>
      </c>
      <c r="V455" s="208">
        <f t="shared" si="207"/>
        <v>5481.6267307692306</v>
      </c>
      <c r="W455" s="208">
        <f t="shared" si="207"/>
        <v>5481.6267307692306</v>
      </c>
      <c r="X455" s="208">
        <f t="shared" si="207"/>
        <v>5481.6267307692306</v>
      </c>
      <c r="Y455" s="208">
        <f t="shared" si="207"/>
        <v>5481.6267307692306</v>
      </c>
      <c r="Z455" s="208">
        <f t="shared" si="207"/>
        <v>5481.6267307692306</v>
      </c>
      <c r="AA455" s="208">
        <f t="shared" si="207"/>
        <v>5481.6267307692306</v>
      </c>
      <c r="AB455" s="208">
        <f t="shared" si="207"/>
        <v>5481.6267307692306</v>
      </c>
      <c r="AC455" s="208">
        <f t="shared" si="207"/>
        <v>5481.6267307692306</v>
      </c>
      <c r="AD455" s="208">
        <f t="shared" si="207"/>
        <v>5481.6267307692306</v>
      </c>
      <c r="AE455" s="208">
        <f t="shared" si="207"/>
        <v>5481.6267307692306</v>
      </c>
      <c r="AF455" s="208">
        <f t="shared" si="207"/>
        <v>5481.6267307692306</v>
      </c>
      <c r="AG455" s="208">
        <f t="shared" si="207"/>
        <v>5481.6267307692306</v>
      </c>
      <c r="AH455" s="208">
        <f t="shared" si="207"/>
        <v>5481.6267307692306</v>
      </c>
      <c r="AI455" s="208">
        <f t="shared" si="207"/>
        <v>5481.6267307692306</v>
      </c>
      <c r="AJ455" s="208">
        <f t="shared" si="207"/>
        <v>5481.6267307692306</v>
      </c>
      <c r="AK455" s="208">
        <f t="shared" si="207"/>
        <v>5481.6267307692306</v>
      </c>
      <c r="AL455" s="208">
        <f t="shared" si="207"/>
        <v>5481.6267307692306</v>
      </c>
      <c r="AM455" s="208">
        <f t="shared" si="207"/>
        <v>5481.6267307692306</v>
      </c>
      <c r="AN455" s="208">
        <f t="shared" si="207"/>
        <v>5481.6267307692306</v>
      </c>
      <c r="AO455" s="208">
        <f t="shared" si="207"/>
        <v>5481.6267307692306</v>
      </c>
      <c r="AP455" s="208">
        <f t="shared" si="207"/>
        <v>2740.8133653846107</v>
      </c>
    </row>
    <row r="456" spans="1:42">
      <c r="A456" s="227" t="s">
        <v>332</v>
      </c>
      <c r="B456" s="237">
        <f t="shared" si="209"/>
        <v>3933115.3420000002</v>
      </c>
      <c r="C456" s="209">
        <f>J417</f>
        <v>3933115.3420000002</v>
      </c>
      <c r="D456" s="209">
        <v>0</v>
      </c>
      <c r="E456" s="209">
        <v>0</v>
      </c>
      <c r="F456" s="209">
        <v>0</v>
      </c>
      <c r="G456" s="209">
        <v>0</v>
      </c>
      <c r="H456" s="209">
        <v>0</v>
      </c>
      <c r="I456" s="209">
        <v>0</v>
      </c>
      <c r="J456" s="209">
        <v>0</v>
      </c>
      <c r="K456" s="209">
        <v>0</v>
      </c>
      <c r="L456" s="209">
        <v>0</v>
      </c>
      <c r="M456" s="209">
        <v>0</v>
      </c>
      <c r="N456" s="209">
        <v>0</v>
      </c>
      <c r="O456" s="209">
        <v>0</v>
      </c>
      <c r="P456" s="209">
        <v>0</v>
      </c>
      <c r="Q456" s="209">
        <v>0</v>
      </c>
      <c r="R456" s="209">
        <v>0</v>
      </c>
      <c r="S456" s="209">
        <v>0</v>
      </c>
      <c r="T456" s="209">
        <v>0</v>
      </c>
      <c r="U456" s="209">
        <v>0</v>
      </c>
      <c r="V456" s="209">
        <v>0</v>
      </c>
      <c r="W456" s="209">
        <v>0</v>
      </c>
      <c r="X456" s="209">
        <v>0</v>
      </c>
      <c r="Y456" s="209">
        <v>0</v>
      </c>
      <c r="Z456" s="209">
        <v>0</v>
      </c>
      <c r="AA456" s="209">
        <v>0</v>
      </c>
      <c r="AB456" s="209">
        <v>0</v>
      </c>
      <c r="AC456" s="209">
        <v>0</v>
      </c>
      <c r="AD456" s="209">
        <v>0</v>
      </c>
      <c r="AE456" s="209">
        <v>0</v>
      </c>
      <c r="AF456" s="209">
        <v>0</v>
      </c>
      <c r="AG456" s="209">
        <v>0</v>
      </c>
      <c r="AH456" s="209">
        <v>0</v>
      </c>
      <c r="AI456" s="209">
        <v>0</v>
      </c>
      <c r="AJ456" s="209">
        <v>0</v>
      </c>
      <c r="AK456" s="209">
        <v>0</v>
      </c>
      <c r="AL456" s="209">
        <v>0</v>
      </c>
      <c r="AM456" s="209">
        <v>0</v>
      </c>
      <c r="AN456" s="209">
        <v>0</v>
      </c>
      <c r="AO456" s="209">
        <v>0</v>
      </c>
      <c r="AP456" s="209">
        <v>0</v>
      </c>
    </row>
    <row r="457" spans="1:42">
      <c r="A457" s="226"/>
      <c r="B457" s="237">
        <f t="shared" si="209"/>
        <v>42110338.172500014</v>
      </c>
      <c r="C457" s="208">
        <f>SUM(C450:C456)</f>
        <v>11100955.769621136</v>
      </c>
      <c r="D457" s="208">
        <f t="shared" ref="D457:AP457" si="210">SUM(D450:D456)</f>
        <v>11500695.192397518</v>
      </c>
      <c r="E457" s="208">
        <f t="shared" si="210"/>
        <v>6963653.4903022693</v>
      </c>
      <c r="F457" s="208">
        <f t="shared" si="210"/>
        <v>4239632.6881281193</v>
      </c>
      <c r="G457" s="208">
        <f t="shared" si="210"/>
        <v>4234694.2906063693</v>
      </c>
      <c r="H457" s="208">
        <f t="shared" si="210"/>
        <v>2191277.8450210695</v>
      </c>
      <c r="I457" s="208">
        <f t="shared" si="210"/>
        <v>150234.39564751924</v>
      </c>
      <c r="J457" s="208">
        <f t="shared" si="210"/>
        <v>150170.26061476924</v>
      </c>
      <c r="K457" s="208">
        <f t="shared" si="210"/>
        <v>150298.53068026924</v>
      </c>
      <c r="L457" s="208">
        <f t="shared" si="210"/>
        <v>150170.26061476924</v>
      </c>
      <c r="M457" s="208">
        <f t="shared" si="210"/>
        <v>150298.53068026924</v>
      </c>
      <c r="N457" s="208">
        <f t="shared" si="210"/>
        <v>150170.26061476924</v>
      </c>
      <c r="O457" s="208">
        <f t="shared" si="210"/>
        <v>150298.53068026924</v>
      </c>
      <c r="P457" s="208">
        <f t="shared" si="210"/>
        <v>150170.26061476924</v>
      </c>
      <c r="Q457" s="208">
        <f t="shared" si="210"/>
        <v>150298.53068026924</v>
      </c>
      <c r="R457" s="208">
        <f t="shared" si="210"/>
        <v>109893.46004776924</v>
      </c>
      <c r="S457" s="208">
        <f t="shared" si="210"/>
        <v>69616.659480769231</v>
      </c>
      <c r="T457" s="208">
        <f t="shared" si="210"/>
        <v>69616.659480769231</v>
      </c>
      <c r="U457" s="208">
        <f t="shared" si="210"/>
        <v>69616.659480769231</v>
      </c>
      <c r="V457" s="208">
        <f t="shared" si="210"/>
        <v>69616.659480769231</v>
      </c>
      <c r="W457" s="208">
        <f t="shared" si="210"/>
        <v>37549.143105769232</v>
      </c>
      <c r="X457" s="208">
        <f t="shared" si="210"/>
        <v>5481.6267307692306</v>
      </c>
      <c r="Y457" s="208">
        <f t="shared" si="210"/>
        <v>5481.6267307692306</v>
      </c>
      <c r="Z457" s="208">
        <f t="shared" si="210"/>
        <v>5481.6267307692306</v>
      </c>
      <c r="AA457" s="208">
        <f t="shared" si="210"/>
        <v>5481.6267307692306</v>
      </c>
      <c r="AB457" s="208">
        <f t="shared" si="210"/>
        <v>5481.6267307692306</v>
      </c>
      <c r="AC457" s="208">
        <f t="shared" si="210"/>
        <v>5481.6267307692306</v>
      </c>
      <c r="AD457" s="208">
        <f t="shared" si="210"/>
        <v>5481.6267307692306</v>
      </c>
      <c r="AE457" s="208">
        <f t="shared" si="210"/>
        <v>5481.6267307692306</v>
      </c>
      <c r="AF457" s="208">
        <f t="shared" si="210"/>
        <v>5481.6267307692306</v>
      </c>
      <c r="AG457" s="208">
        <f t="shared" si="210"/>
        <v>5481.6267307692306</v>
      </c>
      <c r="AH457" s="208">
        <f t="shared" si="210"/>
        <v>5481.6267307692306</v>
      </c>
      <c r="AI457" s="208">
        <f t="shared" si="210"/>
        <v>5481.6267307692306</v>
      </c>
      <c r="AJ457" s="208">
        <f t="shared" si="210"/>
        <v>5481.6267307692306</v>
      </c>
      <c r="AK457" s="208">
        <f t="shared" si="210"/>
        <v>5481.6267307692306</v>
      </c>
      <c r="AL457" s="208">
        <f t="shared" si="210"/>
        <v>5481.6267307692306</v>
      </c>
      <c r="AM457" s="208">
        <f t="shared" si="210"/>
        <v>5481.6267307692306</v>
      </c>
      <c r="AN457" s="208">
        <f t="shared" si="210"/>
        <v>5481.6267307692306</v>
      </c>
      <c r="AO457" s="208">
        <f t="shared" si="210"/>
        <v>5481.6267307692306</v>
      </c>
      <c r="AP457" s="208">
        <f t="shared" si="210"/>
        <v>2740.8133653846107</v>
      </c>
    </row>
    <row r="458" spans="1:42">
      <c r="A458" s="226"/>
      <c r="B458" s="208"/>
      <c r="C458" s="208"/>
      <c r="D458" s="208"/>
      <c r="E458" s="208"/>
      <c r="F458" s="208"/>
      <c r="G458" s="208"/>
      <c r="H458" s="208"/>
      <c r="I458" s="208"/>
      <c r="J458" s="208"/>
      <c r="K458" s="208"/>
      <c r="L458" s="208"/>
      <c r="M458" s="208"/>
      <c r="N458" s="208"/>
      <c r="O458" s="208"/>
      <c r="P458" s="208"/>
      <c r="Q458" s="208"/>
      <c r="R458" s="208"/>
      <c r="S458" s="208"/>
      <c r="T458" s="208"/>
      <c r="U458" s="208"/>
      <c r="V458" s="208"/>
      <c r="W458" s="208"/>
      <c r="X458" s="208"/>
      <c r="Y458" s="208"/>
      <c r="Z458" s="208"/>
      <c r="AA458" s="208"/>
      <c r="AB458" s="208"/>
      <c r="AC458" s="208"/>
      <c r="AD458" s="208"/>
      <c r="AE458" s="208"/>
      <c r="AF458" s="208"/>
      <c r="AG458" s="208"/>
      <c r="AH458" s="208"/>
      <c r="AI458" s="208"/>
      <c r="AJ458" s="208"/>
      <c r="AK458" s="208"/>
      <c r="AL458" s="208"/>
      <c r="AM458" s="208"/>
      <c r="AN458" s="208"/>
      <c r="AO458" s="208"/>
      <c r="AP458" s="208"/>
    </row>
    <row r="459" spans="1:42">
      <c r="A459" s="219" t="s">
        <v>216</v>
      </c>
      <c r="C459" s="208"/>
      <c r="D459" s="208"/>
      <c r="E459" s="208"/>
      <c r="F459" s="208"/>
      <c r="G459" s="208"/>
      <c r="H459" s="208"/>
      <c r="I459" s="208"/>
      <c r="J459" s="208"/>
      <c r="K459" s="208"/>
      <c r="L459" s="208"/>
      <c r="M459" s="208"/>
      <c r="N459" s="208"/>
      <c r="O459" s="208"/>
      <c r="P459" s="208"/>
      <c r="Q459" s="208"/>
      <c r="R459" s="208"/>
      <c r="S459" s="208"/>
      <c r="T459" s="208"/>
      <c r="U459" s="208"/>
      <c r="V459" s="208"/>
      <c r="W459" s="208"/>
      <c r="X459" s="208"/>
      <c r="Y459" s="208"/>
      <c r="Z459" s="208"/>
      <c r="AA459" s="208"/>
      <c r="AB459" s="208"/>
      <c r="AC459" s="208"/>
      <c r="AD459" s="208"/>
      <c r="AE459" s="208"/>
      <c r="AF459" s="208"/>
      <c r="AG459" s="208"/>
      <c r="AH459" s="208"/>
      <c r="AI459" s="208"/>
      <c r="AJ459" s="208"/>
      <c r="AK459" s="208"/>
      <c r="AL459" s="208"/>
      <c r="AM459" s="208"/>
      <c r="AN459" s="208"/>
      <c r="AO459" s="208"/>
      <c r="AP459" s="208"/>
    </row>
    <row r="460" spans="1:42">
      <c r="A460" s="226" t="s">
        <v>218</v>
      </c>
      <c r="B460" s="244" t="str">
        <f>MMFedTaxTreatment</f>
        <v>5-yr MACRS</v>
      </c>
      <c r="C460" s="208"/>
      <c r="D460" s="208"/>
      <c r="E460" s="208"/>
      <c r="F460" s="208"/>
      <c r="G460" s="208"/>
      <c r="H460" s="208"/>
      <c r="I460" s="208"/>
      <c r="J460" s="208"/>
      <c r="K460" s="208"/>
      <c r="L460" s="208"/>
      <c r="M460" s="208"/>
      <c r="N460" s="208"/>
      <c r="O460" s="208"/>
      <c r="P460" s="208"/>
      <c r="Q460" s="208"/>
      <c r="R460" s="208"/>
      <c r="S460" s="208"/>
      <c r="T460" s="208"/>
      <c r="U460" s="208"/>
      <c r="V460" s="208"/>
      <c r="W460" s="208"/>
      <c r="X460" s="208"/>
      <c r="Y460" s="208"/>
      <c r="Z460" s="208"/>
      <c r="AA460" s="208"/>
      <c r="AB460" s="208"/>
      <c r="AC460" s="208"/>
      <c r="AD460" s="208"/>
      <c r="AE460" s="208"/>
      <c r="AF460" s="208"/>
      <c r="AG460" s="208"/>
      <c r="AH460" s="208"/>
      <c r="AI460" s="208"/>
      <c r="AJ460" s="208"/>
      <c r="AK460" s="208"/>
      <c r="AL460" s="208"/>
      <c r="AM460" s="208"/>
      <c r="AN460" s="208"/>
      <c r="AO460" s="208"/>
      <c r="AP460" s="208"/>
    </row>
    <row r="461" spans="1:42">
      <c r="A461" s="226" t="s">
        <v>219</v>
      </c>
      <c r="B461" s="208">
        <f t="shared" ref="B461:AP461" si="211">B2</f>
        <v>0</v>
      </c>
      <c r="C461" s="208">
        <f t="shared" si="211"/>
        <v>1</v>
      </c>
      <c r="D461" s="208">
        <f t="shared" si="211"/>
        <v>2</v>
      </c>
      <c r="E461" s="208">
        <f t="shared" si="211"/>
        <v>3</v>
      </c>
      <c r="F461" s="208">
        <f t="shared" si="211"/>
        <v>4</v>
      </c>
      <c r="G461" s="208">
        <f t="shared" si="211"/>
        <v>5</v>
      </c>
      <c r="H461" s="208">
        <f t="shared" si="211"/>
        <v>6</v>
      </c>
      <c r="I461" s="208">
        <f t="shared" si="211"/>
        <v>7</v>
      </c>
      <c r="J461" s="208">
        <f t="shared" si="211"/>
        <v>8</v>
      </c>
      <c r="K461" s="208">
        <f t="shared" si="211"/>
        <v>9</v>
      </c>
      <c r="L461" s="208">
        <f t="shared" si="211"/>
        <v>10</v>
      </c>
      <c r="M461" s="208">
        <f t="shared" si="211"/>
        <v>11</v>
      </c>
      <c r="N461" s="208">
        <f t="shared" si="211"/>
        <v>12</v>
      </c>
      <c r="O461" s="208">
        <f t="shared" si="211"/>
        <v>13</v>
      </c>
      <c r="P461" s="208">
        <f t="shared" si="211"/>
        <v>14</v>
      </c>
      <c r="Q461" s="208">
        <f t="shared" si="211"/>
        <v>15</v>
      </c>
      <c r="R461" s="208">
        <f t="shared" si="211"/>
        <v>16</v>
      </c>
      <c r="S461" s="208">
        <f t="shared" si="211"/>
        <v>17</v>
      </c>
      <c r="T461" s="208">
        <f t="shared" si="211"/>
        <v>18</v>
      </c>
      <c r="U461" s="208">
        <f t="shared" si="211"/>
        <v>19</v>
      </c>
      <c r="V461" s="208">
        <f t="shared" si="211"/>
        <v>20</v>
      </c>
      <c r="W461" s="208">
        <f t="shared" si="211"/>
        <v>21</v>
      </c>
      <c r="X461" s="208">
        <f t="shared" si="211"/>
        <v>22</v>
      </c>
      <c r="Y461" s="208">
        <f t="shared" si="211"/>
        <v>23</v>
      </c>
      <c r="Z461" s="208">
        <f t="shared" si="211"/>
        <v>24</v>
      </c>
      <c r="AA461" s="208">
        <f t="shared" si="211"/>
        <v>25</v>
      </c>
      <c r="AB461" s="208">
        <f t="shared" si="211"/>
        <v>26</v>
      </c>
      <c r="AC461" s="208">
        <f t="shared" si="211"/>
        <v>27</v>
      </c>
      <c r="AD461" s="208">
        <f t="shared" si="211"/>
        <v>28</v>
      </c>
      <c r="AE461" s="208">
        <f t="shared" si="211"/>
        <v>29</v>
      </c>
      <c r="AF461" s="208">
        <f t="shared" si="211"/>
        <v>30</v>
      </c>
      <c r="AG461" s="208">
        <f t="shared" si="211"/>
        <v>31</v>
      </c>
      <c r="AH461" s="208">
        <f t="shared" si="211"/>
        <v>32</v>
      </c>
      <c r="AI461" s="208">
        <f t="shared" si="211"/>
        <v>33</v>
      </c>
      <c r="AJ461" s="208">
        <f t="shared" si="211"/>
        <v>34</v>
      </c>
      <c r="AK461" s="208">
        <f t="shared" si="211"/>
        <v>35</v>
      </c>
      <c r="AL461" s="208">
        <f t="shared" si="211"/>
        <v>36</v>
      </c>
      <c r="AM461" s="208">
        <f t="shared" si="211"/>
        <v>37</v>
      </c>
      <c r="AN461" s="208">
        <f t="shared" si="211"/>
        <v>38</v>
      </c>
      <c r="AO461" s="208">
        <f t="shared" si="211"/>
        <v>39</v>
      </c>
      <c r="AP461" s="208">
        <f t="shared" si="211"/>
        <v>40</v>
      </c>
    </row>
    <row r="462" spans="1:42">
      <c r="A462" s="226" t="s">
        <v>220</v>
      </c>
      <c r="B462" s="245">
        <v>0</v>
      </c>
      <c r="C462" s="240">
        <f t="shared" ref="C462:AP462" si="212">IF($B$460=$A443,C443,0)+IF($B$460=$A444,C444,0)+IF($B$460=$A445,C445,0)+IF($B$460=$A446,C446,0)+IF($B$460=$A447,C447,0)+IF($B$460=$A448,C448,0)</f>
        <v>0.2</v>
      </c>
      <c r="D462" s="240">
        <f t="shared" si="212"/>
        <v>0.32</v>
      </c>
      <c r="E462" s="240">
        <f t="shared" si="212"/>
        <v>0.192</v>
      </c>
      <c r="F462" s="240">
        <f t="shared" si="212"/>
        <v>0.1152</v>
      </c>
      <c r="G462" s="240">
        <f t="shared" si="212"/>
        <v>0.1152</v>
      </c>
      <c r="H462" s="240">
        <f t="shared" si="212"/>
        <v>5.7599999999999998E-2</v>
      </c>
      <c r="I462" s="240">
        <f t="shared" si="212"/>
        <v>0</v>
      </c>
      <c r="J462" s="240">
        <f t="shared" si="212"/>
        <v>0</v>
      </c>
      <c r="K462" s="240">
        <f t="shared" si="212"/>
        <v>0</v>
      </c>
      <c r="L462" s="240">
        <f t="shared" si="212"/>
        <v>0</v>
      </c>
      <c r="M462" s="240">
        <f t="shared" si="212"/>
        <v>0</v>
      </c>
      <c r="N462" s="240">
        <f t="shared" si="212"/>
        <v>0</v>
      </c>
      <c r="O462" s="240">
        <f t="shared" si="212"/>
        <v>0</v>
      </c>
      <c r="P462" s="240">
        <f t="shared" si="212"/>
        <v>0</v>
      </c>
      <c r="Q462" s="240">
        <f t="shared" si="212"/>
        <v>0</v>
      </c>
      <c r="R462" s="240">
        <f t="shared" si="212"/>
        <v>0</v>
      </c>
      <c r="S462" s="240">
        <f t="shared" si="212"/>
        <v>0</v>
      </c>
      <c r="T462" s="240">
        <f t="shared" si="212"/>
        <v>0</v>
      </c>
      <c r="U462" s="240">
        <f t="shared" si="212"/>
        <v>0</v>
      </c>
      <c r="V462" s="240">
        <f t="shared" si="212"/>
        <v>0</v>
      </c>
      <c r="W462" s="240">
        <f t="shared" si="212"/>
        <v>0</v>
      </c>
      <c r="X462" s="240">
        <f t="shared" si="212"/>
        <v>0</v>
      </c>
      <c r="Y462" s="240">
        <f t="shared" si="212"/>
        <v>0</v>
      </c>
      <c r="Z462" s="240">
        <f t="shared" si="212"/>
        <v>0</v>
      </c>
      <c r="AA462" s="240">
        <f t="shared" si="212"/>
        <v>0</v>
      </c>
      <c r="AB462" s="240">
        <f t="shared" si="212"/>
        <v>0</v>
      </c>
      <c r="AC462" s="240">
        <f t="shared" si="212"/>
        <v>0</v>
      </c>
      <c r="AD462" s="240">
        <f t="shared" si="212"/>
        <v>0</v>
      </c>
      <c r="AE462" s="240">
        <f t="shared" si="212"/>
        <v>0</v>
      </c>
      <c r="AF462" s="240">
        <f t="shared" si="212"/>
        <v>0</v>
      </c>
      <c r="AG462" s="240">
        <f t="shared" si="212"/>
        <v>0</v>
      </c>
      <c r="AH462" s="240">
        <f t="shared" si="212"/>
        <v>0</v>
      </c>
      <c r="AI462" s="240">
        <f t="shared" si="212"/>
        <v>0</v>
      </c>
      <c r="AJ462" s="240">
        <f t="shared" si="212"/>
        <v>0</v>
      </c>
      <c r="AK462" s="240">
        <f t="shared" si="212"/>
        <v>0</v>
      </c>
      <c r="AL462" s="240">
        <f t="shared" si="212"/>
        <v>0</v>
      </c>
      <c r="AM462" s="240">
        <f t="shared" si="212"/>
        <v>0</v>
      </c>
      <c r="AN462" s="240">
        <f t="shared" si="212"/>
        <v>0</v>
      </c>
      <c r="AO462" s="240">
        <f t="shared" si="212"/>
        <v>0</v>
      </c>
      <c r="AP462" s="240">
        <f t="shared" si="212"/>
        <v>0</v>
      </c>
    </row>
    <row r="463" spans="1:42">
      <c r="A463" s="219"/>
      <c r="C463" s="208"/>
      <c r="D463" s="208"/>
      <c r="E463" s="208"/>
      <c r="F463" s="208"/>
      <c r="G463" s="208"/>
      <c r="H463" s="208"/>
      <c r="I463" s="208"/>
      <c r="J463" s="208"/>
      <c r="K463" s="208"/>
      <c r="L463" s="208"/>
      <c r="M463" s="208"/>
      <c r="N463" s="208"/>
      <c r="O463" s="208"/>
      <c r="P463" s="208"/>
      <c r="Q463" s="208"/>
      <c r="R463" s="208"/>
      <c r="S463" s="208"/>
      <c r="T463" s="208"/>
      <c r="U463" s="208"/>
      <c r="V463" s="208"/>
      <c r="W463" s="208"/>
      <c r="X463" s="208"/>
      <c r="Y463" s="208"/>
      <c r="Z463" s="208"/>
      <c r="AA463" s="208"/>
      <c r="AB463" s="208"/>
      <c r="AC463" s="208"/>
      <c r="AD463" s="208"/>
      <c r="AE463" s="208"/>
      <c r="AF463" s="208"/>
      <c r="AG463" s="208"/>
      <c r="AH463" s="208"/>
      <c r="AI463" s="208"/>
      <c r="AJ463" s="208"/>
      <c r="AK463" s="208"/>
      <c r="AL463" s="208"/>
      <c r="AM463" s="208"/>
      <c r="AN463" s="208"/>
      <c r="AO463" s="208"/>
      <c r="AP463" s="208"/>
    </row>
    <row r="464" spans="1:42">
      <c r="A464" s="219" t="s">
        <v>383</v>
      </c>
      <c r="C464" s="208"/>
      <c r="D464" s="208"/>
      <c r="E464" s="208"/>
      <c r="F464" s="208"/>
      <c r="G464" s="208"/>
      <c r="H464" s="208"/>
      <c r="I464" s="208"/>
      <c r="J464" s="208"/>
      <c r="K464" s="208"/>
      <c r="L464" s="208"/>
      <c r="M464" s="208"/>
      <c r="N464" s="208"/>
      <c r="O464" s="208"/>
      <c r="P464" s="208"/>
      <c r="Q464" s="208"/>
      <c r="R464" s="208"/>
      <c r="S464" s="208"/>
      <c r="T464" s="208"/>
      <c r="U464" s="208"/>
      <c r="V464" s="208"/>
      <c r="W464" s="208"/>
      <c r="X464" s="208"/>
      <c r="Y464" s="208"/>
      <c r="Z464" s="208"/>
      <c r="AA464" s="208"/>
      <c r="AB464" s="208"/>
      <c r="AC464" s="208"/>
      <c r="AD464" s="208"/>
      <c r="AE464" s="208"/>
      <c r="AF464" s="208"/>
      <c r="AG464" s="208"/>
      <c r="AH464" s="208"/>
      <c r="AI464" s="208"/>
      <c r="AJ464" s="208"/>
      <c r="AK464" s="208"/>
      <c r="AL464" s="208"/>
      <c r="AM464" s="208"/>
      <c r="AN464" s="208"/>
      <c r="AO464" s="208"/>
      <c r="AP464" s="208"/>
    </row>
    <row r="465" spans="1:42">
      <c r="A465" s="226" t="s">
        <v>217</v>
      </c>
      <c r="C465" s="208"/>
      <c r="D465" s="208"/>
      <c r="E465" s="208"/>
      <c r="F465" s="208"/>
      <c r="G465" s="208"/>
      <c r="H465" s="208"/>
      <c r="I465" s="208"/>
      <c r="J465" s="208"/>
      <c r="K465" s="208"/>
      <c r="L465" s="208"/>
      <c r="M465" s="208"/>
      <c r="N465" s="208"/>
      <c r="O465" s="208"/>
      <c r="P465" s="208"/>
      <c r="Q465" s="208"/>
      <c r="R465" s="208"/>
      <c r="S465" s="208"/>
      <c r="T465" s="208"/>
      <c r="U465" s="208"/>
      <c r="V465" s="208"/>
      <c r="W465" s="208"/>
      <c r="X465" s="208"/>
      <c r="Y465" s="208"/>
      <c r="Z465" s="208"/>
      <c r="AA465" s="208"/>
      <c r="AB465" s="208"/>
      <c r="AC465" s="208"/>
      <c r="AD465" s="208"/>
      <c r="AE465" s="208"/>
      <c r="AF465" s="208"/>
      <c r="AG465" s="208"/>
      <c r="AH465" s="208"/>
      <c r="AI465" s="208"/>
      <c r="AJ465" s="208"/>
      <c r="AK465" s="208"/>
      <c r="AL465" s="208"/>
      <c r="AM465" s="208"/>
      <c r="AN465" s="208"/>
      <c r="AO465" s="208"/>
      <c r="AP465" s="208"/>
    </row>
    <row r="466" spans="1:42">
      <c r="A466" s="119">
        <v>1</v>
      </c>
      <c r="C466" s="208">
        <f>C332</f>
        <v>0</v>
      </c>
      <c r="D466" s="208">
        <f t="shared" ref="D466:AP472" si="213">D332</f>
        <v>0</v>
      </c>
      <c r="E466" s="208">
        <f t="shared" si="213"/>
        <v>0</v>
      </c>
      <c r="F466" s="208">
        <f t="shared" si="213"/>
        <v>0</v>
      </c>
      <c r="G466" s="208">
        <f t="shared" si="213"/>
        <v>0</v>
      </c>
      <c r="H466" s="208">
        <f t="shared" si="213"/>
        <v>0</v>
      </c>
      <c r="I466" s="208">
        <f t="shared" si="213"/>
        <v>0</v>
      </c>
      <c r="J466" s="208">
        <f t="shared" si="213"/>
        <v>0</v>
      </c>
      <c r="K466" s="208">
        <f t="shared" si="213"/>
        <v>0</v>
      </c>
      <c r="L466" s="208">
        <f t="shared" si="213"/>
        <v>0</v>
      </c>
      <c r="M466" s="208">
        <f t="shared" si="213"/>
        <v>0</v>
      </c>
      <c r="N466" s="208">
        <f t="shared" si="213"/>
        <v>1</v>
      </c>
      <c r="O466" s="208">
        <f t="shared" si="213"/>
        <v>2</v>
      </c>
      <c r="P466" s="208">
        <f t="shared" si="213"/>
        <v>3</v>
      </c>
      <c r="Q466" s="208">
        <f t="shared" si="213"/>
        <v>4</v>
      </c>
      <c r="R466" s="208">
        <f t="shared" si="213"/>
        <v>5</v>
      </c>
      <c r="S466" s="208">
        <f t="shared" si="213"/>
        <v>6</v>
      </c>
      <c r="T466" s="208">
        <f t="shared" si="213"/>
        <v>7</v>
      </c>
      <c r="U466" s="208">
        <f t="shared" si="213"/>
        <v>8</v>
      </c>
      <c r="V466" s="208">
        <f t="shared" si="213"/>
        <v>9</v>
      </c>
      <c r="W466" s="208">
        <f t="shared" si="213"/>
        <v>10</v>
      </c>
      <c r="X466" s="208">
        <f t="shared" si="213"/>
        <v>11</v>
      </c>
      <c r="Y466" s="208">
        <f t="shared" si="213"/>
        <v>12</v>
      </c>
      <c r="Z466" s="208">
        <f t="shared" si="213"/>
        <v>13</v>
      </c>
      <c r="AA466" s="208">
        <f t="shared" si="213"/>
        <v>14</v>
      </c>
      <c r="AB466" s="208">
        <f t="shared" si="213"/>
        <v>15</v>
      </c>
      <c r="AC466" s="208">
        <f t="shared" si="213"/>
        <v>16</v>
      </c>
      <c r="AD466" s="208">
        <f t="shared" si="213"/>
        <v>17</v>
      </c>
      <c r="AE466" s="208">
        <f t="shared" si="213"/>
        <v>18</v>
      </c>
      <c r="AF466" s="208">
        <f t="shared" si="213"/>
        <v>19</v>
      </c>
      <c r="AG466" s="208">
        <f t="shared" si="213"/>
        <v>0</v>
      </c>
      <c r="AH466" s="208">
        <f t="shared" si="213"/>
        <v>0</v>
      </c>
      <c r="AI466" s="208">
        <f t="shared" si="213"/>
        <v>0</v>
      </c>
      <c r="AJ466" s="208">
        <f t="shared" si="213"/>
        <v>0</v>
      </c>
      <c r="AK466" s="208">
        <f t="shared" si="213"/>
        <v>0</v>
      </c>
      <c r="AL466" s="208">
        <f t="shared" si="213"/>
        <v>0</v>
      </c>
      <c r="AM466" s="208">
        <f t="shared" si="213"/>
        <v>0</v>
      </c>
      <c r="AN466" s="208">
        <f t="shared" si="213"/>
        <v>0</v>
      </c>
      <c r="AO466" s="208">
        <f t="shared" si="213"/>
        <v>0</v>
      </c>
      <c r="AP466" s="208">
        <f t="shared" si="213"/>
        <v>0</v>
      </c>
    </row>
    <row r="467" spans="1:42">
      <c r="A467" s="119">
        <f>A466+1</f>
        <v>2</v>
      </c>
      <c r="C467" s="208">
        <f t="shared" ref="C467:R475" si="214">C333</f>
        <v>0</v>
      </c>
      <c r="D467" s="208">
        <f t="shared" si="213"/>
        <v>0</v>
      </c>
      <c r="E467" s="208">
        <f t="shared" si="213"/>
        <v>0</v>
      </c>
      <c r="F467" s="208">
        <f t="shared" si="213"/>
        <v>0</v>
      </c>
      <c r="G467" s="208">
        <f t="shared" si="213"/>
        <v>0</v>
      </c>
      <c r="H467" s="208">
        <f t="shared" si="213"/>
        <v>0</v>
      </c>
      <c r="I467" s="208">
        <f t="shared" si="213"/>
        <v>0</v>
      </c>
      <c r="J467" s="208">
        <f t="shared" si="213"/>
        <v>0</v>
      </c>
      <c r="K467" s="208">
        <f t="shared" si="213"/>
        <v>0</v>
      </c>
      <c r="L467" s="208">
        <f t="shared" si="213"/>
        <v>0</v>
      </c>
      <c r="M467" s="208">
        <f t="shared" si="213"/>
        <v>0</v>
      </c>
      <c r="N467" s="208">
        <f t="shared" si="213"/>
        <v>0</v>
      </c>
      <c r="O467" s="208">
        <f t="shared" si="213"/>
        <v>0</v>
      </c>
      <c r="P467" s="208">
        <f t="shared" si="213"/>
        <v>0</v>
      </c>
      <c r="Q467" s="208">
        <f t="shared" si="213"/>
        <v>0</v>
      </c>
      <c r="R467" s="208">
        <f t="shared" si="213"/>
        <v>0</v>
      </c>
      <c r="S467" s="208">
        <f t="shared" si="213"/>
        <v>0</v>
      </c>
      <c r="T467" s="208">
        <f t="shared" si="213"/>
        <v>0</v>
      </c>
      <c r="U467" s="208">
        <f t="shared" si="213"/>
        <v>0</v>
      </c>
      <c r="V467" s="208">
        <f t="shared" si="213"/>
        <v>0</v>
      </c>
      <c r="W467" s="208">
        <f t="shared" si="213"/>
        <v>0</v>
      </c>
      <c r="X467" s="208">
        <f t="shared" si="213"/>
        <v>0</v>
      </c>
      <c r="Y467" s="208">
        <f t="shared" si="213"/>
        <v>0</v>
      </c>
      <c r="Z467" s="208">
        <f t="shared" si="213"/>
        <v>1</v>
      </c>
      <c r="AA467" s="208">
        <f t="shared" si="213"/>
        <v>2</v>
      </c>
      <c r="AB467" s="208">
        <f t="shared" si="213"/>
        <v>3</v>
      </c>
      <c r="AC467" s="208">
        <f t="shared" si="213"/>
        <v>4</v>
      </c>
      <c r="AD467" s="208">
        <f t="shared" si="213"/>
        <v>5</v>
      </c>
      <c r="AE467" s="208">
        <f t="shared" si="213"/>
        <v>6</v>
      </c>
      <c r="AF467" s="208">
        <f t="shared" si="213"/>
        <v>7</v>
      </c>
      <c r="AG467" s="208">
        <f t="shared" si="213"/>
        <v>0</v>
      </c>
      <c r="AH467" s="208">
        <f t="shared" si="213"/>
        <v>0</v>
      </c>
      <c r="AI467" s="208">
        <f t="shared" si="213"/>
        <v>0</v>
      </c>
      <c r="AJ467" s="208">
        <f t="shared" si="213"/>
        <v>0</v>
      </c>
      <c r="AK467" s="208">
        <f t="shared" si="213"/>
        <v>0</v>
      </c>
      <c r="AL467" s="208">
        <f t="shared" si="213"/>
        <v>0</v>
      </c>
      <c r="AM467" s="208">
        <f t="shared" si="213"/>
        <v>0</v>
      </c>
      <c r="AN467" s="208">
        <f t="shared" si="213"/>
        <v>0</v>
      </c>
      <c r="AO467" s="208">
        <f t="shared" si="213"/>
        <v>0</v>
      </c>
      <c r="AP467" s="208">
        <f t="shared" si="213"/>
        <v>0</v>
      </c>
    </row>
    <row r="468" spans="1:42">
      <c r="A468" s="119">
        <f t="shared" ref="A468:A473" si="215">A467+1</f>
        <v>3</v>
      </c>
      <c r="C468" s="208">
        <f t="shared" si="214"/>
        <v>0</v>
      </c>
      <c r="D468" s="208">
        <f t="shared" si="213"/>
        <v>0</v>
      </c>
      <c r="E468" s="208">
        <f t="shared" si="213"/>
        <v>0</v>
      </c>
      <c r="F468" s="208">
        <f t="shared" si="213"/>
        <v>0</v>
      </c>
      <c r="G468" s="208">
        <f t="shared" si="213"/>
        <v>0</v>
      </c>
      <c r="H468" s="208">
        <f t="shared" si="213"/>
        <v>0</v>
      </c>
      <c r="I468" s="208">
        <f t="shared" si="213"/>
        <v>0</v>
      </c>
      <c r="J468" s="208">
        <f t="shared" si="213"/>
        <v>0</v>
      </c>
      <c r="K468" s="208">
        <f t="shared" si="213"/>
        <v>0</v>
      </c>
      <c r="L468" s="208">
        <f t="shared" si="213"/>
        <v>0</v>
      </c>
      <c r="M468" s="208">
        <f t="shared" si="213"/>
        <v>0</v>
      </c>
      <c r="N468" s="208">
        <f t="shared" si="213"/>
        <v>0</v>
      </c>
      <c r="O468" s="208">
        <f t="shared" si="213"/>
        <v>0</v>
      </c>
      <c r="P468" s="208">
        <f t="shared" si="213"/>
        <v>0</v>
      </c>
      <c r="Q468" s="208">
        <f t="shared" si="213"/>
        <v>0</v>
      </c>
      <c r="R468" s="208">
        <f t="shared" si="213"/>
        <v>0</v>
      </c>
      <c r="S468" s="208">
        <f t="shared" si="213"/>
        <v>0</v>
      </c>
      <c r="T468" s="208">
        <f t="shared" si="213"/>
        <v>0</v>
      </c>
      <c r="U468" s="208">
        <f t="shared" si="213"/>
        <v>0</v>
      </c>
      <c r="V468" s="208">
        <f t="shared" si="213"/>
        <v>0</v>
      </c>
      <c r="W468" s="208">
        <f t="shared" si="213"/>
        <v>0</v>
      </c>
      <c r="X468" s="208">
        <f t="shared" si="213"/>
        <v>0</v>
      </c>
      <c r="Y468" s="208">
        <f t="shared" si="213"/>
        <v>0</v>
      </c>
      <c r="Z468" s="208">
        <f t="shared" si="213"/>
        <v>0</v>
      </c>
      <c r="AA468" s="208">
        <f t="shared" si="213"/>
        <v>0</v>
      </c>
      <c r="AB468" s="208">
        <f t="shared" si="213"/>
        <v>0</v>
      </c>
      <c r="AC468" s="208">
        <f t="shared" si="213"/>
        <v>0</v>
      </c>
      <c r="AD468" s="208">
        <f t="shared" si="213"/>
        <v>0</v>
      </c>
      <c r="AE468" s="208">
        <f t="shared" si="213"/>
        <v>0</v>
      </c>
      <c r="AF468" s="208">
        <f t="shared" si="213"/>
        <v>0</v>
      </c>
      <c r="AG468" s="208">
        <f t="shared" si="213"/>
        <v>0</v>
      </c>
      <c r="AH468" s="208">
        <f t="shared" si="213"/>
        <v>0</v>
      </c>
      <c r="AI468" s="208">
        <f t="shared" si="213"/>
        <v>0</v>
      </c>
      <c r="AJ468" s="208">
        <f t="shared" si="213"/>
        <v>0</v>
      </c>
      <c r="AK468" s="208">
        <f t="shared" si="213"/>
        <v>0</v>
      </c>
      <c r="AL468" s="208">
        <f t="shared" si="213"/>
        <v>0</v>
      </c>
      <c r="AM468" s="208">
        <f t="shared" si="213"/>
        <v>0</v>
      </c>
      <c r="AN468" s="208">
        <f t="shared" si="213"/>
        <v>0</v>
      </c>
      <c r="AO468" s="208">
        <f t="shared" si="213"/>
        <v>0</v>
      </c>
      <c r="AP468" s="208">
        <f t="shared" si="213"/>
        <v>0</v>
      </c>
    </row>
    <row r="469" spans="1:42">
      <c r="A469" s="119">
        <f t="shared" si="215"/>
        <v>4</v>
      </c>
      <c r="C469" s="208">
        <f t="shared" si="214"/>
        <v>0</v>
      </c>
      <c r="D469" s="208">
        <f t="shared" si="213"/>
        <v>0</v>
      </c>
      <c r="E469" s="208">
        <f t="shared" si="213"/>
        <v>0</v>
      </c>
      <c r="F469" s="208">
        <f t="shared" si="213"/>
        <v>0</v>
      </c>
      <c r="G469" s="208">
        <f t="shared" si="213"/>
        <v>0</v>
      </c>
      <c r="H469" s="208">
        <f t="shared" si="213"/>
        <v>0</v>
      </c>
      <c r="I469" s="208">
        <f t="shared" si="213"/>
        <v>0</v>
      </c>
      <c r="J469" s="208">
        <f t="shared" si="213"/>
        <v>0</v>
      </c>
      <c r="K469" s="208">
        <f t="shared" si="213"/>
        <v>0</v>
      </c>
      <c r="L469" s="208">
        <f t="shared" si="213"/>
        <v>0</v>
      </c>
      <c r="M469" s="208">
        <f t="shared" si="213"/>
        <v>0</v>
      </c>
      <c r="N469" s="208">
        <f t="shared" si="213"/>
        <v>0</v>
      </c>
      <c r="O469" s="208">
        <f t="shared" si="213"/>
        <v>0</v>
      </c>
      <c r="P469" s="208">
        <f t="shared" si="213"/>
        <v>0</v>
      </c>
      <c r="Q469" s="208">
        <f t="shared" si="213"/>
        <v>0</v>
      </c>
      <c r="R469" s="208">
        <f t="shared" si="213"/>
        <v>0</v>
      </c>
      <c r="S469" s="208">
        <f t="shared" si="213"/>
        <v>0</v>
      </c>
      <c r="T469" s="208">
        <f t="shared" si="213"/>
        <v>0</v>
      </c>
      <c r="U469" s="208">
        <f t="shared" si="213"/>
        <v>0</v>
      </c>
      <c r="V469" s="208">
        <f t="shared" si="213"/>
        <v>0</v>
      </c>
      <c r="W469" s="208">
        <f t="shared" si="213"/>
        <v>0</v>
      </c>
      <c r="X469" s="208">
        <f t="shared" si="213"/>
        <v>0</v>
      </c>
      <c r="Y469" s="208">
        <f t="shared" si="213"/>
        <v>0</v>
      </c>
      <c r="Z469" s="208">
        <f t="shared" si="213"/>
        <v>0</v>
      </c>
      <c r="AA469" s="208">
        <f t="shared" si="213"/>
        <v>0</v>
      </c>
      <c r="AB469" s="208">
        <f t="shared" si="213"/>
        <v>0</v>
      </c>
      <c r="AC469" s="208">
        <f t="shared" si="213"/>
        <v>0</v>
      </c>
      <c r="AD469" s="208">
        <f t="shared" si="213"/>
        <v>0</v>
      </c>
      <c r="AE469" s="208">
        <f t="shared" si="213"/>
        <v>0</v>
      </c>
      <c r="AF469" s="208">
        <f t="shared" si="213"/>
        <v>0</v>
      </c>
      <c r="AG469" s="208">
        <f t="shared" si="213"/>
        <v>0</v>
      </c>
      <c r="AH469" s="208">
        <f t="shared" si="213"/>
        <v>0</v>
      </c>
      <c r="AI469" s="208">
        <f t="shared" si="213"/>
        <v>0</v>
      </c>
      <c r="AJ469" s="208">
        <f t="shared" si="213"/>
        <v>0</v>
      </c>
      <c r="AK469" s="208">
        <f t="shared" si="213"/>
        <v>0</v>
      </c>
      <c r="AL469" s="208">
        <f t="shared" si="213"/>
        <v>0</v>
      </c>
      <c r="AM469" s="208">
        <f t="shared" si="213"/>
        <v>0</v>
      </c>
      <c r="AN469" s="208">
        <f t="shared" si="213"/>
        <v>0</v>
      </c>
      <c r="AO469" s="208">
        <f t="shared" si="213"/>
        <v>0</v>
      </c>
      <c r="AP469" s="208">
        <f t="shared" si="213"/>
        <v>0</v>
      </c>
    </row>
    <row r="470" spans="1:42">
      <c r="A470" s="119">
        <f t="shared" si="215"/>
        <v>5</v>
      </c>
      <c r="C470" s="208">
        <f t="shared" si="214"/>
        <v>0</v>
      </c>
      <c r="D470" s="208">
        <f t="shared" si="213"/>
        <v>0</v>
      </c>
      <c r="E470" s="208">
        <f t="shared" si="213"/>
        <v>0</v>
      </c>
      <c r="F470" s="208">
        <f t="shared" si="213"/>
        <v>0</v>
      </c>
      <c r="G470" s="208">
        <f t="shared" si="213"/>
        <v>0</v>
      </c>
      <c r="H470" s="208">
        <f t="shared" si="213"/>
        <v>0</v>
      </c>
      <c r="I470" s="208">
        <f t="shared" si="213"/>
        <v>0</v>
      </c>
      <c r="J470" s="208">
        <f t="shared" si="213"/>
        <v>0</v>
      </c>
      <c r="K470" s="208">
        <f t="shared" si="213"/>
        <v>0</v>
      </c>
      <c r="L470" s="208">
        <f t="shared" si="213"/>
        <v>0</v>
      </c>
      <c r="M470" s="208">
        <f t="shared" si="213"/>
        <v>0</v>
      </c>
      <c r="N470" s="208">
        <f t="shared" si="213"/>
        <v>0</v>
      </c>
      <c r="O470" s="208">
        <f t="shared" si="213"/>
        <v>0</v>
      </c>
      <c r="P470" s="208">
        <f t="shared" si="213"/>
        <v>0</v>
      </c>
      <c r="Q470" s="208">
        <f t="shared" si="213"/>
        <v>0</v>
      </c>
      <c r="R470" s="208">
        <f t="shared" si="213"/>
        <v>0</v>
      </c>
      <c r="S470" s="208">
        <f t="shared" si="213"/>
        <v>0</v>
      </c>
      <c r="T470" s="208">
        <f t="shared" si="213"/>
        <v>0</v>
      </c>
      <c r="U470" s="208">
        <f t="shared" si="213"/>
        <v>0</v>
      </c>
      <c r="V470" s="208">
        <f t="shared" si="213"/>
        <v>0</v>
      </c>
      <c r="W470" s="208">
        <f t="shared" si="213"/>
        <v>0</v>
      </c>
      <c r="X470" s="208">
        <f t="shared" si="213"/>
        <v>0</v>
      </c>
      <c r="Y470" s="208">
        <f t="shared" si="213"/>
        <v>0</v>
      </c>
      <c r="Z470" s="208">
        <f t="shared" si="213"/>
        <v>0</v>
      </c>
      <c r="AA470" s="208">
        <f t="shared" si="213"/>
        <v>0</v>
      </c>
      <c r="AB470" s="208">
        <f t="shared" si="213"/>
        <v>0</v>
      </c>
      <c r="AC470" s="208">
        <f t="shared" si="213"/>
        <v>0</v>
      </c>
      <c r="AD470" s="208">
        <f t="shared" si="213"/>
        <v>0</v>
      </c>
      <c r="AE470" s="208">
        <f t="shared" si="213"/>
        <v>0</v>
      </c>
      <c r="AF470" s="208">
        <f t="shared" si="213"/>
        <v>0</v>
      </c>
      <c r="AG470" s="208">
        <f t="shared" si="213"/>
        <v>0</v>
      </c>
      <c r="AH470" s="208">
        <f t="shared" si="213"/>
        <v>0</v>
      </c>
      <c r="AI470" s="208">
        <f t="shared" si="213"/>
        <v>0</v>
      </c>
      <c r="AJ470" s="208">
        <f t="shared" si="213"/>
        <v>0</v>
      </c>
      <c r="AK470" s="208">
        <f t="shared" si="213"/>
        <v>0</v>
      </c>
      <c r="AL470" s="208">
        <f t="shared" si="213"/>
        <v>0</v>
      </c>
      <c r="AM470" s="208">
        <f t="shared" si="213"/>
        <v>0</v>
      </c>
      <c r="AN470" s="208">
        <f t="shared" si="213"/>
        <v>0</v>
      </c>
      <c r="AO470" s="208">
        <f t="shared" si="213"/>
        <v>0</v>
      </c>
      <c r="AP470" s="208">
        <f t="shared" si="213"/>
        <v>0</v>
      </c>
    </row>
    <row r="471" spans="1:42">
      <c r="A471" s="119">
        <f t="shared" si="215"/>
        <v>6</v>
      </c>
      <c r="C471" s="208">
        <f t="shared" si="214"/>
        <v>0</v>
      </c>
      <c r="D471" s="208">
        <f t="shared" si="213"/>
        <v>0</v>
      </c>
      <c r="E471" s="208">
        <f t="shared" si="213"/>
        <v>0</v>
      </c>
      <c r="F471" s="208">
        <f t="shared" si="213"/>
        <v>0</v>
      </c>
      <c r="G471" s="208">
        <f t="shared" si="213"/>
        <v>0</v>
      </c>
      <c r="H471" s="208">
        <f t="shared" si="213"/>
        <v>0</v>
      </c>
      <c r="I471" s="208">
        <f t="shared" si="213"/>
        <v>0</v>
      </c>
      <c r="J471" s="208">
        <f t="shared" si="213"/>
        <v>0</v>
      </c>
      <c r="K471" s="208">
        <f t="shared" si="213"/>
        <v>0</v>
      </c>
      <c r="L471" s="208">
        <f t="shared" si="213"/>
        <v>0</v>
      </c>
      <c r="M471" s="208">
        <f t="shared" si="213"/>
        <v>0</v>
      </c>
      <c r="N471" s="208">
        <f t="shared" si="213"/>
        <v>0</v>
      </c>
      <c r="O471" s="208">
        <f t="shared" si="213"/>
        <v>0</v>
      </c>
      <c r="P471" s="208">
        <f t="shared" si="213"/>
        <v>0</v>
      </c>
      <c r="Q471" s="208">
        <f t="shared" si="213"/>
        <v>0</v>
      </c>
      <c r="R471" s="208">
        <f t="shared" si="213"/>
        <v>0</v>
      </c>
      <c r="S471" s="208">
        <f t="shared" si="213"/>
        <v>0</v>
      </c>
      <c r="T471" s="208">
        <f t="shared" si="213"/>
        <v>0</v>
      </c>
      <c r="U471" s="208">
        <f t="shared" si="213"/>
        <v>0</v>
      </c>
      <c r="V471" s="208">
        <f t="shared" si="213"/>
        <v>0</v>
      </c>
      <c r="W471" s="208">
        <f t="shared" si="213"/>
        <v>0</v>
      </c>
      <c r="X471" s="208">
        <f t="shared" si="213"/>
        <v>0</v>
      </c>
      <c r="Y471" s="208">
        <f t="shared" si="213"/>
        <v>0</v>
      </c>
      <c r="Z471" s="208">
        <f t="shared" si="213"/>
        <v>0</v>
      </c>
      <c r="AA471" s="208">
        <f t="shared" si="213"/>
        <v>0</v>
      </c>
      <c r="AB471" s="208">
        <f t="shared" si="213"/>
        <v>0</v>
      </c>
      <c r="AC471" s="208">
        <f t="shared" si="213"/>
        <v>0</v>
      </c>
      <c r="AD471" s="208">
        <f t="shared" si="213"/>
        <v>0</v>
      </c>
      <c r="AE471" s="208">
        <f t="shared" si="213"/>
        <v>0</v>
      </c>
      <c r="AF471" s="208">
        <f t="shared" si="213"/>
        <v>0</v>
      </c>
      <c r="AG471" s="208">
        <f t="shared" si="213"/>
        <v>0</v>
      </c>
      <c r="AH471" s="208">
        <f t="shared" si="213"/>
        <v>0</v>
      </c>
      <c r="AI471" s="208">
        <f t="shared" si="213"/>
        <v>0</v>
      </c>
      <c r="AJ471" s="208">
        <f t="shared" si="213"/>
        <v>0</v>
      </c>
      <c r="AK471" s="208">
        <f t="shared" si="213"/>
        <v>0</v>
      </c>
      <c r="AL471" s="208">
        <f t="shared" si="213"/>
        <v>0</v>
      </c>
      <c r="AM471" s="208">
        <f t="shared" si="213"/>
        <v>0</v>
      </c>
      <c r="AN471" s="208">
        <f t="shared" si="213"/>
        <v>0</v>
      </c>
      <c r="AO471" s="208">
        <f t="shared" si="213"/>
        <v>0</v>
      </c>
      <c r="AP471" s="208">
        <f t="shared" si="213"/>
        <v>0</v>
      </c>
    </row>
    <row r="472" spans="1:42">
      <c r="A472" s="119">
        <f t="shared" si="215"/>
        <v>7</v>
      </c>
      <c r="C472" s="208">
        <f t="shared" si="214"/>
        <v>0</v>
      </c>
      <c r="D472" s="208">
        <f t="shared" si="213"/>
        <v>0</v>
      </c>
      <c r="E472" s="208">
        <f t="shared" si="213"/>
        <v>0</v>
      </c>
      <c r="F472" s="208">
        <f t="shared" si="213"/>
        <v>0</v>
      </c>
      <c r="G472" s="208">
        <f t="shared" si="213"/>
        <v>0</v>
      </c>
      <c r="H472" s="208">
        <f t="shared" si="213"/>
        <v>0</v>
      </c>
      <c r="I472" s="208">
        <f t="shared" si="213"/>
        <v>0</v>
      </c>
      <c r="J472" s="208">
        <f t="shared" si="213"/>
        <v>0</v>
      </c>
      <c r="K472" s="208">
        <f t="shared" si="213"/>
        <v>0</v>
      </c>
      <c r="L472" s="208">
        <f t="shared" si="213"/>
        <v>0</v>
      </c>
      <c r="M472" s="208">
        <f t="shared" si="213"/>
        <v>0</v>
      </c>
      <c r="N472" s="208">
        <f t="shared" si="213"/>
        <v>0</v>
      </c>
      <c r="O472" s="208">
        <f t="shared" si="213"/>
        <v>0</v>
      </c>
      <c r="P472" s="208">
        <f t="shared" si="213"/>
        <v>0</v>
      </c>
      <c r="Q472" s="208">
        <f t="shared" si="213"/>
        <v>0</v>
      </c>
      <c r="R472" s="208">
        <f t="shared" si="213"/>
        <v>0</v>
      </c>
      <c r="S472" s="208">
        <f t="shared" si="213"/>
        <v>0</v>
      </c>
      <c r="T472" s="208">
        <f t="shared" si="213"/>
        <v>0</v>
      </c>
      <c r="U472" s="208">
        <f t="shared" si="213"/>
        <v>0</v>
      </c>
      <c r="V472" s="208">
        <f t="shared" si="213"/>
        <v>0</v>
      </c>
      <c r="W472" s="208">
        <f t="shared" si="213"/>
        <v>0</v>
      </c>
      <c r="X472" s="208">
        <f t="shared" si="213"/>
        <v>0</v>
      </c>
      <c r="Y472" s="208">
        <f t="shared" ref="Y472:AP472" si="216">Y338</f>
        <v>0</v>
      </c>
      <c r="Z472" s="208">
        <f t="shared" si="216"/>
        <v>0</v>
      </c>
      <c r="AA472" s="208">
        <f t="shared" si="216"/>
        <v>0</v>
      </c>
      <c r="AB472" s="208">
        <f t="shared" si="216"/>
        <v>0</v>
      </c>
      <c r="AC472" s="208">
        <f t="shared" si="216"/>
        <v>0</v>
      </c>
      <c r="AD472" s="208">
        <f t="shared" si="216"/>
        <v>0</v>
      </c>
      <c r="AE472" s="208">
        <f t="shared" si="216"/>
        <v>0</v>
      </c>
      <c r="AF472" s="208">
        <f t="shared" si="216"/>
        <v>0</v>
      </c>
      <c r="AG472" s="208">
        <f t="shared" si="216"/>
        <v>0</v>
      </c>
      <c r="AH472" s="208">
        <f t="shared" si="216"/>
        <v>0</v>
      </c>
      <c r="AI472" s="208">
        <f t="shared" si="216"/>
        <v>0</v>
      </c>
      <c r="AJ472" s="208">
        <f t="shared" si="216"/>
        <v>0</v>
      </c>
      <c r="AK472" s="208">
        <f t="shared" si="216"/>
        <v>0</v>
      </c>
      <c r="AL472" s="208">
        <f t="shared" si="216"/>
        <v>0</v>
      </c>
      <c r="AM472" s="208">
        <f t="shared" si="216"/>
        <v>0</v>
      </c>
      <c r="AN472" s="208">
        <f t="shared" si="216"/>
        <v>0</v>
      </c>
      <c r="AO472" s="208">
        <f t="shared" si="216"/>
        <v>0</v>
      </c>
      <c r="AP472" s="208">
        <f t="shared" si="216"/>
        <v>0</v>
      </c>
    </row>
    <row r="473" spans="1:42">
      <c r="A473" s="119">
        <f t="shared" si="215"/>
        <v>8</v>
      </c>
      <c r="C473" s="208">
        <f t="shared" si="214"/>
        <v>0</v>
      </c>
      <c r="D473" s="208">
        <f t="shared" si="214"/>
        <v>0</v>
      </c>
      <c r="E473" s="208">
        <f t="shared" si="214"/>
        <v>0</v>
      </c>
      <c r="F473" s="208">
        <f t="shared" si="214"/>
        <v>0</v>
      </c>
      <c r="G473" s="208">
        <f t="shared" si="214"/>
        <v>0</v>
      </c>
      <c r="H473" s="208">
        <f t="shared" si="214"/>
        <v>0</v>
      </c>
      <c r="I473" s="208">
        <f t="shared" si="214"/>
        <v>0</v>
      </c>
      <c r="J473" s="208">
        <f t="shared" si="214"/>
        <v>0</v>
      </c>
      <c r="K473" s="208">
        <f t="shared" si="214"/>
        <v>0</v>
      </c>
      <c r="L473" s="208">
        <f t="shared" si="214"/>
        <v>0</v>
      </c>
      <c r="M473" s="208">
        <f t="shared" si="214"/>
        <v>0</v>
      </c>
      <c r="N473" s="208">
        <f t="shared" si="214"/>
        <v>0</v>
      </c>
      <c r="O473" s="208">
        <f t="shared" si="214"/>
        <v>0</v>
      </c>
      <c r="P473" s="208">
        <f t="shared" si="214"/>
        <v>0</v>
      </c>
      <c r="Q473" s="208">
        <f t="shared" si="214"/>
        <v>0</v>
      </c>
      <c r="R473" s="208">
        <f t="shared" si="214"/>
        <v>0</v>
      </c>
      <c r="S473" s="208">
        <f t="shared" ref="S473:AP475" si="217">S339</f>
        <v>0</v>
      </c>
      <c r="T473" s="208">
        <f t="shared" si="217"/>
        <v>0</v>
      </c>
      <c r="U473" s="208">
        <f t="shared" si="217"/>
        <v>0</v>
      </c>
      <c r="V473" s="208">
        <f t="shared" si="217"/>
        <v>0</v>
      </c>
      <c r="W473" s="208">
        <f t="shared" si="217"/>
        <v>0</v>
      </c>
      <c r="X473" s="208">
        <f t="shared" si="217"/>
        <v>0</v>
      </c>
      <c r="Y473" s="208">
        <f t="shared" si="217"/>
        <v>0</v>
      </c>
      <c r="Z473" s="208">
        <f t="shared" si="217"/>
        <v>0</v>
      </c>
      <c r="AA473" s="208">
        <f t="shared" si="217"/>
        <v>0</v>
      </c>
      <c r="AB473" s="208">
        <f t="shared" si="217"/>
        <v>0</v>
      </c>
      <c r="AC473" s="208">
        <f t="shared" si="217"/>
        <v>0</v>
      </c>
      <c r="AD473" s="208">
        <f t="shared" si="217"/>
        <v>0</v>
      </c>
      <c r="AE473" s="208">
        <f t="shared" si="217"/>
        <v>0</v>
      </c>
      <c r="AF473" s="208">
        <f t="shared" si="217"/>
        <v>0</v>
      </c>
      <c r="AG473" s="208">
        <f t="shared" si="217"/>
        <v>0</v>
      </c>
      <c r="AH473" s="208">
        <f t="shared" si="217"/>
        <v>0</v>
      </c>
      <c r="AI473" s="208">
        <f t="shared" si="217"/>
        <v>0</v>
      </c>
      <c r="AJ473" s="208">
        <f t="shared" si="217"/>
        <v>0</v>
      </c>
      <c r="AK473" s="208">
        <f t="shared" si="217"/>
        <v>0</v>
      </c>
      <c r="AL473" s="208">
        <f t="shared" si="217"/>
        <v>0</v>
      </c>
      <c r="AM473" s="208">
        <f t="shared" si="217"/>
        <v>0</v>
      </c>
      <c r="AN473" s="208">
        <f t="shared" si="217"/>
        <v>0</v>
      </c>
      <c r="AO473" s="208">
        <f t="shared" si="217"/>
        <v>0</v>
      </c>
      <c r="AP473" s="208">
        <f t="shared" si="217"/>
        <v>0</v>
      </c>
    </row>
    <row r="474" spans="1:42">
      <c r="A474" s="119">
        <f>A473+1</f>
        <v>9</v>
      </c>
      <c r="C474" s="208">
        <f t="shared" si="214"/>
        <v>0</v>
      </c>
      <c r="D474" s="208">
        <f t="shared" si="214"/>
        <v>0</v>
      </c>
      <c r="E474" s="208">
        <f t="shared" si="214"/>
        <v>0</v>
      </c>
      <c r="F474" s="208">
        <f t="shared" si="214"/>
        <v>0</v>
      </c>
      <c r="G474" s="208">
        <f t="shared" si="214"/>
        <v>0</v>
      </c>
      <c r="H474" s="208">
        <f t="shared" si="214"/>
        <v>0</v>
      </c>
      <c r="I474" s="208">
        <f t="shared" si="214"/>
        <v>0</v>
      </c>
      <c r="J474" s="208">
        <f t="shared" si="214"/>
        <v>0</v>
      </c>
      <c r="K474" s="208">
        <f t="shared" si="214"/>
        <v>0</v>
      </c>
      <c r="L474" s="208">
        <f t="shared" si="214"/>
        <v>0</v>
      </c>
      <c r="M474" s="208">
        <f t="shared" si="214"/>
        <v>0</v>
      </c>
      <c r="N474" s="208">
        <f t="shared" si="214"/>
        <v>0</v>
      </c>
      <c r="O474" s="208">
        <f t="shared" si="214"/>
        <v>0</v>
      </c>
      <c r="P474" s="208">
        <f t="shared" si="214"/>
        <v>0</v>
      </c>
      <c r="Q474" s="208">
        <f t="shared" si="214"/>
        <v>0</v>
      </c>
      <c r="R474" s="208">
        <f t="shared" si="214"/>
        <v>0</v>
      </c>
      <c r="S474" s="208">
        <f t="shared" si="217"/>
        <v>0</v>
      </c>
      <c r="T474" s="208">
        <f t="shared" si="217"/>
        <v>0</v>
      </c>
      <c r="U474" s="208">
        <f t="shared" si="217"/>
        <v>0</v>
      </c>
      <c r="V474" s="208">
        <f t="shared" si="217"/>
        <v>0</v>
      </c>
      <c r="W474" s="208">
        <f t="shared" si="217"/>
        <v>0</v>
      </c>
      <c r="X474" s="208">
        <f t="shared" si="217"/>
        <v>0</v>
      </c>
      <c r="Y474" s="208">
        <f t="shared" si="217"/>
        <v>0</v>
      </c>
      <c r="Z474" s="208">
        <f t="shared" si="217"/>
        <v>0</v>
      </c>
      <c r="AA474" s="208">
        <f t="shared" si="217"/>
        <v>0</v>
      </c>
      <c r="AB474" s="208">
        <f t="shared" si="217"/>
        <v>0</v>
      </c>
      <c r="AC474" s="208">
        <f t="shared" si="217"/>
        <v>0</v>
      </c>
      <c r="AD474" s="208">
        <f t="shared" si="217"/>
        <v>0</v>
      </c>
      <c r="AE474" s="208">
        <f t="shared" si="217"/>
        <v>0</v>
      </c>
      <c r="AF474" s="208">
        <f t="shared" si="217"/>
        <v>0</v>
      </c>
      <c r="AG474" s="208">
        <f t="shared" si="217"/>
        <v>0</v>
      </c>
      <c r="AH474" s="208">
        <f t="shared" si="217"/>
        <v>0</v>
      </c>
      <c r="AI474" s="208">
        <f t="shared" si="217"/>
        <v>0</v>
      </c>
      <c r="AJ474" s="208">
        <f t="shared" si="217"/>
        <v>0</v>
      </c>
      <c r="AK474" s="208">
        <f t="shared" si="217"/>
        <v>0</v>
      </c>
      <c r="AL474" s="208">
        <f t="shared" si="217"/>
        <v>0</v>
      </c>
      <c r="AM474" s="208">
        <f t="shared" si="217"/>
        <v>0</v>
      </c>
      <c r="AN474" s="208">
        <f t="shared" si="217"/>
        <v>0</v>
      </c>
      <c r="AO474" s="208">
        <f t="shared" si="217"/>
        <v>0</v>
      </c>
      <c r="AP474" s="208">
        <f t="shared" si="217"/>
        <v>0</v>
      </c>
    </row>
    <row r="475" spans="1:42">
      <c r="A475" s="119">
        <f t="shared" ref="A475" si="218">A474+1</f>
        <v>10</v>
      </c>
      <c r="C475" s="208">
        <f t="shared" si="214"/>
        <v>0</v>
      </c>
      <c r="D475" s="208">
        <f t="shared" si="214"/>
        <v>0</v>
      </c>
      <c r="E475" s="208">
        <f t="shared" si="214"/>
        <v>0</v>
      </c>
      <c r="F475" s="208">
        <f t="shared" si="214"/>
        <v>0</v>
      </c>
      <c r="G475" s="208">
        <f t="shared" si="214"/>
        <v>0</v>
      </c>
      <c r="H475" s="208">
        <f t="shared" si="214"/>
        <v>0</v>
      </c>
      <c r="I475" s="208">
        <f t="shared" si="214"/>
        <v>0</v>
      </c>
      <c r="J475" s="208">
        <f t="shared" si="214"/>
        <v>0</v>
      </c>
      <c r="K475" s="208">
        <f t="shared" si="214"/>
        <v>0</v>
      </c>
      <c r="L475" s="208">
        <f t="shared" si="214"/>
        <v>0</v>
      </c>
      <c r="M475" s="208">
        <f t="shared" si="214"/>
        <v>0</v>
      </c>
      <c r="N475" s="208">
        <f t="shared" si="214"/>
        <v>0</v>
      </c>
      <c r="O475" s="208">
        <f t="shared" si="214"/>
        <v>0</v>
      </c>
      <c r="P475" s="208">
        <f t="shared" si="214"/>
        <v>0</v>
      </c>
      <c r="Q475" s="208">
        <f t="shared" si="214"/>
        <v>0</v>
      </c>
      <c r="R475" s="208">
        <f t="shared" si="214"/>
        <v>0</v>
      </c>
      <c r="S475" s="208">
        <f t="shared" si="217"/>
        <v>0</v>
      </c>
      <c r="T475" s="208">
        <f t="shared" si="217"/>
        <v>0</v>
      </c>
      <c r="U475" s="208">
        <f t="shared" si="217"/>
        <v>0</v>
      </c>
      <c r="V475" s="208">
        <f t="shared" si="217"/>
        <v>0</v>
      </c>
      <c r="W475" s="208">
        <f t="shared" si="217"/>
        <v>0</v>
      </c>
      <c r="X475" s="208">
        <f t="shared" si="217"/>
        <v>0</v>
      </c>
      <c r="Y475" s="208">
        <f t="shared" si="217"/>
        <v>0</v>
      </c>
      <c r="Z475" s="208">
        <f t="shared" si="217"/>
        <v>0</v>
      </c>
      <c r="AA475" s="208">
        <f t="shared" si="217"/>
        <v>0</v>
      </c>
      <c r="AB475" s="208">
        <f t="shared" si="217"/>
        <v>0</v>
      </c>
      <c r="AC475" s="208">
        <f t="shared" si="217"/>
        <v>0</v>
      </c>
      <c r="AD475" s="208">
        <f t="shared" si="217"/>
        <v>0</v>
      </c>
      <c r="AE475" s="208">
        <f t="shared" si="217"/>
        <v>0</v>
      </c>
      <c r="AF475" s="208">
        <f t="shared" si="217"/>
        <v>0</v>
      </c>
      <c r="AG475" s="208">
        <f t="shared" si="217"/>
        <v>0</v>
      </c>
      <c r="AH475" s="208">
        <f t="shared" si="217"/>
        <v>0</v>
      </c>
      <c r="AI475" s="208">
        <f t="shared" si="217"/>
        <v>0</v>
      </c>
      <c r="AJ475" s="208">
        <f t="shared" si="217"/>
        <v>0</v>
      </c>
      <c r="AK475" s="208">
        <f t="shared" si="217"/>
        <v>0</v>
      </c>
      <c r="AL475" s="208">
        <f t="shared" si="217"/>
        <v>0</v>
      </c>
      <c r="AM475" s="208">
        <f t="shared" si="217"/>
        <v>0</v>
      </c>
      <c r="AN475" s="208">
        <f t="shared" si="217"/>
        <v>0</v>
      </c>
      <c r="AO475" s="208">
        <f t="shared" si="217"/>
        <v>0</v>
      </c>
      <c r="AP475" s="208">
        <f t="shared" si="217"/>
        <v>0</v>
      </c>
    </row>
    <row r="476" spans="1:42">
      <c r="A476" s="226"/>
      <c r="C476" s="208"/>
      <c r="D476" s="208"/>
      <c r="E476" s="208"/>
      <c r="F476" s="208"/>
      <c r="G476" s="208"/>
      <c r="H476" s="208"/>
      <c r="I476" s="208"/>
      <c r="J476" s="208"/>
      <c r="K476" s="208"/>
      <c r="L476" s="208"/>
      <c r="M476" s="208"/>
      <c r="N476" s="208"/>
      <c r="O476" s="208"/>
      <c r="P476" s="208"/>
      <c r="Q476" s="208"/>
      <c r="R476" s="208"/>
      <c r="S476" s="208"/>
      <c r="T476" s="208"/>
      <c r="U476" s="208"/>
      <c r="V476" s="208"/>
      <c r="W476" s="208"/>
      <c r="X476" s="208"/>
      <c r="Y476" s="208"/>
      <c r="Z476" s="208"/>
      <c r="AA476" s="208"/>
      <c r="AB476" s="208"/>
      <c r="AC476" s="208"/>
      <c r="AD476" s="208"/>
      <c r="AE476" s="208"/>
      <c r="AF476" s="208"/>
      <c r="AG476" s="208"/>
      <c r="AH476" s="208"/>
      <c r="AI476" s="208"/>
      <c r="AJ476" s="208"/>
      <c r="AK476" s="208"/>
      <c r="AL476" s="208"/>
      <c r="AM476" s="208"/>
      <c r="AN476" s="208"/>
      <c r="AO476" s="208"/>
      <c r="AP476" s="208"/>
    </row>
    <row r="477" spans="1:42">
      <c r="A477" s="226" t="s">
        <v>221</v>
      </c>
      <c r="C477" s="208"/>
      <c r="D477" s="208"/>
      <c r="E477" s="208"/>
      <c r="F477" s="208"/>
      <c r="G477" s="208"/>
      <c r="H477" s="208"/>
      <c r="I477" s="208"/>
      <c r="J477" s="208"/>
      <c r="K477" s="208"/>
      <c r="L477" s="208"/>
      <c r="M477" s="208"/>
      <c r="N477" s="208"/>
      <c r="O477" s="208"/>
      <c r="P477" s="208"/>
      <c r="Q477" s="208"/>
      <c r="R477" s="208"/>
      <c r="S477" s="208"/>
      <c r="T477" s="208"/>
      <c r="U477" s="208"/>
      <c r="V477" s="208"/>
      <c r="W477" s="208"/>
      <c r="X477" s="208"/>
      <c r="Y477" s="208"/>
      <c r="Z477" s="208"/>
      <c r="AA477" s="208"/>
      <c r="AB477" s="208"/>
      <c r="AC477" s="208"/>
      <c r="AD477" s="208"/>
      <c r="AE477" s="208"/>
      <c r="AF477" s="208"/>
      <c r="AG477" s="208"/>
      <c r="AH477" s="208"/>
      <c r="AI477" s="208"/>
      <c r="AJ477" s="208"/>
      <c r="AK477" s="208"/>
      <c r="AL477" s="208"/>
      <c r="AM477" s="208"/>
      <c r="AN477" s="208"/>
      <c r="AO477" s="208"/>
      <c r="AP477" s="208"/>
    </row>
    <row r="478" spans="1:42">
      <c r="A478" s="119">
        <v>1</v>
      </c>
      <c r="B478" s="218">
        <f t="shared" ref="B478:B487" si="219">SUM(C478:AP478)</f>
        <v>2944872.3435013141</v>
      </c>
      <c r="C478" s="250">
        <f t="shared" ref="C478:AP478" si="220">LOOKUP(C466,$B$461:$AP$461,$B$462:$AP$462)*$B681</f>
        <v>0</v>
      </c>
      <c r="D478" s="208">
        <f t="shared" si="220"/>
        <v>0</v>
      </c>
      <c r="E478" s="208">
        <f t="shared" si="220"/>
        <v>0</v>
      </c>
      <c r="F478" s="208">
        <f t="shared" si="220"/>
        <v>0</v>
      </c>
      <c r="G478" s="208">
        <f t="shared" si="220"/>
        <v>0</v>
      </c>
      <c r="H478" s="208">
        <f t="shared" si="220"/>
        <v>0</v>
      </c>
      <c r="I478" s="208">
        <f t="shared" si="220"/>
        <v>0</v>
      </c>
      <c r="J478" s="208">
        <f t="shared" si="220"/>
        <v>0</v>
      </c>
      <c r="K478" s="208">
        <f t="shared" si="220"/>
        <v>0</v>
      </c>
      <c r="L478" s="208">
        <f t="shared" si="220"/>
        <v>0</v>
      </c>
      <c r="M478" s="208">
        <f t="shared" si="220"/>
        <v>0</v>
      </c>
      <c r="N478" s="208">
        <f t="shared" si="220"/>
        <v>588974.46870026283</v>
      </c>
      <c r="O478" s="208">
        <f t="shared" si="220"/>
        <v>942359.14992042049</v>
      </c>
      <c r="P478" s="208">
        <f t="shared" si="220"/>
        <v>565415.48995225236</v>
      </c>
      <c r="Q478" s="208">
        <f t="shared" si="220"/>
        <v>339249.29397135135</v>
      </c>
      <c r="R478" s="208">
        <f t="shared" si="220"/>
        <v>339249.29397135135</v>
      </c>
      <c r="S478" s="208">
        <f t="shared" si="220"/>
        <v>169624.64698567567</v>
      </c>
      <c r="T478" s="208">
        <f t="shared" si="220"/>
        <v>0</v>
      </c>
      <c r="U478" s="208">
        <f t="shared" si="220"/>
        <v>0</v>
      </c>
      <c r="V478" s="208">
        <f t="shared" si="220"/>
        <v>0</v>
      </c>
      <c r="W478" s="208">
        <f t="shared" si="220"/>
        <v>0</v>
      </c>
      <c r="X478" s="208">
        <f t="shared" si="220"/>
        <v>0</v>
      </c>
      <c r="Y478" s="208">
        <f t="shared" si="220"/>
        <v>0</v>
      </c>
      <c r="Z478" s="208">
        <f t="shared" si="220"/>
        <v>0</v>
      </c>
      <c r="AA478" s="208">
        <f t="shared" si="220"/>
        <v>0</v>
      </c>
      <c r="AB478" s="208">
        <f t="shared" si="220"/>
        <v>0</v>
      </c>
      <c r="AC478" s="208">
        <f t="shared" si="220"/>
        <v>0</v>
      </c>
      <c r="AD478" s="208">
        <f t="shared" si="220"/>
        <v>0</v>
      </c>
      <c r="AE478" s="208">
        <f t="shared" si="220"/>
        <v>0</v>
      </c>
      <c r="AF478" s="208">
        <f t="shared" si="220"/>
        <v>0</v>
      </c>
      <c r="AG478" s="208">
        <f t="shared" si="220"/>
        <v>0</v>
      </c>
      <c r="AH478" s="208">
        <f t="shared" si="220"/>
        <v>0</v>
      </c>
      <c r="AI478" s="208">
        <f t="shared" si="220"/>
        <v>0</v>
      </c>
      <c r="AJ478" s="208">
        <f t="shared" si="220"/>
        <v>0</v>
      </c>
      <c r="AK478" s="208">
        <f t="shared" si="220"/>
        <v>0</v>
      </c>
      <c r="AL478" s="208">
        <f t="shared" si="220"/>
        <v>0</v>
      </c>
      <c r="AM478" s="208">
        <f t="shared" si="220"/>
        <v>0</v>
      </c>
      <c r="AN478" s="208">
        <f t="shared" si="220"/>
        <v>0</v>
      </c>
      <c r="AO478" s="208">
        <f t="shared" si="220"/>
        <v>0</v>
      </c>
      <c r="AP478" s="208">
        <f t="shared" si="220"/>
        <v>0</v>
      </c>
    </row>
    <row r="479" spans="1:42">
      <c r="A479" s="119">
        <f>A478+1</f>
        <v>2</v>
      </c>
      <c r="B479" s="218">
        <f t="shared" si="219"/>
        <v>3520942.886524681</v>
      </c>
      <c r="C479" s="250">
        <f t="shared" ref="C479:AP479" si="221">LOOKUP(C467,$B$461:$AP$461,$B$462:$AP$462)*$B682</f>
        <v>0</v>
      </c>
      <c r="D479" s="208">
        <f t="shared" si="221"/>
        <v>0</v>
      </c>
      <c r="E479" s="208">
        <f t="shared" si="221"/>
        <v>0</v>
      </c>
      <c r="F479" s="208">
        <f t="shared" si="221"/>
        <v>0</v>
      </c>
      <c r="G479" s="208">
        <f t="shared" si="221"/>
        <v>0</v>
      </c>
      <c r="H479" s="208">
        <f t="shared" si="221"/>
        <v>0</v>
      </c>
      <c r="I479" s="208">
        <f t="shared" si="221"/>
        <v>0</v>
      </c>
      <c r="J479" s="208">
        <f t="shared" si="221"/>
        <v>0</v>
      </c>
      <c r="K479" s="208">
        <f t="shared" si="221"/>
        <v>0</v>
      </c>
      <c r="L479" s="208">
        <f t="shared" si="221"/>
        <v>0</v>
      </c>
      <c r="M479" s="208">
        <f t="shared" si="221"/>
        <v>0</v>
      </c>
      <c r="N479" s="208">
        <f t="shared" si="221"/>
        <v>0</v>
      </c>
      <c r="O479" s="208">
        <f t="shared" si="221"/>
        <v>0</v>
      </c>
      <c r="P479" s="208">
        <f t="shared" si="221"/>
        <v>0</v>
      </c>
      <c r="Q479" s="208">
        <f t="shared" si="221"/>
        <v>0</v>
      </c>
      <c r="R479" s="208">
        <f t="shared" si="221"/>
        <v>0</v>
      </c>
      <c r="S479" s="208">
        <f t="shared" si="221"/>
        <v>0</v>
      </c>
      <c r="T479" s="208">
        <f t="shared" si="221"/>
        <v>0</v>
      </c>
      <c r="U479" s="208">
        <f t="shared" si="221"/>
        <v>0</v>
      </c>
      <c r="V479" s="208">
        <f t="shared" si="221"/>
        <v>0</v>
      </c>
      <c r="W479" s="208">
        <f t="shared" si="221"/>
        <v>0</v>
      </c>
      <c r="X479" s="208">
        <f t="shared" si="221"/>
        <v>0</v>
      </c>
      <c r="Y479" s="208">
        <f t="shared" si="221"/>
        <v>0</v>
      </c>
      <c r="Z479" s="208">
        <f t="shared" si="221"/>
        <v>704188.57730493625</v>
      </c>
      <c r="AA479" s="208">
        <f t="shared" si="221"/>
        <v>1126701.7236878979</v>
      </c>
      <c r="AB479" s="208">
        <f t="shared" si="221"/>
        <v>676021.03421273874</v>
      </c>
      <c r="AC479" s="208">
        <f t="shared" si="221"/>
        <v>405612.62052764324</v>
      </c>
      <c r="AD479" s="208">
        <f t="shared" si="221"/>
        <v>405612.62052764324</v>
      </c>
      <c r="AE479" s="208">
        <f t="shared" si="221"/>
        <v>202806.31026382162</v>
      </c>
      <c r="AF479" s="208">
        <f t="shared" si="221"/>
        <v>0</v>
      </c>
      <c r="AG479" s="208">
        <f t="shared" si="221"/>
        <v>0</v>
      </c>
      <c r="AH479" s="208">
        <f t="shared" si="221"/>
        <v>0</v>
      </c>
      <c r="AI479" s="208">
        <f t="shared" si="221"/>
        <v>0</v>
      </c>
      <c r="AJ479" s="208">
        <f t="shared" si="221"/>
        <v>0</v>
      </c>
      <c r="AK479" s="208">
        <f t="shared" si="221"/>
        <v>0</v>
      </c>
      <c r="AL479" s="208">
        <f t="shared" si="221"/>
        <v>0</v>
      </c>
      <c r="AM479" s="208">
        <f t="shared" si="221"/>
        <v>0</v>
      </c>
      <c r="AN479" s="208">
        <f t="shared" si="221"/>
        <v>0</v>
      </c>
      <c r="AO479" s="208">
        <f t="shared" si="221"/>
        <v>0</v>
      </c>
      <c r="AP479" s="208">
        <f t="shared" si="221"/>
        <v>0</v>
      </c>
    </row>
    <row r="480" spans="1:42">
      <c r="A480" s="119">
        <f t="shared" ref="A480:A485" si="222">A479+1</f>
        <v>3</v>
      </c>
      <c r="B480" s="218">
        <f t="shared" si="219"/>
        <v>0</v>
      </c>
      <c r="C480" s="250">
        <f t="shared" ref="C480:AP480" si="223">LOOKUP(C468,$B$461:$AP$461,$B$462:$AP$462)*$B683</f>
        <v>0</v>
      </c>
      <c r="D480" s="208">
        <f t="shared" si="223"/>
        <v>0</v>
      </c>
      <c r="E480" s="208">
        <f t="shared" si="223"/>
        <v>0</v>
      </c>
      <c r="F480" s="208">
        <f t="shared" si="223"/>
        <v>0</v>
      </c>
      <c r="G480" s="208">
        <f t="shared" si="223"/>
        <v>0</v>
      </c>
      <c r="H480" s="208">
        <f t="shared" si="223"/>
        <v>0</v>
      </c>
      <c r="I480" s="208">
        <f t="shared" si="223"/>
        <v>0</v>
      </c>
      <c r="J480" s="208">
        <f t="shared" si="223"/>
        <v>0</v>
      </c>
      <c r="K480" s="208">
        <f t="shared" si="223"/>
        <v>0</v>
      </c>
      <c r="L480" s="208">
        <f t="shared" si="223"/>
        <v>0</v>
      </c>
      <c r="M480" s="208">
        <f t="shared" si="223"/>
        <v>0</v>
      </c>
      <c r="N480" s="208">
        <f t="shared" si="223"/>
        <v>0</v>
      </c>
      <c r="O480" s="208">
        <f t="shared" si="223"/>
        <v>0</v>
      </c>
      <c r="P480" s="208">
        <f t="shared" si="223"/>
        <v>0</v>
      </c>
      <c r="Q480" s="208">
        <f t="shared" si="223"/>
        <v>0</v>
      </c>
      <c r="R480" s="208">
        <f t="shared" si="223"/>
        <v>0</v>
      </c>
      <c r="S480" s="208">
        <f t="shared" si="223"/>
        <v>0</v>
      </c>
      <c r="T480" s="208">
        <f t="shared" si="223"/>
        <v>0</v>
      </c>
      <c r="U480" s="208">
        <f t="shared" si="223"/>
        <v>0</v>
      </c>
      <c r="V480" s="208">
        <f t="shared" si="223"/>
        <v>0</v>
      </c>
      <c r="W480" s="208">
        <f t="shared" si="223"/>
        <v>0</v>
      </c>
      <c r="X480" s="208">
        <f t="shared" si="223"/>
        <v>0</v>
      </c>
      <c r="Y480" s="208">
        <f t="shared" si="223"/>
        <v>0</v>
      </c>
      <c r="Z480" s="208">
        <f t="shared" si="223"/>
        <v>0</v>
      </c>
      <c r="AA480" s="208">
        <f t="shared" si="223"/>
        <v>0</v>
      </c>
      <c r="AB480" s="208">
        <f t="shared" si="223"/>
        <v>0</v>
      </c>
      <c r="AC480" s="208">
        <f t="shared" si="223"/>
        <v>0</v>
      </c>
      <c r="AD480" s="208">
        <f t="shared" si="223"/>
        <v>0</v>
      </c>
      <c r="AE480" s="208">
        <f t="shared" si="223"/>
        <v>0</v>
      </c>
      <c r="AF480" s="208">
        <f t="shared" si="223"/>
        <v>0</v>
      </c>
      <c r="AG480" s="208">
        <f t="shared" si="223"/>
        <v>0</v>
      </c>
      <c r="AH480" s="208">
        <f t="shared" si="223"/>
        <v>0</v>
      </c>
      <c r="AI480" s="208">
        <f t="shared" si="223"/>
        <v>0</v>
      </c>
      <c r="AJ480" s="208">
        <f t="shared" si="223"/>
        <v>0</v>
      </c>
      <c r="AK480" s="208">
        <f t="shared" si="223"/>
        <v>0</v>
      </c>
      <c r="AL480" s="208">
        <f t="shared" si="223"/>
        <v>0</v>
      </c>
      <c r="AM480" s="208">
        <f t="shared" si="223"/>
        <v>0</v>
      </c>
      <c r="AN480" s="208">
        <f t="shared" si="223"/>
        <v>0</v>
      </c>
      <c r="AO480" s="208">
        <f t="shared" si="223"/>
        <v>0</v>
      </c>
      <c r="AP480" s="208">
        <f t="shared" si="223"/>
        <v>0</v>
      </c>
    </row>
    <row r="481" spans="1:42">
      <c r="A481" s="119">
        <f t="shared" si="222"/>
        <v>4</v>
      </c>
      <c r="B481" s="218">
        <f t="shared" si="219"/>
        <v>0</v>
      </c>
      <c r="C481" s="250">
        <f t="shared" ref="C481:AP481" si="224">LOOKUP(C469,$B$461:$AP$461,$B$462:$AP$462)*$B684</f>
        <v>0</v>
      </c>
      <c r="D481" s="208">
        <f t="shared" si="224"/>
        <v>0</v>
      </c>
      <c r="E481" s="208">
        <f t="shared" si="224"/>
        <v>0</v>
      </c>
      <c r="F481" s="208">
        <f t="shared" si="224"/>
        <v>0</v>
      </c>
      <c r="G481" s="208">
        <f t="shared" si="224"/>
        <v>0</v>
      </c>
      <c r="H481" s="208">
        <f t="shared" si="224"/>
        <v>0</v>
      </c>
      <c r="I481" s="208">
        <f t="shared" si="224"/>
        <v>0</v>
      </c>
      <c r="J481" s="208">
        <f t="shared" si="224"/>
        <v>0</v>
      </c>
      <c r="K481" s="208">
        <f t="shared" si="224"/>
        <v>0</v>
      </c>
      <c r="L481" s="208">
        <f t="shared" si="224"/>
        <v>0</v>
      </c>
      <c r="M481" s="208">
        <f t="shared" si="224"/>
        <v>0</v>
      </c>
      <c r="N481" s="208">
        <f t="shared" si="224"/>
        <v>0</v>
      </c>
      <c r="O481" s="208">
        <f t="shared" si="224"/>
        <v>0</v>
      </c>
      <c r="P481" s="208">
        <f t="shared" si="224"/>
        <v>0</v>
      </c>
      <c r="Q481" s="208">
        <f t="shared" si="224"/>
        <v>0</v>
      </c>
      <c r="R481" s="208">
        <f t="shared" si="224"/>
        <v>0</v>
      </c>
      <c r="S481" s="208">
        <f t="shared" si="224"/>
        <v>0</v>
      </c>
      <c r="T481" s="208">
        <f t="shared" si="224"/>
        <v>0</v>
      </c>
      <c r="U481" s="208">
        <f t="shared" si="224"/>
        <v>0</v>
      </c>
      <c r="V481" s="208">
        <f t="shared" si="224"/>
        <v>0</v>
      </c>
      <c r="W481" s="208">
        <f t="shared" si="224"/>
        <v>0</v>
      </c>
      <c r="X481" s="208">
        <f t="shared" si="224"/>
        <v>0</v>
      </c>
      <c r="Y481" s="208">
        <f t="shared" si="224"/>
        <v>0</v>
      </c>
      <c r="Z481" s="208">
        <f t="shared" si="224"/>
        <v>0</v>
      </c>
      <c r="AA481" s="208">
        <f t="shared" si="224"/>
        <v>0</v>
      </c>
      <c r="AB481" s="208">
        <f t="shared" si="224"/>
        <v>0</v>
      </c>
      <c r="AC481" s="208">
        <f t="shared" si="224"/>
        <v>0</v>
      </c>
      <c r="AD481" s="208">
        <f t="shared" si="224"/>
        <v>0</v>
      </c>
      <c r="AE481" s="208">
        <f t="shared" si="224"/>
        <v>0</v>
      </c>
      <c r="AF481" s="208">
        <f t="shared" si="224"/>
        <v>0</v>
      </c>
      <c r="AG481" s="208">
        <f t="shared" si="224"/>
        <v>0</v>
      </c>
      <c r="AH481" s="208">
        <f t="shared" si="224"/>
        <v>0</v>
      </c>
      <c r="AI481" s="208">
        <f t="shared" si="224"/>
        <v>0</v>
      </c>
      <c r="AJ481" s="208">
        <f t="shared" si="224"/>
        <v>0</v>
      </c>
      <c r="AK481" s="208">
        <f t="shared" si="224"/>
        <v>0</v>
      </c>
      <c r="AL481" s="208">
        <f t="shared" si="224"/>
        <v>0</v>
      </c>
      <c r="AM481" s="208">
        <f t="shared" si="224"/>
        <v>0</v>
      </c>
      <c r="AN481" s="208">
        <f t="shared" si="224"/>
        <v>0</v>
      </c>
      <c r="AO481" s="208">
        <f t="shared" si="224"/>
        <v>0</v>
      </c>
      <c r="AP481" s="208">
        <f t="shared" si="224"/>
        <v>0</v>
      </c>
    </row>
    <row r="482" spans="1:42">
      <c r="A482" s="119">
        <f t="shared" si="222"/>
        <v>5</v>
      </c>
      <c r="B482" s="218">
        <f t="shared" si="219"/>
        <v>0</v>
      </c>
      <c r="C482" s="250">
        <f t="shared" ref="C482:AP482" si="225">LOOKUP(C470,$B$461:$AP$461,$B$462:$AP$462)*$B685</f>
        <v>0</v>
      </c>
      <c r="D482" s="208">
        <f t="shared" si="225"/>
        <v>0</v>
      </c>
      <c r="E482" s="208">
        <f t="shared" si="225"/>
        <v>0</v>
      </c>
      <c r="F482" s="208">
        <f t="shared" si="225"/>
        <v>0</v>
      </c>
      <c r="G482" s="208">
        <f t="shared" si="225"/>
        <v>0</v>
      </c>
      <c r="H482" s="208">
        <f t="shared" si="225"/>
        <v>0</v>
      </c>
      <c r="I482" s="208">
        <f t="shared" si="225"/>
        <v>0</v>
      </c>
      <c r="J482" s="208">
        <f t="shared" si="225"/>
        <v>0</v>
      </c>
      <c r="K482" s="208">
        <f t="shared" si="225"/>
        <v>0</v>
      </c>
      <c r="L482" s="208">
        <f t="shared" si="225"/>
        <v>0</v>
      </c>
      <c r="M482" s="208">
        <f t="shared" si="225"/>
        <v>0</v>
      </c>
      <c r="N482" s="208">
        <f t="shared" si="225"/>
        <v>0</v>
      </c>
      <c r="O482" s="208">
        <f t="shared" si="225"/>
        <v>0</v>
      </c>
      <c r="P482" s="208">
        <f t="shared" si="225"/>
        <v>0</v>
      </c>
      <c r="Q482" s="208">
        <f t="shared" si="225"/>
        <v>0</v>
      </c>
      <c r="R482" s="208">
        <f t="shared" si="225"/>
        <v>0</v>
      </c>
      <c r="S482" s="208">
        <f t="shared" si="225"/>
        <v>0</v>
      </c>
      <c r="T482" s="208">
        <f t="shared" si="225"/>
        <v>0</v>
      </c>
      <c r="U482" s="208">
        <f t="shared" si="225"/>
        <v>0</v>
      </c>
      <c r="V482" s="208">
        <f t="shared" si="225"/>
        <v>0</v>
      </c>
      <c r="W482" s="208">
        <f t="shared" si="225"/>
        <v>0</v>
      </c>
      <c r="X482" s="208">
        <f t="shared" si="225"/>
        <v>0</v>
      </c>
      <c r="Y482" s="208">
        <f t="shared" si="225"/>
        <v>0</v>
      </c>
      <c r="Z482" s="208">
        <f t="shared" si="225"/>
        <v>0</v>
      </c>
      <c r="AA482" s="208">
        <f t="shared" si="225"/>
        <v>0</v>
      </c>
      <c r="AB482" s="208">
        <f t="shared" si="225"/>
        <v>0</v>
      </c>
      <c r="AC482" s="208">
        <f t="shared" si="225"/>
        <v>0</v>
      </c>
      <c r="AD482" s="208">
        <f t="shared" si="225"/>
        <v>0</v>
      </c>
      <c r="AE482" s="208">
        <f t="shared" si="225"/>
        <v>0</v>
      </c>
      <c r="AF482" s="208">
        <f t="shared" si="225"/>
        <v>0</v>
      </c>
      <c r="AG482" s="208">
        <f t="shared" si="225"/>
        <v>0</v>
      </c>
      <c r="AH482" s="208">
        <f t="shared" si="225"/>
        <v>0</v>
      </c>
      <c r="AI482" s="208">
        <f t="shared" si="225"/>
        <v>0</v>
      </c>
      <c r="AJ482" s="208">
        <f t="shared" si="225"/>
        <v>0</v>
      </c>
      <c r="AK482" s="208">
        <f t="shared" si="225"/>
        <v>0</v>
      </c>
      <c r="AL482" s="208">
        <f t="shared" si="225"/>
        <v>0</v>
      </c>
      <c r="AM482" s="208">
        <f t="shared" si="225"/>
        <v>0</v>
      </c>
      <c r="AN482" s="208">
        <f t="shared" si="225"/>
        <v>0</v>
      </c>
      <c r="AO482" s="208">
        <f t="shared" si="225"/>
        <v>0</v>
      </c>
      <c r="AP482" s="208">
        <f t="shared" si="225"/>
        <v>0</v>
      </c>
    </row>
    <row r="483" spans="1:42">
      <c r="A483" s="119">
        <f t="shared" si="222"/>
        <v>6</v>
      </c>
      <c r="B483" s="218">
        <f t="shared" si="219"/>
        <v>0</v>
      </c>
      <c r="C483" s="250">
        <f t="shared" ref="C483:AP483" si="226">LOOKUP(C471,$B$461:$AP$461,$B$462:$AP$462)*$B686</f>
        <v>0</v>
      </c>
      <c r="D483" s="208">
        <f t="shared" si="226"/>
        <v>0</v>
      </c>
      <c r="E483" s="208">
        <f t="shared" si="226"/>
        <v>0</v>
      </c>
      <c r="F483" s="208">
        <f t="shared" si="226"/>
        <v>0</v>
      </c>
      <c r="G483" s="208">
        <f t="shared" si="226"/>
        <v>0</v>
      </c>
      <c r="H483" s="208">
        <f t="shared" si="226"/>
        <v>0</v>
      </c>
      <c r="I483" s="208">
        <f t="shared" si="226"/>
        <v>0</v>
      </c>
      <c r="J483" s="208">
        <f t="shared" si="226"/>
        <v>0</v>
      </c>
      <c r="K483" s="208">
        <f t="shared" si="226"/>
        <v>0</v>
      </c>
      <c r="L483" s="208">
        <f t="shared" si="226"/>
        <v>0</v>
      </c>
      <c r="M483" s="208">
        <f t="shared" si="226"/>
        <v>0</v>
      </c>
      <c r="N483" s="208">
        <f t="shared" si="226"/>
        <v>0</v>
      </c>
      <c r="O483" s="208">
        <f t="shared" si="226"/>
        <v>0</v>
      </c>
      <c r="P483" s="208">
        <f t="shared" si="226"/>
        <v>0</v>
      </c>
      <c r="Q483" s="208">
        <f t="shared" si="226"/>
        <v>0</v>
      </c>
      <c r="R483" s="208">
        <f t="shared" si="226"/>
        <v>0</v>
      </c>
      <c r="S483" s="208">
        <f t="shared" si="226"/>
        <v>0</v>
      </c>
      <c r="T483" s="208">
        <f t="shared" si="226"/>
        <v>0</v>
      </c>
      <c r="U483" s="208">
        <f t="shared" si="226"/>
        <v>0</v>
      </c>
      <c r="V483" s="208">
        <f t="shared" si="226"/>
        <v>0</v>
      </c>
      <c r="W483" s="208">
        <f t="shared" si="226"/>
        <v>0</v>
      </c>
      <c r="X483" s="208">
        <f t="shared" si="226"/>
        <v>0</v>
      </c>
      <c r="Y483" s="208">
        <f t="shared" si="226"/>
        <v>0</v>
      </c>
      <c r="Z483" s="208">
        <f t="shared" si="226"/>
        <v>0</v>
      </c>
      <c r="AA483" s="208">
        <f t="shared" si="226"/>
        <v>0</v>
      </c>
      <c r="AB483" s="208">
        <f t="shared" si="226"/>
        <v>0</v>
      </c>
      <c r="AC483" s="208">
        <f t="shared" si="226"/>
        <v>0</v>
      </c>
      <c r="AD483" s="208">
        <f t="shared" si="226"/>
        <v>0</v>
      </c>
      <c r="AE483" s="208">
        <f t="shared" si="226"/>
        <v>0</v>
      </c>
      <c r="AF483" s="208">
        <f t="shared" si="226"/>
        <v>0</v>
      </c>
      <c r="AG483" s="208">
        <f t="shared" si="226"/>
        <v>0</v>
      </c>
      <c r="AH483" s="208">
        <f t="shared" si="226"/>
        <v>0</v>
      </c>
      <c r="AI483" s="208">
        <f t="shared" si="226"/>
        <v>0</v>
      </c>
      <c r="AJ483" s="208">
        <f t="shared" si="226"/>
        <v>0</v>
      </c>
      <c r="AK483" s="208">
        <f t="shared" si="226"/>
        <v>0</v>
      </c>
      <c r="AL483" s="208">
        <f t="shared" si="226"/>
        <v>0</v>
      </c>
      <c r="AM483" s="208">
        <f t="shared" si="226"/>
        <v>0</v>
      </c>
      <c r="AN483" s="208">
        <f t="shared" si="226"/>
        <v>0</v>
      </c>
      <c r="AO483" s="208">
        <f t="shared" si="226"/>
        <v>0</v>
      </c>
      <c r="AP483" s="208">
        <f t="shared" si="226"/>
        <v>0</v>
      </c>
    </row>
    <row r="484" spans="1:42">
      <c r="A484" s="119">
        <f t="shared" si="222"/>
        <v>7</v>
      </c>
      <c r="B484" s="218">
        <f t="shared" si="219"/>
        <v>0</v>
      </c>
      <c r="C484" s="250">
        <f t="shared" ref="C484:AP484" si="227">LOOKUP(C472,$B$461:$AP$461,$B$462:$AP$462)*$B687</f>
        <v>0</v>
      </c>
      <c r="D484" s="208">
        <f t="shared" si="227"/>
        <v>0</v>
      </c>
      <c r="E484" s="208">
        <f t="shared" si="227"/>
        <v>0</v>
      </c>
      <c r="F484" s="208">
        <f t="shared" si="227"/>
        <v>0</v>
      </c>
      <c r="G484" s="208">
        <f t="shared" si="227"/>
        <v>0</v>
      </c>
      <c r="H484" s="208">
        <f t="shared" si="227"/>
        <v>0</v>
      </c>
      <c r="I484" s="208">
        <f t="shared" si="227"/>
        <v>0</v>
      </c>
      <c r="J484" s="208">
        <f t="shared" si="227"/>
        <v>0</v>
      </c>
      <c r="K484" s="208">
        <f t="shared" si="227"/>
        <v>0</v>
      </c>
      <c r="L484" s="208">
        <f t="shared" si="227"/>
        <v>0</v>
      </c>
      <c r="M484" s="208">
        <f t="shared" si="227"/>
        <v>0</v>
      </c>
      <c r="N484" s="208">
        <f t="shared" si="227"/>
        <v>0</v>
      </c>
      <c r="O484" s="208">
        <f t="shared" si="227"/>
        <v>0</v>
      </c>
      <c r="P484" s="208">
        <f t="shared" si="227"/>
        <v>0</v>
      </c>
      <c r="Q484" s="208">
        <f t="shared" si="227"/>
        <v>0</v>
      </c>
      <c r="R484" s="208">
        <f t="shared" si="227"/>
        <v>0</v>
      </c>
      <c r="S484" s="208">
        <f t="shared" si="227"/>
        <v>0</v>
      </c>
      <c r="T484" s="208">
        <f t="shared" si="227"/>
        <v>0</v>
      </c>
      <c r="U484" s="208">
        <f t="shared" si="227"/>
        <v>0</v>
      </c>
      <c r="V484" s="208">
        <f t="shared" si="227"/>
        <v>0</v>
      </c>
      <c r="W484" s="208">
        <f t="shared" si="227"/>
        <v>0</v>
      </c>
      <c r="X484" s="208">
        <f t="shared" si="227"/>
        <v>0</v>
      </c>
      <c r="Y484" s="208">
        <f t="shared" si="227"/>
        <v>0</v>
      </c>
      <c r="Z484" s="208">
        <f t="shared" si="227"/>
        <v>0</v>
      </c>
      <c r="AA484" s="208">
        <f t="shared" si="227"/>
        <v>0</v>
      </c>
      <c r="AB484" s="208">
        <f t="shared" si="227"/>
        <v>0</v>
      </c>
      <c r="AC484" s="208">
        <f t="shared" si="227"/>
        <v>0</v>
      </c>
      <c r="AD484" s="208">
        <f t="shared" si="227"/>
        <v>0</v>
      </c>
      <c r="AE484" s="208">
        <f t="shared" si="227"/>
        <v>0</v>
      </c>
      <c r="AF484" s="208">
        <f t="shared" si="227"/>
        <v>0</v>
      </c>
      <c r="AG484" s="208">
        <f t="shared" si="227"/>
        <v>0</v>
      </c>
      <c r="AH484" s="208">
        <f t="shared" si="227"/>
        <v>0</v>
      </c>
      <c r="AI484" s="208">
        <f t="shared" si="227"/>
        <v>0</v>
      </c>
      <c r="AJ484" s="208">
        <f t="shared" si="227"/>
        <v>0</v>
      </c>
      <c r="AK484" s="208">
        <f t="shared" si="227"/>
        <v>0</v>
      </c>
      <c r="AL484" s="208">
        <f t="shared" si="227"/>
        <v>0</v>
      </c>
      <c r="AM484" s="208">
        <f t="shared" si="227"/>
        <v>0</v>
      </c>
      <c r="AN484" s="208">
        <f t="shared" si="227"/>
        <v>0</v>
      </c>
      <c r="AO484" s="208">
        <f t="shared" si="227"/>
        <v>0</v>
      </c>
      <c r="AP484" s="208">
        <f t="shared" si="227"/>
        <v>0</v>
      </c>
    </row>
    <row r="485" spans="1:42">
      <c r="A485" s="119">
        <f t="shared" si="222"/>
        <v>8</v>
      </c>
      <c r="B485" s="218">
        <f t="shared" si="219"/>
        <v>0</v>
      </c>
      <c r="C485" s="250">
        <f t="shared" ref="C485:AP485" si="228">LOOKUP(C473,$B$461:$AP$461,$B$462:$AP$462)*$B688</f>
        <v>0</v>
      </c>
      <c r="D485" s="208">
        <f t="shared" si="228"/>
        <v>0</v>
      </c>
      <c r="E485" s="208">
        <f t="shared" si="228"/>
        <v>0</v>
      </c>
      <c r="F485" s="208">
        <f t="shared" si="228"/>
        <v>0</v>
      </c>
      <c r="G485" s="208">
        <f t="shared" si="228"/>
        <v>0</v>
      </c>
      <c r="H485" s="208">
        <f t="shared" si="228"/>
        <v>0</v>
      </c>
      <c r="I485" s="208">
        <f t="shared" si="228"/>
        <v>0</v>
      </c>
      <c r="J485" s="208">
        <f t="shared" si="228"/>
        <v>0</v>
      </c>
      <c r="K485" s="208">
        <f t="shared" si="228"/>
        <v>0</v>
      </c>
      <c r="L485" s="208">
        <f t="shared" si="228"/>
        <v>0</v>
      </c>
      <c r="M485" s="208">
        <f t="shared" si="228"/>
        <v>0</v>
      </c>
      <c r="N485" s="208">
        <f t="shared" si="228"/>
        <v>0</v>
      </c>
      <c r="O485" s="208">
        <f t="shared" si="228"/>
        <v>0</v>
      </c>
      <c r="P485" s="208">
        <f t="shared" si="228"/>
        <v>0</v>
      </c>
      <c r="Q485" s="208">
        <f t="shared" si="228"/>
        <v>0</v>
      </c>
      <c r="R485" s="208">
        <f t="shared" si="228"/>
        <v>0</v>
      </c>
      <c r="S485" s="208">
        <f t="shared" si="228"/>
        <v>0</v>
      </c>
      <c r="T485" s="208">
        <f t="shared" si="228"/>
        <v>0</v>
      </c>
      <c r="U485" s="208">
        <f t="shared" si="228"/>
        <v>0</v>
      </c>
      <c r="V485" s="208">
        <f t="shared" si="228"/>
        <v>0</v>
      </c>
      <c r="W485" s="208">
        <f t="shared" si="228"/>
        <v>0</v>
      </c>
      <c r="X485" s="208">
        <f t="shared" si="228"/>
        <v>0</v>
      </c>
      <c r="Y485" s="208">
        <f t="shared" si="228"/>
        <v>0</v>
      </c>
      <c r="Z485" s="208">
        <f t="shared" si="228"/>
        <v>0</v>
      </c>
      <c r="AA485" s="208">
        <f t="shared" si="228"/>
        <v>0</v>
      </c>
      <c r="AB485" s="208">
        <f t="shared" si="228"/>
        <v>0</v>
      </c>
      <c r="AC485" s="208">
        <f t="shared" si="228"/>
        <v>0</v>
      </c>
      <c r="AD485" s="208">
        <f t="shared" si="228"/>
        <v>0</v>
      </c>
      <c r="AE485" s="208">
        <f t="shared" si="228"/>
        <v>0</v>
      </c>
      <c r="AF485" s="208">
        <f t="shared" si="228"/>
        <v>0</v>
      </c>
      <c r="AG485" s="208">
        <f t="shared" si="228"/>
        <v>0</v>
      </c>
      <c r="AH485" s="208">
        <f t="shared" si="228"/>
        <v>0</v>
      </c>
      <c r="AI485" s="208">
        <f t="shared" si="228"/>
        <v>0</v>
      </c>
      <c r="AJ485" s="208">
        <f t="shared" si="228"/>
        <v>0</v>
      </c>
      <c r="AK485" s="208">
        <f t="shared" si="228"/>
        <v>0</v>
      </c>
      <c r="AL485" s="208">
        <f t="shared" si="228"/>
        <v>0</v>
      </c>
      <c r="AM485" s="208">
        <f t="shared" si="228"/>
        <v>0</v>
      </c>
      <c r="AN485" s="208">
        <f t="shared" si="228"/>
        <v>0</v>
      </c>
      <c r="AO485" s="208">
        <f t="shared" si="228"/>
        <v>0</v>
      </c>
      <c r="AP485" s="208">
        <f t="shared" si="228"/>
        <v>0</v>
      </c>
    </row>
    <row r="486" spans="1:42">
      <c r="A486" s="119">
        <f>A485+1</f>
        <v>9</v>
      </c>
      <c r="B486" s="218">
        <f t="shared" si="219"/>
        <v>0</v>
      </c>
      <c r="C486" s="250">
        <f t="shared" ref="C486:AP486" si="229">LOOKUP(C474,$B$461:$AP$461,$B$462:$AP$462)*$B689</f>
        <v>0</v>
      </c>
      <c r="D486" s="208">
        <f t="shared" si="229"/>
        <v>0</v>
      </c>
      <c r="E486" s="208">
        <f t="shared" si="229"/>
        <v>0</v>
      </c>
      <c r="F486" s="208">
        <f t="shared" si="229"/>
        <v>0</v>
      </c>
      <c r="G486" s="208">
        <f t="shared" si="229"/>
        <v>0</v>
      </c>
      <c r="H486" s="208">
        <f t="shared" si="229"/>
        <v>0</v>
      </c>
      <c r="I486" s="208">
        <f t="shared" si="229"/>
        <v>0</v>
      </c>
      <c r="J486" s="208">
        <f t="shared" si="229"/>
        <v>0</v>
      </c>
      <c r="K486" s="208">
        <f t="shared" si="229"/>
        <v>0</v>
      </c>
      <c r="L486" s="208">
        <f t="shared" si="229"/>
        <v>0</v>
      </c>
      <c r="M486" s="208">
        <f t="shared" si="229"/>
        <v>0</v>
      </c>
      <c r="N486" s="208">
        <f t="shared" si="229"/>
        <v>0</v>
      </c>
      <c r="O486" s="208">
        <f t="shared" si="229"/>
        <v>0</v>
      </c>
      <c r="P486" s="208">
        <f t="shared" si="229"/>
        <v>0</v>
      </c>
      <c r="Q486" s="208">
        <f t="shared" si="229"/>
        <v>0</v>
      </c>
      <c r="R486" s="208">
        <f t="shared" si="229"/>
        <v>0</v>
      </c>
      <c r="S486" s="208">
        <f t="shared" si="229"/>
        <v>0</v>
      </c>
      <c r="T486" s="208">
        <f t="shared" si="229"/>
        <v>0</v>
      </c>
      <c r="U486" s="208">
        <f t="shared" si="229"/>
        <v>0</v>
      </c>
      <c r="V486" s="208">
        <f t="shared" si="229"/>
        <v>0</v>
      </c>
      <c r="W486" s="208">
        <f t="shared" si="229"/>
        <v>0</v>
      </c>
      <c r="X486" s="208">
        <f t="shared" si="229"/>
        <v>0</v>
      </c>
      <c r="Y486" s="208">
        <f t="shared" si="229"/>
        <v>0</v>
      </c>
      <c r="Z486" s="208">
        <f t="shared" si="229"/>
        <v>0</v>
      </c>
      <c r="AA486" s="208">
        <f t="shared" si="229"/>
        <v>0</v>
      </c>
      <c r="AB486" s="208">
        <f t="shared" si="229"/>
        <v>0</v>
      </c>
      <c r="AC486" s="208">
        <f t="shared" si="229"/>
        <v>0</v>
      </c>
      <c r="AD486" s="208">
        <f t="shared" si="229"/>
        <v>0</v>
      </c>
      <c r="AE486" s="208">
        <f t="shared" si="229"/>
        <v>0</v>
      </c>
      <c r="AF486" s="208">
        <f t="shared" si="229"/>
        <v>0</v>
      </c>
      <c r="AG486" s="208">
        <f t="shared" si="229"/>
        <v>0</v>
      </c>
      <c r="AH486" s="208">
        <f t="shared" si="229"/>
        <v>0</v>
      </c>
      <c r="AI486" s="208">
        <f t="shared" si="229"/>
        <v>0</v>
      </c>
      <c r="AJ486" s="208">
        <f t="shared" si="229"/>
        <v>0</v>
      </c>
      <c r="AK486" s="208">
        <f t="shared" si="229"/>
        <v>0</v>
      </c>
      <c r="AL486" s="208">
        <f t="shared" si="229"/>
        <v>0</v>
      </c>
      <c r="AM486" s="208">
        <f t="shared" si="229"/>
        <v>0</v>
      </c>
      <c r="AN486" s="208">
        <f t="shared" si="229"/>
        <v>0</v>
      </c>
      <c r="AO486" s="208">
        <f t="shared" si="229"/>
        <v>0</v>
      </c>
      <c r="AP486" s="208">
        <f t="shared" si="229"/>
        <v>0</v>
      </c>
    </row>
    <row r="487" spans="1:42">
      <c r="A487" s="119">
        <f t="shared" ref="A487" si="230">A486+1</f>
        <v>10</v>
      </c>
      <c r="B487" s="218">
        <f t="shared" si="219"/>
        <v>0</v>
      </c>
      <c r="C487" s="246">
        <f t="shared" ref="C487:AP487" si="231">LOOKUP(C475,$B$461:$AP$461,$B$462:$AP$462)*$B690</f>
        <v>0</v>
      </c>
      <c r="D487" s="209">
        <f t="shared" si="231"/>
        <v>0</v>
      </c>
      <c r="E487" s="209">
        <f t="shared" si="231"/>
        <v>0</v>
      </c>
      <c r="F487" s="209">
        <f t="shared" si="231"/>
        <v>0</v>
      </c>
      <c r="G487" s="209">
        <f t="shared" si="231"/>
        <v>0</v>
      </c>
      <c r="H487" s="209">
        <f t="shared" si="231"/>
        <v>0</v>
      </c>
      <c r="I487" s="209">
        <f t="shared" si="231"/>
        <v>0</v>
      </c>
      <c r="J487" s="209">
        <f t="shared" si="231"/>
        <v>0</v>
      </c>
      <c r="K487" s="209">
        <f t="shared" si="231"/>
        <v>0</v>
      </c>
      <c r="L487" s="209">
        <f t="shared" si="231"/>
        <v>0</v>
      </c>
      <c r="M487" s="209">
        <f t="shared" si="231"/>
        <v>0</v>
      </c>
      <c r="N487" s="209">
        <f t="shared" si="231"/>
        <v>0</v>
      </c>
      <c r="O487" s="209">
        <f t="shared" si="231"/>
        <v>0</v>
      </c>
      <c r="P487" s="209">
        <f t="shared" si="231"/>
        <v>0</v>
      </c>
      <c r="Q487" s="209">
        <f t="shared" si="231"/>
        <v>0</v>
      </c>
      <c r="R487" s="209">
        <f t="shared" si="231"/>
        <v>0</v>
      </c>
      <c r="S487" s="209">
        <f t="shared" si="231"/>
        <v>0</v>
      </c>
      <c r="T487" s="209">
        <f t="shared" si="231"/>
        <v>0</v>
      </c>
      <c r="U487" s="209">
        <f t="shared" si="231"/>
        <v>0</v>
      </c>
      <c r="V487" s="209">
        <f t="shared" si="231"/>
        <v>0</v>
      </c>
      <c r="W487" s="209">
        <f t="shared" si="231"/>
        <v>0</v>
      </c>
      <c r="X487" s="209">
        <f t="shared" si="231"/>
        <v>0</v>
      </c>
      <c r="Y487" s="209">
        <f t="shared" si="231"/>
        <v>0</v>
      </c>
      <c r="Z487" s="209">
        <f t="shared" si="231"/>
        <v>0</v>
      </c>
      <c r="AA487" s="209">
        <f t="shared" si="231"/>
        <v>0</v>
      </c>
      <c r="AB487" s="209">
        <f t="shared" si="231"/>
        <v>0</v>
      </c>
      <c r="AC487" s="209">
        <f t="shared" si="231"/>
        <v>0</v>
      </c>
      <c r="AD487" s="209">
        <f t="shared" si="231"/>
        <v>0</v>
      </c>
      <c r="AE487" s="209">
        <f t="shared" si="231"/>
        <v>0</v>
      </c>
      <c r="AF487" s="209">
        <f t="shared" si="231"/>
        <v>0</v>
      </c>
      <c r="AG487" s="209">
        <f t="shared" si="231"/>
        <v>0</v>
      </c>
      <c r="AH487" s="209">
        <f t="shared" si="231"/>
        <v>0</v>
      </c>
      <c r="AI487" s="209">
        <f t="shared" si="231"/>
        <v>0</v>
      </c>
      <c r="AJ487" s="209">
        <f t="shared" si="231"/>
        <v>0</v>
      </c>
      <c r="AK487" s="209">
        <f t="shared" si="231"/>
        <v>0</v>
      </c>
      <c r="AL487" s="209">
        <f t="shared" si="231"/>
        <v>0</v>
      </c>
      <c r="AM487" s="209">
        <f t="shared" si="231"/>
        <v>0</v>
      </c>
      <c r="AN487" s="209">
        <f t="shared" si="231"/>
        <v>0</v>
      </c>
      <c r="AO487" s="209">
        <f t="shared" si="231"/>
        <v>0</v>
      </c>
      <c r="AP487" s="209">
        <f t="shared" si="231"/>
        <v>0</v>
      </c>
    </row>
    <row r="488" spans="1:42" s="119" customFormat="1">
      <c r="A488" s="247" t="s">
        <v>53</v>
      </c>
      <c r="B488" s="146"/>
      <c r="C488" s="146">
        <f>SUM(C478:C487)</f>
        <v>0</v>
      </c>
      <c r="D488" s="146">
        <f t="shared" ref="D488:AP488" si="232">SUM(D478:D487)</f>
        <v>0</v>
      </c>
      <c r="E488" s="146">
        <f t="shared" si="232"/>
        <v>0</v>
      </c>
      <c r="F488" s="146">
        <f t="shared" si="232"/>
        <v>0</v>
      </c>
      <c r="G488" s="146">
        <f t="shared" si="232"/>
        <v>0</v>
      </c>
      <c r="H488" s="146">
        <f t="shared" si="232"/>
        <v>0</v>
      </c>
      <c r="I488" s="146">
        <f t="shared" si="232"/>
        <v>0</v>
      </c>
      <c r="J488" s="146">
        <f t="shared" si="232"/>
        <v>0</v>
      </c>
      <c r="K488" s="146">
        <f t="shared" si="232"/>
        <v>0</v>
      </c>
      <c r="L488" s="146">
        <f t="shared" si="232"/>
        <v>0</v>
      </c>
      <c r="M488" s="146">
        <f t="shared" si="232"/>
        <v>0</v>
      </c>
      <c r="N488" s="146">
        <f t="shared" si="232"/>
        <v>588974.46870026283</v>
      </c>
      <c r="O488" s="146">
        <f t="shared" si="232"/>
        <v>942359.14992042049</v>
      </c>
      <c r="P488" s="146">
        <f t="shared" si="232"/>
        <v>565415.48995225236</v>
      </c>
      <c r="Q488" s="146">
        <f t="shared" si="232"/>
        <v>339249.29397135135</v>
      </c>
      <c r="R488" s="146">
        <f t="shared" si="232"/>
        <v>339249.29397135135</v>
      </c>
      <c r="S488" s="146">
        <f t="shared" si="232"/>
        <v>169624.64698567567</v>
      </c>
      <c r="T488" s="146">
        <f t="shared" si="232"/>
        <v>0</v>
      </c>
      <c r="U488" s="146">
        <f t="shared" si="232"/>
        <v>0</v>
      </c>
      <c r="V488" s="146">
        <f t="shared" si="232"/>
        <v>0</v>
      </c>
      <c r="W488" s="146">
        <f t="shared" si="232"/>
        <v>0</v>
      </c>
      <c r="X488" s="146">
        <f t="shared" si="232"/>
        <v>0</v>
      </c>
      <c r="Y488" s="146">
        <f t="shared" si="232"/>
        <v>0</v>
      </c>
      <c r="Z488" s="146">
        <f t="shared" si="232"/>
        <v>704188.57730493625</v>
      </c>
      <c r="AA488" s="146">
        <f t="shared" si="232"/>
        <v>1126701.7236878979</v>
      </c>
      <c r="AB488" s="146">
        <f t="shared" si="232"/>
        <v>676021.03421273874</v>
      </c>
      <c r="AC488" s="146">
        <f t="shared" si="232"/>
        <v>405612.62052764324</v>
      </c>
      <c r="AD488" s="146">
        <f t="shared" si="232"/>
        <v>405612.62052764324</v>
      </c>
      <c r="AE488" s="146">
        <f t="shared" si="232"/>
        <v>202806.31026382162</v>
      </c>
      <c r="AF488" s="146">
        <f t="shared" si="232"/>
        <v>0</v>
      </c>
      <c r="AG488" s="146">
        <f t="shared" si="232"/>
        <v>0</v>
      </c>
      <c r="AH488" s="146">
        <f t="shared" si="232"/>
        <v>0</v>
      </c>
      <c r="AI488" s="146">
        <f t="shared" si="232"/>
        <v>0</v>
      </c>
      <c r="AJ488" s="146">
        <f t="shared" si="232"/>
        <v>0</v>
      </c>
      <c r="AK488" s="146">
        <f t="shared" si="232"/>
        <v>0</v>
      </c>
      <c r="AL488" s="146">
        <f t="shared" si="232"/>
        <v>0</v>
      </c>
      <c r="AM488" s="146">
        <f t="shared" si="232"/>
        <v>0</v>
      </c>
      <c r="AN488" s="146">
        <f t="shared" si="232"/>
        <v>0</v>
      </c>
      <c r="AO488" s="146">
        <f t="shared" si="232"/>
        <v>0</v>
      </c>
      <c r="AP488" s="146">
        <f t="shared" si="232"/>
        <v>0</v>
      </c>
    </row>
    <row r="489" spans="1:42" s="119" customFormat="1">
      <c r="A489" s="247"/>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46"/>
      <c r="AK489" s="146"/>
      <c r="AL489" s="146"/>
      <c r="AM489" s="146"/>
      <c r="AN489" s="146"/>
      <c r="AO489" s="146"/>
      <c r="AP489" s="146"/>
    </row>
    <row r="490" spans="1:42">
      <c r="A490" s="219" t="s">
        <v>386</v>
      </c>
      <c r="C490" s="208"/>
      <c r="D490" s="208"/>
      <c r="E490" s="208"/>
      <c r="F490" s="208"/>
      <c r="G490" s="208"/>
      <c r="H490" s="208"/>
      <c r="I490" s="208"/>
      <c r="J490" s="208"/>
      <c r="K490" s="208"/>
      <c r="L490" s="208"/>
      <c r="M490" s="208"/>
      <c r="N490" s="208"/>
      <c r="O490" s="208"/>
      <c r="P490" s="208"/>
      <c r="Q490" s="208"/>
      <c r="R490" s="208"/>
      <c r="S490" s="208"/>
      <c r="T490" s="208"/>
      <c r="U490" s="208"/>
      <c r="V490" s="208"/>
      <c r="W490" s="208"/>
      <c r="X490" s="208"/>
      <c r="Y490" s="208"/>
      <c r="Z490" s="208"/>
      <c r="AA490" s="208"/>
      <c r="AB490" s="208"/>
      <c r="AC490" s="208"/>
      <c r="AD490" s="208"/>
      <c r="AE490" s="208"/>
      <c r="AF490" s="208"/>
      <c r="AG490" s="208"/>
      <c r="AH490" s="208"/>
      <c r="AI490" s="208"/>
      <c r="AJ490" s="208"/>
      <c r="AK490" s="208"/>
      <c r="AL490" s="208"/>
      <c r="AM490" s="208"/>
      <c r="AN490" s="208"/>
      <c r="AO490" s="208"/>
      <c r="AP490" s="208"/>
    </row>
    <row r="491" spans="1:42">
      <c r="A491" s="226" t="s">
        <v>217</v>
      </c>
      <c r="C491" s="208"/>
      <c r="D491" s="208"/>
      <c r="E491" s="208"/>
      <c r="F491" s="208"/>
      <c r="G491" s="208"/>
      <c r="H491" s="208"/>
      <c r="I491" s="208"/>
      <c r="J491" s="208"/>
      <c r="K491" s="208"/>
      <c r="L491" s="208"/>
      <c r="M491" s="208"/>
      <c r="N491" s="208"/>
      <c r="O491" s="208"/>
      <c r="P491" s="208"/>
      <c r="Q491" s="208"/>
      <c r="R491" s="208"/>
      <c r="S491" s="208"/>
      <c r="T491" s="208"/>
      <c r="U491" s="208"/>
      <c r="V491" s="208"/>
      <c r="W491" s="208"/>
      <c r="X491" s="208"/>
      <c r="Y491" s="208"/>
      <c r="Z491" s="208"/>
      <c r="AA491" s="208"/>
      <c r="AB491" s="208"/>
      <c r="AC491" s="208"/>
      <c r="AD491" s="208"/>
      <c r="AE491" s="208"/>
      <c r="AF491" s="208"/>
      <c r="AG491" s="208"/>
      <c r="AH491" s="208"/>
      <c r="AI491" s="208"/>
      <c r="AJ491" s="208"/>
      <c r="AK491" s="208"/>
      <c r="AL491" s="208"/>
      <c r="AM491" s="208"/>
      <c r="AN491" s="208"/>
      <c r="AO491" s="208"/>
      <c r="AP491" s="208"/>
    </row>
    <row r="492" spans="1:42">
      <c r="A492" s="119">
        <v>1</v>
      </c>
      <c r="C492" s="208">
        <f>C357</f>
        <v>0</v>
      </c>
      <c r="D492" s="208">
        <f t="shared" ref="D492:AP498" si="233">D357</f>
        <v>0</v>
      </c>
      <c r="E492" s="208">
        <f t="shared" si="233"/>
        <v>0</v>
      </c>
      <c r="F492" s="208">
        <f t="shared" si="233"/>
        <v>0</v>
      </c>
      <c r="G492" s="208">
        <f t="shared" si="233"/>
        <v>0</v>
      </c>
      <c r="H492" s="208">
        <f t="shared" si="233"/>
        <v>0</v>
      </c>
      <c r="I492" s="208">
        <f t="shared" si="233"/>
        <v>0</v>
      </c>
      <c r="J492" s="208">
        <f t="shared" si="233"/>
        <v>0</v>
      </c>
      <c r="K492" s="208">
        <f t="shared" si="233"/>
        <v>0</v>
      </c>
      <c r="L492" s="208">
        <f t="shared" si="233"/>
        <v>0</v>
      </c>
      <c r="M492" s="208">
        <f t="shared" si="233"/>
        <v>0</v>
      </c>
      <c r="N492" s="208">
        <f t="shared" si="233"/>
        <v>0</v>
      </c>
      <c r="O492" s="208">
        <f t="shared" si="233"/>
        <v>0</v>
      </c>
      <c r="P492" s="208">
        <f t="shared" si="233"/>
        <v>0</v>
      </c>
      <c r="Q492" s="208">
        <f t="shared" si="233"/>
        <v>1</v>
      </c>
      <c r="R492" s="208">
        <f t="shared" si="233"/>
        <v>2</v>
      </c>
      <c r="S492" s="208">
        <f t="shared" si="233"/>
        <v>3</v>
      </c>
      <c r="T492" s="208">
        <f t="shared" si="233"/>
        <v>4</v>
      </c>
      <c r="U492" s="208">
        <f t="shared" si="233"/>
        <v>5</v>
      </c>
      <c r="V492" s="208">
        <f t="shared" si="233"/>
        <v>6</v>
      </c>
      <c r="W492" s="208">
        <f t="shared" si="233"/>
        <v>7</v>
      </c>
      <c r="X492" s="208">
        <f t="shared" si="233"/>
        <v>8</v>
      </c>
      <c r="Y492" s="208">
        <f t="shared" si="233"/>
        <v>9</v>
      </c>
      <c r="Z492" s="208">
        <f t="shared" si="233"/>
        <v>10</v>
      </c>
      <c r="AA492" s="208">
        <f t="shared" si="233"/>
        <v>11</v>
      </c>
      <c r="AB492" s="208">
        <f t="shared" si="233"/>
        <v>12</v>
      </c>
      <c r="AC492" s="208">
        <f t="shared" si="233"/>
        <v>13</v>
      </c>
      <c r="AD492" s="208">
        <f t="shared" si="233"/>
        <v>14</v>
      </c>
      <c r="AE492" s="208">
        <f t="shared" si="233"/>
        <v>15</v>
      </c>
      <c r="AF492" s="208">
        <f t="shared" si="233"/>
        <v>16</v>
      </c>
      <c r="AG492" s="208">
        <f t="shared" si="233"/>
        <v>0</v>
      </c>
      <c r="AH492" s="208">
        <f t="shared" si="233"/>
        <v>0</v>
      </c>
      <c r="AI492" s="208">
        <f t="shared" si="233"/>
        <v>0</v>
      </c>
      <c r="AJ492" s="208">
        <f t="shared" si="233"/>
        <v>0</v>
      </c>
      <c r="AK492" s="208">
        <f t="shared" si="233"/>
        <v>0</v>
      </c>
      <c r="AL492" s="208">
        <f t="shared" si="233"/>
        <v>0</v>
      </c>
      <c r="AM492" s="208">
        <f t="shared" si="233"/>
        <v>0</v>
      </c>
      <c r="AN492" s="208">
        <f t="shared" si="233"/>
        <v>0</v>
      </c>
      <c r="AO492" s="208">
        <f t="shared" si="233"/>
        <v>0</v>
      </c>
      <c r="AP492" s="208">
        <f t="shared" si="233"/>
        <v>0</v>
      </c>
    </row>
    <row r="493" spans="1:42">
      <c r="A493" s="119">
        <f>A492+1</f>
        <v>2</v>
      </c>
      <c r="C493" s="208">
        <f t="shared" ref="C493:R501" si="234">C358</f>
        <v>0</v>
      </c>
      <c r="D493" s="208">
        <f t="shared" si="234"/>
        <v>0</v>
      </c>
      <c r="E493" s="208">
        <f t="shared" si="234"/>
        <v>0</v>
      </c>
      <c r="F493" s="208">
        <f t="shared" si="234"/>
        <v>0</v>
      </c>
      <c r="G493" s="208">
        <f t="shared" si="234"/>
        <v>0</v>
      </c>
      <c r="H493" s="208">
        <f t="shared" si="234"/>
        <v>0</v>
      </c>
      <c r="I493" s="208">
        <f t="shared" si="234"/>
        <v>0</v>
      </c>
      <c r="J493" s="208">
        <f t="shared" si="234"/>
        <v>0</v>
      </c>
      <c r="K493" s="208">
        <f t="shared" si="234"/>
        <v>0</v>
      </c>
      <c r="L493" s="208">
        <f t="shared" si="234"/>
        <v>0</v>
      </c>
      <c r="M493" s="208">
        <f t="shared" si="234"/>
        <v>0</v>
      </c>
      <c r="N493" s="208">
        <f t="shared" si="234"/>
        <v>0</v>
      </c>
      <c r="O493" s="208">
        <f t="shared" si="234"/>
        <v>0</v>
      </c>
      <c r="P493" s="208">
        <f t="shared" si="234"/>
        <v>0</v>
      </c>
      <c r="Q493" s="208">
        <f t="shared" si="234"/>
        <v>0</v>
      </c>
      <c r="R493" s="208">
        <f t="shared" si="234"/>
        <v>0</v>
      </c>
      <c r="S493" s="208">
        <f t="shared" si="233"/>
        <v>0</v>
      </c>
      <c r="T493" s="208">
        <f t="shared" si="233"/>
        <v>0</v>
      </c>
      <c r="U493" s="208">
        <f t="shared" si="233"/>
        <v>0</v>
      </c>
      <c r="V493" s="208">
        <f t="shared" si="233"/>
        <v>0</v>
      </c>
      <c r="W493" s="208">
        <f t="shared" si="233"/>
        <v>0</v>
      </c>
      <c r="X493" s="208">
        <f t="shared" si="233"/>
        <v>0</v>
      </c>
      <c r="Y493" s="208">
        <f t="shared" si="233"/>
        <v>0</v>
      </c>
      <c r="Z493" s="208">
        <f t="shared" si="233"/>
        <v>0</v>
      </c>
      <c r="AA493" s="208">
        <f t="shared" si="233"/>
        <v>0</v>
      </c>
      <c r="AB493" s="208">
        <f t="shared" si="233"/>
        <v>0</v>
      </c>
      <c r="AC493" s="208">
        <f t="shared" si="233"/>
        <v>0</v>
      </c>
      <c r="AD493" s="208">
        <f t="shared" si="233"/>
        <v>0</v>
      </c>
      <c r="AE493" s="208">
        <f t="shared" si="233"/>
        <v>0</v>
      </c>
      <c r="AF493" s="208">
        <f t="shared" si="233"/>
        <v>1</v>
      </c>
      <c r="AG493" s="208">
        <f t="shared" si="233"/>
        <v>0</v>
      </c>
      <c r="AH493" s="208">
        <f t="shared" si="233"/>
        <v>0</v>
      </c>
      <c r="AI493" s="208">
        <f t="shared" si="233"/>
        <v>0</v>
      </c>
      <c r="AJ493" s="208">
        <f t="shared" si="233"/>
        <v>0</v>
      </c>
      <c r="AK493" s="208">
        <f t="shared" si="233"/>
        <v>0</v>
      </c>
      <c r="AL493" s="208">
        <f t="shared" si="233"/>
        <v>0</v>
      </c>
      <c r="AM493" s="208">
        <f t="shared" si="233"/>
        <v>0</v>
      </c>
      <c r="AN493" s="208">
        <f t="shared" si="233"/>
        <v>0</v>
      </c>
      <c r="AO493" s="208">
        <f t="shared" si="233"/>
        <v>0</v>
      </c>
      <c r="AP493" s="208">
        <f t="shared" si="233"/>
        <v>0</v>
      </c>
    </row>
    <row r="494" spans="1:42">
      <c r="A494" s="119">
        <f t="shared" ref="A494:A499" si="235">A493+1</f>
        <v>3</v>
      </c>
      <c r="C494" s="208">
        <f t="shared" si="234"/>
        <v>0</v>
      </c>
      <c r="D494" s="208">
        <f t="shared" si="233"/>
        <v>0</v>
      </c>
      <c r="E494" s="208">
        <f t="shared" si="233"/>
        <v>0</v>
      </c>
      <c r="F494" s="208">
        <f t="shared" si="233"/>
        <v>0</v>
      </c>
      <c r="G494" s="208">
        <f t="shared" si="233"/>
        <v>0</v>
      </c>
      <c r="H494" s="208">
        <f t="shared" si="233"/>
        <v>0</v>
      </c>
      <c r="I494" s="208">
        <f t="shared" si="233"/>
        <v>0</v>
      </c>
      <c r="J494" s="208">
        <f t="shared" si="233"/>
        <v>0</v>
      </c>
      <c r="K494" s="208">
        <f t="shared" si="233"/>
        <v>0</v>
      </c>
      <c r="L494" s="208">
        <f t="shared" si="233"/>
        <v>0</v>
      </c>
      <c r="M494" s="208">
        <f t="shared" si="233"/>
        <v>0</v>
      </c>
      <c r="N494" s="208">
        <f t="shared" si="233"/>
        <v>0</v>
      </c>
      <c r="O494" s="208">
        <f t="shared" si="233"/>
        <v>0</v>
      </c>
      <c r="P494" s="208">
        <f t="shared" si="233"/>
        <v>0</v>
      </c>
      <c r="Q494" s="208">
        <f t="shared" si="233"/>
        <v>0</v>
      </c>
      <c r="R494" s="208">
        <f t="shared" si="233"/>
        <v>0</v>
      </c>
      <c r="S494" s="208">
        <f t="shared" si="233"/>
        <v>0</v>
      </c>
      <c r="T494" s="208">
        <f t="shared" si="233"/>
        <v>0</v>
      </c>
      <c r="U494" s="208">
        <f t="shared" si="233"/>
        <v>0</v>
      </c>
      <c r="V494" s="208">
        <f t="shared" si="233"/>
        <v>0</v>
      </c>
      <c r="W494" s="208">
        <f t="shared" si="233"/>
        <v>0</v>
      </c>
      <c r="X494" s="208">
        <f t="shared" si="233"/>
        <v>0</v>
      </c>
      <c r="Y494" s="208">
        <f t="shared" si="233"/>
        <v>0</v>
      </c>
      <c r="Z494" s="208">
        <f t="shared" si="233"/>
        <v>0</v>
      </c>
      <c r="AA494" s="208">
        <f t="shared" si="233"/>
        <v>0</v>
      </c>
      <c r="AB494" s="208">
        <f t="shared" si="233"/>
        <v>0</v>
      </c>
      <c r="AC494" s="208">
        <f t="shared" si="233"/>
        <v>0</v>
      </c>
      <c r="AD494" s="208">
        <f t="shared" si="233"/>
        <v>0</v>
      </c>
      <c r="AE494" s="208">
        <f t="shared" si="233"/>
        <v>0</v>
      </c>
      <c r="AF494" s="208">
        <f t="shared" si="233"/>
        <v>0</v>
      </c>
      <c r="AG494" s="208">
        <f t="shared" si="233"/>
        <v>0</v>
      </c>
      <c r="AH494" s="208">
        <f t="shared" si="233"/>
        <v>0</v>
      </c>
      <c r="AI494" s="208">
        <f t="shared" si="233"/>
        <v>0</v>
      </c>
      <c r="AJ494" s="208">
        <f t="shared" si="233"/>
        <v>0</v>
      </c>
      <c r="AK494" s="208">
        <f t="shared" si="233"/>
        <v>0</v>
      </c>
      <c r="AL494" s="208">
        <f t="shared" si="233"/>
        <v>0</v>
      </c>
      <c r="AM494" s="208">
        <f t="shared" si="233"/>
        <v>0</v>
      </c>
      <c r="AN494" s="208">
        <f t="shared" si="233"/>
        <v>0</v>
      </c>
      <c r="AO494" s="208">
        <f t="shared" si="233"/>
        <v>0</v>
      </c>
      <c r="AP494" s="208">
        <f t="shared" si="233"/>
        <v>0</v>
      </c>
    </row>
    <row r="495" spans="1:42">
      <c r="A495" s="119">
        <f t="shared" si="235"/>
        <v>4</v>
      </c>
      <c r="C495" s="208">
        <f t="shared" si="234"/>
        <v>0</v>
      </c>
      <c r="D495" s="208">
        <f t="shared" si="233"/>
        <v>0</v>
      </c>
      <c r="E495" s="208">
        <f t="shared" si="233"/>
        <v>0</v>
      </c>
      <c r="F495" s="208">
        <f t="shared" si="233"/>
        <v>0</v>
      </c>
      <c r="G495" s="208">
        <f t="shared" si="233"/>
        <v>0</v>
      </c>
      <c r="H495" s="208">
        <f t="shared" si="233"/>
        <v>0</v>
      </c>
      <c r="I495" s="208">
        <f t="shared" si="233"/>
        <v>0</v>
      </c>
      <c r="J495" s="208">
        <f t="shared" si="233"/>
        <v>0</v>
      </c>
      <c r="K495" s="208">
        <f t="shared" si="233"/>
        <v>0</v>
      </c>
      <c r="L495" s="208">
        <f t="shared" si="233"/>
        <v>0</v>
      </c>
      <c r="M495" s="208">
        <f t="shared" si="233"/>
        <v>0</v>
      </c>
      <c r="N495" s="208">
        <f t="shared" si="233"/>
        <v>0</v>
      </c>
      <c r="O495" s="208">
        <f t="shared" si="233"/>
        <v>0</v>
      </c>
      <c r="P495" s="208">
        <f t="shared" si="233"/>
        <v>0</v>
      </c>
      <c r="Q495" s="208">
        <f t="shared" si="233"/>
        <v>0</v>
      </c>
      <c r="R495" s="208">
        <f t="shared" si="233"/>
        <v>0</v>
      </c>
      <c r="S495" s="208">
        <f t="shared" si="233"/>
        <v>0</v>
      </c>
      <c r="T495" s="208">
        <f t="shared" si="233"/>
        <v>0</v>
      </c>
      <c r="U495" s="208">
        <f t="shared" si="233"/>
        <v>0</v>
      </c>
      <c r="V495" s="208">
        <f t="shared" si="233"/>
        <v>0</v>
      </c>
      <c r="W495" s="208">
        <f t="shared" si="233"/>
        <v>0</v>
      </c>
      <c r="X495" s="208">
        <f t="shared" si="233"/>
        <v>0</v>
      </c>
      <c r="Y495" s="208">
        <f t="shared" si="233"/>
        <v>0</v>
      </c>
      <c r="Z495" s="208">
        <f t="shared" si="233"/>
        <v>0</v>
      </c>
      <c r="AA495" s="208">
        <f t="shared" si="233"/>
        <v>0</v>
      </c>
      <c r="AB495" s="208">
        <f t="shared" si="233"/>
        <v>0</v>
      </c>
      <c r="AC495" s="208">
        <f t="shared" si="233"/>
        <v>0</v>
      </c>
      <c r="AD495" s="208">
        <f t="shared" si="233"/>
        <v>0</v>
      </c>
      <c r="AE495" s="208">
        <f t="shared" si="233"/>
        <v>0</v>
      </c>
      <c r="AF495" s="208">
        <f t="shared" si="233"/>
        <v>0</v>
      </c>
      <c r="AG495" s="208">
        <f t="shared" si="233"/>
        <v>0</v>
      </c>
      <c r="AH495" s="208">
        <f t="shared" si="233"/>
        <v>0</v>
      </c>
      <c r="AI495" s="208">
        <f t="shared" si="233"/>
        <v>0</v>
      </c>
      <c r="AJ495" s="208">
        <f t="shared" si="233"/>
        <v>0</v>
      </c>
      <c r="AK495" s="208">
        <f t="shared" si="233"/>
        <v>0</v>
      </c>
      <c r="AL495" s="208">
        <f t="shared" si="233"/>
        <v>0</v>
      </c>
      <c r="AM495" s="208">
        <f t="shared" si="233"/>
        <v>0</v>
      </c>
      <c r="AN495" s="208">
        <f t="shared" si="233"/>
        <v>0</v>
      </c>
      <c r="AO495" s="208">
        <f t="shared" si="233"/>
        <v>0</v>
      </c>
      <c r="AP495" s="208">
        <f t="shared" si="233"/>
        <v>0</v>
      </c>
    </row>
    <row r="496" spans="1:42">
      <c r="A496" s="119">
        <f t="shared" si="235"/>
        <v>5</v>
      </c>
      <c r="C496" s="208">
        <f t="shared" si="234"/>
        <v>0</v>
      </c>
      <c r="D496" s="208">
        <f t="shared" si="233"/>
        <v>0</v>
      </c>
      <c r="E496" s="208">
        <f t="shared" si="233"/>
        <v>0</v>
      </c>
      <c r="F496" s="208">
        <f t="shared" si="233"/>
        <v>0</v>
      </c>
      <c r="G496" s="208">
        <f t="shared" si="233"/>
        <v>0</v>
      </c>
      <c r="H496" s="208">
        <f t="shared" si="233"/>
        <v>0</v>
      </c>
      <c r="I496" s="208">
        <f t="shared" si="233"/>
        <v>0</v>
      </c>
      <c r="J496" s="208">
        <f t="shared" si="233"/>
        <v>0</v>
      </c>
      <c r="K496" s="208">
        <f t="shared" si="233"/>
        <v>0</v>
      </c>
      <c r="L496" s="208">
        <f t="shared" si="233"/>
        <v>0</v>
      </c>
      <c r="M496" s="208">
        <f t="shared" si="233"/>
        <v>0</v>
      </c>
      <c r="N496" s="208">
        <f t="shared" si="233"/>
        <v>0</v>
      </c>
      <c r="O496" s="208">
        <f t="shared" si="233"/>
        <v>0</v>
      </c>
      <c r="P496" s="208">
        <f t="shared" si="233"/>
        <v>0</v>
      </c>
      <c r="Q496" s="208">
        <f t="shared" si="233"/>
        <v>0</v>
      </c>
      <c r="R496" s="208">
        <f t="shared" si="233"/>
        <v>0</v>
      </c>
      <c r="S496" s="208">
        <f t="shared" si="233"/>
        <v>0</v>
      </c>
      <c r="T496" s="208">
        <f t="shared" si="233"/>
        <v>0</v>
      </c>
      <c r="U496" s="208">
        <f t="shared" si="233"/>
        <v>0</v>
      </c>
      <c r="V496" s="208">
        <f t="shared" si="233"/>
        <v>0</v>
      </c>
      <c r="W496" s="208">
        <f t="shared" si="233"/>
        <v>0</v>
      </c>
      <c r="X496" s="208">
        <f t="shared" si="233"/>
        <v>0</v>
      </c>
      <c r="Y496" s="208">
        <f t="shared" si="233"/>
        <v>0</v>
      </c>
      <c r="Z496" s="208">
        <f t="shared" si="233"/>
        <v>0</v>
      </c>
      <c r="AA496" s="208">
        <f t="shared" si="233"/>
        <v>0</v>
      </c>
      <c r="AB496" s="208">
        <f t="shared" si="233"/>
        <v>0</v>
      </c>
      <c r="AC496" s="208">
        <f t="shared" si="233"/>
        <v>0</v>
      </c>
      <c r="AD496" s="208">
        <f t="shared" si="233"/>
        <v>0</v>
      </c>
      <c r="AE496" s="208">
        <f t="shared" si="233"/>
        <v>0</v>
      </c>
      <c r="AF496" s="208">
        <f t="shared" si="233"/>
        <v>0</v>
      </c>
      <c r="AG496" s="208">
        <f t="shared" si="233"/>
        <v>0</v>
      </c>
      <c r="AH496" s="208">
        <f t="shared" si="233"/>
        <v>0</v>
      </c>
      <c r="AI496" s="208">
        <f t="shared" si="233"/>
        <v>0</v>
      </c>
      <c r="AJ496" s="208">
        <f t="shared" si="233"/>
        <v>0</v>
      </c>
      <c r="AK496" s="208">
        <f t="shared" si="233"/>
        <v>0</v>
      </c>
      <c r="AL496" s="208">
        <f t="shared" si="233"/>
        <v>0</v>
      </c>
      <c r="AM496" s="208">
        <f t="shared" si="233"/>
        <v>0</v>
      </c>
      <c r="AN496" s="208">
        <f t="shared" si="233"/>
        <v>0</v>
      </c>
      <c r="AO496" s="208">
        <f t="shared" si="233"/>
        <v>0</v>
      </c>
      <c r="AP496" s="208">
        <f t="shared" si="233"/>
        <v>0</v>
      </c>
    </row>
    <row r="497" spans="1:42">
      <c r="A497" s="119">
        <f t="shared" si="235"/>
        <v>6</v>
      </c>
      <c r="C497" s="208">
        <f t="shared" si="234"/>
        <v>0</v>
      </c>
      <c r="D497" s="208">
        <f t="shared" si="233"/>
        <v>0</v>
      </c>
      <c r="E497" s="208">
        <f t="shared" si="233"/>
        <v>0</v>
      </c>
      <c r="F497" s="208">
        <f t="shared" si="233"/>
        <v>0</v>
      </c>
      <c r="G497" s="208">
        <f t="shared" si="233"/>
        <v>0</v>
      </c>
      <c r="H497" s="208">
        <f t="shared" si="233"/>
        <v>0</v>
      </c>
      <c r="I497" s="208">
        <f t="shared" si="233"/>
        <v>0</v>
      </c>
      <c r="J497" s="208">
        <f t="shared" si="233"/>
        <v>0</v>
      </c>
      <c r="K497" s="208">
        <f t="shared" si="233"/>
        <v>0</v>
      </c>
      <c r="L497" s="208">
        <f t="shared" si="233"/>
        <v>0</v>
      </c>
      <c r="M497" s="208">
        <f t="shared" si="233"/>
        <v>0</v>
      </c>
      <c r="N497" s="208">
        <f t="shared" si="233"/>
        <v>0</v>
      </c>
      <c r="O497" s="208">
        <f t="shared" si="233"/>
        <v>0</v>
      </c>
      <c r="P497" s="208">
        <f t="shared" si="233"/>
        <v>0</v>
      </c>
      <c r="Q497" s="208">
        <f t="shared" si="233"/>
        <v>0</v>
      </c>
      <c r="R497" s="208">
        <f t="shared" si="233"/>
        <v>0</v>
      </c>
      <c r="S497" s="208">
        <f t="shared" si="233"/>
        <v>0</v>
      </c>
      <c r="T497" s="208">
        <f t="shared" si="233"/>
        <v>0</v>
      </c>
      <c r="U497" s="208">
        <f t="shared" si="233"/>
        <v>0</v>
      </c>
      <c r="V497" s="208">
        <f t="shared" si="233"/>
        <v>0</v>
      </c>
      <c r="W497" s="208">
        <f t="shared" si="233"/>
        <v>0</v>
      </c>
      <c r="X497" s="208">
        <f t="shared" si="233"/>
        <v>0</v>
      </c>
      <c r="Y497" s="208">
        <f t="shared" si="233"/>
        <v>0</v>
      </c>
      <c r="Z497" s="208">
        <f t="shared" si="233"/>
        <v>0</v>
      </c>
      <c r="AA497" s="208">
        <f t="shared" si="233"/>
        <v>0</v>
      </c>
      <c r="AB497" s="208">
        <f t="shared" si="233"/>
        <v>0</v>
      </c>
      <c r="AC497" s="208">
        <f t="shared" si="233"/>
        <v>0</v>
      </c>
      <c r="AD497" s="208">
        <f t="shared" si="233"/>
        <v>0</v>
      </c>
      <c r="AE497" s="208">
        <f t="shared" si="233"/>
        <v>0</v>
      </c>
      <c r="AF497" s="208">
        <f t="shared" si="233"/>
        <v>0</v>
      </c>
      <c r="AG497" s="208">
        <f t="shared" si="233"/>
        <v>0</v>
      </c>
      <c r="AH497" s="208">
        <f t="shared" si="233"/>
        <v>0</v>
      </c>
      <c r="AI497" s="208">
        <f t="shared" si="233"/>
        <v>0</v>
      </c>
      <c r="AJ497" s="208">
        <f t="shared" si="233"/>
        <v>0</v>
      </c>
      <c r="AK497" s="208">
        <f t="shared" si="233"/>
        <v>0</v>
      </c>
      <c r="AL497" s="208">
        <f t="shared" si="233"/>
        <v>0</v>
      </c>
      <c r="AM497" s="208">
        <f t="shared" si="233"/>
        <v>0</v>
      </c>
      <c r="AN497" s="208">
        <f t="shared" si="233"/>
        <v>0</v>
      </c>
      <c r="AO497" s="208">
        <f t="shared" si="233"/>
        <v>0</v>
      </c>
      <c r="AP497" s="208">
        <f t="shared" si="233"/>
        <v>0</v>
      </c>
    </row>
    <row r="498" spans="1:42">
      <c r="A498" s="119">
        <f t="shared" si="235"/>
        <v>7</v>
      </c>
      <c r="C498" s="208">
        <f t="shared" si="234"/>
        <v>0</v>
      </c>
      <c r="D498" s="208">
        <f t="shared" si="233"/>
        <v>0</v>
      </c>
      <c r="E498" s="208">
        <f t="shared" si="233"/>
        <v>0</v>
      </c>
      <c r="F498" s="208">
        <f t="shared" si="233"/>
        <v>0</v>
      </c>
      <c r="G498" s="208">
        <f t="shared" si="233"/>
        <v>0</v>
      </c>
      <c r="H498" s="208">
        <f t="shared" si="233"/>
        <v>0</v>
      </c>
      <c r="I498" s="208">
        <f t="shared" si="233"/>
        <v>0</v>
      </c>
      <c r="J498" s="208">
        <f t="shared" si="233"/>
        <v>0</v>
      </c>
      <c r="K498" s="208">
        <f t="shared" si="233"/>
        <v>0</v>
      </c>
      <c r="L498" s="208">
        <f t="shared" si="233"/>
        <v>0</v>
      </c>
      <c r="M498" s="208">
        <f t="shared" si="233"/>
        <v>0</v>
      </c>
      <c r="N498" s="208">
        <f t="shared" si="233"/>
        <v>0</v>
      </c>
      <c r="O498" s="208">
        <f t="shared" si="233"/>
        <v>0</v>
      </c>
      <c r="P498" s="208">
        <f t="shared" si="233"/>
        <v>0</v>
      </c>
      <c r="Q498" s="208">
        <f t="shared" si="233"/>
        <v>0</v>
      </c>
      <c r="R498" s="208">
        <f t="shared" si="233"/>
        <v>0</v>
      </c>
      <c r="S498" s="208">
        <f t="shared" si="233"/>
        <v>0</v>
      </c>
      <c r="T498" s="208">
        <f t="shared" si="233"/>
        <v>0</v>
      </c>
      <c r="U498" s="208">
        <f t="shared" si="233"/>
        <v>0</v>
      </c>
      <c r="V498" s="208">
        <f t="shared" si="233"/>
        <v>0</v>
      </c>
      <c r="W498" s="208">
        <f t="shared" si="233"/>
        <v>0</v>
      </c>
      <c r="X498" s="208">
        <f t="shared" si="233"/>
        <v>0</v>
      </c>
      <c r="Y498" s="208">
        <f t="shared" si="233"/>
        <v>0</v>
      </c>
      <c r="Z498" s="208">
        <f t="shared" si="233"/>
        <v>0</v>
      </c>
      <c r="AA498" s="208">
        <f t="shared" si="233"/>
        <v>0</v>
      </c>
      <c r="AB498" s="208">
        <f t="shared" si="233"/>
        <v>0</v>
      </c>
      <c r="AC498" s="208">
        <f t="shared" si="233"/>
        <v>0</v>
      </c>
      <c r="AD498" s="208">
        <f t="shared" si="233"/>
        <v>0</v>
      </c>
      <c r="AE498" s="208">
        <f t="shared" si="233"/>
        <v>0</v>
      </c>
      <c r="AF498" s="208">
        <f t="shared" si="233"/>
        <v>0</v>
      </c>
      <c r="AG498" s="208">
        <f t="shared" si="233"/>
        <v>0</v>
      </c>
      <c r="AH498" s="208">
        <f t="shared" si="233"/>
        <v>0</v>
      </c>
      <c r="AI498" s="208">
        <f t="shared" si="233"/>
        <v>0</v>
      </c>
      <c r="AJ498" s="208">
        <f t="shared" si="233"/>
        <v>0</v>
      </c>
      <c r="AK498" s="208">
        <f t="shared" si="233"/>
        <v>0</v>
      </c>
      <c r="AL498" s="208">
        <f t="shared" si="233"/>
        <v>0</v>
      </c>
      <c r="AM498" s="208">
        <f t="shared" si="233"/>
        <v>0</v>
      </c>
      <c r="AN498" s="208">
        <f t="shared" ref="AN498:AP498" si="236">AN363</f>
        <v>0</v>
      </c>
      <c r="AO498" s="208">
        <f t="shared" si="236"/>
        <v>0</v>
      </c>
      <c r="AP498" s="208">
        <f t="shared" si="236"/>
        <v>0</v>
      </c>
    </row>
    <row r="499" spans="1:42">
      <c r="A499" s="119">
        <f t="shared" si="235"/>
        <v>8</v>
      </c>
      <c r="C499" s="208">
        <f t="shared" si="234"/>
        <v>0</v>
      </c>
      <c r="D499" s="208">
        <f t="shared" si="234"/>
        <v>0</v>
      </c>
      <c r="E499" s="208">
        <f t="shared" si="234"/>
        <v>0</v>
      </c>
      <c r="F499" s="208">
        <f t="shared" si="234"/>
        <v>0</v>
      </c>
      <c r="G499" s="208">
        <f t="shared" si="234"/>
        <v>0</v>
      </c>
      <c r="H499" s="208">
        <f t="shared" si="234"/>
        <v>0</v>
      </c>
      <c r="I499" s="208">
        <f t="shared" si="234"/>
        <v>0</v>
      </c>
      <c r="J499" s="208">
        <f t="shared" si="234"/>
        <v>0</v>
      </c>
      <c r="K499" s="208">
        <f t="shared" si="234"/>
        <v>0</v>
      </c>
      <c r="L499" s="208">
        <f t="shared" si="234"/>
        <v>0</v>
      </c>
      <c r="M499" s="208">
        <f t="shared" si="234"/>
        <v>0</v>
      </c>
      <c r="N499" s="208">
        <f t="shared" si="234"/>
        <v>0</v>
      </c>
      <c r="O499" s="208">
        <f t="shared" si="234"/>
        <v>0</v>
      </c>
      <c r="P499" s="208">
        <f t="shared" si="234"/>
        <v>0</v>
      </c>
      <c r="Q499" s="208">
        <f t="shared" si="234"/>
        <v>0</v>
      </c>
      <c r="R499" s="208">
        <f t="shared" si="234"/>
        <v>0</v>
      </c>
      <c r="S499" s="208">
        <f t="shared" ref="D499:AP501" si="237">S364</f>
        <v>0</v>
      </c>
      <c r="T499" s="208">
        <f t="shared" si="237"/>
        <v>0</v>
      </c>
      <c r="U499" s="208">
        <f t="shared" si="237"/>
        <v>0</v>
      </c>
      <c r="V499" s="208">
        <f t="shared" si="237"/>
        <v>0</v>
      </c>
      <c r="W499" s="208">
        <f t="shared" si="237"/>
        <v>0</v>
      </c>
      <c r="X499" s="208">
        <f t="shared" si="237"/>
        <v>0</v>
      </c>
      <c r="Y499" s="208">
        <f t="shared" si="237"/>
        <v>0</v>
      </c>
      <c r="Z499" s="208">
        <f t="shared" si="237"/>
        <v>0</v>
      </c>
      <c r="AA499" s="208">
        <f t="shared" si="237"/>
        <v>0</v>
      </c>
      <c r="AB499" s="208">
        <f t="shared" si="237"/>
        <v>0</v>
      </c>
      <c r="AC499" s="208">
        <f t="shared" si="237"/>
        <v>0</v>
      </c>
      <c r="AD499" s="208">
        <f t="shared" si="237"/>
        <v>0</v>
      </c>
      <c r="AE499" s="208">
        <f t="shared" si="237"/>
        <v>0</v>
      </c>
      <c r="AF499" s="208">
        <f t="shared" si="237"/>
        <v>0</v>
      </c>
      <c r="AG499" s="208">
        <f t="shared" si="237"/>
        <v>0</v>
      </c>
      <c r="AH499" s="208">
        <f t="shared" si="237"/>
        <v>0</v>
      </c>
      <c r="AI499" s="208">
        <f t="shared" si="237"/>
        <v>0</v>
      </c>
      <c r="AJ499" s="208">
        <f t="shared" si="237"/>
        <v>0</v>
      </c>
      <c r="AK499" s="208">
        <f t="shared" si="237"/>
        <v>0</v>
      </c>
      <c r="AL499" s="208">
        <f t="shared" si="237"/>
        <v>0</v>
      </c>
      <c r="AM499" s="208">
        <f t="shared" si="237"/>
        <v>0</v>
      </c>
      <c r="AN499" s="208">
        <f t="shared" si="237"/>
        <v>0</v>
      </c>
      <c r="AO499" s="208">
        <f t="shared" si="237"/>
        <v>0</v>
      </c>
      <c r="AP499" s="208">
        <f t="shared" si="237"/>
        <v>0</v>
      </c>
    </row>
    <row r="500" spans="1:42">
      <c r="A500" s="119">
        <f>A499+1</f>
        <v>9</v>
      </c>
      <c r="C500" s="208">
        <f t="shared" si="234"/>
        <v>0</v>
      </c>
      <c r="D500" s="208">
        <f t="shared" si="237"/>
        <v>0</v>
      </c>
      <c r="E500" s="208">
        <f t="shared" si="237"/>
        <v>0</v>
      </c>
      <c r="F500" s="208">
        <f t="shared" si="237"/>
        <v>0</v>
      </c>
      <c r="G500" s="208">
        <f t="shared" si="237"/>
        <v>0</v>
      </c>
      <c r="H500" s="208">
        <f t="shared" si="237"/>
        <v>0</v>
      </c>
      <c r="I500" s="208">
        <f t="shared" si="237"/>
        <v>0</v>
      </c>
      <c r="J500" s="208">
        <f t="shared" si="237"/>
        <v>0</v>
      </c>
      <c r="K500" s="208">
        <f t="shared" si="237"/>
        <v>0</v>
      </c>
      <c r="L500" s="208">
        <f t="shared" si="237"/>
        <v>0</v>
      </c>
      <c r="M500" s="208">
        <f t="shared" si="237"/>
        <v>0</v>
      </c>
      <c r="N500" s="208">
        <f t="shared" si="237"/>
        <v>0</v>
      </c>
      <c r="O500" s="208">
        <f t="shared" si="237"/>
        <v>0</v>
      </c>
      <c r="P500" s="208">
        <f t="shared" si="237"/>
        <v>0</v>
      </c>
      <c r="Q500" s="208">
        <f t="shared" si="237"/>
        <v>0</v>
      </c>
      <c r="R500" s="208">
        <f t="shared" si="237"/>
        <v>0</v>
      </c>
      <c r="S500" s="208">
        <f t="shared" si="237"/>
        <v>0</v>
      </c>
      <c r="T500" s="208">
        <f t="shared" si="237"/>
        <v>0</v>
      </c>
      <c r="U500" s="208">
        <f t="shared" si="237"/>
        <v>0</v>
      </c>
      <c r="V500" s="208">
        <f t="shared" si="237"/>
        <v>0</v>
      </c>
      <c r="W500" s="208">
        <f t="shared" si="237"/>
        <v>0</v>
      </c>
      <c r="X500" s="208">
        <f t="shared" si="237"/>
        <v>0</v>
      </c>
      <c r="Y500" s="208">
        <f t="shared" si="237"/>
        <v>0</v>
      </c>
      <c r="Z500" s="208">
        <f t="shared" si="237"/>
        <v>0</v>
      </c>
      <c r="AA500" s="208">
        <f t="shared" si="237"/>
        <v>0</v>
      </c>
      <c r="AB500" s="208">
        <f t="shared" si="237"/>
        <v>0</v>
      </c>
      <c r="AC500" s="208">
        <f t="shared" si="237"/>
        <v>0</v>
      </c>
      <c r="AD500" s="208">
        <f t="shared" si="237"/>
        <v>0</v>
      </c>
      <c r="AE500" s="208">
        <f t="shared" si="237"/>
        <v>0</v>
      </c>
      <c r="AF500" s="208">
        <f t="shared" si="237"/>
        <v>0</v>
      </c>
      <c r="AG500" s="208">
        <f t="shared" si="237"/>
        <v>0</v>
      </c>
      <c r="AH500" s="208">
        <f t="shared" si="237"/>
        <v>0</v>
      </c>
      <c r="AI500" s="208">
        <f t="shared" si="237"/>
        <v>0</v>
      </c>
      <c r="AJ500" s="208">
        <f t="shared" si="237"/>
        <v>0</v>
      </c>
      <c r="AK500" s="208">
        <f t="shared" si="237"/>
        <v>0</v>
      </c>
      <c r="AL500" s="208">
        <f t="shared" si="237"/>
        <v>0</v>
      </c>
      <c r="AM500" s="208">
        <f t="shared" si="237"/>
        <v>0</v>
      </c>
      <c r="AN500" s="208">
        <f t="shared" si="237"/>
        <v>0</v>
      </c>
      <c r="AO500" s="208">
        <f t="shared" si="237"/>
        <v>0</v>
      </c>
      <c r="AP500" s="208">
        <f t="shared" si="237"/>
        <v>0</v>
      </c>
    </row>
    <row r="501" spans="1:42">
      <c r="A501" s="119">
        <f t="shared" ref="A501" si="238">A500+1</f>
        <v>10</v>
      </c>
      <c r="C501" s="208">
        <f t="shared" si="234"/>
        <v>0</v>
      </c>
      <c r="D501" s="208">
        <f t="shared" si="237"/>
        <v>0</v>
      </c>
      <c r="E501" s="208">
        <f t="shared" si="237"/>
        <v>0</v>
      </c>
      <c r="F501" s="208">
        <f t="shared" si="237"/>
        <v>0</v>
      </c>
      <c r="G501" s="208">
        <f t="shared" si="237"/>
        <v>0</v>
      </c>
      <c r="H501" s="208">
        <f t="shared" si="237"/>
        <v>0</v>
      </c>
      <c r="I501" s="208">
        <f t="shared" si="237"/>
        <v>0</v>
      </c>
      <c r="J501" s="208">
        <f t="shared" si="237"/>
        <v>0</v>
      </c>
      <c r="K501" s="208">
        <f t="shared" si="237"/>
        <v>0</v>
      </c>
      <c r="L501" s="208">
        <f t="shared" si="237"/>
        <v>0</v>
      </c>
      <c r="M501" s="208">
        <f t="shared" si="237"/>
        <v>0</v>
      </c>
      <c r="N501" s="208">
        <f t="shared" si="237"/>
        <v>0</v>
      </c>
      <c r="O501" s="208">
        <f t="shared" si="237"/>
        <v>0</v>
      </c>
      <c r="P501" s="208">
        <f t="shared" si="237"/>
        <v>0</v>
      </c>
      <c r="Q501" s="208">
        <f t="shared" si="237"/>
        <v>0</v>
      </c>
      <c r="R501" s="208">
        <f t="shared" si="237"/>
        <v>0</v>
      </c>
      <c r="S501" s="208">
        <f t="shared" si="237"/>
        <v>0</v>
      </c>
      <c r="T501" s="208">
        <f t="shared" si="237"/>
        <v>0</v>
      </c>
      <c r="U501" s="208">
        <f t="shared" si="237"/>
        <v>0</v>
      </c>
      <c r="V501" s="208">
        <f t="shared" si="237"/>
        <v>0</v>
      </c>
      <c r="W501" s="208">
        <f t="shared" si="237"/>
        <v>0</v>
      </c>
      <c r="X501" s="208">
        <f t="shared" si="237"/>
        <v>0</v>
      </c>
      <c r="Y501" s="208">
        <f t="shared" si="237"/>
        <v>0</v>
      </c>
      <c r="Z501" s="208">
        <f t="shared" si="237"/>
        <v>0</v>
      </c>
      <c r="AA501" s="208">
        <f t="shared" si="237"/>
        <v>0</v>
      </c>
      <c r="AB501" s="208">
        <f t="shared" si="237"/>
        <v>0</v>
      </c>
      <c r="AC501" s="208">
        <f t="shared" si="237"/>
        <v>0</v>
      </c>
      <c r="AD501" s="208">
        <f t="shared" si="237"/>
        <v>0</v>
      </c>
      <c r="AE501" s="208">
        <f t="shared" si="237"/>
        <v>0</v>
      </c>
      <c r="AF501" s="208">
        <f t="shared" si="237"/>
        <v>0</v>
      </c>
      <c r="AG501" s="208">
        <f t="shared" si="237"/>
        <v>0</v>
      </c>
      <c r="AH501" s="208">
        <f t="shared" si="237"/>
        <v>0</v>
      </c>
      <c r="AI501" s="208">
        <f t="shared" si="237"/>
        <v>0</v>
      </c>
      <c r="AJ501" s="208">
        <f t="shared" si="237"/>
        <v>0</v>
      </c>
      <c r="AK501" s="208">
        <f t="shared" si="237"/>
        <v>0</v>
      </c>
      <c r="AL501" s="208">
        <f t="shared" si="237"/>
        <v>0</v>
      </c>
      <c r="AM501" s="208">
        <f t="shared" si="237"/>
        <v>0</v>
      </c>
      <c r="AN501" s="208">
        <f t="shared" si="237"/>
        <v>0</v>
      </c>
      <c r="AO501" s="208">
        <f t="shared" si="237"/>
        <v>0</v>
      </c>
      <c r="AP501" s="208">
        <f t="shared" si="237"/>
        <v>0</v>
      </c>
    </row>
    <row r="502" spans="1:42">
      <c r="A502" s="226"/>
      <c r="C502" s="208"/>
      <c r="D502" s="208"/>
      <c r="E502" s="208"/>
      <c r="F502" s="208"/>
      <c r="G502" s="208"/>
      <c r="H502" s="208"/>
      <c r="I502" s="208"/>
      <c r="J502" s="208"/>
      <c r="K502" s="208"/>
      <c r="L502" s="208"/>
      <c r="M502" s="208"/>
      <c r="N502" s="208"/>
      <c r="O502" s="208"/>
      <c r="P502" s="208"/>
      <c r="Q502" s="208"/>
      <c r="R502" s="208"/>
      <c r="S502" s="208"/>
      <c r="T502" s="208"/>
      <c r="U502" s="208"/>
      <c r="V502" s="208"/>
      <c r="W502" s="208"/>
      <c r="X502" s="208"/>
      <c r="Y502" s="208"/>
      <c r="Z502" s="208"/>
      <c r="AA502" s="208"/>
      <c r="AB502" s="208"/>
      <c r="AC502" s="208"/>
      <c r="AD502" s="208"/>
      <c r="AE502" s="208"/>
      <c r="AF502" s="208"/>
      <c r="AG502" s="208"/>
      <c r="AH502" s="208"/>
      <c r="AI502" s="208"/>
      <c r="AJ502" s="208"/>
      <c r="AK502" s="208"/>
      <c r="AL502" s="208"/>
      <c r="AM502" s="208"/>
      <c r="AN502" s="208"/>
      <c r="AO502" s="208"/>
      <c r="AP502" s="208"/>
    </row>
    <row r="503" spans="1:42">
      <c r="A503" s="226" t="s">
        <v>221</v>
      </c>
      <c r="C503" s="208"/>
      <c r="D503" s="208"/>
      <c r="E503" s="208"/>
      <c r="F503" s="208"/>
      <c r="G503" s="208"/>
      <c r="H503" s="208"/>
      <c r="I503" s="208"/>
      <c r="J503" s="208"/>
      <c r="K503" s="208"/>
      <c r="L503" s="208"/>
      <c r="M503" s="208"/>
      <c r="N503" s="208"/>
      <c r="O503" s="208"/>
      <c r="P503" s="208"/>
      <c r="Q503" s="208"/>
      <c r="R503" s="208"/>
      <c r="S503" s="208"/>
      <c r="T503" s="208"/>
      <c r="U503" s="208"/>
      <c r="V503" s="208"/>
      <c r="W503" s="208"/>
      <c r="X503" s="208"/>
      <c r="Y503" s="208"/>
      <c r="Z503" s="208"/>
      <c r="AA503" s="208"/>
      <c r="AB503" s="208"/>
      <c r="AC503" s="208"/>
      <c r="AD503" s="208"/>
      <c r="AE503" s="208"/>
      <c r="AF503" s="208"/>
      <c r="AG503" s="208"/>
      <c r="AH503" s="208"/>
      <c r="AI503" s="208"/>
      <c r="AJ503" s="208"/>
      <c r="AK503" s="208"/>
      <c r="AL503" s="208"/>
      <c r="AM503" s="208"/>
      <c r="AN503" s="208"/>
      <c r="AO503" s="208"/>
      <c r="AP503" s="208"/>
    </row>
    <row r="504" spans="1:42">
      <c r="A504" s="119">
        <v>1</v>
      </c>
      <c r="B504" s="218">
        <f t="shared" ref="B504:B513" si="239">SUM(C504:AP504)</f>
        <v>6158778.6534697898</v>
      </c>
      <c r="C504" s="250">
        <f t="shared" ref="C504:AP504" si="240">LOOKUP(C492,$B$461:$AP$461,$B$462:$AP$462)*$B713</f>
        <v>0</v>
      </c>
      <c r="D504" s="208">
        <f t="shared" si="240"/>
        <v>0</v>
      </c>
      <c r="E504" s="208">
        <f t="shared" si="240"/>
        <v>0</v>
      </c>
      <c r="F504" s="208">
        <f t="shared" si="240"/>
        <v>0</v>
      </c>
      <c r="G504" s="208">
        <f t="shared" si="240"/>
        <v>0</v>
      </c>
      <c r="H504" s="208">
        <f t="shared" si="240"/>
        <v>0</v>
      </c>
      <c r="I504" s="208">
        <f t="shared" si="240"/>
        <v>0</v>
      </c>
      <c r="J504" s="208">
        <f t="shared" si="240"/>
        <v>0</v>
      </c>
      <c r="K504" s="208">
        <f t="shared" si="240"/>
        <v>0</v>
      </c>
      <c r="L504" s="208">
        <f t="shared" si="240"/>
        <v>0</v>
      </c>
      <c r="M504" s="208">
        <f t="shared" si="240"/>
        <v>0</v>
      </c>
      <c r="N504" s="208">
        <f t="shared" si="240"/>
        <v>0</v>
      </c>
      <c r="O504" s="208">
        <f t="shared" si="240"/>
        <v>0</v>
      </c>
      <c r="P504" s="208">
        <f t="shared" si="240"/>
        <v>0</v>
      </c>
      <c r="Q504" s="208">
        <f t="shared" si="240"/>
        <v>1231755.7306939578</v>
      </c>
      <c r="R504" s="208">
        <f t="shared" si="240"/>
        <v>1970809.1691103324</v>
      </c>
      <c r="S504" s="208">
        <f t="shared" si="240"/>
        <v>1182485.5014661995</v>
      </c>
      <c r="T504" s="208">
        <f t="shared" si="240"/>
        <v>709491.30087971967</v>
      </c>
      <c r="U504" s="208">
        <f t="shared" si="240"/>
        <v>709491.30087971967</v>
      </c>
      <c r="V504" s="208">
        <f t="shared" si="240"/>
        <v>354745.65043985983</v>
      </c>
      <c r="W504" s="208">
        <f t="shared" si="240"/>
        <v>0</v>
      </c>
      <c r="X504" s="208">
        <f t="shared" si="240"/>
        <v>0</v>
      </c>
      <c r="Y504" s="208">
        <f t="shared" si="240"/>
        <v>0</v>
      </c>
      <c r="Z504" s="208">
        <f t="shared" si="240"/>
        <v>0</v>
      </c>
      <c r="AA504" s="208">
        <f t="shared" si="240"/>
        <v>0</v>
      </c>
      <c r="AB504" s="208">
        <f t="shared" si="240"/>
        <v>0</v>
      </c>
      <c r="AC504" s="208">
        <f t="shared" si="240"/>
        <v>0</v>
      </c>
      <c r="AD504" s="208">
        <f t="shared" si="240"/>
        <v>0</v>
      </c>
      <c r="AE504" s="208">
        <f t="shared" si="240"/>
        <v>0</v>
      </c>
      <c r="AF504" s="208">
        <f t="shared" si="240"/>
        <v>0</v>
      </c>
      <c r="AG504" s="208">
        <f t="shared" si="240"/>
        <v>0</v>
      </c>
      <c r="AH504" s="208">
        <f t="shared" si="240"/>
        <v>0</v>
      </c>
      <c r="AI504" s="208">
        <f t="shared" si="240"/>
        <v>0</v>
      </c>
      <c r="AJ504" s="208">
        <f t="shared" si="240"/>
        <v>0</v>
      </c>
      <c r="AK504" s="208">
        <f t="shared" si="240"/>
        <v>0</v>
      </c>
      <c r="AL504" s="208">
        <f t="shared" si="240"/>
        <v>0</v>
      </c>
      <c r="AM504" s="208">
        <f t="shared" si="240"/>
        <v>0</v>
      </c>
      <c r="AN504" s="208">
        <f t="shared" si="240"/>
        <v>0</v>
      </c>
      <c r="AO504" s="208">
        <f t="shared" si="240"/>
        <v>0</v>
      </c>
      <c r="AP504" s="208">
        <f t="shared" si="240"/>
        <v>0</v>
      </c>
    </row>
    <row r="505" spans="1:42">
      <c r="A505" s="119">
        <f>A504+1</f>
        <v>2</v>
      </c>
      <c r="B505" s="218">
        <f t="shared" si="239"/>
        <v>1539980.512798867</v>
      </c>
      <c r="C505" s="250">
        <f t="shared" ref="C505:AP505" si="241">LOOKUP(C493,$B$461:$AP$461,$B$462:$AP$462)*$B714</f>
        <v>0</v>
      </c>
      <c r="D505" s="208">
        <f t="shared" si="241"/>
        <v>0</v>
      </c>
      <c r="E505" s="208">
        <f t="shared" si="241"/>
        <v>0</v>
      </c>
      <c r="F505" s="208">
        <f t="shared" si="241"/>
        <v>0</v>
      </c>
      <c r="G505" s="208">
        <f t="shared" si="241"/>
        <v>0</v>
      </c>
      <c r="H505" s="208">
        <f t="shared" si="241"/>
        <v>0</v>
      </c>
      <c r="I505" s="208">
        <f t="shared" si="241"/>
        <v>0</v>
      </c>
      <c r="J505" s="208">
        <f t="shared" si="241"/>
        <v>0</v>
      </c>
      <c r="K505" s="208">
        <f t="shared" si="241"/>
        <v>0</v>
      </c>
      <c r="L505" s="208">
        <f t="shared" si="241"/>
        <v>0</v>
      </c>
      <c r="M505" s="208">
        <f t="shared" si="241"/>
        <v>0</v>
      </c>
      <c r="N505" s="208">
        <f t="shared" si="241"/>
        <v>0</v>
      </c>
      <c r="O505" s="208">
        <f t="shared" si="241"/>
        <v>0</v>
      </c>
      <c r="P505" s="208">
        <f t="shared" si="241"/>
        <v>0</v>
      </c>
      <c r="Q505" s="208">
        <f t="shared" si="241"/>
        <v>0</v>
      </c>
      <c r="R505" s="208">
        <f t="shared" si="241"/>
        <v>0</v>
      </c>
      <c r="S505" s="208">
        <f t="shared" si="241"/>
        <v>0</v>
      </c>
      <c r="T505" s="208">
        <f t="shared" si="241"/>
        <v>0</v>
      </c>
      <c r="U505" s="208">
        <f t="shared" si="241"/>
        <v>0</v>
      </c>
      <c r="V505" s="208">
        <f t="shared" si="241"/>
        <v>0</v>
      </c>
      <c r="W505" s="208">
        <f t="shared" si="241"/>
        <v>0</v>
      </c>
      <c r="X505" s="208">
        <f t="shared" si="241"/>
        <v>0</v>
      </c>
      <c r="Y505" s="208">
        <f t="shared" si="241"/>
        <v>0</v>
      </c>
      <c r="Z505" s="208">
        <f t="shared" si="241"/>
        <v>0</v>
      </c>
      <c r="AA505" s="208">
        <f t="shared" si="241"/>
        <v>0</v>
      </c>
      <c r="AB505" s="208">
        <f t="shared" si="241"/>
        <v>0</v>
      </c>
      <c r="AC505" s="208">
        <f t="shared" si="241"/>
        <v>0</v>
      </c>
      <c r="AD505" s="208">
        <f t="shared" si="241"/>
        <v>0</v>
      </c>
      <c r="AE505" s="208">
        <f t="shared" si="241"/>
        <v>0</v>
      </c>
      <c r="AF505" s="208">
        <f t="shared" si="241"/>
        <v>1539980.512798867</v>
      </c>
      <c r="AG505" s="208">
        <f t="shared" si="241"/>
        <v>0</v>
      </c>
      <c r="AH505" s="208">
        <f t="shared" si="241"/>
        <v>0</v>
      </c>
      <c r="AI505" s="208">
        <f t="shared" si="241"/>
        <v>0</v>
      </c>
      <c r="AJ505" s="208">
        <f t="shared" si="241"/>
        <v>0</v>
      </c>
      <c r="AK505" s="208">
        <f t="shared" si="241"/>
        <v>0</v>
      </c>
      <c r="AL505" s="208">
        <f t="shared" si="241"/>
        <v>0</v>
      </c>
      <c r="AM505" s="208">
        <f t="shared" si="241"/>
        <v>0</v>
      </c>
      <c r="AN505" s="208">
        <f t="shared" si="241"/>
        <v>0</v>
      </c>
      <c r="AO505" s="208">
        <f t="shared" si="241"/>
        <v>0</v>
      </c>
      <c r="AP505" s="208">
        <f t="shared" si="241"/>
        <v>0</v>
      </c>
    </row>
    <row r="506" spans="1:42">
      <c r="A506" s="119">
        <f t="shared" ref="A506:A511" si="242">A505+1</f>
        <v>3</v>
      </c>
      <c r="B506" s="218">
        <f t="shared" si="239"/>
        <v>0</v>
      </c>
      <c r="C506" s="250">
        <f t="shared" ref="C506:AP506" si="243">LOOKUP(C494,$B$461:$AP$461,$B$462:$AP$462)*$B715</f>
        <v>0</v>
      </c>
      <c r="D506" s="208">
        <f t="shared" si="243"/>
        <v>0</v>
      </c>
      <c r="E506" s="208">
        <f t="shared" si="243"/>
        <v>0</v>
      </c>
      <c r="F506" s="208">
        <f t="shared" si="243"/>
        <v>0</v>
      </c>
      <c r="G506" s="208">
        <f t="shared" si="243"/>
        <v>0</v>
      </c>
      <c r="H506" s="208">
        <f t="shared" si="243"/>
        <v>0</v>
      </c>
      <c r="I506" s="208">
        <f t="shared" si="243"/>
        <v>0</v>
      </c>
      <c r="J506" s="208">
        <f t="shared" si="243"/>
        <v>0</v>
      </c>
      <c r="K506" s="208">
        <f t="shared" si="243"/>
        <v>0</v>
      </c>
      <c r="L506" s="208">
        <f t="shared" si="243"/>
        <v>0</v>
      </c>
      <c r="M506" s="208">
        <f t="shared" si="243"/>
        <v>0</v>
      </c>
      <c r="N506" s="208">
        <f t="shared" si="243"/>
        <v>0</v>
      </c>
      <c r="O506" s="208">
        <f t="shared" si="243"/>
        <v>0</v>
      </c>
      <c r="P506" s="208">
        <f t="shared" si="243"/>
        <v>0</v>
      </c>
      <c r="Q506" s="208">
        <f t="shared" si="243"/>
        <v>0</v>
      </c>
      <c r="R506" s="208">
        <f t="shared" si="243"/>
        <v>0</v>
      </c>
      <c r="S506" s="208">
        <f t="shared" si="243"/>
        <v>0</v>
      </c>
      <c r="T506" s="208">
        <f t="shared" si="243"/>
        <v>0</v>
      </c>
      <c r="U506" s="208">
        <f t="shared" si="243"/>
        <v>0</v>
      </c>
      <c r="V506" s="208">
        <f t="shared" si="243"/>
        <v>0</v>
      </c>
      <c r="W506" s="208">
        <f t="shared" si="243"/>
        <v>0</v>
      </c>
      <c r="X506" s="208">
        <f t="shared" si="243"/>
        <v>0</v>
      </c>
      <c r="Y506" s="208">
        <f t="shared" si="243"/>
        <v>0</v>
      </c>
      <c r="Z506" s="208">
        <f t="shared" si="243"/>
        <v>0</v>
      </c>
      <c r="AA506" s="208">
        <f t="shared" si="243"/>
        <v>0</v>
      </c>
      <c r="AB506" s="208">
        <f t="shared" si="243"/>
        <v>0</v>
      </c>
      <c r="AC506" s="208">
        <f t="shared" si="243"/>
        <v>0</v>
      </c>
      <c r="AD506" s="208">
        <f t="shared" si="243"/>
        <v>0</v>
      </c>
      <c r="AE506" s="208">
        <f t="shared" si="243"/>
        <v>0</v>
      </c>
      <c r="AF506" s="208">
        <f t="shared" si="243"/>
        <v>0</v>
      </c>
      <c r="AG506" s="208">
        <f t="shared" si="243"/>
        <v>0</v>
      </c>
      <c r="AH506" s="208">
        <f t="shared" si="243"/>
        <v>0</v>
      </c>
      <c r="AI506" s="208">
        <f t="shared" si="243"/>
        <v>0</v>
      </c>
      <c r="AJ506" s="208">
        <f t="shared" si="243"/>
        <v>0</v>
      </c>
      <c r="AK506" s="208">
        <f t="shared" si="243"/>
        <v>0</v>
      </c>
      <c r="AL506" s="208">
        <f t="shared" si="243"/>
        <v>0</v>
      </c>
      <c r="AM506" s="208">
        <f t="shared" si="243"/>
        <v>0</v>
      </c>
      <c r="AN506" s="208">
        <f t="shared" si="243"/>
        <v>0</v>
      </c>
      <c r="AO506" s="208">
        <f t="shared" si="243"/>
        <v>0</v>
      </c>
      <c r="AP506" s="208">
        <f t="shared" si="243"/>
        <v>0</v>
      </c>
    </row>
    <row r="507" spans="1:42">
      <c r="A507" s="119">
        <f t="shared" si="242"/>
        <v>4</v>
      </c>
      <c r="B507" s="218">
        <f t="shared" si="239"/>
        <v>0</v>
      </c>
      <c r="C507" s="250">
        <f t="shared" ref="C507:AP507" si="244">LOOKUP(C495,$B$461:$AP$461,$B$462:$AP$462)*$B716</f>
        <v>0</v>
      </c>
      <c r="D507" s="208">
        <f t="shared" si="244"/>
        <v>0</v>
      </c>
      <c r="E507" s="208">
        <f t="shared" si="244"/>
        <v>0</v>
      </c>
      <c r="F507" s="208">
        <f t="shared" si="244"/>
        <v>0</v>
      </c>
      <c r="G507" s="208">
        <f t="shared" si="244"/>
        <v>0</v>
      </c>
      <c r="H507" s="208">
        <f t="shared" si="244"/>
        <v>0</v>
      </c>
      <c r="I507" s="208">
        <f t="shared" si="244"/>
        <v>0</v>
      </c>
      <c r="J507" s="208">
        <f t="shared" si="244"/>
        <v>0</v>
      </c>
      <c r="K507" s="208">
        <f t="shared" si="244"/>
        <v>0</v>
      </c>
      <c r="L507" s="208">
        <f t="shared" si="244"/>
        <v>0</v>
      </c>
      <c r="M507" s="208">
        <f t="shared" si="244"/>
        <v>0</v>
      </c>
      <c r="N507" s="208">
        <f t="shared" si="244"/>
        <v>0</v>
      </c>
      <c r="O507" s="208">
        <f t="shared" si="244"/>
        <v>0</v>
      </c>
      <c r="P507" s="208">
        <f t="shared" si="244"/>
        <v>0</v>
      </c>
      <c r="Q507" s="208">
        <f t="shared" si="244"/>
        <v>0</v>
      </c>
      <c r="R507" s="208">
        <f t="shared" si="244"/>
        <v>0</v>
      </c>
      <c r="S507" s="208">
        <f t="shared" si="244"/>
        <v>0</v>
      </c>
      <c r="T507" s="208">
        <f t="shared" si="244"/>
        <v>0</v>
      </c>
      <c r="U507" s="208">
        <f t="shared" si="244"/>
        <v>0</v>
      </c>
      <c r="V507" s="208">
        <f t="shared" si="244"/>
        <v>0</v>
      </c>
      <c r="W507" s="208">
        <f t="shared" si="244"/>
        <v>0</v>
      </c>
      <c r="X507" s="208">
        <f t="shared" si="244"/>
        <v>0</v>
      </c>
      <c r="Y507" s="208">
        <f t="shared" si="244"/>
        <v>0</v>
      </c>
      <c r="Z507" s="208">
        <f t="shared" si="244"/>
        <v>0</v>
      </c>
      <c r="AA507" s="208">
        <f t="shared" si="244"/>
        <v>0</v>
      </c>
      <c r="AB507" s="208">
        <f t="shared" si="244"/>
        <v>0</v>
      </c>
      <c r="AC507" s="208">
        <f t="shared" si="244"/>
        <v>0</v>
      </c>
      <c r="AD507" s="208">
        <f t="shared" si="244"/>
        <v>0</v>
      </c>
      <c r="AE507" s="208">
        <f t="shared" si="244"/>
        <v>0</v>
      </c>
      <c r="AF507" s="208">
        <f t="shared" si="244"/>
        <v>0</v>
      </c>
      <c r="AG507" s="208">
        <f t="shared" si="244"/>
        <v>0</v>
      </c>
      <c r="AH507" s="208">
        <f t="shared" si="244"/>
        <v>0</v>
      </c>
      <c r="AI507" s="208">
        <f t="shared" si="244"/>
        <v>0</v>
      </c>
      <c r="AJ507" s="208">
        <f t="shared" si="244"/>
        <v>0</v>
      </c>
      <c r="AK507" s="208">
        <f t="shared" si="244"/>
        <v>0</v>
      </c>
      <c r="AL507" s="208">
        <f t="shared" si="244"/>
        <v>0</v>
      </c>
      <c r="AM507" s="208">
        <f t="shared" si="244"/>
        <v>0</v>
      </c>
      <c r="AN507" s="208">
        <f t="shared" si="244"/>
        <v>0</v>
      </c>
      <c r="AO507" s="208">
        <f t="shared" si="244"/>
        <v>0</v>
      </c>
      <c r="AP507" s="208">
        <f t="shared" si="244"/>
        <v>0</v>
      </c>
    </row>
    <row r="508" spans="1:42">
      <c r="A508" s="119">
        <f t="shared" si="242"/>
        <v>5</v>
      </c>
      <c r="B508" s="218">
        <f t="shared" si="239"/>
        <v>0</v>
      </c>
      <c r="C508" s="250">
        <f t="shared" ref="C508:AP508" si="245">LOOKUP(C496,$B$461:$AP$461,$B$462:$AP$462)*$B717</f>
        <v>0</v>
      </c>
      <c r="D508" s="208">
        <f t="shared" si="245"/>
        <v>0</v>
      </c>
      <c r="E508" s="208">
        <f t="shared" si="245"/>
        <v>0</v>
      </c>
      <c r="F508" s="208">
        <f t="shared" si="245"/>
        <v>0</v>
      </c>
      <c r="G508" s="208">
        <f t="shared" si="245"/>
        <v>0</v>
      </c>
      <c r="H508" s="208">
        <f t="shared" si="245"/>
        <v>0</v>
      </c>
      <c r="I508" s="208">
        <f t="shared" si="245"/>
        <v>0</v>
      </c>
      <c r="J508" s="208">
        <f t="shared" si="245"/>
        <v>0</v>
      </c>
      <c r="K508" s="208">
        <f t="shared" si="245"/>
        <v>0</v>
      </c>
      <c r="L508" s="208">
        <f t="shared" si="245"/>
        <v>0</v>
      </c>
      <c r="M508" s="208">
        <f t="shared" si="245"/>
        <v>0</v>
      </c>
      <c r="N508" s="208">
        <f t="shared" si="245"/>
        <v>0</v>
      </c>
      <c r="O508" s="208">
        <f t="shared" si="245"/>
        <v>0</v>
      </c>
      <c r="P508" s="208">
        <f t="shared" si="245"/>
        <v>0</v>
      </c>
      <c r="Q508" s="208">
        <f t="shared" si="245"/>
        <v>0</v>
      </c>
      <c r="R508" s="208">
        <f t="shared" si="245"/>
        <v>0</v>
      </c>
      <c r="S508" s="208">
        <f t="shared" si="245"/>
        <v>0</v>
      </c>
      <c r="T508" s="208">
        <f t="shared" si="245"/>
        <v>0</v>
      </c>
      <c r="U508" s="208">
        <f t="shared" si="245"/>
        <v>0</v>
      </c>
      <c r="V508" s="208">
        <f t="shared" si="245"/>
        <v>0</v>
      </c>
      <c r="W508" s="208">
        <f t="shared" si="245"/>
        <v>0</v>
      </c>
      <c r="X508" s="208">
        <f t="shared" si="245"/>
        <v>0</v>
      </c>
      <c r="Y508" s="208">
        <f t="shared" si="245"/>
        <v>0</v>
      </c>
      <c r="Z508" s="208">
        <f t="shared" si="245"/>
        <v>0</v>
      </c>
      <c r="AA508" s="208">
        <f t="shared" si="245"/>
        <v>0</v>
      </c>
      <c r="AB508" s="208">
        <f t="shared" si="245"/>
        <v>0</v>
      </c>
      <c r="AC508" s="208">
        <f t="shared" si="245"/>
        <v>0</v>
      </c>
      <c r="AD508" s="208">
        <f t="shared" si="245"/>
        <v>0</v>
      </c>
      <c r="AE508" s="208">
        <f t="shared" si="245"/>
        <v>0</v>
      </c>
      <c r="AF508" s="208">
        <f t="shared" si="245"/>
        <v>0</v>
      </c>
      <c r="AG508" s="208">
        <f t="shared" si="245"/>
        <v>0</v>
      </c>
      <c r="AH508" s="208">
        <f t="shared" si="245"/>
        <v>0</v>
      </c>
      <c r="AI508" s="208">
        <f t="shared" si="245"/>
        <v>0</v>
      </c>
      <c r="AJ508" s="208">
        <f t="shared" si="245"/>
        <v>0</v>
      </c>
      <c r="AK508" s="208">
        <f t="shared" si="245"/>
        <v>0</v>
      </c>
      <c r="AL508" s="208">
        <f t="shared" si="245"/>
        <v>0</v>
      </c>
      <c r="AM508" s="208">
        <f t="shared" si="245"/>
        <v>0</v>
      </c>
      <c r="AN508" s="208">
        <f t="shared" si="245"/>
        <v>0</v>
      </c>
      <c r="AO508" s="208">
        <f t="shared" si="245"/>
        <v>0</v>
      </c>
      <c r="AP508" s="208">
        <f t="shared" si="245"/>
        <v>0</v>
      </c>
    </row>
    <row r="509" spans="1:42">
      <c r="A509" s="119">
        <f t="shared" si="242"/>
        <v>6</v>
      </c>
      <c r="B509" s="218">
        <f t="shared" si="239"/>
        <v>0</v>
      </c>
      <c r="C509" s="250">
        <f t="shared" ref="C509:AP509" si="246">LOOKUP(C497,$B$461:$AP$461,$B$462:$AP$462)*$B718</f>
        <v>0</v>
      </c>
      <c r="D509" s="208">
        <f t="shared" si="246"/>
        <v>0</v>
      </c>
      <c r="E509" s="208">
        <f t="shared" si="246"/>
        <v>0</v>
      </c>
      <c r="F509" s="208">
        <f t="shared" si="246"/>
        <v>0</v>
      </c>
      <c r="G509" s="208">
        <f t="shared" si="246"/>
        <v>0</v>
      </c>
      <c r="H509" s="208">
        <f t="shared" si="246"/>
        <v>0</v>
      </c>
      <c r="I509" s="208">
        <f t="shared" si="246"/>
        <v>0</v>
      </c>
      <c r="J509" s="208">
        <f t="shared" si="246"/>
        <v>0</v>
      </c>
      <c r="K509" s="208">
        <f t="shared" si="246"/>
        <v>0</v>
      </c>
      <c r="L509" s="208">
        <f t="shared" si="246"/>
        <v>0</v>
      </c>
      <c r="M509" s="208">
        <f t="shared" si="246"/>
        <v>0</v>
      </c>
      <c r="N509" s="208">
        <f t="shared" si="246"/>
        <v>0</v>
      </c>
      <c r="O509" s="208">
        <f t="shared" si="246"/>
        <v>0</v>
      </c>
      <c r="P509" s="208">
        <f t="shared" si="246"/>
        <v>0</v>
      </c>
      <c r="Q509" s="208">
        <f t="shared" si="246"/>
        <v>0</v>
      </c>
      <c r="R509" s="208">
        <f t="shared" si="246"/>
        <v>0</v>
      </c>
      <c r="S509" s="208">
        <f t="shared" si="246"/>
        <v>0</v>
      </c>
      <c r="T509" s="208">
        <f t="shared" si="246"/>
        <v>0</v>
      </c>
      <c r="U509" s="208">
        <f t="shared" si="246"/>
        <v>0</v>
      </c>
      <c r="V509" s="208">
        <f t="shared" si="246"/>
        <v>0</v>
      </c>
      <c r="W509" s="208">
        <f t="shared" si="246"/>
        <v>0</v>
      </c>
      <c r="X509" s="208">
        <f t="shared" si="246"/>
        <v>0</v>
      </c>
      <c r="Y509" s="208">
        <f t="shared" si="246"/>
        <v>0</v>
      </c>
      <c r="Z509" s="208">
        <f t="shared" si="246"/>
        <v>0</v>
      </c>
      <c r="AA509" s="208">
        <f t="shared" si="246"/>
        <v>0</v>
      </c>
      <c r="AB509" s="208">
        <f t="shared" si="246"/>
        <v>0</v>
      </c>
      <c r="AC509" s="208">
        <f t="shared" si="246"/>
        <v>0</v>
      </c>
      <c r="AD509" s="208">
        <f t="shared" si="246"/>
        <v>0</v>
      </c>
      <c r="AE509" s="208">
        <f t="shared" si="246"/>
        <v>0</v>
      </c>
      <c r="AF509" s="208">
        <f t="shared" si="246"/>
        <v>0</v>
      </c>
      <c r="AG509" s="208">
        <f t="shared" si="246"/>
        <v>0</v>
      </c>
      <c r="AH509" s="208">
        <f t="shared" si="246"/>
        <v>0</v>
      </c>
      <c r="AI509" s="208">
        <f t="shared" si="246"/>
        <v>0</v>
      </c>
      <c r="AJ509" s="208">
        <f t="shared" si="246"/>
        <v>0</v>
      </c>
      <c r="AK509" s="208">
        <f t="shared" si="246"/>
        <v>0</v>
      </c>
      <c r="AL509" s="208">
        <f t="shared" si="246"/>
        <v>0</v>
      </c>
      <c r="AM509" s="208">
        <f t="shared" si="246"/>
        <v>0</v>
      </c>
      <c r="AN509" s="208">
        <f t="shared" si="246"/>
        <v>0</v>
      </c>
      <c r="AO509" s="208">
        <f t="shared" si="246"/>
        <v>0</v>
      </c>
      <c r="AP509" s="208">
        <f t="shared" si="246"/>
        <v>0</v>
      </c>
    </row>
    <row r="510" spans="1:42">
      <c r="A510" s="119">
        <f t="shared" si="242"/>
        <v>7</v>
      </c>
      <c r="B510" s="218">
        <f t="shared" si="239"/>
        <v>0</v>
      </c>
      <c r="C510" s="250">
        <f t="shared" ref="C510:AP510" si="247">LOOKUP(C498,$B$461:$AP$461,$B$462:$AP$462)*$B719</f>
        <v>0</v>
      </c>
      <c r="D510" s="208">
        <f t="shared" si="247"/>
        <v>0</v>
      </c>
      <c r="E510" s="208">
        <f t="shared" si="247"/>
        <v>0</v>
      </c>
      <c r="F510" s="208">
        <f t="shared" si="247"/>
        <v>0</v>
      </c>
      <c r="G510" s="208">
        <f t="shared" si="247"/>
        <v>0</v>
      </c>
      <c r="H510" s="208">
        <f t="shared" si="247"/>
        <v>0</v>
      </c>
      <c r="I510" s="208">
        <f t="shared" si="247"/>
        <v>0</v>
      </c>
      <c r="J510" s="208">
        <f t="shared" si="247"/>
        <v>0</v>
      </c>
      <c r="K510" s="208">
        <f t="shared" si="247"/>
        <v>0</v>
      </c>
      <c r="L510" s="208">
        <f t="shared" si="247"/>
        <v>0</v>
      </c>
      <c r="M510" s="208">
        <f t="shared" si="247"/>
        <v>0</v>
      </c>
      <c r="N510" s="208">
        <f t="shared" si="247"/>
        <v>0</v>
      </c>
      <c r="O510" s="208">
        <f t="shared" si="247"/>
        <v>0</v>
      </c>
      <c r="P510" s="208">
        <f t="shared" si="247"/>
        <v>0</v>
      </c>
      <c r="Q510" s="208">
        <f t="shared" si="247"/>
        <v>0</v>
      </c>
      <c r="R510" s="208">
        <f t="shared" si="247"/>
        <v>0</v>
      </c>
      <c r="S510" s="208">
        <f t="shared" si="247"/>
        <v>0</v>
      </c>
      <c r="T510" s="208">
        <f t="shared" si="247"/>
        <v>0</v>
      </c>
      <c r="U510" s="208">
        <f t="shared" si="247"/>
        <v>0</v>
      </c>
      <c r="V510" s="208">
        <f t="shared" si="247"/>
        <v>0</v>
      </c>
      <c r="W510" s="208">
        <f t="shared" si="247"/>
        <v>0</v>
      </c>
      <c r="X510" s="208">
        <f t="shared" si="247"/>
        <v>0</v>
      </c>
      <c r="Y510" s="208">
        <f t="shared" si="247"/>
        <v>0</v>
      </c>
      <c r="Z510" s="208">
        <f t="shared" si="247"/>
        <v>0</v>
      </c>
      <c r="AA510" s="208">
        <f t="shared" si="247"/>
        <v>0</v>
      </c>
      <c r="AB510" s="208">
        <f t="shared" si="247"/>
        <v>0</v>
      </c>
      <c r="AC510" s="208">
        <f t="shared" si="247"/>
        <v>0</v>
      </c>
      <c r="AD510" s="208">
        <f t="shared" si="247"/>
        <v>0</v>
      </c>
      <c r="AE510" s="208">
        <f t="shared" si="247"/>
        <v>0</v>
      </c>
      <c r="AF510" s="208">
        <f t="shared" si="247"/>
        <v>0</v>
      </c>
      <c r="AG510" s="208">
        <f t="shared" si="247"/>
        <v>0</v>
      </c>
      <c r="AH510" s="208">
        <f t="shared" si="247"/>
        <v>0</v>
      </c>
      <c r="AI510" s="208">
        <f t="shared" si="247"/>
        <v>0</v>
      </c>
      <c r="AJ510" s="208">
        <f t="shared" si="247"/>
        <v>0</v>
      </c>
      <c r="AK510" s="208">
        <f t="shared" si="247"/>
        <v>0</v>
      </c>
      <c r="AL510" s="208">
        <f t="shared" si="247"/>
        <v>0</v>
      </c>
      <c r="AM510" s="208">
        <f t="shared" si="247"/>
        <v>0</v>
      </c>
      <c r="AN510" s="208">
        <f t="shared" si="247"/>
        <v>0</v>
      </c>
      <c r="AO510" s="208">
        <f t="shared" si="247"/>
        <v>0</v>
      </c>
      <c r="AP510" s="208">
        <f t="shared" si="247"/>
        <v>0</v>
      </c>
    </row>
    <row r="511" spans="1:42">
      <c r="A511" s="119">
        <f t="shared" si="242"/>
        <v>8</v>
      </c>
      <c r="B511" s="218">
        <f t="shared" si="239"/>
        <v>0</v>
      </c>
      <c r="C511" s="250">
        <f t="shared" ref="C511:AP511" si="248">LOOKUP(C499,$B$461:$AP$461,$B$462:$AP$462)*$B720</f>
        <v>0</v>
      </c>
      <c r="D511" s="208">
        <f t="shared" si="248"/>
        <v>0</v>
      </c>
      <c r="E511" s="208">
        <f t="shared" si="248"/>
        <v>0</v>
      </c>
      <c r="F511" s="208">
        <f t="shared" si="248"/>
        <v>0</v>
      </c>
      <c r="G511" s="208">
        <f t="shared" si="248"/>
        <v>0</v>
      </c>
      <c r="H511" s="208">
        <f t="shared" si="248"/>
        <v>0</v>
      </c>
      <c r="I511" s="208">
        <f t="shared" si="248"/>
        <v>0</v>
      </c>
      <c r="J511" s="208">
        <f t="shared" si="248"/>
        <v>0</v>
      </c>
      <c r="K511" s="208">
        <f t="shared" si="248"/>
        <v>0</v>
      </c>
      <c r="L511" s="208">
        <f t="shared" si="248"/>
        <v>0</v>
      </c>
      <c r="M511" s="208">
        <f t="shared" si="248"/>
        <v>0</v>
      </c>
      <c r="N511" s="208">
        <f t="shared" si="248"/>
        <v>0</v>
      </c>
      <c r="O511" s="208">
        <f t="shared" si="248"/>
        <v>0</v>
      </c>
      <c r="P511" s="208">
        <f t="shared" si="248"/>
        <v>0</v>
      </c>
      <c r="Q511" s="208">
        <f t="shared" si="248"/>
        <v>0</v>
      </c>
      <c r="R511" s="208">
        <f t="shared" si="248"/>
        <v>0</v>
      </c>
      <c r="S511" s="208">
        <f t="shared" si="248"/>
        <v>0</v>
      </c>
      <c r="T511" s="208">
        <f t="shared" si="248"/>
        <v>0</v>
      </c>
      <c r="U511" s="208">
        <f t="shared" si="248"/>
        <v>0</v>
      </c>
      <c r="V511" s="208">
        <f t="shared" si="248"/>
        <v>0</v>
      </c>
      <c r="W511" s="208">
        <f t="shared" si="248"/>
        <v>0</v>
      </c>
      <c r="X511" s="208">
        <f t="shared" si="248"/>
        <v>0</v>
      </c>
      <c r="Y511" s="208">
        <f t="shared" si="248"/>
        <v>0</v>
      </c>
      <c r="Z511" s="208">
        <f t="shared" si="248"/>
        <v>0</v>
      </c>
      <c r="AA511" s="208">
        <f t="shared" si="248"/>
        <v>0</v>
      </c>
      <c r="AB511" s="208">
        <f t="shared" si="248"/>
        <v>0</v>
      </c>
      <c r="AC511" s="208">
        <f t="shared" si="248"/>
        <v>0</v>
      </c>
      <c r="AD511" s="208">
        <f t="shared" si="248"/>
        <v>0</v>
      </c>
      <c r="AE511" s="208">
        <f t="shared" si="248"/>
        <v>0</v>
      </c>
      <c r="AF511" s="208">
        <f t="shared" si="248"/>
        <v>0</v>
      </c>
      <c r="AG511" s="208">
        <f t="shared" si="248"/>
        <v>0</v>
      </c>
      <c r="AH511" s="208">
        <f t="shared" si="248"/>
        <v>0</v>
      </c>
      <c r="AI511" s="208">
        <f t="shared" si="248"/>
        <v>0</v>
      </c>
      <c r="AJ511" s="208">
        <f t="shared" si="248"/>
        <v>0</v>
      </c>
      <c r="AK511" s="208">
        <f t="shared" si="248"/>
        <v>0</v>
      </c>
      <c r="AL511" s="208">
        <f t="shared" si="248"/>
        <v>0</v>
      </c>
      <c r="AM511" s="208">
        <f t="shared" si="248"/>
        <v>0</v>
      </c>
      <c r="AN511" s="208">
        <f t="shared" si="248"/>
        <v>0</v>
      </c>
      <c r="AO511" s="208">
        <f t="shared" si="248"/>
        <v>0</v>
      </c>
      <c r="AP511" s="208">
        <f t="shared" si="248"/>
        <v>0</v>
      </c>
    </row>
    <row r="512" spans="1:42">
      <c r="A512" s="119">
        <f>A511+1</f>
        <v>9</v>
      </c>
      <c r="B512" s="218">
        <f t="shared" si="239"/>
        <v>0</v>
      </c>
      <c r="C512" s="250">
        <f t="shared" ref="C512:AP512" si="249">LOOKUP(C500,$B$461:$AP$461,$B$462:$AP$462)*$B721</f>
        <v>0</v>
      </c>
      <c r="D512" s="208">
        <f t="shared" si="249"/>
        <v>0</v>
      </c>
      <c r="E512" s="208">
        <f t="shared" si="249"/>
        <v>0</v>
      </c>
      <c r="F512" s="208">
        <f t="shared" si="249"/>
        <v>0</v>
      </c>
      <c r="G512" s="208">
        <f t="shared" si="249"/>
        <v>0</v>
      </c>
      <c r="H512" s="208">
        <f t="shared" si="249"/>
        <v>0</v>
      </c>
      <c r="I512" s="208">
        <f t="shared" si="249"/>
        <v>0</v>
      </c>
      <c r="J512" s="208">
        <f t="shared" si="249"/>
        <v>0</v>
      </c>
      <c r="K512" s="208">
        <f t="shared" si="249"/>
        <v>0</v>
      </c>
      <c r="L512" s="208">
        <f t="shared" si="249"/>
        <v>0</v>
      </c>
      <c r="M512" s="208">
        <f t="shared" si="249"/>
        <v>0</v>
      </c>
      <c r="N512" s="208">
        <f t="shared" si="249"/>
        <v>0</v>
      </c>
      <c r="O512" s="208">
        <f t="shared" si="249"/>
        <v>0</v>
      </c>
      <c r="P512" s="208">
        <f t="shared" si="249"/>
        <v>0</v>
      </c>
      <c r="Q512" s="208">
        <f t="shared" si="249"/>
        <v>0</v>
      </c>
      <c r="R512" s="208">
        <f t="shared" si="249"/>
        <v>0</v>
      </c>
      <c r="S512" s="208">
        <f t="shared" si="249"/>
        <v>0</v>
      </c>
      <c r="T512" s="208">
        <f t="shared" si="249"/>
        <v>0</v>
      </c>
      <c r="U512" s="208">
        <f t="shared" si="249"/>
        <v>0</v>
      </c>
      <c r="V512" s="208">
        <f t="shared" si="249"/>
        <v>0</v>
      </c>
      <c r="W512" s="208">
        <f t="shared" si="249"/>
        <v>0</v>
      </c>
      <c r="X512" s="208">
        <f t="shared" si="249"/>
        <v>0</v>
      </c>
      <c r="Y512" s="208">
        <f t="shared" si="249"/>
        <v>0</v>
      </c>
      <c r="Z512" s="208">
        <f t="shared" si="249"/>
        <v>0</v>
      </c>
      <c r="AA512" s="208">
        <f t="shared" si="249"/>
        <v>0</v>
      </c>
      <c r="AB512" s="208">
        <f t="shared" si="249"/>
        <v>0</v>
      </c>
      <c r="AC512" s="208">
        <f t="shared" si="249"/>
        <v>0</v>
      </c>
      <c r="AD512" s="208">
        <f t="shared" si="249"/>
        <v>0</v>
      </c>
      <c r="AE512" s="208">
        <f t="shared" si="249"/>
        <v>0</v>
      </c>
      <c r="AF512" s="208">
        <f t="shared" si="249"/>
        <v>0</v>
      </c>
      <c r="AG512" s="208">
        <f t="shared" si="249"/>
        <v>0</v>
      </c>
      <c r="AH512" s="208">
        <f t="shared" si="249"/>
        <v>0</v>
      </c>
      <c r="AI512" s="208">
        <f t="shared" si="249"/>
        <v>0</v>
      </c>
      <c r="AJ512" s="208">
        <f t="shared" si="249"/>
        <v>0</v>
      </c>
      <c r="AK512" s="208">
        <f t="shared" si="249"/>
        <v>0</v>
      </c>
      <c r="AL512" s="208">
        <f t="shared" si="249"/>
        <v>0</v>
      </c>
      <c r="AM512" s="208">
        <f t="shared" si="249"/>
        <v>0</v>
      </c>
      <c r="AN512" s="208">
        <f t="shared" si="249"/>
        <v>0</v>
      </c>
      <c r="AO512" s="208">
        <f t="shared" si="249"/>
        <v>0</v>
      </c>
      <c r="AP512" s="208">
        <f t="shared" si="249"/>
        <v>0</v>
      </c>
    </row>
    <row r="513" spans="1:42">
      <c r="A513" s="119">
        <f t="shared" ref="A513" si="250">A512+1</f>
        <v>10</v>
      </c>
      <c r="B513" s="218">
        <f t="shared" si="239"/>
        <v>0</v>
      </c>
      <c r="C513" s="246">
        <f t="shared" ref="C513:AP513" si="251">LOOKUP(C501,$B$461:$AP$461,$B$462:$AP$462)*$B722</f>
        <v>0</v>
      </c>
      <c r="D513" s="209">
        <f t="shared" si="251"/>
        <v>0</v>
      </c>
      <c r="E513" s="209">
        <f t="shared" si="251"/>
        <v>0</v>
      </c>
      <c r="F513" s="209">
        <f t="shared" si="251"/>
        <v>0</v>
      </c>
      <c r="G513" s="209">
        <f t="shared" si="251"/>
        <v>0</v>
      </c>
      <c r="H513" s="209">
        <f t="shared" si="251"/>
        <v>0</v>
      </c>
      <c r="I513" s="209">
        <f t="shared" si="251"/>
        <v>0</v>
      </c>
      <c r="J513" s="209">
        <f t="shared" si="251"/>
        <v>0</v>
      </c>
      <c r="K513" s="209">
        <f t="shared" si="251"/>
        <v>0</v>
      </c>
      <c r="L513" s="209">
        <f t="shared" si="251"/>
        <v>0</v>
      </c>
      <c r="M513" s="209">
        <f t="shared" si="251"/>
        <v>0</v>
      </c>
      <c r="N513" s="209">
        <f t="shared" si="251"/>
        <v>0</v>
      </c>
      <c r="O513" s="209">
        <f t="shared" si="251"/>
        <v>0</v>
      </c>
      <c r="P513" s="209">
        <f t="shared" si="251"/>
        <v>0</v>
      </c>
      <c r="Q513" s="209">
        <f t="shared" si="251"/>
        <v>0</v>
      </c>
      <c r="R513" s="209">
        <f t="shared" si="251"/>
        <v>0</v>
      </c>
      <c r="S513" s="209">
        <f t="shared" si="251"/>
        <v>0</v>
      </c>
      <c r="T513" s="209">
        <f t="shared" si="251"/>
        <v>0</v>
      </c>
      <c r="U513" s="209">
        <f t="shared" si="251"/>
        <v>0</v>
      </c>
      <c r="V513" s="209">
        <f t="shared" si="251"/>
        <v>0</v>
      </c>
      <c r="W513" s="209">
        <f t="shared" si="251"/>
        <v>0</v>
      </c>
      <c r="X513" s="209">
        <f t="shared" si="251"/>
        <v>0</v>
      </c>
      <c r="Y513" s="209">
        <f t="shared" si="251"/>
        <v>0</v>
      </c>
      <c r="Z513" s="209">
        <f t="shared" si="251"/>
        <v>0</v>
      </c>
      <c r="AA513" s="209">
        <f t="shared" si="251"/>
        <v>0</v>
      </c>
      <c r="AB513" s="209">
        <f t="shared" si="251"/>
        <v>0</v>
      </c>
      <c r="AC513" s="209">
        <f t="shared" si="251"/>
        <v>0</v>
      </c>
      <c r="AD513" s="209">
        <f t="shared" si="251"/>
        <v>0</v>
      </c>
      <c r="AE513" s="209">
        <f t="shared" si="251"/>
        <v>0</v>
      </c>
      <c r="AF513" s="209">
        <f t="shared" si="251"/>
        <v>0</v>
      </c>
      <c r="AG513" s="209">
        <f t="shared" si="251"/>
        <v>0</v>
      </c>
      <c r="AH513" s="209">
        <f t="shared" si="251"/>
        <v>0</v>
      </c>
      <c r="AI513" s="209">
        <f t="shared" si="251"/>
        <v>0</v>
      </c>
      <c r="AJ513" s="209">
        <f t="shared" si="251"/>
        <v>0</v>
      </c>
      <c r="AK513" s="209">
        <f t="shared" si="251"/>
        <v>0</v>
      </c>
      <c r="AL513" s="209">
        <f t="shared" si="251"/>
        <v>0</v>
      </c>
      <c r="AM513" s="209">
        <f t="shared" si="251"/>
        <v>0</v>
      </c>
      <c r="AN513" s="209">
        <f t="shared" si="251"/>
        <v>0</v>
      </c>
      <c r="AO513" s="209">
        <f t="shared" si="251"/>
        <v>0</v>
      </c>
      <c r="AP513" s="209">
        <f t="shared" si="251"/>
        <v>0</v>
      </c>
    </row>
    <row r="514" spans="1:42" s="119" customFormat="1">
      <c r="A514" s="247" t="s">
        <v>53</v>
      </c>
      <c r="B514" s="146"/>
      <c r="C514" s="146">
        <f>SUM(C504:C513)</f>
        <v>0</v>
      </c>
      <c r="D514" s="146">
        <f t="shared" ref="D514:AP514" si="252">SUM(D504:D513)</f>
        <v>0</v>
      </c>
      <c r="E514" s="146">
        <f t="shared" si="252"/>
        <v>0</v>
      </c>
      <c r="F514" s="146">
        <f t="shared" si="252"/>
        <v>0</v>
      </c>
      <c r="G514" s="146">
        <f t="shared" si="252"/>
        <v>0</v>
      </c>
      <c r="H514" s="146">
        <f t="shared" si="252"/>
        <v>0</v>
      </c>
      <c r="I514" s="146">
        <f t="shared" si="252"/>
        <v>0</v>
      </c>
      <c r="J514" s="146">
        <f t="shared" si="252"/>
        <v>0</v>
      </c>
      <c r="K514" s="146">
        <f t="shared" si="252"/>
        <v>0</v>
      </c>
      <c r="L514" s="146">
        <f t="shared" si="252"/>
        <v>0</v>
      </c>
      <c r="M514" s="146">
        <f t="shared" si="252"/>
        <v>0</v>
      </c>
      <c r="N514" s="146">
        <f t="shared" si="252"/>
        <v>0</v>
      </c>
      <c r="O514" s="146">
        <f t="shared" si="252"/>
        <v>0</v>
      </c>
      <c r="P514" s="146">
        <f t="shared" si="252"/>
        <v>0</v>
      </c>
      <c r="Q514" s="146">
        <f t="shared" si="252"/>
        <v>1231755.7306939578</v>
      </c>
      <c r="R514" s="146">
        <f t="shared" si="252"/>
        <v>1970809.1691103324</v>
      </c>
      <c r="S514" s="146">
        <f t="shared" si="252"/>
        <v>1182485.5014661995</v>
      </c>
      <c r="T514" s="146">
        <f t="shared" si="252"/>
        <v>709491.30087971967</v>
      </c>
      <c r="U514" s="146">
        <f t="shared" si="252"/>
        <v>709491.30087971967</v>
      </c>
      <c r="V514" s="146">
        <f t="shared" si="252"/>
        <v>354745.65043985983</v>
      </c>
      <c r="W514" s="146">
        <f t="shared" si="252"/>
        <v>0</v>
      </c>
      <c r="X514" s="146">
        <f t="shared" si="252"/>
        <v>0</v>
      </c>
      <c r="Y514" s="146">
        <f t="shared" si="252"/>
        <v>0</v>
      </c>
      <c r="Z514" s="146">
        <f t="shared" si="252"/>
        <v>0</v>
      </c>
      <c r="AA514" s="146">
        <f t="shared" si="252"/>
        <v>0</v>
      </c>
      <c r="AB514" s="146">
        <f t="shared" si="252"/>
        <v>0</v>
      </c>
      <c r="AC514" s="146">
        <f t="shared" si="252"/>
        <v>0</v>
      </c>
      <c r="AD514" s="146">
        <f t="shared" si="252"/>
        <v>0</v>
      </c>
      <c r="AE514" s="146">
        <f t="shared" si="252"/>
        <v>0</v>
      </c>
      <c r="AF514" s="146">
        <f t="shared" si="252"/>
        <v>1539980.512798867</v>
      </c>
      <c r="AG514" s="146">
        <f t="shared" si="252"/>
        <v>0</v>
      </c>
      <c r="AH514" s="146">
        <f t="shared" si="252"/>
        <v>0</v>
      </c>
      <c r="AI514" s="146">
        <f t="shared" si="252"/>
        <v>0</v>
      </c>
      <c r="AJ514" s="146">
        <f t="shared" si="252"/>
        <v>0</v>
      </c>
      <c r="AK514" s="146">
        <f t="shared" si="252"/>
        <v>0</v>
      </c>
      <c r="AL514" s="146">
        <f t="shared" si="252"/>
        <v>0</v>
      </c>
      <c r="AM514" s="146">
        <f t="shared" si="252"/>
        <v>0</v>
      </c>
      <c r="AN514" s="146">
        <f t="shared" si="252"/>
        <v>0</v>
      </c>
      <c r="AO514" s="146">
        <f t="shared" si="252"/>
        <v>0</v>
      </c>
      <c r="AP514" s="146">
        <f t="shared" si="252"/>
        <v>0</v>
      </c>
    </row>
    <row r="515" spans="1:42" s="119" customFormat="1">
      <c r="A515" s="247"/>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146"/>
      <c r="AE515" s="146"/>
      <c r="AF515" s="146"/>
      <c r="AG515" s="146"/>
      <c r="AH515" s="146"/>
      <c r="AI515" s="146"/>
      <c r="AJ515" s="146"/>
      <c r="AK515" s="146"/>
      <c r="AL515" s="146"/>
      <c r="AM515" s="146"/>
      <c r="AN515" s="146"/>
      <c r="AO515" s="146"/>
      <c r="AP515" s="146"/>
    </row>
    <row r="516" spans="1:42">
      <c r="A516" s="219" t="s">
        <v>387</v>
      </c>
      <c r="C516" s="208"/>
      <c r="D516" s="208"/>
      <c r="E516" s="208"/>
      <c r="F516" s="208"/>
      <c r="G516" s="208"/>
      <c r="H516" s="208"/>
      <c r="I516" s="208"/>
      <c r="J516" s="208"/>
      <c r="K516" s="208"/>
      <c r="L516" s="208"/>
      <c r="M516" s="208"/>
      <c r="N516" s="208"/>
      <c r="O516" s="208"/>
      <c r="P516" s="208"/>
      <c r="Q516" s="208"/>
      <c r="R516" s="208"/>
      <c r="S516" s="208"/>
      <c r="T516" s="208"/>
      <c r="U516" s="208"/>
      <c r="V516" s="208"/>
      <c r="W516" s="208"/>
      <c r="X516" s="208"/>
      <c r="Y516" s="208"/>
      <c r="Z516" s="208"/>
      <c r="AA516" s="208"/>
      <c r="AB516" s="208"/>
      <c r="AC516" s="208"/>
      <c r="AD516" s="208"/>
      <c r="AE516" s="208"/>
      <c r="AF516" s="208"/>
      <c r="AG516" s="208"/>
      <c r="AH516" s="208"/>
      <c r="AI516" s="208"/>
      <c r="AJ516" s="208"/>
      <c r="AK516" s="208"/>
      <c r="AL516" s="208"/>
      <c r="AM516" s="208"/>
      <c r="AN516" s="208"/>
      <c r="AO516" s="208"/>
      <c r="AP516" s="208"/>
    </row>
    <row r="517" spans="1:42">
      <c r="A517" s="226" t="s">
        <v>217</v>
      </c>
      <c r="C517" s="208"/>
      <c r="D517" s="208"/>
      <c r="E517" s="208"/>
      <c r="F517" s="208"/>
      <c r="G517" s="208"/>
      <c r="H517" s="208"/>
      <c r="I517" s="208"/>
      <c r="J517" s="208"/>
      <c r="K517" s="208"/>
      <c r="L517" s="208"/>
      <c r="M517" s="208"/>
      <c r="N517" s="208"/>
      <c r="O517" s="208"/>
      <c r="P517" s="208"/>
      <c r="Q517" s="208"/>
      <c r="R517" s="208"/>
      <c r="S517" s="208"/>
      <c r="T517" s="208"/>
      <c r="U517" s="208"/>
      <c r="V517" s="208"/>
      <c r="W517" s="208"/>
      <c r="X517" s="208"/>
      <c r="Y517" s="208"/>
      <c r="Z517" s="208"/>
      <c r="AA517" s="208"/>
      <c r="AB517" s="208"/>
      <c r="AC517" s="208"/>
      <c r="AD517" s="208"/>
      <c r="AE517" s="208"/>
      <c r="AF517" s="208"/>
      <c r="AG517" s="208"/>
      <c r="AH517" s="208"/>
      <c r="AI517" s="208"/>
      <c r="AJ517" s="208"/>
      <c r="AK517" s="208"/>
      <c r="AL517" s="208"/>
      <c r="AM517" s="208"/>
      <c r="AN517" s="208"/>
      <c r="AO517" s="208"/>
      <c r="AP517" s="208"/>
    </row>
    <row r="518" spans="1:42">
      <c r="A518" s="37">
        <v>1</v>
      </c>
      <c r="C518" s="208">
        <f>C383</f>
        <v>0</v>
      </c>
      <c r="D518" s="208">
        <f t="shared" ref="D518:AP524" si="253">D383</f>
        <v>0</v>
      </c>
      <c r="E518" s="208">
        <f t="shared" si="253"/>
        <v>1</v>
      </c>
      <c r="F518" s="208">
        <f t="shared" si="253"/>
        <v>2</v>
      </c>
      <c r="G518" s="208">
        <f t="shared" si="253"/>
        <v>3</v>
      </c>
      <c r="H518" s="208">
        <f t="shared" si="253"/>
        <v>4</v>
      </c>
      <c r="I518" s="208">
        <f t="shared" si="253"/>
        <v>5</v>
      </c>
      <c r="J518" s="208">
        <f t="shared" si="253"/>
        <v>6</v>
      </c>
      <c r="K518" s="208">
        <f t="shared" si="253"/>
        <v>7</v>
      </c>
      <c r="L518" s="208">
        <f t="shared" si="253"/>
        <v>8</v>
      </c>
      <c r="M518" s="208">
        <f t="shared" si="253"/>
        <v>9</v>
      </c>
      <c r="N518" s="208">
        <f t="shared" si="253"/>
        <v>10</v>
      </c>
      <c r="O518" s="208">
        <f t="shared" si="253"/>
        <v>11</v>
      </c>
      <c r="P518" s="208">
        <f t="shared" si="253"/>
        <v>12</v>
      </c>
      <c r="Q518" s="208">
        <f t="shared" si="253"/>
        <v>13</v>
      </c>
      <c r="R518" s="208">
        <f t="shared" si="253"/>
        <v>14</v>
      </c>
      <c r="S518" s="208">
        <f t="shared" si="253"/>
        <v>15</v>
      </c>
      <c r="T518" s="208">
        <f t="shared" si="253"/>
        <v>16</v>
      </c>
      <c r="U518" s="208">
        <f t="shared" si="253"/>
        <v>17</v>
      </c>
      <c r="V518" s="208">
        <f t="shared" si="253"/>
        <v>18</v>
      </c>
      <c r="W518" s="208">
        <f t="shared" si="253"/>
        <v>19</v>
      </c>
      <c r="X518" s="208">
        <f t="shared" si="253"/>
        <v>20</v>
      </c>
      <c r="Y518" s="208">
        <f t="shared" si="253"/>
        <v>21</v>
      </c>
      <c r="Z518" s="208">
        <f t="shared" si="253"/>
        <v>22</v>
      </c>
      <c r="AA518" s="208">
        <f t="shared" si="253"/>
        <v>23</v>
      </c>
      <c r="AB518" s="208">
        <f t="shared" si="253"/>
        <v>24</v>
      </c>
      <c r="AC518" s="208">
        <f t="shared" si="253"/>
        <v>25</v>
      </c>
      <c r="AD518" s="208">
        <f t="shared" si="253"/>
        <v>26</v>
      </c>
      <c r="AE518" s="208">
        <f t="shared" si="253"/>
        <v>27</v>
      </c>
      <c r="AF518" s="208">
        <f t="shared" si="253"/>
        <v>28</v>
      </c>
      <c r="AG518" s="208">
        <f t="shared" si="253"/>
        <v>0</v>
      </c>
      <c r="AH518" s="208">
        <f t="shared" si="253"/>
        <v>0</v>
      </c>
      <c r="AI518" s="208">
        <f t="shared" si="253"/>
        <v>0</v>
      </c>
      <c r="AJ518" s="208">
        <f t="shared" si="253"/>
        <v>0</v>
      </c>
      <c r="AK518" s="208">
        <f t="shared" si="253"/>
        <v>0</v>
      </c>
      <c r="AL518" s="208">
        <f t="shared" si="253"/>
        <v>0</v>
      </c>
      <c r="AM518" s="208">
        <f t="shared" si="253"/>
        <v>0</v>
      </c>
      <c r="AN518" s="208">
        <f t="shared" si="253"/>
        <v>0</v>
      </c>
      <c r="AO518" s="208">
        <f t="shared" si="253"/>
        <v>0</v>
      </c>
      <c r="AP518" s="208">
        <f t="shared" si="253"/>
        <v>0</v>
      </c>
    </row>
    <row r="519" spans="1:42">
      <c r="A519" s="37">
        <f>A518+1</f>
        <v>2</v>
      </c>
      <c r="C519" s="208">
        <f t="shared" ref="C519:R527" si="254">C384</f>
        <v>0</v>
      </c>
      <c r="D519" s="208">
        <f t="shared" si="254"/>
        <v>0</v>
      </c>
      <c r="E519" s="208">
        <f t="shared" si="254"/>
        <v>0</v>
      </c>
      <c r="F519" s="208">
        <f t="shared" si="254"/>
        <v>0</v>
      </c>
      <c r="G519" s="208">
        <f t="shared" si="254"/>
        <v>0</v>
      </c>
      <c r="H519" s="208">
        <f t="shared" si="254"/>
        <v>1</v>
      </c>
      <c r="I519" s="208">
        <f t="shared" si="254"/>
        <v>2</v>
      </c>
      <c r="J519" s="208">
        <f t="shared" si="254"/>
        <v>3</v>
      </c>
      <c r="K519" s="208">
        <f t="shared" si="254"/>
        <v>4</v>
      </c>
      <c r="L519" s="208">
        <f t="shared" si="254"/>
        <v>5</v>
      </c>
      <c r="M519" s="208">
        <f t="shared" si="254"/>
        <v>6</v>
      </c>
      <c r="N519" s="208">
        <f t="shared" si="254"/>
        <v>7</v>
      </c>
      <c r="O519" s="208">
        <f t="shared" si="254"/>
        <v>8</v>
      </c>
      <c r="P519" s="208">
        <f t="shared" si="254"/>
        <v>9</v>
      </c>
      <c r="Q519" s="208">
        <f t="shared" si="254"/>
        <v>10</v>
      </c>
      <c r="R519" s="208">
        <f t="shared" si="254"/>
        <v>11</v>
      </c>
      <c r="S519" s="208">
        <f t="shared" si="253"/>
        <v>12</v>
      </c>
      <c r="T519" s="208">
        <f t="shared" si="253"/>
        <v>13</v>
      </c>
      <c r="U519" s="208">
        <f t="shared" si="253"/>
        <v>14</v>
      </c>
      <c r="V519" s="208">
        <f t="shared" si="253"/>
        <v>15</v>
      </c>
      <c r="W519" s="208">
        <f t="shared" si="253"/>
        <v>16</v>
      </c>
      <c r="X519" s="208">
        <f t="shared" si="253"/>
        <v>17</v>
      </c>
      <c r="Y519" s="208">
        <f t="shared" si="253"/>
        <v>18</v>
      </c>
      <c r="Z519" s="208">
        <f t="shared" si="253"/>
        <v>19</v>
      </c>
      <c r="AA519" s="208">
        <f t="shared" si="253"/>
        <v>20</v>
      </c>
      <c r="AB519" s="208">
        <f t="shared" si="253"/>
        <v>21</v>
      </c>
      <c r="AC519" s="208">
        <f t="shared" si="253"/>
        <v>22</v>
      </c>
      <c r="AD519" s="208">
        <f t="shared" si="253"/>
        <v>23</v>
      </c>
      <c r="AE519" s="208">
        <f t="shared" si="253"/>
        <v>24</v>
      </c>
      <c r="AF519" s="208">
        <f t="shared" si="253"/>
        <v>25</v>
      </c>
      <c r="AG519" s="208">
        <f t="shared" si="253"/>
        <v>0</v>
      </c>
      <c r="AH519" s="208">
        <f t="shared" si="253"/>
        <v>0</v>
      </c>
      <c r="AI519" s="208">
        <f t="shared" si="253"/>
        <v>0</v>
      </c>
      <c r="AJ519" s="208">
        <f t="shared" si="253"/>
        <v>0</v>
      </c>
      <c r="AK519" s="208">
        <f t="shared" si="253"/>
        <v>0</v>
      </c>
      <c r="AL519" s="208">
        <f t="shared" si="253"/>
        <v>0</v>
      </c>
      <c r="AM519" s="208">
        <f t="shared" si="253"/>
        <v>0</v>
      </c>
      <c r="AN519" s="208">
        <f t="shared" si="253"/>
        <v>0</v>
      </c>
      <c r="AO519" s="208">
        <f t="shared" si="253"/>
        <v>0</v>
      </c>
      <c r="AP519" s="208">
        <f t="shared" si="253"/>
        <v>0</v>
      </c>
    </row>
    <row r="520" spans="1:42">
      <c r="A520" s="37">
        <f t="shared" ref="A520:A525" si="255">A519+1</f>
        <v>3</v>
      </c>
      <c r="C520" s="208">
        <f t="shared" si="254"/>
        <v>0</v>
      </c>
      <c r="D520" s="208">
        <f t="shared" si="253"/>
        <v>0</v>
      </c>
      <c r="E520" s="208">
        <f t="shared" si="253"/>
        <v>0</v>
      </c>
      <c r="F520" s="208">
        <f t="shared" si="253"/>
        <v>0</v>
      </c>
      <c r="G520" s="208">
        <f t="shared" si="253"/>
        <v>0</v>
      </c>
      <c r="H520" s="208">
        <f t="shared" si="253"/>
        <v>0</v>
      </c>
      <c r="I520" s="208">
        <f t="shared" si="253"/>
        <v>0</v>
      </c>
      <c r="J520" s="208">
        <f t="shared" si="253"/>
        <v>0</v>
      </c>
      <c r="K520" s="208">
        <f t="shared" si="253"/>
        <v>1</v>
      </c>
      <c r="L520" s="208">
        <f t="shared" si="253"/>
        <v>2</v>
      </c>
      <c r="M520" s="208">
        <f t="shared" si="253"/>
        <v>3</v>
      </c>
      <c r="N520" s="208">
        <f t="shared" si="253"/>
        <v>4</v>
      </c>
      <c r="O520" s="208">
        <f t="shared" si="253"/>
        <v>5</v>
      </c>
      <c r="P520" s="208">
        <f t="shared" si="253"/>
        <v>6</v>
      </c>
      <c r="Q520" s="208">
        <f t="shared" si="253"/>
        <v>7</v>
      </c>
      <c r="R520" s="208">
        <f t="shared" si="253"/>
        <v>8</v>
      </c>
      <c r="S520" s="208">
        <f t="shared" si="253"/>
        <v>9</v>
      </c>
      <c r="T520" s="208">
        <f t="shared" si="253"/>
        <v>10</v>
      </c>
      <c r="U520" s="208">
        <f t="shared" si="253"/>
        <v>11</v>
      </c>
      <c r="V520" s="208">
        <f t="shared" si="253"/>
        <v>12</v>
      </c>
      <c r="W520" s="208">
        <f t="shared" si="253"/>
        <v>13</v>
      </c>
      <c r="X520" s="208">
        <f t="shared" si="253"/>
        <v>14</v>
      </c>
      <c r="Y520" s="208">
        <f t="shared" si="253"/>
        <v>15</v>
      </c>
      <c r="Z520" s="208">
        <f t="shared" si="253"/>
        <v>16</v>
      </c>
      <c r="AA520" s="208">
        <f t="shared" si="253"/>
        <v>17</v>
      </c>
      <c r="AB520" s="208">
        <f t="shared" si="253"/>
        <v>18</v>
      </c>
      <c r="AC520" s="208">
        <f t="shared" si="253"/>
        <v>19</v>
      </c>
      <c r="AD520" s="208">
        <f t="shared" si="253"/>
        <v>20</v>
      </c>
      <c r="AE520" s="208">
        <f t="shared" si="253"/>
        <v>21</v>
      </c>
      <c r="AF520" s="208">
        <f t="shared" si="253"/>
        <v>22</v>
      </c>
      <c r="AG520" s="208">
        <f t="shared" si="253"/>
        <v>0</v>
      </c>
      <c r="AH520" s="208">
        <f t="shared" si="253"/>
        <v>0</v>
      </c>
      <c r="AI520" s="208">
        <f t="shared" si="253"/>
        <v>0</v>
      </c>
      <c r="AJ520" s="208">
        <f t="shared" si="253"/>
        <v>0</v>
      </c>
      <c r="AK520" s="208">
        <f t="shared" si="253"/>
        <v>0</v>
      </c>
      <c r="AL520" s="208">
        <f t="shared" si="253"/>
        <v>0</v>
      </c>
      <c r="AM520" s="208">
        <f t="shared" si="253"/>
        <v>0</v>
      </c>
      <c r="AN520" s="208">
        <f t="shared" si="253"/>
        <v>0</v>
      </c>
      <c r="AO520" s="208">
        <f t="shared" si="253"/>
        <v>0</v>
      </c>
      <c r="AP520" s="208">
        <f t="shared" si="253"/>
        <v>0</v>
      </c>
    </row>
    <row r="521" spans="1:42">
      <c r="A521" s="37">
        <f t="shared" si="255"/>
        <v>4</v>
      </c>
      <c r="C521" s="208">
        <f t="shared" si="254"/>
        <v>0</v>
      </c>
      <c r="D521" s="208">
        <f t="shared" si="253"/>
        <v>0</v>
      </c>
      <c r="E521" s="208">
        <f t="shared" si="253"/>
        <v>0</v>
      </c>
      <c r="F521" s="208">
        <f t="shared" si="253"/>
        <v>0</v>
      </c>
      <c r="G521" s="208">
        <f t="shared" si="253"/>
        <v>0</v>
      </c>
      <c r="H521" s="208">
        <f t="shared" si="253"/>
        <v>0</v>
      </c>
      <c r="I521" s="208">
        <f t="shared" si="253"/>
        <v>0</v>
      </c>
      <c r="J521" s="208">
        <f t="shared" si="253"/>
        <v>0</v>
      </c>
      <c r="K521" s="208">
        <f t="shared" si="253"/>
        <v>0</v>
      </c>
      <c r="L521" s="208">
        <f t="shared" si="253"/>
        <v>0</v>
      </c>
      <c r="M521" s="208">
        <f t="shared" si="253"/>
        <v>0</v>
      </c>
      <c r="N521" s="208">
        <f t="shared" si="253"/>
        <v>1</v>
      </c>
      <c r="O521" s="208">
        <f t="shared" si="253"/>
        <v>2</v>
      </c>
      <c r="P521" s="208">
        <f t="shared" si="253"/>
        <v>3</v>
      </c>
      <c r="Q521" s="208">
        <f t="shared" si="253"/>
        <v>4</v>
      </c>
      <c r="R521" s="208">
        <f t="shared" si="253"/>
        <v>5</v>
      </c>
      <c r="S521" s="208">
        <f t="shared" si="253"/>
        <v>6</v>
      </c>
      <c r="T521" s="208">
        <f t="shared" si="253"/>
        <v>7</v>
      </c>
      <c r="U521" s="208">
        <f t="shared" si="253"/>
        <v>8</v>
      </c>
      <c r="V521" s="208">
        <f t="shared" si="253"/>
        <v>9</v>
      </c>
      <c r="W521" s="208">
        <f t="shared" si="253"/>
        <v>10</v>
      </c>
      <c r="X521" s="208">
        <f t="shared" si="253"/>
        <v>11</v>
      </c>
      <c r="Y521" s="208">
        <f t="shared" si="253"/>
        <v>12</v>
      </c>
      <c r="Z521" s="208">
        <f t="shared" si="253"/>
        <v>13</v>
      </c>
      <c r="AA521" s="208">
        <f t="shared" si="253"/>
        <v>14</v>
      </c>
      <c r="AB521" s="208">
        <f t="shared" si="253"/>
        <v>15</v>
      </c>
      <c r="AC521" s="208">
        <f t="shared" si="253"/>
        <v>16</v>
      </c>
      <c r="AD521" s="208">
        <f t="shared" si="253"/>
        <v>17</v>
      </c>
      <c r="AE521" s="208">
        <f t="shared" si="253"/>
        <v>18</v>
      </c>
      <c r="AF521" s="208">
        <f t="shared" si="253"/>
        <v>19</v>
      </c>
      <c r="AG521" s="208">
        <f t="shared" si="253"/>
        <v>0</v>
      </c>
      <c r="AH521" s="208">
        <f t="shared" si="253"/>
        <v>0</v>
      </c>
      <c r="AI521" s="208">
        <f t="shared" si="253"/>
        <v>0</v>
      </c>
      <c r="AJ521" s="208">
        <f t="shared" si="253"/>
        <v>0</v>
      </c>
      <c r="AK521" s="208">
        <f t="shared" si="253"/>
        <v>0</v>
      </c>
      <c r="AL521" s="208">
        <f t="shared" si="253"/>
        <v>0</v>
      </c>
      <c r="AM521" s="208">
        <f t="shared" si="253"/>
        <v>0</v>
      </c>
      <c r="AN521" s="208">
        <f t="shared" si="253"/>
        <v>0</v>
      </c>
      <c r="AO521" s="208">
        <f t="shared" si="253"/>
        <v>0</v>
      </c>
      <c r="AP521" s="208">
        <f t="shared" si="253"/>
        <v>0</v>
      </c>
    </row>
    <row r="522" spans="1:42">
      <c r="A522" s="37">
        <f t="shared" si="255"/>
        <v>5</v>
      </c>
      <c r="C522" s="208">
        <f t="shared" si="254"/>
        <v>0</v>
      </c>
      <c r="D522" s="208">
        <f t="shared" si="253"/>
        <v>0</v>
      </c>
      <c r="E522" s="208">
        <f t="shared" si="253"/>
        <v>0</v>
      </c>
      <c r="F522" s="208">
        <f t="shared" si="253"/>
        <v>0</v>
      </c>
      <c r="G522" s="208">
        <f t="shared" si="253"/>
        <v>0</v>
      </c>
      <c r="H522" s="208">
        <f t="shared" si="253"/>
        <v>0</v>
      </c>
      <c r="I522" s="208">
        <f t="shared" si="253"/>
        <v>0</v>
      </c>
      <c r="J522" s="208">
        <f t="shared" si="253"/>
        <v>0</v>
      </c>
      <c r="K522" s="208">
        <f t="shared" si="253"/>
        <v>0</v>
      </c>
      <c r="L522" s="208">
        <f t="shared" si="253"/>
        <v>0</v>
      </c>
      <c r="M522" s="208">
        <f t="shared" si="253"/>
        <v>0</v>
      </c>
      <c r="N522" s="208">
        <f t="shared" si="253"/>
        <v>0</v>
      </c>
      <c r="O522" s="208">
        <f t="shared" si="253"/>
        <v>0</v>
      </c>
      <c r="P522" s="208">
        <f t="shared" si="253"/>
        <v>0</v>
      </c>
      <c r="Q522" s="208">
        <f t="shared" si="253"/>
        <v>1</v>
      </c>
      <c r="R522" s="208">
        <f t="shared" si="253"/>
        <v>2</v>
      </c>
      <c r="S522" s="208">
        <f t="shared" si="253"/>
        <v>3</v>
      </c>
      <c r="T522" s="208">
        <f t="shared" si="253"/>
        <v>4</v>
      </c>
      <c r="U522" s="208">
        <f t="shared" si="253"/>
        <v>5</v>
      </c>
      <c r="V522" s="208">
        <f t="shared" si="253"/>
        <v>6</v>
      </c>
      <c r="W522" s="208">
        <f t="shared" si="253"/>
        <v>7</v>
      </c>
      <c r="X522" s="208">
        <f t="shared" si="253"/>
        <v>8</v>
      </c>
      <c r="Y522" s="208">
        <f t="shared" si="253"/>
        <v>9</v>
      </c>
      <c r="Z522" s="208">
        <f t="shared" si="253"/>
        <v>10</v>
      </c>
      <c r="AA522" s="208">
        <f t="shared" si="253"/>
        <v>11</v>
      </c>
      <c r="AB522" s="208">
        <f t="shared" si="253"/>
        <v>12</v>
      </c>
      <c r="AC522" s="208">
        <f t="shared" si="253"/>
        <v>13</v>
      </c>
      <c r="AD522" s="208">
        <f t="shared" si="253"/>
        <v>14</v>
      </c>
      <c r="AE522" s="208">
        <f t="shared" si="253"/>
        <v>15</v>
      </c>
      <c r="AF522" s="208">
        <f t="shared" si="253"/>
        <v>16</v>
      </c>
      <c r="AG522" s="208">
        <f t="shared" si="253"/>
        <v>0</v>
      </c>
      <c r="AH522" s="208">
        <f t="shared" si="253"/>
        <v>0</v>
      </c>
      <c r="AI522" s="208">
        <f t="shared" si="253"/>
        <v>0</v>
      </c>
      <c r="AJ522" s="208">
        <f t="shared" si="253"/>
        <v>0</v>
      </c>
      <c r="AK522" s="208">
        <f t="shared" si="253"/>
        <v>0</v>
      </c>
      <c r="AL522" s="208">
        <f t="shared" si="253"/>
        <v>0</v>
      </c>
      <c r="AM522" s="208">
        <f t="shared" si="253"/>
        <v>0</v>
      </c>
      <c r="AN522" s="208">
        <f t="shared" si="253"/>
        <v>0</v>
      </c>
      <c r="AO522" s="208">
        <f t="shared" si="253"/>
        <v>0</v>
      </c>
      <c r="AP522" s="208">
        <f t="shared" si="253"/>
        <v>0</v>
      </c>
    </row>
    <row r="523" spans="1:42">
      <c r="A523" s="37">
        <f t="shared" si="255"/>
        <v>6</v>
      </c>
      <c r="C523" s="208">
        <f t="shared" si="254"/>
        <v>0</v>
      </c>
      <c r="D523" s="208">
        <f t="shared" si="253"/>
        <v>0</v>
      </c>
      <c r="E523" s="208">
        <f t="shared" si="253"/>
        <v>0</v>
      </c>
      <c r="F523" s="208">
        <f t="shared" si="253"/>
        <v>0</v>
      </c>
      <c r="G523" s="208">
        <f t="shared" si="253"/>
        <v>0</v>
      </c>
      <c r="H523" s="208">
        <f t="shared" si="253"/>
        <v>0</v>
      </c>
      <c r="I523" s="208">
        <f t="shared" si="253"/>
        <v>0</v>
      </c>
      <c r="J523" s="208">
        <f t="shared" si="253"/>
        <v>0</v>
      </c>
      <c r="K523" s="208">
        <f t="shared" si="253"/>
        <v>0</v>
      </c>
      <c r="L523" s="208">
        <f t="shared" si="253"/>
        <v>0</v>
      </c>
      <c r="M523" s="208">
        <f t="shared" si="253"/>
        <v>0</v>
      </c>
      <c r="N523" s="208">
        <f t="shared" si="253"/>
        <v>0</v>
      </c>
      <c r="O523" s="208">
        <f t="shared" si="253"/>
        <v>0</v>
      </c>
      <c r="P523" s="208">
        <f t="shared" si="253"/>
        <v>0</v>
      </c>
      <c r="Q523" s="208">
        <f t="shared" si="253"/>
        <v>0</v>
      </c>
      <c r="R523" s="208">
        <f t="shared" si="253"/>
        <v>0</v>
      </c>
      <c r="S523" s="208">
        <f t="shared" si="253"/>
        <v>0</v>
      </c>
      <c r="T523" s="208">
        <f t="shared" si="253"/>
        <v>1</v>
      </c>
      <c r="U523" s="208">
        <f t="shared" si="253"/>
        <v>2</v>
      </c>
      <c r="V523" s="208">
        <f t="shared" si="253"/>
        <v>3</v>
      </c>
      <c r="W523" s="208">
        <f t="shared" si="253"/>
        <v>4</v>
      </c>
      <c r="X523" s="208">
        <f t="shared" si="253"/>
        <v>5</v>
      </c>
      <c r="Y523" s="208">
        <f t="shared" si="253"/>
        <v>6</v>
      </c>
      <c r="Z523" s="208">
        <f t="shared" si="253"/>
        <v>7</v>
      </c>
      <c r="AA523" s="208">
        <f t="shared" si="253"/>
        <v>8</v>
      </c>
      <c r="AB523" s="208">
        <f t="shared" si="253"/>
        <v>9</v>
      </c>
      <c r="AC523" s="208">
        <f t="shared" si="253"/>
        <v>10</v>
      </c>
      <c r="AD523" s="208">
        <f t="shared" si="253"/>
        <v>11</v>
      </c>
      <c r="AE523" s="208">
        <f t="shared" si="253"/>
        <v>12</v>
      </c>
      <c r="AF523" s="208">
        <f t="shared" si="253"/>
        <v>13</v>
      </c>
      <c r="AG523" s="208">
        <f t="shared" si="253"/>
        <v>0</v>
      </c>
      <c r="AH523" s="208">
        <f t="shared" si="253"/>
        <v>0</v>
      </c>
      <c r="AI523" s="208">
        <f t="shared" si="253"/>
        <v>0</v>
      </c>
      <c r="AJ523" s="208">
        <f t="shared" si="253"/>
        <v>0</v>
      </c>
      <c r="AK523" s="208">
        <f t="shared" si="253"/>
        <v>0</v>
      </c>
      <c r="AL523" s="208">
        <f t="shared" si="253"/>
        <v>0</v>
      </c>
      <c r="AM523" s="208">
        <f t="shared" si="253"/>
        <v>0</v>
      </c>
      <c r="AN523" s="208">
        <f t="shared" si="253"/>
        <v>0</v>
      </c>
      <c r="AO523" s="208">
        <f t="shared" si="253"/>
        <v>0</v>
      </c>
      <c r="AP523" s="208">
        <f t="shared" si="253"/>
        <v>0</v>
      </c>
    </row>
    <row r="524" spans="1:42">
      <c r="A524" s="37">
        <f t="shared" si="255"/>
        <v>7</v>
      </c>
      <c r="C524" s="208">
        <f t="shared" si="254"/>
        <v>0</v>
      </c>
      <c r="D524" s="208">
        <f t="shared" si="253"/>
        <v>0</v>
      </c>
      <c r="E524" s="208">
        <f t="shared" si="253"/>
        <v>0</v>
      </c>
      <c r="F524" s="208">
        <f t="shared" si="253"/>
        <v>0</v>
      </c>
      <c r="G524" s="208">
        <f t="shared" si="253"/>
        <v>0</v>
      </c>
      <c r="H524" s="208">
        <f t="shared" si="253"/>
        <v>0</v>
      </c>
      <c r="I524" s="208">
        <f t="shared" si="253"/>
        <v>0</v>
      </c>
      <c r="J524" s="208">
        <f t="shared" si="253"/>
        <v>0</v>
      </c>
      <c r="K524" s="208">
        <f t="shared" si="253"/>
        <v>0</v>
      </c>
      <c r="L524" s="208">
        <f t="shared" si="253"/>
        <v>0</v>
      </c>
      <c r="M524" s="208">
        <f t="shared" si="253"/>
        <v>0</v>
      </c>
      <c r="N524" s="208">
        <f t="shared" si="253"/>
        <v>0</v>
      </c>
      <c r="O524" s="208">
        <f t="shared" si="253"/>
        <v>0</v>
      </c>
      <c r="P524" s="208">
        <f t="shared" si="253"/>
        <v>0</v>
      </c>
      <c r="Q524" s="208">
        <f t="shared" si="253"/>
        <v>0</v>
      </c>
      <c r="R524" s="208">
        <f t="shared" si="253"/>
        <v>0</v>
      </c>
      <c r="S524" s="208">
        <f t="shared" si="253"/>
        <v>0</v>
      </c>
      <c r="T524" s="208">
        <f t="shared" si="253"/>
        <v>0</v>
      </c>
      <c r="U524" s="208">
        <f t="shared" si="253"/>
        <v>0</v>
      </c>
      <c r="V524" s="208">
        <f t="shared" si="253"/>
        <v>0</v>
      </c>
      <c r="W524" s="208">
        <f t="shared" si="253"/>
        <v>1</v>
      </c>
      <c r="X524" s="208">
        <f t="shared" si="253"/>
        <v>2</v>
      </c>
      <c r="Y524" s="208">
        <f t="shared" si="253"/>
        <v>3</v>
      </c>
      <c r="Z524" s="208">
        <f t="shared" si="253"/>
        <v>4</v>
      </c>
      <c r="AA524" s="208">
        <f t="shared" si="253"/>
        <v>5</v>
      </c>
      <c r="AB524" s="208">
        <f t="shared" si="253"/>
        <v>6</v>
      </c>
      <c r="AC524" s="208">
        <f t="shared" si="253"/>
        <v>7</v>
      </c>
      <c r="AD524" s="208">
        <f t="shared" si="253"/>
        <v>8</v>
      </c>
      <c r="AE524" s="208">
        <f t="shared" si="253"/>
        <v>9</v>
      </c>
      <c r="AF524" s="208">
        <f t="shared" si="253"/>
        <v>10</v>
      </c>
      <c r="AG524" s="208">
        <f t="shared" si="253"/>
        <v>0</v>
      </c>
      <c r="AH524" s="208">
        <f t="shared" si="253"/>
        <v>0</v>
      </c>
      <c r="AI524" s="208">
        <f t="shared" si="253"/>
        <v>0</v>
      </c>
      <c r="AJ524" s="208">
        <f t="shared" si="253"/>
        <v>0</v>
      </c>
      <c r="AK524" s="208">
        <f t="shared" si="253"/>
        <v>0</v>
      </c>
      <c r="AL524" s="208">
        <f t="shared" si="253"/>
        <v>0</v>
      </c>
      <c r="AM524" s="208">
        <f t="shared" si="253"/>
        <v>0</v>
      </c>
      <c r="AN524" s="208">
        <f t="shared" ref="AN524:AP524" si="256">AN389</f>
        <v>0</v>
      </c>
      <c r="AO524" s="208">
        <f t="shared" si="256"/>
        <v>0</v>
      </c>
      <c r="AP524" s="208">
        <f t="shared" si="256"/>
        <v>0</v>
      </c>
    </row>
    <row r="525" spans="1:42">
      <c r="A525" s="37">
        <f t="shared" si="255"/>
        <v>8</v>
      </c>
      <c r="C525" s="208">
        <f t="shared" si="254"/>
        <v>0</v>
      </c>
      <c r="D525" s="208">
        <f t="shared" si="254"/>
        <v>0</v>
      </c>
      <c r="E525" s="208">
        <f t="shared" si="254"/>
        <v>0</v>
      </c>
      <c r="F525" s="208">
        <f t="shared" si="254"/>
        <v>0</v>
      </c>
      <c r="G525" s="208">
        <f t="shared" si="254"/>
        <v>0</v>
      </c>
      <c r="H525" s="208">
        <f t="shared" si="254"/>
        <v>0</v>
      </c>
      <c r="I525" s="208">
        <f t="shared" si="254"/>
        <v>0</v>
      </c>
      <c r="J525" s="208">
        <f t="shared" si="254"/>
        <v>0</v>
      </c>
      <c r="K525" s="208">
        <f t="shared" si="254"/>
        <v>0</v>
      </c>
      <c r="L525" s="208">
        <f t="shared" si="254"/>
        <v>0</v>
      </c>
      <c r="M525" s="208">
        <f t="shared" si="254"/>
        <v>0</v>
      </c>
      <c r="N525" s="208">
        <f t="shared" si="254"/>
        <v>0</v>
      </c>
      <c r="O525" s="208">
        <f t="shared" si="254"/>
        <v>0</v>
      </c>
      <c r="P525" s="208">
        <f t="shared" si="254"/>
        <v>0</v>
      </c>
      <c r="Q525" s="208">
        <f t="shared" si="254"/>
        <v>0</v>
      </c>
      <c r="R525" s="208">
        <f t="shared" si="254"/>
        <v>0</v>
      </c>
      <c r="S525" s="208">
        <f t="shared" ref="S525:AP527" si="257">S390</f>
        <v>0</v>
      </c>
      <c r="T525" s="208">
        <f t="shared" si="257"/>
        <v>0</v>
      </c>
      <c r="U525" s="208">
        <f t="shared" si="257"/>
        <v>0</v>
      </c>
      <c r="V525" s="208">
        <f t="shared" si="257"/>
        <v>0</v>
      </c>
      <c r="W525" s="208">
        <f t="shared" si="257"/>
        <v>0</v>
      </c>
      <c r="X525" s="208">
        <f t="shared" si="257"/>
        <v>0</v>
      </c>
      <c r="Y525" s="208">
        <f t="shared" si="257"/>
        <v>0</v>
      </c>
      <c r="Z525" s="208">
        <f t="shared" si="257"/>
        <v>1</v>
      </c>
      <c r="AA525" s="208">
        <f t="shared" si="257"/>
        <v>2</v>
      </c>
      <c r="AB525" s="208">
        <f t="shared" si="257"/>
        <v>3</v>
      </c>
      <c r="AC525" s="208">
        <f t="shared" si="257"/>
        <v>4</v>
      </c>
      <c r="AD525" s="208">
        <f t="shared" si="257"/>
        <v>5</v>
      </c>
      <c r="AE525" s="208">
        <f t="shared" si="257"/>
        <v>6</v>
      </c>
      <c r="AF525" s="208">
        <f t="shared" si="257"/>
        <v>7</v>
      </c>
      <c r="AG525" s="208">
        <f t="shared" si="257"/>
        <v>0</v>
      </c>
      <c r="AH525" s="208">
        <f t="shared" si="257"/>
        <v>0</v>
      </c>
      <c r="AI525" s="208">
        <f t="shared" si="257"/>
        <v>0</v>
      </c>
      <c r="AJ525" s="208">
        <f t="shared" si="257"/>
        <v>0</v>
      </c>
      <c r="AK525" s="208">
        <f t="shared" si="257"/>
        <v>0</v>
      </c>
      <c r="AL525" s="208">
        <f t="shared" si="257"/>
        <v>0</v>
      </c>
      <c r="AM525" s="208">
        <f t="shared" si="257"/>
        <v>0</v>
      </c>
      <c r="AN525" s="208">
        <f t="shared" si="257"/>
        <v>0</v>
      </c>
      <c r="AO525" s="208">
        <f t="shared" si="257"/>
        <v>0</v>
      </c>
      <c r="AP525" s="208">
        <f t="shared" si="257"/>
        <v>0</v>
      </c>
    </row>
    <row r="526" spans="1:42">
      <c r="A526" s="37">
        <f>A525+1</f>
        <v>9</v>
      </c>
      <c r="C526" s="208">
        <f t="shared" si="254"/>
        <v>0</v>
      </c>
      <c r="D526" s="208">
        <f t="shared" si="254"/>
        <v>0</v>
      </c>
      <c r="E526" s="208">
        <f t="shared" si="254"/>
        <v>0</v>
      </c>
      <c r="F526" s="208">
        <f t="shared" si="254"/>
        <v>0</v>
      </c>
      <c r="G526" s="208">
        <f t="shared" si="254"/>
        <v>0</v>
      </c>
      <c r="H526" s="208">
        <f t="shared" si="254"/>
        <v>0</v>
      </c>
      <c r="I526" s="208">
        <f t="shared" si="254"/>
        <v>0</v>
      </c>
      <c r="J526" s="208">
        <f t="shared" si="254"/>
        <v>0</v>
      </c>
      <c r="K526" s="208">
        <f t="shared" si="254"/>
        <v>0</v>
      </c>
      <c r="L526" s="208">
        <f t="shared" si="254"/>
        <v>0</v>
      </c>
      <c r="M526" s="208">
        <f t="shared" si="254"/>
        <v>0</v>
      </c>
      <c r="N526" s="208">
        <f t="shared" si="254"/>
        <v>0</v>
      </c>
      <c r="O526" s="208">
        <f t="shared" si="254"/>
        <v>0</v>
      </c>
      <c r="P526" s="208">
        <f t="shared" si="254"/>
        <v>0</v>
      </c>
      <c r="Q526" s="208">
        <f t="shared" si="254"/>
        <v>0</v>
      </c>
      <c r="R526" s="208">
        <f t="shared" si="254"/>
        <v>0</v>
      </c>
      <c r="S526" s="208">
        <f t="shared" si="257"/>
        <v>0</v>
      </c>
      <c r="T526" s="208">
        <f t="shared" si="257"/>
        <v>0</v>
      </c>
      <c r="U526" s="208">
        <f t="shared" si="257"/>
        <v>0</v>
      </c>
      <c r="V526" s="208">
        <f t="shared" si="257"/>
        <v>0</v>
      </c>
      <c r="W526" s="208">
        <f t="shared" si="257"/>
        <v>0</v>
      </c>
      <c r="X526" s="208">
        <f t="shared" si="257"/>
        <v>0</v>
      </c>
      <c r="Y526" s="208">
        <f t="shared" si="257"/>
        <v>0</v>
      </c>
      <c r="Z526" s="208">
        <f t="shared" si="257"/>
        <v>0</v>
      </c>
      <c r="AA526" s="208">
        <f t="shared" si="257"/>
        <v>0</v>
      </c>
      <c r="AB526" s="208">
        <f t="shared" si="257"/>
        <v>0</v>
      </c>
      <c r="AC526" s="208">
        <f t="shared" si="257"/>
        <v>1</v>
      </c>
      <c r="AD526" s="208">
        <f t="shared" si="257"/>
        <v>2</v>
      </c>
      <c r="AE526" s="208">
        <f t="shared" si="257"/>
        <v>3</v>
      </c>
      <c r="AF526" s="208">
        <f t="shared" si="257"/>
        <v>4</v>
      </c>
      <c r="AG526" s="208">
        <f t="shared" si="257"/>
        <v>0</v>
      </c>
      <c r="AH526" s="208">
        <f t="shared" si="257"/>
        <v>0</v>
      </c>
      <c r="AI526" s="208">
        <f t="shared" si="257"/>
        <v>0</v>
      </c>
      <c r="AJ526" s="208">
        <f t="shared" si="257"/>
        <v>0</v>
      </c>
      <c r="AK526" s="208">
        <f t="shared" si="257"/>
        <v>0</v>
      </c>
      <c r="AL526" s="208">
        <f t="shared" si="257"/>
        <v>0</v>
      </c>
      <c r="AM526" s="208">
        <f t="shared" si="257"/>
        <v>0</v>
      </c>
      <c r="AN526" s="208">
        <f t="shared" si="257"/>
        <v>0</v>
      </c>
      <c r="AO526" s="208">
        <f t="shared" si="257"/>
        <v>0</v>
      </c>
      <c r="AP526" s="208">
        <f t="shared" si="257"/>
        <v>0</v>
      </c>
    </row>
    <row r="527" spans="1:42">
      <c r="A527" s="37">
        <f t="shared" ref="A527" si="258">A526+1</f>
        <v>10</v>
      </c>
      <c r="C527" s="208">
        <f t="shared" si="254"/>
        <v>0</v>
      </c>
      <c r="D527" s="208">
        <f t="shared" si="254"/>
        <v>0</v>
      </c>
      <c r="E527" s="208">
        <f t="shared" si="254"/>
        <v>0</v>
      </c>
      <c r="F527" s="208">
        <f t="shared" si="254"/>
        <v>0</v>
      </c>
      <c r="G527" s="208">
        <f t="shared" si="254"/>
        <v>0</v>
      </c>
      <c r="H527" s="208">
        <f t="shared" si="254"/>
        <v>0</v>
      </c>
      <c r="I527" s="208">
        <f t="shared" si="254"/>
        <v>0</v>
      </c>
      <c r="J527" s="208">
        <f t="shared" si="254"/>
        <v>0</v>
      </c>
      <c r="K527" s="208">
        <f t="shared" si="254"/>
        <v>0</v>
      </c>
      <c r="L527" s="208">
        <f t="shared" si="254"/>
        <v>0</v>
      </c>
      <c r="M527" s="208">
        <f t="shared" si="254"/>
        <v>0</v>
      </c>
      <c r="N527" s="208">
        <f t="shared" si="254"/>
        <v>0</v>
      </c>
      <c r="O527" s="208">
        <f t="shared" si="254"/>
        <v>0</v>
      </c>
      <c r="P527" s="208">
        <f t="shared" si="254"/>
        <v>0</v>
      </c>
      <c r="Q527" s="208">
        <f t="shared" si="254"/>
        <v>0</v>
      </c>
      <c r="R527" s="208">
        <f t="shared" si="254"/>
        <v>0</v>
      </c>
      <c r="S527" s="208">
        <f t="shared" si="257"/>
        <v>0</v>
      </c>
      <c r="T527" s="208">
        <f t="shared" si="257"/>
        <v>0</v>
      </c>
      <c r="U527" s="208">
        <f t="shared" si="257"/>
        <v>0</v>
      </c>
      <c r="V527" s="208">
        <f t="shared" si="257"/>
        <v>0</v>
      </c>
      <c r="W527" s="208">
        <f t="shared" si="257"/>
        <v>0</v>
      </c>
      <c r="X527" s="208">
        <f t="shared" si="257"/>
        <v>0</v>
      </c>
      <c r="Y527" s="208">
        <f t="shared" si="257"/>
        <v>0</v>
      </c>
      <c r="Z527" s="208">
        <f t="shared" si="257"/>
        <v>0</v>
      </c>
      <c r="AA527" s="208">
        <f t="shared" si="257"/>
        <v>0</v>
      </c>
      <c r="AB527" s="208">
        <f t="shared" si="257"/>
        <v>0</v>
      </c>
      <c r="AC527" s="208">
        <f t="shared" si="257"/>
        <v>0</v>
      </c>
      <c r="AD527" s="208">
        <f t="shared" si="257"/>
        <v>0</v>
      </c>
      <c r="AE527" s="208">
        <f t="shared" si="257"/>
        <v>0</v>
      </c>
      <c r="AF527" s="208">
        <f t="shared" si="257"/>
        <v>1</v>
      </c>
      <c r="AG527" s="208">
        <f t="shared" si="257"/>
        <v>0</v>
      </c>
      <c r="AH527" s="208">
        <f t="shared" si="257"/>
        <v>0</v>
      </c>
      <c r="AI527" s="208">
        <f t="shared" si="257"/>
        <v>0</v>
      </c>
      <c r="AJ527" s="208">
        <f t="shared" si="257"/>
        <v>0</v>
      </c>
      <c r="AK527" s="208">
        <f t="shared" si="257"/>
        <v>0</v>
      </c>
      <c r="AL527" s="208">
        <f t="shared" si="257"/>
        <v>0</v>
      </c>
      <c r="AM527" s="208">
        <f t="shared" si="257"/>
        <v>0</v>
      </c>
      <c r="AN527" s="208">
        <f t="shared" si="257"/>
        <v>0</v>
      </c>
      <c r="AO527" s="208">
        <f t="shared" si="257"/>
        <v>0</v>
      </c>
      <c r="AP527" s="208">
        <f t="shared" si="257"/>
        <v>0</v>
      </c>
    </row>
    <row r="528" spans="1:42">
      <c r="A528" s="226"/>
      <c r="C528" s="208"/>
      <c r="D528" s="208"/>
      <c r="E528" s="208"/>
      <c r="F528" s="208"/>
      <c r="G528" s="208"/>
      <c r="H528" s="208"/>
      <c r="I528" s="208"/>
      <c r="J528" s="208"/>
      <c r="K528" s="208"/>
      <c r="L528" s="208"/>
      <c r="M528" s="208"/>
      <c r="N528" s="208"/>
      <c r="O528" s="208"/>
      <c r="P528" s="208"/>
      <c r="Q528" s="208"/>
      <c r="R528" s="208"/>
      <c r="S528" s="208"/>
      <c r="T528" s="208"/>
      <c r="U528" s="208"/>
      <c r="V528" s="208"/>
      <c r="W528" s="208"/>
      <c r="X528" s="208"/>
      <c r="Y528" s="208"/>
      <c r="Z528" s="208"/>
      <c r="AA528" s="208"/>
      <c r="AB528" s="208"/>
      <c r="AC528" s="208"/>
      <c r="AD528" s="208"/>
      <c r="AE528" s="208"/>
      <c r="AF528" s="208"/>
      <c r="AG528" s="208"/>
      <c r="AH528" s="208"/>
      <c r="AI528" s="208"/>
      <c r="AJ528" s="208"/>
      <c r="AK528" s="208"/>
      <c r="AL528" s="208"/>
      <c r="AM528" s="208"/>
      <c r="AN528" s="208"/>
      <c r="AO528" s="208"/>
      <c r="AP528" s="208"/>
    </row>
    <row r="529" spans="1:42">
      <c r="A529" s="226" t="s">
        <v>221</v>
      </c>
      <c r="C529" s="208"/>
      <c r="D529" s="208"/>
      <c r="E529" s="208"/>
      <c r="F529" s="208"/>
      <c r="G529" s="208"/>
      <c r="H529" s="208"/>
      <c r="I529" s="208"/>
      <c r="J529" s="208"/>
      <c r="K529" s="208"/>
      <c r="L529" s="208"/>
      <c r="M529" s="208"/>
      <c r="N529" s="208"/>
      <c r="O529" s="208"/>
      <c r="P529" s="208"/>
      <c r="Q529" s="208"/>
      <c r="R529" s="208"/>
      <c r="S529" s="208"/>
      <c r="T529" s="208"/>
      <c r="U529" s="208"/>
      <c r="V529" s="208"/>
      <c r="W529" s="208"/>
      <c r="X529" s="208"/>
      <c r="Y529" s="208"/>
      <c r="Z529" s="208"/>
      <c r="AA529" s="208"/>
      <c r="AB529" s="208"/>
      <c r="AC529" s="208"/>
      <c r="AD529" s="208"/>
      <c r="AE529" s="208"/>
      <c r="AF529" s="208"/>
      <c r="AG529" s="208"/>
      <c r="AH529" s="208"/>
      <c r="AI529" s="208"/>
      <c r="AJ529" s="208"/>
      <c r="AK529" s="208"/>
      <c r="AL529" s="208"/>
      <c r="AM529" s="208"/>
      <c r="AN529" s="208"/>
      <c r="AO529" s="208"/>
      <c r="AP529" s="208"/>
    </row>
    <row r="530" spans="1:42">
      <c r="A530" s="37">
        <v>1</v>
      </c>
      <c r="B530" s="218">
        <f t="shared" ref="B530:B539" si="259">SUM(C530:AP530)</f>
        <v>103022.49999999997</v>
      </c>
      <c r="C530" s="250">
        <f t="shared" ref="C530:AP530" si="260">LOOKUP(C518,$B$461:$AP$461,$B$462:$AP$462)*$B745</f>
        <v>0</v>
      </c>
      <c r="D530" s="208">
        <f t="shared" si="260"/>
        <v>0</v>
      </c>
      <c r="E530" s="208">
        <f t="shared" si="260"/>
        <v>20604.499999999996</v>
      </c>
      <c r="F530" s="208">
        <f t="shared" si="260"/>
        <v>32967.19999999999</v>
      </c>
      <c r="G530" s="208">
        <f t="shared" si="260"/>
        <v>19780.319999999996</v>
      </c>
      <c r="H530" s="208">
        <f t="shared" si="260"/>
        <v>11868.191999999995</v>
      </c>
      <c r="I530" s="208">
        <f t="shared" si="260"/>
        <v>11868.191999999995</v>
      </c>
      <c r="J530" s="208">
        <f t="shared" si="260"/>
        <v>5934.0959999999977</v>
      </c>
      <c r="K530" s="208">
        <f t="shared" si="260"/>
        <v>0</v>
      </c>
      <c r="L530" s="208">
        <f t="shared" si="260"/>
        <v>0</v>
      </c>
      <c r="M530" s="208">
        <f t="shared" si="260"/>
        <v>0</v>
      </c>
      <c r="N530" s="208">
        <f t="shared" si="260"/>
        <v>0</v>
      </c>
      <c r="O530" s="208">
        <f t="shared" si="260"/>
        <v>0</v>
      </c>
      <c r="P530" s="208">
        <f t="shared" si="260"/>
        <v>0</v>
      </c>
      <c r="Q530" s="208">
        <f t="shared" si="260"/>
        <v>0</v>
      </c>
      <c r="R530" s="208">
        <f t="shared" si="260"/>
        <v>0</v>
      </c>
      <c r="S530" s="208">
        <f t="shared" si="260"/>
        <v>0</v>
      </c>
      <c r="T530" s="208">
        <f t="shared" si="260"/>
        <v>0</v>
      </c>
      <c r="U530" s="208">
        <f t="shared" si="260"/>
        <v>0</v>
      </c>
      <c r="V530" s="208">
        <f t="shared" si="260"/>
        <v>0</v>
      </c>
      <c r="W530" s="208">
        <f t="shared" si="260"/>
        <v>0</v>
      </c>
      <c r="X530" s="208">
        <f t="shared" si="260"/>
        <v>0</v>
      </c>
      <c r="Y530" s="208">
        <f t="shared" si="260"/>
        <v>0</v>
      </c>
      <c r="Z530" s="208">
        <f t="shared" si="260"/>
        <v>0</v>
      </c>
      <c r="AA530" s="208">
        <f t="shared" si="260"/>
        <v>0</v>
      </c>
      <c r="AB530" s="208">
        <f t="shared" si="260"/>
        <v>0</v>
      </c>
      <c r="AC530" s="208">
        <f t="shared" si="260"/>
        <v>0</v>
      </c>
      <c r="AD530" s="208">
        <f t="shared" si="260"/>
        <v>0</v>
      </c>
      <c r="AE530" s="208">
        <f t="shared" si="260"/>
        <v>0</v>
      </c>
      <c r="AF530" s="208">
        <f t="shared" si="260"/>
        <v>0</v>
      </c>
      <c r="AG530" s="208">
        <f t="shared" si="260"/>
        <v>0</v>
      </c>
      <c r="AH530" s="208">
        <f t="shared" si="260"/>
        <v>0</v>
      </c>
      <c r="AI530" s="208">
        <f t="shared" si="260"/>
        <v>0</v>
      </c>
      <c r="AJ530" s="208">
        <f t="shared" si="260"/>
        <v>0</v>
      </c>
      <c r="AK530" s="208">
        <f t="shared" si="260"/>
        <v>0</v>
      </c>
      <c r="AL530" s="208">
        <f t="shared" si="260"/>
        <v>0</v>
      </c>
      <c r="AM530" s="208">
        <f t="shared" si="260"/>
        <v>0</v>
      </c>
      <c r="AN530" s="208">
        <f t="shared" si="260"/>
        <v>0</v>
      </c>
      <c r="AO530" s="208">
        <f t="shared" si="260"/>
        <v>0</v>
      </c>
      <c r="AP530" s="208">
        <f t="shared" si="260"/>
        <v>0</v>
      </c>
    </row>
    <row r="531" spans="1:42">
      <c r="A531" s="37">
        <f>A530+1</f>
        <v>2</v>
      </c>
      <c r="B531" s="218">
        <f t="shared" si="259"/>
        <v>107728.40038843744</v>
      </c>
      <c r="C531" s="250">
        <f t="shared" ref="C531:AP531" si="261">LOOKUP(C519,$B$461:$AP$461,$B$462:$AP$462)*$B746</f>
        <v>0</v>
      </c>
      <c r="D531" s="208">
        <f t="shared" si="261"/>
        <v>0</v>
      </c>
      <c r="E531" s="208">
        <f t="shared" si="261"/>
        <v>0</v>
      </c>
      <c r="F531" s="208">
        <f t="shared" si="261"/>
        <v>0</v>
      </c>
      <c r="G531" s="208">
        <f t="shared" si="261"/>
        <v>0</v>
      </c>
      <c r="H531" s="208">
        <f t="shared" si="261"/>
        <v>21545.680077687488</v>
      </c>
      <c r="I531" s="208">
        <f t="shared" si="261"/>
        <v>34473.088124299975</v>
      </c>
      <c r="J531" s="208">
        <f t="shared" si="261"/>
        <v>20683.852874579985</v>
      </c>
      <c r="K531" s="208">
        <f t="shared" si="261"/>
        <v>12410.311724747991</v>
      </c>
      <c r="L531" s="208">
        <f t="shared" si="261"/>
        <v>12410.311724747991</v>
      </c>
      <c r="M531" s="208">
        <f t="shared" si="261"/>
        <v>6205.1558623739957</v>
      </c>
      <c r="N531" s="208">
        <f t="shared" si="261"/>
        <v>0</v>
      </c>
      <c r="O531" s="208">
        <f t="shared" si="261"/>
        <v>0</v>
      </c>
      <c r="P531" s="208">
        <f t="shared" si="261"/>
        <v>0</v>
      </c>
      <c r="Q531" s="208">
        <f t="shared" si="261"/>
        <v>0</v>
      </c>
      <c r="R531" s="208">
        <f t="shared" si="261"/>
        <v>0</v>
      </c>
      <c r="S531" s="208">
        <f t="shared" si="261"/>
        <v>0</v>
      </c>
      <c r="T531" s="208">
        <f t="shared" si="261"/>
        <v>0</v>
      </c>
      <c r="U531" s="208">
        <f t="shared" si="261"/>
        <v>0</v>
      </c>
      <c r="V531" s="208">
        <f t="shared" si="261"/>
        <v>0</v>
      </c>
      <c r="W531" s="208">
        <f t="shared" si="261"/>
        <v>0</v>
      </c>
      <c r="X531" s="208">
        <f t="shared" si="261"/>
        <v>0</v>
      </c>
      <c r="Y531" s="208">
        <f t="shared" si="261"/>
        <v>0</v>
      </c>
      <c r="Z531" s="208">
        <f t="shared" si="261"/>
        <v>0</v>
      </c>
      <c r="AA531" s="208">
        <f t="shared" si="261"/>
        <v>0</v>
      </c>
      <c r="AB531" s="208">
        <f t="shared" si="261"/>
        <v>0</v>
      </c>
      <c r="AC531" s="208">
        <f t="shared" si="261"/>
        <v>0</v>
      </c>
      <c r="AD531" s="208">
        <f t="shared" si="261"/>
        <v>0</v>
      </c>
      <c r="AE531" s="208">
        <f t="shared" si="261"/>
        <v>0</v>
      </c>
      <c r="AF531" s="208">
        <f t="shared" si="261"/>
        <v>0</v>
      </c>
      <c r="AG531" s="208">
        <f t="shared" si="261"/>
        <v>0</v>
      </c>
      <c r="AH531" s="208">
        <f t="shared" si="261"/>
        <v>0</v>
      </c>
      <c r="AI531" s="208">
        <f t="shared" si="261"/>
        <v>0</v>
      </c>
      <c r="AJ531" s="208">
        <f t="shared" si="261"/>
        <v>0</v>
      </c>
      <c r="AK531" s="208">
        <f t="shared" si="261"/>
        <v>0</v>
      </c>
      <c r="AL531" s="208">
        <f t="shared" si="261"/>
        <v>0</v>
      </c>
      <c r="AM531" s="208">
        <f t="shared" si="261"/>
        <v>0</v>
      </c>
      <c r="AN531" s="208">
        <f t="shared" si="261"/>
        <v>0</v>
      </c>
      <c r="AO531" s="208">
        <f t="shared" si="261"/>
        <v>0</v>
      </c>
      <c r="AP531" s="208">
        <f t="shared" si="261"/>
        <v>0</v>
      </c>
    </row>
    <row r="532" spans="1:42">
      <c r="A532" s="37">
        <f t="shared" ref="A532:A537" si="262">A531+1</f>
        <v>3</v>
      </c>
      <c r="B532" s="218">
        <f t="shared" si="259"/>
        <v>112649.25865953058</v>
      </c>
      <c r="C532" s="250">
        <f t="shared" ref="C532:AP532" si="263">LOOKUP(C520,$B$461:$AP$461,$B$462:$AP$462)*$B747</f>
        <v>0</v>
      </c>
      <c r="D532" s="208">
        <f t="shared" si="263"/>
        <v>0</v>
      </c>
      <c r="E532" s="208">
        <f t="shared" si="263"/>
        <v>0</v>
      </c>
      <c r="F532" s="208">
        <f t="shared" si="263"/>
        <v>0</v>
      </c>
      <c r="G532" s="208">
        <f t="shared" si="263"/>
        <v>0</v>
      </c>
      <c r="H532" s="208">
        <f t="shared" si="263"/>
        <v>0</v>
      </c>
      <c r="I532" s="208">
        <f t="shared" si="263"/>
        <v>0</v>
      </c>
      <c r="J532" s="208">
        <f t="shared" si="263"/>
        <v>0</v>
      </c>
      <c r="K532" s="208">
        <f t="shared" si="263"/>
        <v>22529.851731906117</v>
      </c>
      <c r="L532" s="208">
        <f t="shared" si="263"/>
        <v>36047.762771049784</v>
      </c>
      <c r="M532" s="208">
        <f t="shared" si="263"/>
        <v>21628.65766262987</v>
      </c>
      <c r="N532" s="208">
        <f t="shared" si="263"/>
        <v>12977.194597577922</v>
      </c>
      <c r="O532" s="208">
        <f t="shared" si="263"/>
        <v>12977.194597577922</v>
      </c>
      <c r="P532" s="208">
        <f t="shared" si="263"/>
        <v>6488.5972987889609</v>
      </c>
      <c r="Q532" s="208">
        <f t="shared" si="263"/>
        <v>0</v>
      </c>
      <c r="R532" s="208">
        <f t="shared" si="263"/>
        <v>0</v>
      </c>
      <c r="S532" s="208">
        <f t="shared" si="263"/>
        <v>0</v>
      </c>
      <c r="T532" s="208">
        <f t="shared" si="263"/>
        <v>0</v>
      </c>
      <c r="U532" s="208">
        <f t="shared" si="263"/>
        <v>0</v>
      </c>
      <c r="V532" s="208">
        <f t="shared" si="263"/>
        <v>0</v>
      </c>
      <c r="W532" s="208">
        <f t="shared" si="263"/>
        <v>0</v>
      </c>
      <c r="X532" s="208">
        <f t="shared" si="263"/>
        <v>0</v>
      </c>
      <c r="Y532" s="208">
        <f t="shared" si="263"/>
        <v>0</v>
      </c>
      <c r="Z532" s="208">
        <f t="shared" si="263"/>
        <v>0</v>
      </c>
      <c r="AA532" s="208">
        <f t="shared" si="263"/>
        <v>0</v>
      </c>
      <c r="AB532" s="208">
        <f t="shared" si="263"/>
        <v>0</v>
      </c>
      <c r="AC532" s="208">
        <f t="shared" si="263"/>
        <v>0</v>
      </c>
      <c r="AD532" s="208">
        <f t="shared" si="263"/>
        <v>0</v>
      </c>
      <c r="AE532" s="208">
        <f t="shared" si="263"/>
        <v>0</v>
      </c>
      <c r="AF532" s="208">
        <f t="shared" si="263"/>
        <v>0</v>
      </c>
      <c r="AG532" s="208">
        <f t="shared" si="263"/>
        <v>0</v>
      </c>
      <c r="AH532" s="208">
        <f t="shared" si="263"/>
        <v>0</v>
      </c>
      <c r="AI532" s="208">
        <f t="shared" si="263"/>
        <v>0</v>
      </c>
      <c r="AJ532" s="208">
        <f t="shared" si="263"/>
        <v>0</v>
      </c>
      <c r="AK532" s="208">
        <f t="shared" si="263"/>
        <v>0</v>
      </c>
      <c r="AL532" s="208">
        <f t="shared" si="263"/>
        <v>0</v>
      </c>
      <c r="AM532" s="208">
        <f t="shared" si="263"/>
        <v>0</v>
      </c>
      <c r="AN532" s="208">
        <f t="shared" si="263"/>
        <v>0</v>
      </c>
      <c r="AO532" s="208">
        <f t="shared" si="263"/>
        <v>0</v>
      </c>
      <c r="AP532" s="208">
        <f t="shared" si="263"/>
        <v>0</v>
      </c>
    </row>
    <row r="533" spans="1:42">
      <c r="A533" s="37">
        <f t="shared" si="262"/>
        <v>4</v>
      </c>
      <c r="B533" s="218">
        <f t="shared" si="259"/>
        <v>117794.89374005256</v>
      </c>
      <c r="C533" s="250">
        <f t="shared" ref="C533:AP533" si="264">LOOKUP(C521,$B$461:$AP$461,$B$462:$AP$462)*$B748</f>
        <v>0</v>
      </c>
      <c r="D533" s="208">
        <f t="shared" si="264"/>
        <v>0</v>
      </c>
      <c r="E533" s="208">
        <f t="shared" si="264"/>
        <v>0</v>
      </c>
      <c r="F533" s="208">
        <f t="shared" si="264"/>
        <v>0</v>
      </c>
      <c r="G533" s="208">
        <f t="shared" si="264"/>
        <v>0</v>
      </c>
      <c r="H533" s="208">
        <f t="shared" si="264"/>
        <v>0</v>
      </c>
      <c r="I533" s="208">
        <f t="shared" si="264"/>
        <v>0</v>
      </c>
      <c r="J533" s="208">
        <f t="shared" si="264"/>
        <v>0</v>
      </c>
      <c r="K533" s="208">
        <f t="shared" si="264"/>
        <v>0</v>
      </c>
      <c r="L533" s="208">
        <f t="shared" si="264"/>
        <v>0</v>
      </c>
      <c r="M533" s="208">
        <f t="shared" si="264"/>
        <v>0</v>
      </c>
      <c r="N533" s="208">
        <f t="shared" si="264"/>
        <v>23558.978748010515</v>
      </c>
      <c r="O533" s="208">
        <f t="shared" si="264"/>
        <v>37694.365996816821</v>
      </c>
      <c r="P533" s="208">
        <f t="shared" si="264"/>
        <v>22616.619598090092</v>
      </c>
      <c r="Q533" s="208">
        <f t="shared" si="264"/>
        <v>13569.971758854055</v>
      </c>
      <c r="R533" s="208">
        <f t="shared" si="264"/>
        <v>13569.971758854055</v>
      </c>
      <c r="S533" s="208">
        <f t="shared" si="264"/>
        <v>6784.9858794270276</v>
      </c>
      <c r="T533" s="208">
        <f t="shared" si="264"/>
        <v>0</v>
      </c>
      <c r="U533" s="208">
        <f t="shared" si="264"/>
        <v>0</v>
      </c>
      <c r="V533" s="208">
        <f t="shared" si="264"/>
        <v>0</v>
      </c>
      <c r="W533" s="208">
        <f t="shared" si="264"/>
        <v>0</v>
      </c>
      <c r="X533" s="208">
        <f t="shared" si="264"/>
        <v>0</v>
      </c>
      <c r="Y533" s="208">
        <f t="shared" si="264"/>
        <v>0</v>
      </c>
      <c r="Z533" s="208">
        <f t="shared" si="264"/>
        <v>0</v>
      </c>
      <c r="AA533" s="208">
        <f t="shared" si="264"/>
        <v>0</v>
      </c>
      <c r="AB533" s="208">
        <f t="shared" si="264"/>
        <v>0</v>
      </c>
      <c r="AC533" s="208">
        <f t="shared" si="264"/>
        <v>0</v>
      </c>
      <c r="AD533" s="208">
        <f t="shared" si="264"/>
        <v>0</v>
      </c>
      <c r="AE533" s="208">
        <f t="shared" si="264"/>
        <v>0</v>
      </c>
      <c r="AF533" s="208">
        <f t="shared" si="264"/>
        <v>0</v>
      </c>
      <c r="AG533" s="208">
        <f t="shared" si="264"/>
        <v>0</v>
      </c>
      <c r="AH533" s="208">
        <f t="shared" si="264"/>
        <v>0</v>
      </c>
      <c r="AI533" s="208">
        <f t="shared" si="264"/>
        <v>0</v>
      </c>
      <c r="AJ533" s="208">
        <f t="shared" si="264"/>
        <v>0</v>
      </c>
      <c r="AK533" s="208">
        <f t="shared" si="264"/>
        <v>0</v>
      </c>
      <c r="AL533" s="208">
        <f t="shared" si="264"/>
        <v>0</v>
      </c>
      <c r="AM533" s="208">
        <f t="shared" si="264"/>
        <v>0</v>
      </c>
      <c r="AN533" s="208">
        <f t="shared" si="264"/>
        <v>0</v>
      </c>
      <c r="AO533" s="208">
        <f t="shared" si="264"/>
        <v>0</v>
      </c>
      <c r="AP533" s="208">
        <f t="shared" si="264"/>
        <v>0</v>
      </c>
    </row>
    <row r="534" spans="1:42">
      <c r="A534" s="37">
        <f t="shared" si="262"/>
        <v>5</v>
      </c>
      <c r="B534" s="218">
        <f t="shared" si="259"/>
        <v>123175.57306939577</v>
      </c>
      <c r="C534" s="250">
        <f t="shared" ref="C534:AP534" si="265">LOOKUP(C522,$B$461:$AP$461,$B$462:$AP$462)*$B749</f>
        <v>0</v>
      </c>
      <c r="D534" s="208">
        <f t="shared" si="265"/>
        <v>0</v>
      </c>
      <c r="E534" s="208">
        <f t="shared" si="265"/>
        <v>0</v>
      </c>
      <c r="F534" s="208">
        <f t="shared" si="265"/>
        <v>0</v>
      </c>
      <c r="G534" s="208">
        <f t="shared" si="265"/>
        <v>0</v>
      </c>
      <c r="H534" s="208">
        <f t="shared" si="265"/>
        <v>0</v>
      </c>
      <c r="I534" s="208">
        <f t="shared" si="265"/>
        <v>0</v>
      </c>
      <c r="J534" s="208">
        <f t="shared" si="265"/>
        <v>0</v>
      </c>
      <c r="K534" s="208">
        <f t="shared" si="265"/>
        <v>0</v>
      </c>
      <c r="L534" s="208">
        <f t="shared" si="265"/>
        <v>0</v>
      </c>
      <c r="M534" s="208">
        <f t="shared" si="265"/>
        <v>0</v>
      </c>
      <c r="N534" s="208">
        <f t="shared" si="265"/>
        <v>0</v>
      </c>
      <c r="O534" s="208">
        <f t="shared" si="265"/>
        <v>0</v>
      </c>
      <c r="P534" s="208">
        <f t="shared" si="265"/>
        <v>0</v>
      </c>
      <c r="Q534" s="208">
        <f t="shared" si="265"/>
        <v>24635.114613879156</v>
      </c>
      <c r="R534" s="208">
        <f t="shared" si="265"/>
        <v>39416.183382206647</v>
      </c>
      <c r="S534" s="208">
        <f t="shared" si="265"/>
        <v>23649.710029323989</v>
      </c>
      <c r="T534" s="208">
        <f t="shared" si="265"/>
        <v>14189.826017594392</v>
      </c>
      <c r="U534" s="208">
        <f t="shared" si="265"/>
        <v>14189.826017594392</v>
      </c>
      <c r="V534" s="208">
        <f t="shared" si="265"/>
        <v>7094.9130087971962</v>
      </c>
      <c r="W534" s="208">
        <f t="shared" si="265"/>
        <v>0</v>
      </c>
      <c r="X534" s="208">
        <f t="shared" si="265"/>
        <v>0</v>
      </c>
      <c r="Y534" s="208">
        <f t="shared" si="265"/>
        <v>0</v>
      </c>
      <c r="Z534" s="208">
        <f t="shared" si="265"/>
        <v>0</v>
      </c>
      <c r="AA534" s="208">
        <f t="shared" si="265"/>
        <v>0</v>
      </c>
      <c r="AB534" s="208">
        <f t="shared" si="265"/>
        <v>0</v>
      </c>
      <c r="AC534" s="208">
        <f t="shared" si="265"/>
        <v>0</v>
      </c>
      <c r="AD534" s="208">
        <f t="shared" si="265"/>
        <v>0</v>
      </c>
      <c r="AE534" s="208">
        <f t="shared" si="265"/>
        <v>0</v>
      </c>
      <c r="AF534" s="208">
        <f t="shared" si="265"/>
        <v>0</v>
      </c>
      <c r="AG534" s="208">
        <f t="shared" si="265"/>
        <v>0</v>
      </c>
      <c r="AH534" s="208">
        <f t="shared" si="265"/>
        <v>0</v>
      </c>
      <c r="AI534" s="208">
        <f t="shared" si="265"/>
        <v>0</v>
      </c>
      <c r="AJ534" s="208">
        <f t="shared" si="265"/>
        <v>0</v>
      </c>
      <c r="AK534" s="208">
        <f t="shared" si="265"/>
        <v>0</v>
      </c>
      <c r="AL534" s="208">
        <f t="shared" si="265"/>
        <v>0</v>
      </c>
      <c r="AM534" s="208">
        <f t="shared" si="265"/>
        <v>0</v>
      </c>
      <c r="AN534" s="208">
        <f t="shared" si="265"/>
        <v>0</v>
      </c>
      <c r="AO534" s="208">
        <f t="shared" si="265"/>
        <v>0</v>
      </c>
      <c r="AP534" s="208">
        <f t="shared" si="265"/>
        <v>0</v>
      </c>
    </row>
    <row r="535" spans="1:42">
      <c r="A535" s="37">
        <f t="shared" si="262"/>
        <v>6</v>
      </c>
      <c r="B535" s="218">
        <f t="shared" si="259"/>
        <v>128802.03308689946</v>
      </c>
      <c r="C535" s="250">
        <f t="shared" ref="C535:AP535" si="266">LOOKUP(C523,$B$461:$AP$461,$B$462:$AP$462)*$B750</f>
        <v>0</v>
      </c>
      <c r="D535" s="208">
        <f t="shared" si="266"/>
        <v>0</v>
      </c>
      <c r="E535" s="208">
        <f t="shared" si="266"/>
        <v>0</v>
      </c>
      <c r="F535" s="208">
        <f t="shared" si="266"/>
        <v>0</v>
      </c>
      <c r="G535" s="208">
        <f t="shared" si="266"/>
        <v>0</v>
      </c>
      <c r="H535" s="208">
        <f t="shared" si="266"/>
        <v>0</v>
      </c>
      <c r="I535" s="208">
        <f t="shared" si="266"/>
        <v>0</v>
      </c>
      <c r="J535" s="208">
        <f t="shared" si="266"/>
        <v>0</v>
      </c>
      <c r="K535" s="208">
        <f t="shared" si="266"/>
        <v>0</v>
      </c>
      <c r="L535" s="208">
        <f t="shared" si="266"/>
        <v>0</v>
      </c>
      <c r="M535" s="208">
        <f t="shared" si="266"/>
        <v>0</v>
      </c>
      <c r="N535" s="208">
        <f t="shared" si="266"/>
        <v>0</v>
      </c>
      <c r="O535" s="208">
        <f t="shared" si="266"/>
        <v>0</v>
      </c>
      <c r="P535" s="208">
        <f t="shared" si="266"/>
        <v>0</v>
      </c>
      <c r="Q535" s="208">
        <f t="shared" si="266"/>
        <v>0</v>
      </c>
      <c r="R535" s="208">
        <f t="shared" si="266"/>
        <v>0</v>
      </c>
      <c r="S535" s="208">
        <f t="shared" si="266"/>
        <v>0</v>
      </c>
      <c r="T535" s="208">
        <f t="shared" si="266"/>
        <v>25760.406617379896</v>
      </c>
      <c r="U535" s="208">
        <f t="shared" si="266"/>
        <v>41216.650587807831</v>
      </c>
      <c r="V535" s="208">
        <f t="shared" si="266"/>
        <v>24729.990352684701</v>
      </c>
      <c r="W535" s="208">
        <f t="shared" si="266"/>
        <v>14837.99421161082</v>
      </c>
      <c r="X535" s="208">
        <f t="shared" si="266"/>
        <v>14837.99421161082</v>
      </c>
      <c r="Y535" s="208">
        <f t="shared" si="266"/>
        <v>7418.9971058054098</v>
      </c>
      <c r="Z535" s="208">
        <f t="shared" si="266"/>
        <v>0</v>
      </c>
      <c r="AA535" s="208">
        <f t="shared" si="266"/>
        <v>0</v>
      </c>
      <c r="AB535" s="208">
        <f t="shared" si="266"/>
        <v>0</v>
      </c>
      <c r="AC535" s="208">
        <f t="shared" si="266"/>
        <v>0</v>
      </c>
      <c r="AD535" s="208">
        <f t="shared" si="266"/>
        <v>0</v>
      </c>
      <c r="AE535" s="208">
        <f t="shared" si="266"/>
        <v>0</v>
      </c>
      <c r="AF535" s="208">
        <f t="shared" si="266"/>
        <v>0</v>
      </c>
      <c r="AG535" s="208">
        <f t="shared" si="266"/>
        <v>0</v>
      </c>
      <c r="AH535" s="208">
        <f t="shared" si="266"/>
        <v>0</v>
      </c>
      <c r="AI535" s="208">
        <f t="shared" si="266"/>
        <v>0</v>
      </c>
      <c r="AJ535" s="208">
        <f t="shared" si="266"/>
        <v>0</v>
      </c>
      <c r="AK535" s="208">
        <f t="shared" si="266"/>
        <v>0</v>
      </c>
      <c r="AL535" s="208">
        <f t="shared" si="266"/>
        <v>0</v>
      </c>
      <c r="AM535" s="208">
        <f t="shared" si="266"/>
        <v>0</v>
      </c>
      <c r="AN535" s="208">
        <f t="shared" si="266"/>
        <v>0</v>
      </c>
      <c r="AO535" s="208">
        <f t="shared" si="266"/>
        <v>0</v>
      </c>
      <c r="AP535" s="208">
        <f t="shared" si="266"/>
        <v>0</v>
      </c>
    </row>
    <row r="536" spans="1:42">
      <c r="A536" s="37">
        <f t="shared" si="262"/>
        <v>7</v>
      </c>
      <c r="B536" s="218">
        <f t="shared" si="259"/>
        <v>134685.50065500522</v>
      </c>
      <c r="C536" s="250">
        <f t="shared" ref="C536:AP536" si="267">LOOKUP(C524,$B$461:$AP$461,$B$462:$AP$462)*$B751</f>
        <v>0</v>
      </c>
      <c r="D536" s="208">
        <f t="shared" si="267"/>
        <v>0</v>
      </c>
      <c r="E536" s="208">
        <f t="shared" si="267"/>
        <v>0</v>
      </c>
      <c r="F536" s="208">
        <f t="shared" si="267"/>
        <v>0</v>
      </c>
      <c r="G536" s="208">
        <f t="shared" si="267"/>
        <v>0</v>
      </c>
      <c r="H536" s="208">
        <f t="shared" si="267"/>
        <v>0</v>
      </c>
      <c r="I536" s="208">
        <f t="shared" si="267"/>
        <v>0</v>
      </c>
      <c r="J536" s="208">
        <f t="shared" si="267"/>
        <v>0</v>
      </c>
      <c r="K536" s="208">
        <f t="shared" si="267"/>
        <v>0</v>
      </c>
      <c r="L536" s="208">
        <f t="shared" si="267"/>
        <v>0</v>
      </c>
      <c r="M536" s="208">
        <f t="shared" si="267"/>
        <v>0</v>
      </c>
      <c r="N536" s="208">
        <f t="shared" si="267"/>
        <v>0</v>
      </c>
      <c r="O536" s="208">
        <f t="shared" si="267"/>
        <v>0</v>
      </c>
      <c r="P536" s="208">
        <f t="shared" si="267"/>
        <v>0</v>
      </c>
      <c r="Q536" s="208">
        <f t="shared" si="267"/>
        <v>0</v>
      </c>
      <c r="R536" s="208">
        <f t="shared" si="267"/>
        <v>0</v>
      </c>
      <c r="S536" s="208">
        <f t="shared" si="267"/>
        <v>0</v>
      </c>
      <c r="T536" s="208">
        <f t="shared" si="267"/>
        <v>0</v>
      </c>
      <c r="U536" s="208">
        <f t="shared" si="267"/>
        <v>0</v>
      </c>
      <c r="V536" s="208">
        <f t="shared" si="267"/>
        <v>0</v>
      </c>
      <c r="W536" s="208">
        <f t="shared" si="267"/>
        <v>26937.100131001047</v>
      </c>
      <c r="X536" s="208">
        <f t="shared" si="267"/>
        <v>43099.360209601669</v>
      </c>
      <c r="Y536" s="208">
        <f t="shared" si="267"/>
        <v>25859.616125761004</v>
      </c>
      <c r="Z536" s="208">
        <f t="shared" si="267"/>
        <v>15515.7696754566</v>
      </c>
      <c r="AA536" s="208">
        <f t="shared" si="267"/>
        <v>15515.7696754566</v>
      </c>
      <c r="AB536" s="208">
        <f t="shared" si="267"/>
        <v>7757.8848377283002</v>
      </c>
      <c r="AC536" s="208">
        <f t="shared" si="267"/>
        <v>0</v>
      </c>
      <c r="AD536" s="208">
        <f t="shared" si="267"/>
        <v>0</v>
      </c>
      <c r="AE536" s="208">
        <f t="shared" si="267"/>
        <v>0</v>
      </c>
      <c r="AF536" s="208">
        <f t="shared" si="267"/>
        <v>0</v>
      </c>
      <c r="AG536" s="208">
        <f t="shared" si="267"/>
        <v>0</v>
      </c>
      <c r="AH536" s="208">
        <f t="shared" si="267"/>
        <v>0</v>
      </c>
      <c r="AI536" s="208">
        <f t="shared" si="267"/>
        <v>0</v>
      </c>
      <c r="AJ536" s="208">
        <f t="shared" si="267"/>
        <v>0</v>
      </c>
      <c r="AK536" s="208">
        <f t="shared" si="267"/>
        <v>0</v>
      </c>
      <c r="AL536" s="208">
        <f t="shared" si="267"/>
        <v>0</v>
      </c>
      <c r="AM536" s="208">
        <f t="shared" si="267"/>
        <v>0</v>
      </c>
      <c r="AN536" s="208">
        <f t="shared" si="267"/>
        <v>0</v>
      </c>
      <c r="AO536" s="208">
        <f t="shared" si="267"/>
        <v>0</v>
      </c>
      <c r="AP536" s="208">
        <f t="shared" si="267"/>
        <v>0</v>
      </c>
    </row>
    <row r="537" spans="1:42">
      <c r="A537" s="37">
        <f t="shared" si="262"/>
        <v>8</v>
      </c>
      <c r="B537" s="218">
        <f t="shared" si="259"/>
        <v>140837.71546098724</v>
      </c>
      <c r="C537" s="250">
        <f t="shared" ref="C537:AP537" si="268">LOOKUP(C525,$B$461:$AP$461,$B$462:$AP$462)*$B752</f>
        <v>0</v>
      </c>
      <c r="D537" s="208">
        <f t="shared" si="268"/>
        <v>0</v>
      </c>
      <c r="E537" s="208">
        <f t="shared" si="268"/>
        <v>0</v>
      </c>
      <c r="F537" s="208">
        <f t="shared" si="268"/>
        <v>0</v>
      </c>
      <c r="G537" s="208">
        <f t="shared" si="268"/>
        <v>0</v>
      </c>
      <c r="H537" s="208">
        <f t="shared" si="268"/>
        <v>0</v>
      </c>
      <c r="I537" s="208">
        <f t="shared" si="268"/>
        <v>0</v>
      </c>
      <c r="J537" s="208">
        <f t="shared" si="268"/>
        <v>0</v>
      </c>
      <c r="K537" s="208">
        <f t="shared" si="268"/>
        <v>0</v>
      </c>
      <c r="L537" s="208">
        <f t="shared" si="268"/>
        <v>0</v>
      </c>
      <c r="M537" s="208">
        <f t="shared" si="268"/>
        <v>0</v>
      </c>
      <c r="N537" s="208">
        <f t="shared" si="268"/>
        <v>0</v>
      </c>
      <c r="O537" s="208">
        <f t="shared" si="268"/>
        <v>0</v>
      </c>
      <c r="P537" s="208">
        <f t="shared" si="268"/>
        <v>0</v>
      </c>
      <c r="Q537" s="208">
        <f t="shared" si="268"/>
        <v>0</v>
      </c>
      <c r="R537" s="208">
        <f t="shared" si="268"/>
        <v>0</v>
      </c>
      <c r="S537" s="208">
        <f t="shared" si="268"/>
        <v>0</v>
      </c>
      <c r="T537" s="208">
        <f t="shared" si="268"/>
        <v>0</v>
      </c>
      <c r="U537" s="208">
        <f t="shared" si="268"/>
        <v>0</v>
      </c>
      <c r="V537" s="208">
        <f t="shared" si="268"/>
        <v>0</v>
      </c>
      <c r="W537" s="208">
        <f t="shared" si="268"/>
        <v>0</v>
      </c>
      <c r="X537" s="208">
        <f t="shared" si="268"/>
        <v>0</v>
      </c>
      <c r="Y537" s="208">
        <f t="shared" si="268"/>
        <v>0</v>
      </c>
      <c r="Z537" s="208">
        <f t="shared" si="268"/>
        <v>28167.543092197448</v>
      </c>
      <c r="AA537" s="208">
        <f t="shared" si="268"/>
        <v>45068.068947515916</v>
      </c>
      <c r="AB537" s="208">
        <f t="shared" si="268"/>
        <v>27040.841368509551</v>
      </c>
      <c r="AC537" s="208">
        <f t="shared" si="268"/>
        <v>16224.504821105729</v>
      </c>
      <c r="AD537" s="208">
        <f t="shared" si="268"/>
        <v>16224.504821105729</v>
      </c>
      <c r="AE537" s="208">
        <f t="shared" si="268"/>
        <v>8112.2524105528646</v>
      </c>
      <c r="AF537" s="208">
        <f t="shared" si="268"/>
        <v>0</v>
      </c>
      <c r="AG537" s="208">
        <f t="shared" si="268"/>
        <v>0</v>
      </c>
      <c r="AH537" s="208">
        <f t="shared" si="268"/>
        <v>0</v>
      </c>
      <c r="AI537" s="208">
        <f t="shared" si="268"/>
        <v>0</v>
      </c>
      <c r="AJ537" s="208">
        <f t="shared" si="268"/>
        <v>0</v>
      </c>
      <c r="AK537" s="208">
        <f t="shared" si="268"/>
        <v>0</v>
      </c>
      <c r="AL537" s="208">
        <f t="shared" si="268"/>
        <v>0</v>
      </c>
      <c r="AM537" s="208">
        <f t="shared" si="268"/>
        <v>0</v>
      </c>
      <c r="AN537" s="208">
        <f t="shared" si="268"/>
        <v>0</v>
      </c>
      <c r="AO537" s="208">
        <f t="shared" si="268"/>
        <v>0</v>
      </c>
      <c r="AP537" s="208">
        <f t="shared" si="268"/>
        <v>0</v>
      </c>
    </row>
    <row r="538" spans="1:42">
      <c r="A538" s="37">
        <f>A537+1</f>
        <v>9</v>
      </c>
      <c r="B538" s="218">
        <f t="shared" si="259"/>
        <v>121822.53268718722</v>
      </c>
      <c r="C538" s="250">
        <f t="shared" ref="C538:AP538" si="269">LOOKUP(C526,$B$461:$AP$461,$B$462:$AP$462)*$B753</f>
        <v>0</v>
      </c>
      <c r="D538" s="208">
        <f t="shared" si="269"/>
        <v>0</v>
      </c>
      <c r="E538" s="208">
        <f t="shared" si="269"/>
        <v>0</v>
      </c>
      <c r="F538" s="208">
        <f t="shared" si="269"/>
        <v>0</v>
      </c>
      <c r="G538" s="208">
        <f t="shared" si="269"/>
        <v>0</v>
      </c>
      <c r="H538" s="208">
        <f t="shared" si="269"/>
        <v>0</v>
      </c>
      <c r="I538" s="208">
        <f t="shared" si="269"/>
        <v>0</v>
      </c>
      <c r="J538" s="208">
        <f t="shared" si="269"/>
        <v>0</v>
      </c>
      <c r="K538" s="208">
        <f t="shared" si="269"/>
        <v>0</v>
      </c>
      <c r="L538" s="208">
        <f t="shared" si="269"/>
        <v>0</v>
      </c>
      <c r="M538" s="208">
        <f t="shared" si="269"/>
        <v>0</v>
      </c>
      <c r="N538" s="208">
        <f t="shared" si="269"/>
        <v>0</v>
      </c>
      <c r="O538" s="208">
        <f t="shared" si="269"/>
        <v>0</v>
      </c>
      <c r="P538" s="208">
        <f t="shared" si="269"/>
        <v>0</v>
      </c>
      <c r="Q538" s="208">
        <f t="shared" si="269"/>
        <v>0</v>
      </c>
      <c r="R538" s="208">
        <f t="shared" si="269"/>
        <v>0</v>
      </c>
      <c r="S538" s="208">
        <f t="shared" si="269"/>
        <v>0</v>
      </c>
      <c r="T538" s="208">
        <f t="shared" si="269"/>
        <v>0</v>
      </c>
      <c r="U538" s="208">
        <f t="shared" si="269"/>
        <v>0</v>
      </c>
      <c r="V538" s="208">
        <f t="shared" si="269"/>
        <v>0</v>
      </c>
      <c r="W538" s="208">
        <f t="shared" si="269"/>
        <v>0</v>
      </c>
      <c r="X538" s="208">
        <f t="shared" si="269"/>
        <v>0</v>
      </c>
      <c r="Y538" s="208">
        <f t="shared" si="269"/>
        <v>0</v>
      </c>
      <c r="Z538" s="208">
        <f t="shared" si="269"/>
        <v>0</v>
      </c>
      <c r="AA538" s="208">
        <f t="shared" si="269"/>
        <v>0</v>
      </c>
      <c r="AB538" s="208">
        <f t="shared" si="269"/>
        <v>0</v>
      </c>
      <c r="AC538" s="208">
        <f t="shared" si="269"/>
        <v>29454.190688391496</v>
      </c>
      <c r="AD538" s="208">
        <f t="shared" si="269"/>
        <v>47126.705101426393</v>
      </c>
      <c r="AE538" s="208">
        <f t="shared" si="269"/>
        <v>28276.023060855838</v>
      </c>
      <c r="AF538" s="208">
        <f t="shared" si="269"/>
        <v>16965.613836513501</v>
      </c>
      <c r="AG538" s="208">
        <f t="shared" si="269"/>
        <v>0</v>
      </c>
      <c r="AH538" s="208">
        <f t="shared" si="269"/>
        <v>0</v>
      </c>
      <c r="AI538" s="208">
        <f t="shared" si="269"/>
        <v>0</v>
      </c>
      <c r="AJ538" s="208">
        <f t="shared" si="269"/>
        <v>0</v>
      </c>
      <c r="AK538" s="208">
        <f t="shared" si="269"/>
        <v>0</v>
      </c>
      <c r="AL538" s="208">
        <f t="shared" si="269"/>
        <v>0</v>
      </c>
      <c r="AM538" s="208">
        <f t="shared" si="269"/>
        <v>0</v>
      </c>
      <c r="AN538" s="208">
        <f t="shared" si="269"/>
        <v>0</v>
      </c>
      <c r="AO538" s="208">
        <f t="shared" si="269"/>
        <v>0</v>
      </c>
      <c r="AP538" s="208">
        <f t="shared" si="269"/>
        <v>0</v>
      </c>
    </row>
    <row r="539" spans="1:42">
      <c r="A539" s="37">
        <f t="shared" ref="A539" si="270">A538+1</f>
        <v>10</v>
      </c>
      <c r="B539" s="218">
        <f t="shared" si="259"/>
        <v>30799.610255977339</v>
      </c>
      <c r="C539" s="246">
        <f t="shared" ref="C539:AP539" si="271">LOOKUP(C527,$B$461:$AP$461,$B$462:$AP$462)*$B754</f>
        <v>0</v>
      </c>
      <c r="D539" s="209">
        <f t="shared" si="271"/>
        <v>0</v>
      </c>
      <c r="E539" s="209">
        <f t="shared" si="271"/>
        <v>0</v>
      </c>
      <c r="F539" s="209">
        <f t="shared" si="271"/>
        <v>0</v>
      </c>
      <c r="G539" s="209">
        <f t="shared" si="271"/>
        <v>0</v>
      </c>
      <c r="H539" s="209">
        <f t="shared" si="271"/>
        <v>0</v>
      </c>
      <c r="I539" s="209">
        <f t="shared" si="271"/>
        <v>0</v>
      </c>
      <c r="J539" s="209">
        <f t="shared" si="271"/>
        <v>0</v>
      </c>
      <c r="K539" s="209">
        <f t="shared" si="271"/>
        <v>0</v>
      </c>
      <c r="L539" s="209">
        <f t="shared" si="271"/>
        <v>0</v>
      </c>
      <c r="M539" s="209">
        <f t="shared" si="271"/>
        <v>0</v>
      </c>
      <c r="N539" s="209">
        <f t="shared" si="271"/>
        <v>0</v>
      </c>
      <c r="O539" s="209">
        <f t="shared" si="271"/>
        <v>0</v>
      </c>
      <c r="P539" s="209">
        <f t="shared" si="271"/>
        <v>0</v>
      </c>
      <c r="Q539" s="209">
        <f t="shared" si="271"/>
        <v>0</v>
      </c>
      <c r="R539" s="209">
        <f t="shared" si="271"/>
        <v>0</v>
      </c>
      <c r="S539" s="209">
        <f t="shared" si="271"/>
        <v>0</v>
      </c>
      <c r="T539" s="209">
        <f t="shared" si="271"/>
        <v>0</v>
      </c>
      <c r="U539" s="209">
        <f t="shared" si="271"/>
        <v>0</v>
      </c>
      <c r="V539" s="209">
        <f t="shared" si="271"/>
        <v>0</v>
      </c>
      <c r="W539" s="209">
        <f t="shared" si="271"/>
        <v>0</v>
      </c>
      <c r="X539" s="209">
        <f t="shared" si="271"/>
        <v>0</v>
      </c>
      <c r="Y539" s="209">
        <f t="shared" si="271"/>
        <v>0</v>
      </c>
      <c r="Z539" s="209">
        <f t="shared" si="271"/>
        <v>0</v>
      </c>
      <c r="AA539" s="209">
        <f t="shared" si="271"/>
        <v>0</v>
      </c>
      <c r="AB539" s="209">
        <f t="shared" si="271"/>
        <v>0</v>
      </c>
      <c r="AC539" s="209">
        <f t="shared" si="271"/>
        <v>0</v>
      </c>
      <c r="AD539" s="209">
        <f t="shared" si="271"/>
        <v>0</v>
      </c>
      <c r="AE539" s="209">
        <f t="shared" si="271"/>
        <v>0</v>
      </c>
      <c r="AF539" s="209">
        <f t="shared" si="271"/>
        <v>30799.610255977339</v>
      </c>
      <c r="AG539" s="209">
        <f t="shared" si="271"/>
        <v>0</v>
      </c>
      <c r="AH539" s="209">
        <f t="shared" si="271"/>
        <v>0</v>
      </c>
      <c r="AI539" s="209">
        <f t="shared" si="271"/>
        <v>0</v>
      </c>
      <c r="AJ539" s="209">
        <f t="shared" si="271"/>
        <v>0</v>
      </c>
      <c r="AK539" s="209">
        <f t="shared" si="271"/>
        <v>0</v>
      </c>
      <c r="AL539" s="209">
        <f t="shared" si="271"/>
        <v>0</v>
      </c>
      <c r="AM539" s="209">
        <f t="shared" si="271"/>
        <v>0</v>
      </c>
      <c r="AN539" s="209">
        <f t="shared" si="271"/>
        <v>0</v>
      </c>
      <c r="AO539" s="209">
        <f t="shared" si="271"/>
        <v>0</v>
      </c>
      <c r="AP539" s="209">
        <f t="shared" si="271"/>
        <v>0</v>
      </c>
    </row>
    <row r="540" spans="1:42" s="119" customFormat="1">
      <c r="A540" s="247" t="s">
        <v>53</v>
      </c>
      <c r="B540" s="146"/>
      <c r="C540" s="146">
        <f>SUM(C530:C539)</f>
        <v>0</v>
      </c>
      <c r="D540" s="146">
        <f t="shared" ref="D540:AP540" si="272">SUM(D530:D539)</f>
        <v>0</v>
      </c>
      <c r="E540" s="146">
        <f t="shared" si="272"/>
        <v>20604.499999999996</v>
      </c>
      <c r="F540" s="146">
        <f t="shared" si="272"/>
        <v>32967.19999999999</v>
      </c>
      <c r="G540" s="146">
        <f t="shared" si="272"/>
        <v>19780.319999999996</v>
      </c>
      <c r="H540" s="146">
        <f t="shared" si="272"/>
        <v>33413.872077687483</v>
      </c>
      <c r="I540" s="146">
        <f t="shared" si="272"/>
        <v>46341.28012429997</v>
      </c>
      <c r="J540" s="146">
        <f t="shared" si="272"/>
        <v>26617.948874579983</v>
      </c>
      <c r="K540" s="146">
        <f t="shared" si="272"/>
        <v>34940.163456654111</v>
      </c>
      <c r="L540" s="146">
        <f t="shared" si="272"/>
        <v>48458.074495797773</v>
      </c>
      <c r="M540" s="146">
        <f t="shared" si="272"/>
        <v>27833.813525003865</v>
      </c>
      <c r="N540" s="146">
        <f t="shared" si="272"/>
        <v>36536.173345588439</v>
      </c>
      <c r="O540" s="146">
        <f t="shared" si="272"/>
        <v>50671.560594394745</v>
      </c>
      <c r="P540" s="146">
        <f t="shared" si="272"/>
        <v>29105.216896879054</v>
      </c>
      <c r="Q540" s="146">
        <f t="shared" si="272"/>
        <v>38205.086372733211</v>
      </c>
      <c r="R540" s="146">
        <f t="shared" si="272"/>
        <v>52986.155141060706</v>
      </c>
      <c r="S540" s="146">
        <f t="shared" si="272"/>
        <v>30434.695908751019</v>
      </c>
      <c r="T540" s="146">
        <f t="shared" si="272"/>
        <v>39950.232634974287</v>
      </c>
      <c r="U540" s="146">
        <f t="shared" si="272"/>
        <v>55406.476605402226</v>
      </c>
      <c r="V540" s="146">
        <f t="shared" si="272"/>
        <v>31824.903361481898</v>
      </c>
      <c r="W540" s="146">
        <f t="shared" si="272"/>
        <v>41775.094342611868</v>
      </c>
      <c r="X540" s="146">
        <f t="shared" si="272"/>
        <v>57937.354421212491</v>
      </c>
      <c r="Y540" s="146">
        <f t="shared" si="272"/>
        <v>33278.613231566414</v>
      </c>
      <c r="Z540" s="146">
        <f t="shared" si="272"/>
        <v>43683.312767654046</v>
      </c>
      <c r="AA540" s="146">
        <f t="shared" si="272"/>
        <v>60583.838622972515</v>
      </c>
      <c r="AB540" s="146">
        <f t="shared" si="272"/>
        <v>34798.72620623785</v>
      </c>
      <c r="AC540" s="146">
        <f t="shared" si="272"/>
        <v>45678.695509497222</v>
      </c>
      <c r="AD540" s="146">
        <f t="shared" si="272"/>
        <v>63351.209922532122</v>
      </c>
      <c r="AE540" s="146">
        <f t="shared" si="272"/>
        <v>36388.275471408706</v>
      </c>
      <c r="AF540" s="146">
        <f t="shared" si="272"/>
        <v>47765.22409249084</v>
      </c>
      <c r="AG540" s="146">
        <f t="shared" si="272"/>
        <v>0</v>
      </c>
      <c r="AH540" s="146">
        <f t="shared" si="272"/>
        <v>0</v>
      </c>
      <c r="AI540" s="146">
        <f t="shared" si="272"/>
        <v>0</v>
      </c>
      <c r="AJ540" s="146">
        <f t="shared" si="272"/>
        <v>0</v>
      </c>
      <c r="AK540" s="146">
        <f t="shared" si="272"/>
        <v>0</v>
      </c>
      <c r="AL540" s="146">
        <f t="shared" si="272"/>
        <v>0</v>
      </c>
      <c r="AM540" s="146">
        <f t="shared" si="272"/>
        <v>0</v>
      </c>
      <c r="AN540" s="146">
        <f t="shared" si="272"/>
        <v>0</v>
      </c>
      <c r="AO540" s="146">
        <f t="shared" si="272"/>
        <v>0</v>
      </c>
      <c r="AP540" s="146">
        <f t="shared" si="272"/>
        <v>0</v>
      </c>
    </row>
    <row r="541" spans="1:42" s="119" customFormat="1">
      <c r="A541" s="247"/>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146"/>
      <c r="AD541" s="146"/>
      <c r="AE541" s="146"/>
      <c r="AF541" s="146"/>
      <c r="AG541" s="146"/>
      <c r="AH541" s="146"/>
      <c r="AI541" s="146"/>
      <c r="AJ541" s="146"/>
      <c r="AK541" s="146"/>
      <c r="AL541" s="146"/>
      <c r="AM541" s="146"/>
      <c r="AN541" s="146"/>
      <c r="AO541" s="146"/>
      <c r="AP541" s="146"/>
    </row>
    <row r="542" spans="1:42" s="119" customFormat="1">
      <c r="A542" s="201" t="s">
        <v>33</v>
      </c>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146"/>
      <c r="AD542" s="146"/>
      <c r="AE542" s="146"/>
      <c r="AF542" s="146"/>
      <c r="AG542" s="146"/>
      <c r="AH542" s="146"/>
      <c r="AI542" s="146"/>
      <c r="AJ542" s="146"/>
      <c r="AK542" s="146"/>
      <c r="AL542" s="146"/>
      <c r="AM542" s="146"/>
      <c r="AN542" s="146"/>
      <c r="AO542" s="146"/>
      <c r="AP542" s="146"/>
    </row>
    <row r="543" spans="1:42" s="119" customFormat="1">
      <c r="A543" s="251" t="s">
        <v>177</v>
      </c>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146"/>
      <c r="AD543" s="146"/>
      <c r="AE543" s="146"/>
      <c r="AF543" s="146"/>
      <c r="AG543" s="146"/>
      <c r="AH543" s="146"/>
      <c r="AI543" s="146"/>
      <c r="AJ543" s="146"/>
      <c r="AK543" s="146"/>
      <c r="AL543" s="146"/>
      <c r="AM543" s="146"/>
      <c r="AN543" s="146"/>
      <c r="AO543" s="146"/>
      <c r="AP543" s="146"/>
    </row>
    <row r="544" spans="1:42" s="119" customFormat="1">
      <c r="A544" s="37" t="s">
        <v>83</v>
      </c>
      <c r="B544" s="252" t="s">
        <v>173</v>
      </c>
      <c r="C544" s="253"/>
      <c r="D544" s="253"/>
      <c r="E544" s="253"/>
      <c r="F544" s="253"/>
      <c r="G544" s="253"/>
      <c r="H544" s="253"/>
      <c r="I544" s="254"/>
      <c r="J544" s="255" t="s">
        <v>174</v>
      </c>
      <c r="K544" s="256"/>
      <c r="L544" s="146"/>
      <c r="M544" s="146"/>
      <c r="N544" s="146"/>
      <c r="O544" s="146"/>
      <c r="P544" s="146"/>
      <c r="Q544" s="146"/>
      <c r="R544" s="146"/>
      <c r="S544" s="146"/>
      <c r="T544" s="146"/>
      <c r="U544" s="146"/>
      <c r="V544" s="146"/>
      <c r="W544" s="146"/>
      <c r="X544" s="146"/>
      <c r="Y544" s="146"/>
      <c r="Z544" s="146"/>
      <c r="AA544" s="146"/>
      <c r="AB544" s="146"/>
      <c r="AC544" s="146"/>
      <c r="AD544" s="146"/>
      <c r="AE544" s="146"/>
      <c r="AF544" s="146"/>
      <c r="AG544" s="146"/>
      <c r="AH544" s="146"/>
      <c r="AI544" s="146"/>
      <c r="AJ544" s="146"/>
      <c r="AK544" s="146"/>
      <c r="AL544" s="146"/>
      <c r="AM544" s="146"/>
      <c r="AN544" s="146"/>
      <c r="AO544" s="146"/>
      <c r="AP544" s="146"/>
    </row>
    <row r="545" spans="1:45" s="119" customFormat="1" ht="38.25">
      <c r="A545" s="37"/>
      <c r="B545" s="133" t="s">
        <v>164</v>
      </c>
      <c r="C545" s="133" t="s">
        <v>163</v>
      </c>
      <c r="D545" s="133" t="s">
        <v>166</v>
      </c>
      <c r="E545" s="133" t="s">
        <v>155</v>
      </c>
      <c r="F545" s="228" t="s">
        <v>156</v>
      </c>
      <c r="G545" s="228" t="s">
        <v>172</v>
      </c>
      <c r="H545" s="133" t="s">
        <v>165</v>
      </c>
      <c r="I545" s="133" t="s">
        <v>167</v>
      </c>
      <c r="J545" s="257" t="s">
        <v>34</v>
      </c>
      <c r="K545" s="133" t="s">
        <v>167</v>
      </c>
      <c r="L545" s="146"/>
      <c r="M545" s="146"/>
      <c r="N545" s="146"/>
      <c r="O545" s="146"/>
      <c r="P545" s="146"/>
      <c r="Q545" s="146"/>
      <c r="R545" s="146"/>
      <c r="S545" s="146"/>
      <c r="T545" s="146"/>
      <c r="U545" s="146"/>
      <c r="V545" s="146"/>
      <c r="W545" s="146"/>
      <c r="X545" s="146"/>
      <c r="Y545" s="146"/>
      <c r="Z545" s="146"/>
      <c r="AA545" s="146"/>
      <c r="AB545" s="146"/>
      <c r="AC545" s="146"/>
      <c r="AD545" s="146"/>
      <c r="AE545" s="146"/>
      <c r="AF545" s="146"/>
      <c r="AG545" s="146"/>
      <c r="AH545" s="146"/>
      <c r="AI545" s="146"/>
      <c r="AJ545" s="146"/>
      <c r="AK545" s="146"/>
      <c r="AL545" s="146"/>
      <c r="AM545" s="146"/>
      <c r="AN545" s="146"/>
      <c r="AO545" s="146"/>
      <c r="AP545" s="146"/>
      <c r="AQ545" s="146"/>
      <c r="AR545" s="146"/>
      <c r="AS545" s="146"/>
    </row>
    <row r="546" spans="1:45" s="119" customFormat="1">
      <c r="A546" s="206" t="str">
        <f>A410</f>
        <v>5-yr MACRS</v>
      </c>
      <c r="B546" s="232">
        <f>'Inputs &amp; Results'!B221</f>
        <v>39336153.420000002</v>
      </c>
      <c r="C546" s="258">
        <f>IF('Inputs &amp; Results'!B251="Yes",B546,0)</f>
        <v>39336153.420000002</v>
      </c>
      <c r="D546" s="259">
        <f>C546/$C$553</f>
        <v>1</v>
      </c>
      <c r="E546" s="260">
        <f t="shared" ref="E546:E551" si="273">$E$553*D546</f>
        <v>3000</v>
      </c>
      <c r="F546" s="146">
        <f>$F$553*D546</f>
        <v>0</v>
      </c>
      <c r="G546" s="261">
        <f>C546-E546-F546</f>
        <v>39333153.420000002</v>
      </c>
      <c r="H546" s="261">
        <f>$H$553*D546</f>
        <v>0</v>
      </c>
      <c r="I546" s="261">
        <f>H546*0.5</f>
        <v>0</v>
      </c>
      <c r="J546" s="248">
        <f>D546*$J$553</f>
        <v>20000</v>
      </c>
      <c r="K546" s="248">
        <f>J546*0.5</f>
        <v>10000</v>
      </c>
      <c r="L546" s="146"/>
      <c r="M546" s="146"/>
      <c r="N546" s="146"/>
      <c r="O546" s="146"/>
      <c r="P546" s="146"/>
      <c r="Q546" s="146"/>
      <c r="R546" s="146"/>
      <c r="S546" s="146"/>
      <c r="T546" s="146"/>
      <c r="U546" s="146"/>
      <c r="V546" s="146"/>
      <c r="W546" s="146"/>
      <c r="X546" s="146"/>
      <c r="Y546" s="146"/>
      <c r="Z546" s="146"/>
      <c r="AA546" s="146"/>
      <c r="AB546" s="146"/>
      <c r="AC546" s="146"/>
      <c r="AD546" s="146"/>
      <c r="AE546" s="146"/>
      <c r="AF546" s="146"/>
      <c r="AG546" s="146"/>
      <c r="AH546" s="146"/>
      <c r="AI546" s="146"/>
      <c r="AJ546" s="146"/>
      <c r="AK546" s="146"/>
      <c r="AL546" s="146"/>
      <c r="AM546" s="146"/>
      <c r="AN546" s="146"/>
      <c r="AO546" s="146"/>
      <c r="AP546" s="146"/>
      <c r="AQ546" s="146"/>
      <c r="AR546" s="146"/>
      <c r="AS546" s="146"/>
    </row>
    <row r="547" spans="1:45" s="119" customFormat="1">
      <c r="A547" s="206" t="str">
        <f t="shared" ref="A547:A552" si="274">A411</f>
        <v>15-yr MACRS</v>
      </c>
      <c r="B547" s="165">
        <f>'Inputs &amp; Results'!B222</f>
        <v>641350.32750000001</v>
      </c>
      <c r="C547" s="262">
        <f>IF('Inputs &amp; Results'!B252="Yes",B547,0)</f>
        <v>0</v>
      </c>
      <c r="D547" s="263">
        <f t="shared" ref="D547:D551" si="275">C547/$C$553</f>
        <v>0</v>
      </c>
      <c r="E547" s="146">
        <f t="shared" si="273"/>
        <v>0</v>
      </c>
      <c r="F547" s="146">
        <f t="shared" ref="F547:F551" si="276">$F$553*D547</f>
        <v>0</v>
      </c>
      <c r="G547" s="248">
        <f t="shared" ref="G547:G551" si="277">C547-E547-F547</f>
        <v>0</v>
      </c>
      <c r="H547" s="248">
        <f t="shared" ref="H547:H551" si="278">$H$553*D547</f>
        <v>0</v>
      </c>
      <c r="I547" s="248">
        <f t="shared" ref="I547:I551" si="279">H547*0.5</f>
        <v>0</v>
      </c>
      <c r="J547" s="248">
        <f t="shared" ref="J547:J551" si="280">D547*$J$553</f>
        <v>0</v>
      </c>
      <c r="K547" s="248">
        <f t="shared" ref="K547:K551" si="281">J547*0.5</f>
        <v>0</v>
      </c>
      <c r="L547" s="146"/>
      <c r="M547" s="146"/>
      <c r="N547" s="146"/>
      <c r="O547" s="146"/>
      <c r="P547" s="146"/>
      <c r="Q547" s="146"/>
      <c r="R547" s="146"/>
      <c r="S547" s="146"/>
      <c r="T547" s="146"/>
      <c r="U547" s="146"/>
      <c r="V547" s="146"/>
      <c r="W547" s="146"/>
      <c r="X547" s="146"/>
      <c r="Y547" s="146"/>
      <c r="Z547" s="146"/>
      <c r="AA547" s="146"/>
      <c r="AB547" s="146"/>
      <c r="AC547" s="146"/>
      <c r="AD547" s="146"/>
      <c r="AE547" s="146"/>
      <c r="AF547" s="146"/>
      <c r="AG547" s="146"/>
      <c r="AH547" s="146"/>
      <c r="AI547" s="146"/>
      <c r="AJ547" s="146"/>
      <c r="AK547" s="146"/>
      <c r="AL547" s="146"/>
      <c r="AM547" s="146"/>
      <c r="AN547" s="146"/>
      <c r="AO547" s="146"/>
      <c r="AP547" s="146"/>
      <c r="AQ547" s="146"/>
      <c r="AR547" s="146"/>
      <c r="AS547" s="146"/>
    </row>
    <row r="548" spans="1:45" s="119" customFormat="1">
      <c r="A548" s="206" t="str">
        <f t="shared" si="274"/>
        <v>5-yr SL</v>
      </c>
      <c r="B548" s="165">
        <f>'Inputs &amp; Results'!B223</f>
        <v>0</v>
      </c>
      <c r="C548" s="262">
        <f>IF('Inputs &amp; Results'!B253="Yes",B548,0)</f>
        <v>0</v>
      </c>
      <c r="D548" s="263">
        <f t="shared" si="275"/>
        <v>0</v>
      </c>
      <c r="E548" s="146">
        <f t="shared" si="273"/>
        <v>0</v>
      </c>
      <c r="F548" s="146">
        <f t="shared" si="276"/>
        <v>0</v>
      </c>
      <c r="G548" s="248">
        <f t="shared" si="277"/>
        <v>0</v>
      </c>
      <c r="H548" s="248">
        <f t="shared" si="278"/>
        <v>0</v>
      </c>
      <c r="I548" s="248">
        <f t="shared" si="279"/>
        <v>0</v>
      </c>
      <c r="J548" s="248">
        <f t="shared" si="280"/>
        <v>0</v>
      </c>
      <c r="K548" s="248">
        <f t="shared" si="281"/>
        <v>0</v>
      </c>
      <c r="L548" s="146"/>
      <c r="M548" s="146"/>
      <c r="N548" s="146"/>
      <c r="O548" s="146"/>
      <c r="P548" s="146"/>
      <c r="Q548" s="146"/>
      <c r="R548" s="146"/>
      <c r="S548" s="146"/>
      <c r="T548" s="146"/>
      <c r="U548" s="146"/>
      <c r="V548" s="146"/>
      <c r="W548" s="146"/>
      <c r="X548" s="146"/>
      <c r="Y548" s="146"/>
      <c r="Z548" s="146"/>
      <c r="AA548" s="146"/>
      <c r="AB548" s="146"/>
      <c r="AC548" s="146"/>
      <c r="AD548" s="146"/>
      <c r="AE548" s="146"/>
      <c r="AF548" s="146"/>
      <c r="AG548" s="146"/>
      <c r="AH548" s="146"/>
      <c r="AI548" s="146"/>
      <c r="AJ548" s="146"/>
      <c r="AK548" s="146"/>
      <c r="AL548" s="146"/>
      <c r="AM548" s="146"/>
      <c r="AN548" s="146"/>
      <c r="AO548" s="146"/>
      <c r="AP548" s="146"/>
      <c r="AQ548" s="146"/>
      <c r="AR548" s="146"/>
      <c r="AS548" s="146"/>
    </row>
    <row r="549" spans="1:45" s="119" customFormat="1">
      <c r="A549" s="206" t="str">
        <f t="shared" si="274"/>
        <v>15-yr SL</v>
      </c>
      <c r="B549" s="165">
        <f>'Inputs &amp; Results'!B224</f>
        <v>641350.32750000001</v>
      </c>
      <c r="C549" s="262">
        <f>IF('Inputs &amp; Results'!B254="Yes",B549,0)</f>
        <v>0</v>
      </c>
      <c r="D549" s="263">
        <f t="shared" si="275"/>
        <v>0</v>
      </c>
      <c r="E549" s="146">
        <f t="shared" si="273"/>
        <v>0</v>
      </c>
      <c r="F549" s="146">
        <f t="shared" si="276"/>
        <v>0</v>
      </c>
      <c r="G549" s="248">
        <f t="shared" si="277"/>
        <v>0</v>
      </c>
      <c r="H549" s="248">
        <f t="shared" si="278"/>
        <v>0</v>
      </c>
      <c r="I549" s="248">
        <f t="shared" si="279"/>
        <v>0</v>
      </c>
      <c r="J549" s="248">
        <f t="shared" si="280"/>
        <v>0</v>
      </c>
      <c r="K549" s="248">
        <f t="shared" si="281"/>
        <v>0</v>
      </c>
      <c r="L549" s="146"/>
      <c r="M549" s="146"/>
      <c r="N549" s="146"/>
      <c r="O549" s="146"/>
      <c r="P549" s="146"/>
      <c r="Q549" s="146"/>
      <c r="R549" s="146"/>
      <c r="S549" s="146"/>
      <c r="T549" s="146"/>
      <c r="U549" s="146"/>
      <c r="V549" s="146"/>
      <c r="W549" s="146"/>
      <c r="X549" s="146"/>
      <c r="Y549" s="146"/>
      <c r="Z549" s="146"/>
      <c r="AA549" s="146"/>
      <c r="AB549" s="146"/>
      <c r="AC549" s="146"/>
      <c r="AD549" s="146"/>
      <c r="AE549" s="146"/>
      <c r="AF549" s="146"/>
      <c r="AG549" s="146"/>
      <c r="AH549" s="146"/>
      <c r="AI549" s="146"/>
      <c r="AJ549" s="146"/>
      <c r="AK549" s="146"/>
      <c r="AL549" s="146"/>
      <c r="AM549" s="146"/>
      <c r="AN549" s="146"/>
      <c r="AO549" s="146"/>
      <c r="AP549" s="146"/>
      <c r="AQ549" s="146"/>
      <c r="AR549" s="146"/>
      <c r="AS549" s="146"/>
    </row>
    <row r="550" spans="1:45" s="119" customFormat="1">
      <c r="A550" s="206" t="str">
        <f t="shared" si="274"/>
        <v>20-yr SL</v>
      </c>
      <c r="B550" s="165">
        <f>'Inputs &amp; Results'!B225</f>
        <v>1282700.655</v>
      </c>
      <c r="C550" s="262">
        <f>IF('Inputs &amp; Results'!B255="Yes",B550,0)</f>
        <v>0</v>
      </c>
      <c r="D550" s="263">
        <f t="shared" si="275"/>
        <v>0</v>
      </c>
      <c r="E550" s="146">
        <f t="shared" si="273"/>
        <v>0</v>
      </c>
      <c r="F550" s="146">
        <f t="shared" si="276"/>
        <v>0</v>
      </c>
      <c r="G550" s="248">
        <f t="shared" si="277"/>
        <v>0</v>
      </c>
      <c r="H550" s="248">
        <f t="shared" si="278"/>
        <v>0</v>
      </c>
      <c r="I550" s="248">
        <f t="shared" si="279"/>
        <v>0</v>
      </c>
      <c r="J550" s="248">
        <f t="shared" si="280"/>
        <v>0</v>
      </c>
      <c r="K550" s="248">
        <f t="shared" si="281"/>
        <v>0</v>
      </c>
      <c r="L550" s="146"/>
      <c r="M550" s="146"/>
      <c r="N550" s="146"/>
      <c r="O550" s="146"/>
      <c r="P550" s="146"/>
      <c r="Q550" s="146"/>
      <c r="R550" s="146"/>
      <c r="S550" s="146"/>
      <c r="T550" s="146"/>
      <c r="U550" s="146"/>
      <c r="V550" s="146"/>
      <c r="W550" s="146"/>
      <c r="X550" s="146"/>
      <c r="Y550" s="146"/>
      <c r="Z550" s="146"/>
      <c r="AA550" s="146"/>
      <c r="AB550" s="146"/>
      <c r="AC550" s="146"/>
      <c r="AD550" s="146"/>
      <c r="AE550" s="146"/>
      <c r="AF550" s="146"/>
      <c r="AG550" s="146"/>
      <c r="AH550" s="146"/>
      <c r="AI550" s="146"/>
      <c r="AJ550" s="146"/>
      <c r="AK550" s="146"/>
      <c r="AL550" s="146"/>
      <c r="AM550" s="146"/>
      <c r="AN550" s="146"/>
      <c r="AO550" s="146"/>
      <c r="AP550" s="146"/>
      <c r="AQ550" s="146"/>
      <c r="AR550" s="146"/>
      <c r="AS550" s="146"/>
    </row>
    <row r="551" spans="1:45" s="119" customFormat="1">
      <c r="A551" s="206" t="str">
        <f t="shared" si="274"/>
        <v>39-yr SL</v>
      </c>
      <c r="B551" s="165">
        <f>'Inputs &amp; Results'!B226</f>
        <v>213783.4425</v>
      </c>
      <c r="C551" s="262">
        <f>IF('Inputs &amp; Results'!B256="Yes",B551,0)</f>
        <v>0</v>
      </c>
      <c r="D551" s="263">
        <f t="shared" si="275"/>
        <v>0</v>
      </c>
      <c r="E551" s="146">
        <f t="shared" si="273"/>
        <v>0</v>
      </c>
      <c r="F551" s="146">
        <f t="shared" si="276"/>
        <v>0</v>
      </c>
      <c r="G551" s="248">
        <f t="shared" si="277"/>
        <v>0</v>
      </c>
      <c r="H551" s="248">
        <f t="shared" si="278"/>
        <v>0</v>
      </c>
      <c r="I551" s="248">
        <f t="shared" si="279"/>
        <v>0</v>
      </c>
      <c r="J551" s="248">
        <f t="shared" si="280"/>
        <v>0</v>
      </c>
      <c r="K551" s="248">
        <f t="shared" si="281"/>
        <v>0</v>
      </c>
      <c r="L551" s="146"/>
      <c r="M551" s="146"/>
      <c r="N551" s="146"/>
      <c r="O551" s="146"/>
      <c r="P551" s="146"/>
      <c r="Q551" s="146"/>
      <c r="R551" s="146"/>
      <c r="S551" s="146"/>
      <c r="T551" s="146"/>
      <c r="U551" s="146"/>
      <c r="V551" s="146"/>
      <c r="W551" s="146"/>
      <c r="X551" s="146"/>
      <c r="Y551" s="146"/>
      <c r="Z551" s="146"/>
      <c r="AA551" s="146"/>
      <c r="AB551" s="146"/>
      <c r="AC551" s="146"/>
      <c r="AD551" s="146"/>
      <c r="AE551" s="146"/>
      <c r="AF551" s="146"/>
      <c r="AG551" s="146"/>
      <c r="AH551" s="146"/>
      <c r="AI551" s="146"/>
      <c r="AJ551" s="146"/>
      <c r="AK551" s="146"/>
      <c r="AL551" s="146"/>
      <c r="AM551" s="146"/>
      <c r="AN551" s="146"/>
      <c r="AO551" s="146"/>
      <c r="AP551" s="146"/>
      <c r="AQ551" s="146"/>
      <c r="AR551" s="146"/>
      <c r="AS551" s="146"/>
    </row>
    <row r="552" spans="1:45" s="119" customFormat="1">
      <c r="A552" s="206" t="str">
        <f t="shared" si="274"/>
        <v xml:space="preserve">Non-Depreciable </v>
      </c>
      <c r="B552" s="237">
        <f>'Inputs &amp; Results'!B227</f>
        <v>641350.32749999582</v>
      </c>
      <c r="C552" s="233"/>
      <c r="D552" s="264"/>
      <c r="E552" s="264"/>
      <c r="F552" s="264"/>
      <c r="G552" s="265"/>
      <c r="H552" s="265"/>
      <c r="I552" s="265"/>
      <c r="J552" s="265"/>
      <c r="K552" s="265"/>
      <c r="L552" s="146"/>
      <c r="M552" s="146"/>
      <c r="N552" s="146"/>
      <c r="O552" s="146"/>
      <c r="P552" s="146"/>
      <c r="Q552" s="146"/>
      <c r="R552" s="146"/>
      <c r="S552" s="146"/>
      <c r="T552" s="146"/>
      <c r="U552" s="146"/>
      <c r="V552" s="146"/>
      <c r="W552" s="146"/>
      <c r="X552" s="146"/>
      <c r="Y552" s="146"/>
      <c r="Z552" s="146"/>
      <c r="AA552" s="146"/>
      <c r="AB552" s="146"/>
      <c r="AC552" s="146"/>
      <c r="AD552" s="146"/>
      <c r="AE552" s="146"/>
      <c r="AF552" s="146"/>
      <c r="AG552" s="146"/>
      <c r="AH552" s="146"/>
      <c r="AI552" s="146"/>
      <c r="AJ552" s="146"/>
      <c r="AK552" s="146"/>
      <c r="AL552" s="146"/>
      <c r="AM552" s="146"/>
      <c r="AN552" s="146"/>
      <c r="AO552" s="146"/>
      <c r="AP552" s="146"/>
      <c r="AQ552" s="146"/>
      <c r="AR552" s="146"/>
      <c r="AS552" s="146"/>
    </row>
    <row r="553" spans="1:45" s="119" customFormat="1">
      <c r="A553" s="37"/>
      <c r="B553" s="246">
        <f>SUM(B546:B552)</f>
        <v>42756688.5</v>
      </c>
      <c r="C553" s="237">
        <f>SUM(C546:C552)</f>
        <v>39336153.420000002</v>
      </c>
      <c r="D553" s="266">
        <f>SUM(D546:D552)</f>
        <v>1</v>
      </c>
      <c r="E553" s="249">
        <f>B562+B568</f>
        <v>3000</v>
      </c>
      <c r="F553" s="225">
        <f>B574</f>
        <v>0</v>
      </c>
      <c r="G553" s="249">
        <f>SUM(G546:G552)</f>
        <v>39333153.420000002</v>
      </c>
      <c r="H553" s="249">
        <f>MIN(ITCStateMax,ITCStatePercent*G553)</f>
        <v>0</v>
      </c>
      <c r="I553" s="249">
        <f>SUM(I546:I552)</f>
        <v>0</v>
      </c>
      <c r="J553" s="249">
        <f>ITCStateFixed</f>
        <v>20000</v>
      </c>
      <c r="K553" s="249">
        <f>SUM(K546:K552)</f>
        <v>10000</v>
      </c>
      <c r="L553" s="146"/>
      <c r="M553" s="146"/>
      <c r="N553" s="146"/>
      <c r="O553" s="146"/>
      <c r="P553" s="146"/>
      <c r="Q553" s="146"/>
      <c r="R553" s="146"/>
      <c r="S553" s="146"/>
      <c r="T553" s="146"/>
      <c r="U553" s="146"/>
      <c r="V553" s="146"/>
      <c r="W553" s="146"/>
      <c r="X553" s="146"/>
      <c r="Y553" s="146"/>
      <c r="Z553" s="146"/>
      <c r="AA553" s="146"/>
      <c r="AB553" s="146"/>
      <c r="AC553" s="146"/>
      <c r="AD553" s="146"/>
      <c r="AE553" s="146"/>
      <c r="AF553" s="146"/>
      <c r="AG553" s="146"/>
      <c r="AH553" s="146"/>
      <c r="AI553" s="146"/>
      <c r="AJ553" s="146"/>
      <c r="AK553" s="146"/>
      <c r="AL553" s="146"/>
      <c r="AM553" s="146"/>
      <c r="AN553" s="146"/>
      <c r="AO553" s="146"/>
      <c r="AP553" s="146"/>
      <c r="AQ553" s="146"/>
      <c r="AR553" s="146"/>
      <c r="AS553" s="146"/>
    </row>
    <row r="554" spans="1:45" s="119" customFormat="1">
      <c r="A554" s="37"/>
      <c r="B554" s="164"/>
      <c r="C554" s="164"/>
      <c r="D554" s="245"/>
      <c r="E554" s="220"/>
      <c r="F554" s="220"/>
      <c r="G554" s="220"/>
      <c r="H554" s="220"/>
      <c r="I554" s="146"/>
      <c r="J554" s="146"/>
      <c r="K554" s="42"/>
      <c r="L554" s="146"/>
      <c r="M554" s="146"/>
      <c r="N554" s="146"/>
      <c r="O554" s="146"/>
      <c r="P554" s="146"/>
      <c r="Q554" s="146"/>
      <c r="R554" s="146"/>
      <c r="S554" s="146"/>
      <c r="T554" s="146"/>
      <c r="U554" s="146"/>
      <c r="V554" s="146"/>
      <c r="W554" s="146"/>
      <c r="X554" s="146"/>
      <c r="Y554" s="146"/>
      <c r="Z554" s="146"/>
      <c r="AA554" s="146"/>
      <c r="AB554" s="146"/>
      <c r="AC554" s="146"/>
      <c r="AD554" s="146"/>
      <c r="AE554" s="146"/>
      <c r="AF554" s="146"/>
      <c r="AG554" s="146"/>
      <c r="AH554" s="146"/>
      <c r="AI554" s="146"/>
      <c r="AJ554" s="146"/>
      <c r="AK554" s="146"/>
      <c r="AL554" s="146"/>
      <c r="AM554" s="146"/>
      <c r="AN554" s="146"/>
      <c r="AO554" s="146"/>
      <c r="AP554" s="146"/>
      <c r="AQ554" s="146"/>
      <c r="AR554" s="146"/>
      <c r="AS554" s="146"/>
    </row>
    <row r="555" spans="1:45" s="119" customFormat="1">
      <c r="A555" s="206" t="s">
        <v>170</v>
      </c>
      <c r="B555" s="37"/>
      <c r="C555" s="146"/>
      <c r="D555" s="146"/>
      <c r="E555" s="146"/>
      <c r="F555" s="146"/>
      <c r="G555" s="267"/>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146"/>
      <c r="AD555" s="146"/>
      <c r="AE555" s="146"/>
      <c r="AF555" s="146"/>
      <c r="AG555" s="146"/>
      <c r="AH555" s="146"/>
      <c r="AI555" s="146"/>
      <c r="AJ555" s="146"/>
      <c r="AK555" s="146"/>
      <c r="AL555" s="146"/>
      <c r="AM555" s="146"/>
      <c r="AN555" s="146"/>
      <c r="AO555" s="146"/>
      <c r="AP555" s="146"/>
      <c r="AQ555" s="146"/>
      <c r="AR555" s="146"/>
    </row>
    <row r="556" spans="1:45" s="119" customFormat="1">
      <c r="A556" s="222" t="str">
        <f t="shared" ref="A556:A574" si="282">A286</f>
        <v>Investment Based Incentive (IBI)</v>
      </c>
      <c r="B556" s="37"/>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146"/>
      <c r="AD556" s="146"/>
      <c r="AE556" s="146"/>
      <c r="AF556" s="146"/>
      <c r="AG556" s="146"/>
      <c r="AH556" s="146"/>
      <c r="AI556" s="146"/>
      <c r="AJ556" s="146"/>
      <c r="AK556" s="146"/>
      <c r="AL556" s="146"/>
      <c r="AM556" s="146"/>
      <c r="AN556" s="146"/>
      <c r="AO556" s="146"/>
      <c r="AP556" s="146"/>
      <c r="AQ556" s="146"/>
      <c r="AR556" s="146"/>
    </row>
    <row r="557" spans="1:45" s="119" customFormat="1">
      <c r="A557" s="238" t="str">
        <f t="shared" si="282"/>
        <v>Fixed Amount ($)</v>
      </c>
      <c r="B557" s="37"/>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146"/>
      <c r="AD557" s="146"/>
      <c r="AE557" s="146"/>
      <c r="AF557" s="146"/>
      <c r="AG557" s="146"/>
      <c r="AH557" s="146"/>
      <c r="AI557" s="146"/>
      <c r="AJ557" s="146"/>
      <c r="AK557" s="146"/>
      <c r="AL557" s="146"/>
      <c r="AM557" s="146"/>
      <c r="AN557" s="146"/>
      <c r="AO557" s="146"/>
      <c r="AP557" s="146"/>
      <c r="AQ557" s="146"/>
      <c r="AR557" s="146"/>
    </row>
    <row r="558" spans="1:45" s="119" customFormat="1">
      <c r="A558" s="238" t="str">
        <f t="shared" si="282"/>
        <v>Federal</v>
      </c>
      <c r="B558" s="164">
        <f>IF(IBIFedFixedStateITC="Yes",IBIFedFixed,0)</f>
        <v>1000</v>
      </c>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146"/>
      <c r="AD558" s="146"/>
      <c r="AE558" s="146"/>
      <c r="AF558" s="146"/>
      <c r="AG558" s="146"/>
      <c r="AH558" s="146"/>
      <c r="AI558" s="146"/>
      <c r="AJ558" s="146"/>
      <c r="AK558" s="146"/>
      <c r="AL558" s="146"/>
      <c r="AM558" s="146"/>
      <c r="AN558" s="146"/>
      <c r="AO558" s="146"/>
      <c r="AP558" s="146"/>
      <c r="AQ558" s="146"/>
      <c r="AR558" s="146"/>
    </row>
    <row r="559" spans="1:45" s="119" customFormat="1">
      <c r="A559" s="238" t="str">
        <f t="shared" si="282"/>
        <v>State</v>
      </c>
      <c r="B559" s="164">
        <f>IF(IBIStateFixedStateITC="Yes",IBIStateFixed,0)</f>
        <v>2000</v>
      </c>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146"/>
      <c r="AD559" s="146"/>
      <c r="AE559" s="146"/>
      <c r="AF559" s="146"/>
      <c r="AG559" s="146"/>
      <c r="AH559" s="146"/>
      <c r="AI559" s="146"/>
      <c r="AJ559" s="146"/>
      <c r="AK559" s="146"/>
      <c r="AL559" s="146"/>
      <c r="AM559" s="146"/>
      <c r="AN559" s="146"/>
      <c r="AO559" s="146"/>
      <c r="AP559" s="146"/>
      <c r="AQ559" s="146"/>
      <c r="AR559" s="146"/>
    </row>
    <row r="560" spans="1:45" s="119" customFormat="1">
      <c r="A560" s="238" t="str">
        <f t="shared" si="282"/>
        <v>Utility</v>
      </c>
      <c r="B560" s="164">
        <f>IF(IBIUtilityFixedStateITC="Yes",IBIUtilityFixed,0)</f>
        <v>0</v>
      </c>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146"/>
      <c r="AD560" s="146"/>
      <c r="AE560" s="146"/>
      <c r="AF560" s="146"/>
      <c r="AG560" s="146"/>
      <c r="AH560" s="146"/>
      <c r="AI560" s="146"/>
      <c r="AJ560" s="146"/>
      <c r="AK560" s="146"/>
      <c r="AL560" s="146"/>
      <c r="AM560" s="146"/>
      <c r="AN560" s="146"/>
      <c r="AO560" s="146"/>
      <c r="AP560" s="146"/>
      <c r="AQ560" s="146"/>
      <c r="AR560" s="146"/>
    </row>
    <row r="561" spans="1:44" s="119" customFormat="1">
      <c r="A561" s="238" t="str">
        <f t="shared" si="282"/>
        <v>Other</v>
      </c>
      <c r="B561" s="209">
        <f>IF(IBIOtherFixedStateITC="Yes",IBIOtherFixed,0)</f>
        <v>0</v>
      </c>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146"/>
      <c r="AD561" s="146"/>
      <c r="AE561" s="146"/>
      <c r="AF561" s="146"/>
      <c r="AG561" s="146"/>
      <c r="AH561" s="146"/>
      <c r="AI561" s="146"/>
      <c r="AJ561" s="146"/>
      <c r="AK561" s="146"/>
      <c r="AL561" s="146"/>
      <c r="AM561" s="146"/>
      <c r="AN561" s="146"/>
      <c r="AO561" s="146"/>
      <c r="AP561" s="146"/>
      <c r="AQ561" s="146"/>
      <c r="AR561" s="146"/>
    </row>
    <row r="562" spans="1:44" s="119" customFormat="1">
      <c r="A562" s="238" t="str">
        <f t="shared" si="282"/>
        <v>Total</v>
      </c>
      <c r="B562" s="164">
        <f>SUM(B558:B561)</f>
        <v>3000</v>
      </c>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146"/>
      <c r="AD562" s="146"/>
      <c r="AE562" s="146"/>
      <c r="AF562" s="146"/>
      <c r="AG562" s="146"/>
      <c r="AH562" s="146"/>
      <c r="AI562" s="146"/>
      <c r="AJ562" s="146"/>
      <c r="AK562" s="146"/>
      <c r="AL562" s="146"/>
      <c r="AM562" s="146"/>
      <c r="AN562" s="146"/>
      <c r="AO562" s="146"/>
      <c r="AP562" s="146"/>
      <c r="AQ562" s="146"/>
      <c r="AR562" s="146"/>
    </row>
    <row r="563" spans="1:44" s="119" customFormat="1">
      <c r="A563" s="222" t="str">
        <f t="shared" si="282"/>
        <v>Percentage of Pre-Financing Costs</v>
      </c>
      <c r="B563" s="37"/>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146"/>
      <c r="AD563" s="146"/>
      <c r="AE563" s="146"/>
      <c r="AF563" s="146"/>
      <c r="AG563" s="146"/>
      <c r="AH563" s="146"/>
      <c r="AI563" s="146"/>
      <c r="AJ563" s="146"/>
      <c r="AK563" s="146"/>
      <c r="AL563" s="146"/>
      <c r="AM563" s="146"/>
      <c r="AN563" s="146"/>
      <c r="AO563" s="146"/>
      <c r="AP563" s="146"/>
      <c r="AQ563" s="146"/>
      <c r="AR563" s="146"/>
    </row>
    <row r="564" spans="1:44" s="119" customFormat="1">
      <c r="A564" s="238" t="str">
        <f t="shared" si="282"/>
        <v>Federal</v>
      </c>
      <c r="B564" s="164">
        <f>IF(IBIFedPercentStateITC="Yes",IBIFedPercent,0)</f>
        <v>0</v>
      </c>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146"/>
      <c r="AD564" s="146"/>
      <c r="AE564" s="146"/>
      <c r="AF564" s="146"/>
      <c r="AG564" s="146"/>
      <c r="AH564" s="146"/>
      <c r="AI564" s="146"/>
      <c r="AJ564" s="146"/>
      <c r="AK564" s="146"/>
      <c r="AL564" s="146"/>
      <c r="AM564" s="146"/>
      <c r="AN564" s="146"/>
      <c r="AO564" s="146"/>
      <c r="AP564" s="146"/>
      <c r="AQ564" s="146"/>
      <c r="AR564" s="146"/>
    </row>
    <row r="565" spans="1:44" s="119" customFormat="1">
      <c r="A565" s="238" t="str">
        <f t="shared" si="282"/>
        <v>State</v>
      </c>
      <c r="B565" s="164">
        <f>IF(IBIStatePercentStateITC="Yes",IBIStatePercent,0)</f>
        <v>0</v>
      </c>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146"/>
      <c r="AD565" s="146"/>
      <c r="AE565" s="146"/>
      <c r="AF565" s="146"/>
      <c r="AG565" s="146"/>
      <c r="AH565" s="146"/>
      <c r="AI565" s="146"/>
      <c r="AJ565" s="146"/>
      <c r="AK565" s="146"/>
      <c r="AL565" s="146"/>
      <c r="AM565" s="146"/>
      <c r="AN565" s="146"/>
      <c r="AO565" s="146"/>
      <c r="AP565" s="146"/>
      <c r="AQ565" s="146"/>
      <c r="AR565" s="146"/>
    </row>
    <row r="566" spans="1:44" s="119" customFormat="1">
      <c r="A566" s="238" t="str">
        <f t="shared" si="282"/>
        <v>Utility</v>
      </c>
      <c r="B566" s="164">
        <f>IF(IBIUtilityPercentStateITC="Yes",IBIUtilityPercent,0)</f>
        <v>0</v>
      </c>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146"/>
      <c r="AD566" s="146"/>
      <c r="AE566" s="146"/>
      <c r="AF566" s="146"/>
      <c r="AG566" s="146"/>
      <c r="AH566" s="146"/>
      <c r="AI566" s="146"/>
      <c r="AJ566" s="146"/>
      <c r="AK566" s="146"/>
      <c r="AL566" s="146"/>
      <c r="AM566" s="146"/>
      <c r="AN566" s="146"/>
      <c r="AO566" s="146"/>
      <c r="AP566" s="146"/>
      <c r="AQ566" s="146"/>
      <c r="AR566" s="146"/>
    </row>
    <row r="567" spans="1:44" s="119" customFormat="1">
      <c r="A567" s="238" t="str">
        <f t="shared" si="282"/>
        <v>Other</v>
      </c>
      <c r="B567" s="209">
        <f>IF(IBIOtherPercentStateITC="Yes",IBIOtherPercent,0)</f>
        <v>0</v>
      </c>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146"/>
      <c r="AD567" s="146"/>
      <c r="AE567" s="146"/>
      <c r="AF567" s="146"/>
      <c r="AG567" s="146"/>
      <c r="AH567" s="146"/>
      <c r="AI567" s="146"/>
      <c r="AJ567" s="146"/>
      <c r="AK567" s="146"/>
      <c r="AL567" s="146"/>
      <c r="AM567" s="146"/>
      <c r="AN567" s="146"/>
      <c r="AO567" s="146"/>
      <c r="AP567" s="146"/>
      <c r="AQ567" s="146"/>
      <c r="AR567" s="146"/>
    </row>
    <row r="568" spans="1:44" s="119" customFormat="1">
      <c r="A568" s="238" t="str">
        <f t="shared" si="282"/>
        <v>Total</v>
      </c>
      <c r="B568" s="164">
        <f>SUM(B564:B567)</f>
        <v>0</v>
      </c>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146"/>
      <c r="AD568" s="146"/>
      <c r="AE568" s="146"/>
      <c r="AF568" s="146"/>
      <c r="AG568" s="146"/>
      <c r="AH568" s="146"/>
      <c r="AI568" s="146"/>
      <c r="AJ568" s="146"/>
      <c r="AK568" s="146"/>
      <c r="AL568" s="146"/>
      <c r="AM568" s="146"/>
      <c r="AN568" s="146"/>
      <c r="AO568" s="146"/>
      <c r="AP568" s="146"/>
      <c r="AQ568" s="146"/>
      <c r="AR568" s="146"/>
    </row>
    <row r="569" spans="1:44" s="119" customFormat="1">
      <c r="A569" s="222" t="str">
        <f t="shared" si="282"/>
        <v>Capacity Based Incentive (CBI)</v>
      </c>
      <c r="B569" s="37"/>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146"/>
      <c r="AD569" s="146"/>
      <c r="AE569" s="146"/>
      <c r="AF569" s="146"/>
      <c r="AG569" s="146"/>
      <c r="AH569" s="146"/>
      <c r="AI569" s="146"/>
      <c r="AJ569" s="146"/>
      <c r="AK569" s="146"/>
      <c r="AL569" s="146"/>
      <c r="AM569" s="146"/>
      <c r="AN569" s="146"/>
      <c r="AO569" s="146"/>
      <c r="AP569" s="146"/>
      <c r="AQ569" s="146"/>
      <c r="AR569" s="146"/>
    </row>
    <row r="570" spans="1:44" s="119" customFormat="1">
      <c r="A570" s="238" t="str">
        <f t="shared" si="282"/>
        <v>Federal</v>
      </c>
      <c r="B570" s="164">
        <f>IF(CBIFedStateITC="Yes",CBIFed,0)</f>
        <v>0</v>
      </c>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146"/>
      <c r="AD570" s="146"/>
      <c r="AE570" s="146"/>
      <c r="AF570" s="146"/>
      <c r="AG570" s="146"/>
      <c r="AH570" s="146"/>
      <c r="AI570" s="146"/>
      <c r="AJ570" s="146"/>
      <c r="AK570" s="146"/>
      <c r="AL570" s="146"/>
      <c r="AM570" s="146"/>
      <c r="AN570" s="146"/>
      <c r="AO570" s="146"/>
      <c r="AP570" s="146"/>
    </row>
    <row r="571" spans="1:44" s="119" customFormat="1">
      <c r="A571" s="238" t="str">
        <f t="shared" si="282"/>
        <v>State</v>
      </c>
      <c r="B571" s="164">
        <f>IF(CBIStateStateITC="Yes",CBIState,0)</f>
        <v>0</v>
      </c>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146"/>
      <c r="AD571" s="146"/>
      <c r="AE571" s="146"/>
      <c r="AF571" s="146"/>
      <c r="AG571" s="146"/>
      <c r="AH571" s="146"/>
      <c r="AI571" s="146"/>
      <c r="AJ571" s="146"/>
      <c r="AK571" s="146"/>
      <c r="AL571" s="146"/>
      <c r="AM571" s="146"/>
      <c r="AN571" s="146"/>
      <c r="AO571" s="146"/>
      <c r="AP571" s="146"/>
    </row>
    <row r="572" spans="1:44" s="119" customFormat="1">
      <c r="A572" s="238" t="str">
        <f t="shared" si="282"/>
        <v>Utility</v>
      </c>
      <c r="B572" s="164">
        <f>IF(CBIUtilityStateITC="Yes",CBIUtility,0)</f>
        <v>0</v>
      </c>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146"/>
      <c r="AD572" s="146"/>
      <c r="AE572" s="146"/>
      <c r="AF572" s="146"/>
      <c r="AG572" s="146"/>
      <c r="AH572" s="146"/>
      <c r="AI572" s="146"/>
      <c r="AJ572" s="146"/>
      <c r="AK572" s="146"/>
      <c r="AL572" s="146"/>
      <c r="AM572" s="146"/>
      <c r="AN572" s="146"/>
      <c r="AO572" s="146"/>
      <c r="AP572" s="146"/>
    </row>
    <row r="573" spans="1:44" s="119" customFormat="1">
      <c r="A573" s="238" t="str">
        <f t="shared" si="282"/>
        <v>Other</v>
      </c>
      <c r="B573" s="209">
        <f>IF(CBIOtherStateITC="Yes",CBIOther,0)</f>
        <v>0</v>
      </c>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146"/>
      <c r="AD573" s="146"/>
      <c r="AE573" s="146"/>
      <c r="AF573" s="146"/>
      <c r="AG573" s="146"/>
      <c r="AH573" s="146"/>
      <c r="AI573" s="146"/>
      <c r="AJ573" s="146"/>
      <c r="AK573" s="146"/>
      <c r="AL573" s="146"/>
      <c r="AM573" s="146"/>
      <c r="AN573" s="146"/>
      <c r="AO573" s="146"/>
      <c r="AP573" s="146"/>
    </row>
    <row r="574" spans="1:44" s="119" customFormat="1">
      <c r="A574" s="238" t="str">
        <f t="shared" si="282"/>
        <v>Total</v>
      </c>
      <c r="B574" s="216">
        <f>SUM(B570:B573)</f>
        <v>0</v>
      </c>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146"/>
      <c r="AD574" s="146"/>
      <c r="AE574" s="146"/>
      <c r="AF574" s="146"/>
      <c r="AG574" s="146"/>
      <c r="AH574" s="146"/>
      <c r="AI574" s="146"/>
      <c r="AJ574" s="146"/>
      <c r="AK574" s="146"/>
      <c r="AL574" s="146"/>
      <c r="AM574" s="146"/>
      <c r="AN574" s="146"/>
      <c r="AO574" s="146"/>
      <c r="AP574" s="146"/>
    </row>
    <row r="575" spans="1:44" s="119" customFormat="1">
      <c r="A575" s="206" t="s">
        <v>169</v>
      </c>
      <c r="B575" s="164">
        <f>B562+B568+B574</f>
        <v>3000</v>
      </c>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146"/>
      <c r="AD575" s="146"/>
      <c r="AE575" s="146"/>
      <c r="AF575" s="146"/>
      <c r="AG575" s="146"/>
      <c r="AH575" s="146"/>
      <c r="AI575" s="146"/>
      <c r="AJ575" s="146"/>
      <c r="AK575" s="146"/>
      <c r="AL575" s="146"/>
      <c r="AM575" s="146"/>
      <c r="AN575" s="146"/>
      <c r="AO575" s="146"/>
      <c r="AP575" s="146"/>
    </row>
    <row r="576" spans="1:44" s="119" customFormat="1">
      <c r="A576" s="268" t="s">
        <v>292</v>
      </c>
      <c r="B576" s="269" t="str">
        <f>IF(B575-E553-F553=0,"OK","Check")</f>
        <v>OK</v>
      </c>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146"/>
      <c r="AD576" s="146"/>
      <c r="AE576" s="146"/>
      <c r="AF576" s="146"/>
      <c r="AG576" s="146"/>
      <c r="AH576" s="146"/>
      <c r="AI576" s="146"/>
      <c r="AJ576" s="146"/>
      <c r="AK576" s="146"/>
      <c r="AL576" s="146"/>
      <c r="AM576" s="146"/>
      <c r="AN576" s="146"/>
      <c r="AO576" s="146"/>
      <c r="AP576" s="146"/>
    </row>
    <row r="577" spans="1:42" s="119" customFormat="1">
      <c r="A577" s="22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146"/>
      <c r="AD577" s="146"/>
      <c r="AE577" s="146"/>
      <c r="AF577" s="146"/>
      <c r="AG577" s="146"/>
      <c r="AH577" s="146"/>
      <c r="AI577" s="146"/>
      <c r="AJ577" s="146"/>
      <c r="AK577" s="146"/>
      <c r="AL577" s="146"/>
      <c r="AM577" s="146"/>
      <c r="AN577" s="146"/>
      <c r="AO577" s="146"/>
      <c r="AP577" s="146"/>
    </row>
    <row r="578" spans="1:42" s="119" customFormat="1">
      <c r="A578" s="251" t="s">
        <v>178</v>
      </c>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146"/>
      <c r="AD578" s="146"/>
      <c r="AE578" s="146"/>
      <c r="AF578" s="146"/>
      <c r="AG578" s="146"/>
      <c r="AH578" s="146"/>
      <c r="AI578" s="146"/>
      <c r="AJ578" s="146"/>
      <c r="AK578" s="146"/>
      <c r="AL578" s="146"/>
      <c r="AM578" s="146"/>
      <c r="AN578" s="146"/>
      <c r="AO578" s="146"/>
      <c r="AP578" s="146"/>
    </row>
    <row r="579" spans="1:42" s="119" customFormat="1">
      <c r="A579" s="37" t="s">
        <v>83</v>
      </c>
      <c r="B579" s="252" t="s">
        <v>173</v>
      </c>
      <c r="C579" s="253"/>
      <c r="D579" s="253"/>
      <c r="E579" s="253"/>
      <c r="F579" s="253"/>
      <c r="G579" s="253"/>
      <c r="H579" s="253"/>
      <c r="I579" s="254"/>
      <c r="J579" s="255" t="s">
        <v>174</v>
      </c>
      <c r="K579" s="256"/>
      <c r="L579" s="146"/>
      <c r="M579" s="146"/>
      <c r="N579" s="146"/>
      <c r="O579" s="146"/>
      <c r="P579" s="146"/>
      <c r="Q579" s="146"/>
      <c r="R579" s="146"/>
      <c r="S579" s="146"/>
      <c r="T579" s="146"/>
      <c r="U579" s="146"/>
      <c r="V579" s="146"/>
      <c r="W579" s="146"/>
      <c r="X579" s="146"/>
      <c r="Y579" s="146"/>
      <c r="Z579" s="146"/>
      <c r="AA579" s="146"/>
      <c r="AB579" s="146"/>
      <c r="AC579" s="146"/>
      <c r="AD579" s="146"/>
      <c r="AE579" s="146"/>
      <c r="AF579" s="146"/>
      <c r="AG579" s="146"/>
      <c r="AH579" s="146"/>
      <c r="AI579" s="146"/>
      <c r="AJ579" s="146"/>
      <c r="AK579" s="146"/>
      <c r="AL579" s="146"/>
      <c r="AM579" s="146"/>
      <c r="AN579" s="146"/>
      <c r="AO579" s="146"/>
      <c r="AP579" s="146"/>
    </row>
    <row r="580" spans="1:42" s="119" customFormat="1" ht="38.25">
      <c r="A580" s="37"/>
      <c r="B580" s="133" t="s">
        <v>164</v>
      </c>
      <c r="C580" s="133" t="s">
        <v>163</v>
      </c>
      <c r="D580" s="133" t="s">
        <v>166</v>
      </c>
      <c r="E580" s="133" t="s">
        <v>155</v>
      </c>
      <c r="F580" s="228" t="s">
        <v>156</v>
      </c>
      <c r="G580" s="228" t="s">
        <v>172</v>
      </c>
      <c r="H580" s="133" t="s">
        <v>165</v>
      </c>
      <c r="I580" s="133" t="s">
        <v>167</v>
      </c>
      <c r="J580" s="257" t="s">
        <v>34</v>
      </c>
      <c r="K580" s="133" t="s">
        <v>167</v>
      </c>
      <c r="L580" s="146"/>
      <c r="M580" s="146"/>
      <c r="N580" s="146"/>
      <c r="O580" s="146"/>
      <c r="P580" s="146"/>
      <c r="Q580" s="146"/>
      <c r="R580" s="146"/>
      <c r="S580" s="146"/>
      <c r="T580" s="146"/>
      <c r="U580" s="146"/>
      <c r="V580" s="146"/>
      <c r="W580" s="146"/>
      <c r="X580" s="146"/>
      <c r="Y580" s="146"/>
      <c r="Z580" s="146"/>
      <c r="AA580" s="146"/>
      <c r="AB580" s="146"/>
      <c r="AC580" s="146"/>
      <c r="AD580" s="146"/>
      <c r="AE580" s="146"/>
      <c r="AF580" s="146"/>
      <c r="AG580" s="146"/>
      <c r="AH580" s="146"/>
      <c r="AI580" s="146"/>
      <c r="AJ580" s="146"/>
      <c r="AK580" s="146"/>
      <c r="AL580" s="146"/>
      <c r="AM580" s="146"/>
      <c r="AN580" s="146"/>
      <c r="AO580" s="146"/>
      <c r="AP580" s="146"/>
    </row>
    <row r="581" spans="1:42" s="119" customFormat="1">
      <c r="A581" s="206" t="str">
        <f>A546</f>
        <v>5-yr MACRS</v>
      </c>
      <c r="B581" s="232">
        <f>'Inputs &amp; Results'!B221</f>
        <v>39336153.420000002</v>
      </c>
      <c r="C581" s="258">
        <f>IF('Inputs &amp; Results'!B259="Yes",B581,0)</f>
        <v>39336153.420000002</v>
      </c>
      <c r="D581" s="259">
        <f>C581/$C$588</f>
        <v>1</v>
      </c>
      <c r="E581" s="260">
        <f>$E$588*D581</f>
        <v>3000</v>
      </c>
      <c r="F581" s="146">
        <f>$F$588*D581</f>
        <v>5000000</v>
      </c>
      <c r="G581" s="261">
        <f>C581-E581-F581</f>
        <v>34333153.420000002</v>
      </c>
      <c r="H581" s="261">
        <f>$H$588*D581</f>
        <v>0</v>
      </c>
      <c r="I581" s="261">
        <f>H581*0.5</f>
        <v>0</v>
      </c>
      <c r="J581" s="248">
        <f>D581*$J$588</f>
        <v>10000</v>
      </c>
      <c r="K581" s="248">
        <f>J581*0.5</f>
        <v>5000</v>
      </c>
      <c r="L581" s="146"/>
      <c r="M581" s="146"/>
      <c r="N581" s="146"/>
      <c r="O581" s="146"/>
      <c r="P581" s="146"/>
      <c r="Q581" s="146"/>
      <c r="R581" s="146"/>
      <c r="S581" s="146"/>
      <c r="T581" s="146"/>
      <c r="U581" s="146"/>
      <c r="V581" s="146"/>
      <c r="W581" s="146"/>
      <c r="X581" s="146"/>
      <c r="Y581" s="146"/>
      <c r="Z581" s="146"/>
      <c r="AA581" s="146"/>
      <c r="AB581" s="146"/>
      <c r="AC581" s="146"/>
      <c r="AD581" s="146"/>
      <c r="AE581" s="146"/>
      <c r="AF581" s="146"/>
      <c r="AG581" s="146"/>
      <c r="AH581" s="146"/>
      <c r="AI581" s="146"/>
      <c r="AJ581" s="146"/>
      <c r="AK581" s="146"/>
      <c r="AL581" s="146"/>
      <c r="AM581" s="146"/>
      <c r="AN581" s="146"/>
      <c r="AO581" s="146"/>
      <c r="AP581" s="146"/>
    </row>
    <row r="582" spans="1:42" s="119" customFormat="1">
      <c r="A582" s="206" t="str">
        <f t="shared" ref="A582:A587" si="283">A547</f>
        <v>15-yr MACRS</v>
      </c>
      <c r="B582" s="165">
        <f>'Inputs &amp; Results'!B222</f>
        <v>641350.32750000001</v>
      </c>
      <c r="C582" s="262">
        <f>IF('Inputs &amp; Results'!B260="Yes",B582,0)</f>
        <v>0</v>
      </c>
      <c r="D582" s="263">
        <f t="shared" ref="D582:D586" si="284">C582/$C$588</f>
        <v>0</v>
      </c>
      <c r="E582" s="146">
        <f t="shared" ref="E582:E586" si="285">$E$588*D582</f>
        <v>0</v>
      </c>
      <c r="F582" s="146">
        <f t="shared" ref="F582:F586" si="286">$F$588*D582</f>
        <v>0</v>
      </c>
      <c r="G582" s="248">
        <f t="shared" ref="G582:G586" si="287">C582-E582-F582</f>
        <v>0</v>
      </c>
      <c r="H582" s="248">
        <f t="shared" ref="H582:H586" si="288">$H$588*D582</f>
        <v>0</v>
      </c>
      <c r="I582" s="248">
        <f t="shared" ref="I582:I586" si="289">H582*0.5</f>
        <v>0</v>
      </c>
      <c r="J582" s="248">
        <f t="shared" ref="J582:J586" si="290">D582*$J$588</f>
        <v>0</v>
      </c>
      <c r="K582" s="248">
        <f t="shared" ref="K582:K586" si="291">J582*0.5</f>
        <v>0</v>
      </c>
      <c r="L582" s="146"/>
      <c r="M582" s="146"/>
      <c r="N582" s="146"/>
      <c r="O582" s="146"/>
      <c r="P582" s="146"/>
      <c r="Q582" s="146"/>
      <c r="R582" s="146"/>
      <c r="S582" s="146"/>
      <c r="T582" s="146"/>
      <c r="U582" s="146"/>
      <c r="V582" s="146"/>
      <c r="W582" s="146"/>
      <c r="X582" s="146"/>
      <c r="Y582" s="146"/>
      <c r="Z582" s="146"/>
      <c r="AA582" s="146"/>
      <c r="AB582" s="146"/>
      <c r="AC582" s="146"/>
      <c r="AD582" s="146"/>
      <c r="AE582" s="146"/>
      <c r="AF582" s="146"/>
      <c r="AG582" s="146"/>
      <c r="AH582" s="146"/>
      <c r="AI582" s="146"/>
      <c r="AJ582" s="146"/>
      <c r="AK582" s="146"/>
      <c r="AL582" s="146"/>
      <c r="AM582" s="146"/>
      <c r="AN582" s="146"/>
      <c r="AO582" s="146"/>
      <c r="AP582" s="146"/>
    </row>
    <row r="583" spans="1:42" s="119" customFormat="1">
      <c r="A583" s="206" t="str">
        <f t="shared" si="283"/>
        <v>5-yr SL</v>
      </c>
      <c r="B583" s="165">
        <f>'Inputs &amp; Results'!B223</f>
        <v>0</v>
      </c>
      <c r="C583" s="262">
        <f>IF('Inputs &amp; Results'!B261="Yes",B583,0)</f>
        <v>0</v>
      </c>
      <c r="D583" s="263">
        <f t="shared" si="284"/>
        <v>0</v>
      </c>
      <c r="E583" s="146">
        <f t="shared" si="285"/>
        <v>0</v>
      </c>
      <c r="F583" s="146">
        <f t="shared" si="286"/>
        <v>0</v>
      </c>
      <c r="G583" s="248">
        <f t="shared" si="287"/>
        <v>0</v>
      </c>
      <c r="H583" s="248">
        <f t="shared" si="288"/>
        <v>0</v>
      </c>
      <c r="I583" s="248">
        <f t="shared" si="289"/>
        <v>0</v>
      </c>
      <c r="J583" s="248">
        <f t="shared" si="290"/>
        <v>0</v>
      </c>
      <c r="K583" s="248">
        <f t="shared" si="291"/>
        <v>0</v>
      </c>
      <c r="L583" s="146"/>
      <c r="M583" s="146"/>
      <c r="N583" s="146"/>
      <c r="O583" s="146"/>
      <c r="P583" s="146"/>
      <c r="Q583" s="146"/>
      <c r="R583" s="146"/>
      <c r="S583" s="146"/>
      <c r="T583" s="146"/>
      <c r="U583" s="146"/>
      <c r="V583" s="146"/>
      <c r="W583" s="146"/>
      <c r="X583" s="146"/>
      <c r="Y583" s="146"/>
      <c r="Z583" s="146"/>
      <c r="AA583" s="146"/>
      <c r="AB583" s="146"/>
      <c r="AC583" s="146"/>
      <c r="AD583" s="146"/>
      <c r="AE583" s="146"/>
      <c r="AF583" s="146"/>
      <c r="AG583" s="146"/>
      <c r="AH583" s="146"/>
      <c r="AI583" s="146"/>
      <c r="AJ583" s="146"/>
      <c r="AK583" s="146"/>
      <c r="AL583" s="146"/>
      <c r="AM583" s="146"/>
      <c r="AN583" s="146"/>
      <c r="AO583" s="146"/>
      <c r="AP583" s="146"/>
    </row>
    <row r="584" spans="1:42" s="119" customFormat="1">
      <c r="A584" s="206" t="str">
        <f t="shared" si="283"/>
        <v>15-yr SL</v>
      </c>
      <c r="B584" s="165">
        <f>'Inputs &amp; Results'!B224</f>
        <v>641350.32750000001</v>
      </c>
      <c r="C584" s="262">
        <f>IF('Inputs &amp; Results'!B262="Yes",B584,0)</f>
        <v>0</v>
      </c>
      <c r="D584" s="263">
        <f t="shared" si="284"/>
        <v>0</v>
      </c>
      <c r="E584" s="146">
        <f t="shared" si="285"/>
        <v>0</v>
      </c>
      <c r="F584" s="146">
        <f t="shared" si="286"/>
        <v>0</v>
      </c>
      <c r="G584" s="248">
        <f t="shared" si="287"/>
        <v>0</v>
      </c>
      <c r="H584" s="248">
        <f t="shared" si="288"/>
        <v>0</v>
      </c>
      <c r="I584" s="248">
        <f t="shared" si="289"/>
        <v>0</v>
      </c>
      <c r="J584" s="248">
        <f t="shared" si="290"/>
        <v>0</v>
      </c>
      <c r="K584" s="248">
        <f t="shared" si="291"/>
        <v>0</v>
      </c>
      <c r="L584" s="146"/>
      <c r="M584" s="146"/>
      <c r="N584" s="146"/>
      <c r="O584" s="146"/>
      <c r="P584" s="146"/>
      <c r="Q584" s="146"/>
      <c r="R584" s="146"/>
      <c r="S584" s="146"/>
      <c r="T584" s="146"/>
      <c r="U584" s="146"/>
      <c r="V584" s="146"/>
      <c r="W584" s="146"/>
      <c r="X584" s="146"/>
      <c r="Y584" s="146"/>
      <c r="Z584" s="146"/>
      <c r="AA584" s="146"/>
      <c r="AB584" s="146"/>
      <c r="AC584" s="146"/>
      <c r="AD584" s="146"/>
      <c r="AE584" s="146"/>
      <c r="AF584" s="146"/>
      <c r="AG584" s="146"/>
      <c r="AH584" s="146"/>
      <c r="AI584" s="146"/>
      <c r="AJ584" s="146"/>
      <c r="AK584" s="146"/>
      <c r="AL584" s="146"/>
      <c r="AM584" s="146"/>
      <c r="AN584" s="146"/>
      <c r="AO584" s="146"/>
      <c r="AP584" s="146"/>
    </row>
    <row r="585" spans="1:42" s="119" customFormat="1">
      <c r="A585" s="206" t="str">
        <f t="shared" si="283"/>
        <v>20-yr SL</v>
      </c>
      <c r="B585" s="165">
        <f>'Inputs &amp; Results'!B225</f>
        <v>1282700.655</v>
      </c>
      <c r="C585" s="262">
        <f>IF('Inputs &amp; Results'!B263="Yes",B585,0)</f>
        <v>0</v>
      </c>
      <c r="D585" s="263">
        <f t="shared" si="284"/>
        <v>0</v>
      </c>
      <c r="E585" s="146">
        <f t="shared" si="285"/>
        <v>0</v>
      </c>
      <c r="F585" s="146">
        <f t="shared" si="286"/>
        <v>0</v>
      </c>
      <c r="G585" s="248">
        <f t="shared" si="287"/>
        <v>0</v>
      </c>
      <c r="H585" s="248">
        <f t="shared" si="288"/>
        <v>0</v>
      </c>
      <c r="I585" s="248">
        <f t="shared" si="289"/>
        <v>0</v>
      </c>
      <c r="J585" s="248">
        <f t="shared" si="290"/>
        <v>0</v>
      </c>
      <c r="K585" s="248">
        <f t="shared" si="291"/>
        <v>0</v>
      </c>
      <c r="L585" s="146"/>
      <c r="M585" s="146"/>
      <c r="N585" s="146"/>
      <c r="O585" s="146"/>
      <c r="P585" s="146"/>
      <c r="Q585" s="146"/>
      <c r="R585" s="146"/>
      <c r="S585" s="146"/>
      <c r="T585" s="146"/>
      <c r="U585" s="146"/>
      <c r="V585" s="146"/>
      <c r="W585" s="146"/>
      <c r="X585" s="146"/>
      <c r="Y585" s="146"/>
      <c r="Z585" s="146"/>
      <c r="AA585" s="146"/>
      <c r="AB585" s="146"/>
      <c r="AC585" s="146"/>
      <c r="AD585" s="146"/>
      <c r="AE585" s="146"/>
      <c r="AF585" s="146"/>
      <c r="AG585" s="146"/>
      <c r="AH585" s="146"/>
      <c r="AI585" s="146"/>
      <c r="AJ585" s="146"/>
      <c r="AK585" s="146"/>
      <c r="AL585" s="146"/>
      <c r="AM585" s="146"/>
      <c r="AN585" s="146"/>
      <c r="AO585" s="146"/>
      <c r="AP585" s="146"/>
    </row>
    <row r="586" spans="1:42" s="119" customFormat="1">
      <c r="A586" s="206" t="str">
        <f t="shared" si="283"/>
        <v>39-yr SL</v>
      </c>
      <c r="B586" s="165">
        <f>'Inputs &amp; Results'!B226</f>
        <v>213783.4425</v>
      </c>
      <c r="C586" s="262">
        <f>IF('Inputs &amp; Results'!B264="Yes",B586,0)</f>
        <v>0</v>
      </c>
      <c r="D586" s="263">
        <f t="shared" si="284"/>
        <v>0</v>
      </c>
      <c r="E586" s="146">
        <f t="shared" si="285"/>
        <v>0</v>
      </c>
      <c r="F586" s="146">
        <f t="shared" si="286"/>
        <v>0</v>
      </c>
      <c r="G586" s="248">
        <f t="shared" si="287"/>
        <v>0</v>
      </c>
      <c r="H586" s="248">
        <f t="shared" si="288"/>
        <v>0</v>
      </c>
      <c r="I586" s="248">
        <f t="shared" si="289"/>
        <v>0</v>
      </c>
      <c r="J586" s="248">
        <f t="shared" si="290"/>
        <v>0</v>
      </c>
      <c r="K586" s="248">
        <f t="shared" si="291"/>
        <v>0</v>
      </c>
      <c r="L586" s="146"/>
      <c r="M586" s="146"/>
      <c r="N586" s="146"/>
      <c r="O586" s="146"/>
      <c r="P586" s="146"/>
      <c r="Q586" s="146"/>
      <c r="R586" s="146"/>
      <c r="S586" s="146"/>
      <c r="T586" s="146"/>
      <c r="U586" s="146"/>
      <c r="V586" s="146"/>
      <c r="W586" s="146"/>
      <c r="X586" s="146"/>
      <c r="Y586" s="146"/>
      <c r="Z586" s="146"/>
      <c r="AA586" s="146"/>
      <c r="AB586" s="146"/>
      <c r="AC586" s="146"/>
      <c r="AD586" s="146"/>
      <c r="AE586" s="146"/>
      <c r="AF586" s="146"/>
      <c r="AG586" s="146"/>
      <c r="AH586" s="146"/>
      <c r="AI586" s="146"/>
      <c r="AJ586" s="146"/>
      <c r="AK586" s="146"/>
      <c r="AL586" s="146"/>
      <c r="AM586" s="146"/>
      <c r="AN586" s="146"/>
      <c r="AO586" s="146"/>
      <c r="AP586" s="146"/>
    </row>
    <row r="587" spans="1:42" s="119" customFormat="1">
      <c r="A587" s="206" t="str">
        <f t="shared" si="283"/>
        <v xml:space="preserve">Non-Depreciable </v>
      </c>
      <c r="B587" s="237">
        <f>'Inputs &amp; Results'!B227</f>
        <v>641350.32749999582</v>
      </c>
      <c r="C587" s="233"/>
      <c r="D587" s="264"/>
      <c r="E587" s="264"/>
      <c r="F587" s="264"/>
      <c r="G587" s="265"/>
      <c r="H587" s="265"/>
      <c r="I587" s="265"/>
      <c r="J587" s="265"/>
      <c r="K587" s="265"/>
      <c r="L587" s="146"/>
      <c r="M587" s="146"/>
      <c r="N587" s="146"/>
      <c r="O587" s="146"/>
      <c r="P587" s="146"/>
      <c r="Q587" s="146"/>
      <c r="R587" s="146"/>
      <c r="S587" s="146"/>
      <c r="T587" s="146"/>
      <c r="U587" s="146"/>
      <c r="V587" s="146"/>
      <c r="W587" s="146"/>
      <c r="X587" s="146"/>
      <c r="Y587" s="146"/>
      <c r="Z587" s="146"/>
      <c r="AA587" s="146"/>
      <c r="AB587" s="146"/>
      <c r="AC587" s="146"/>
      <c r="AD587" s="146"/>
      <c r="AE587" s="146"/>
      <c r="AF587" s="146"/>
      <c r="AG587" s="146"/>
      <c r="AH587" s="146"/>
      <c r="AI587" s="146"/>
      <c r="AJ587" s="146"/>
      <c r="AK587" s="146"/>
      <c r="AL587" s="146"/>
      <c r="AM587" s="146"/>
      <c r="AN587" s="146"/>
      <c r="AO587" s="146"/>
      <c r="AP587" s="146"/>
    </row>
    <row r="588" spans="1:42" s="119" customFormat="1">
      <c r="A588" s="37"/>
      <c r="B588" s="246">
        <f>SUM(B581:B587)</f>
        <v>42756688.5</v>
      </c>
      <c r="C588" s="237">
        <f>SUM(C581:C587)</f>
        <v>39336153.420000002</v>
      </c>
      <c r="D588" s="266">
        <f>SUM(D581:D587)</f>
        <v>1</v>
      </c>
      <c r="E588" s="249">
        <f>B597+B603</f>
        <v>3000</v>
      </c>
      <c r="F588" s="225">
        <f>B609</f>
        <v>5000000</v>
      </c>
      <c r="G588" s="249">
        <f>SUM(G581:G587)</f>
        <v>34333153.420000002</v>
      </c>
      <c r="H588" s="249">
        <f>MIN(ITCFedMax,ITCFedPercent*G588)</f>
        <v>0</v>
      </c>
      <c r="I588" s="249">
        <f>SUM(I581:I587)</f>
        <v>0</v>
      </c>
      <c r="J588" s="249">
        <f>ITCFedFixed</f>
        <v>10000</v>
      </c>
      <c r="K588" s="249">
        <f>SUM(K581:K587)</f>
        <v>5000</v>
      </c>
      <c r="L588" s="146"/>
      <c r="M588" s="146"/>
      <c r="N588" s="146"/>
      <c r="O588" s="146"/>
      <c r="P588" s="146"/>
      <c r="Q588" s="146"/>
      <c r="R588" s="146"/>
      <c r="S588" s="146"/>
      <c r="T588" s="146"/>
      <c r="U588" s="146"/>
      <c r="V588" s="146"/>
      <c r="W588" s="146"/>
      <c r="X588" s="146"/>
      <c r="Y588" s="146"/>
      <c r="Z588" s="146"/>
      <c r="AA588" s="146"/>
      <c r="AB588" s="146"/>
      <c r="AC588" s="146"/>
      <c r="AD588" s="146"/>
      <c r="AE588" s="146"/>
      <c r="AF588" s="146"/>
      <c r="AG588" s="146"/>
      <c r="AH588" s="146"/>
      <c r="AI588" s="146"/>
      <c r="AJ588" s="146"/>
      <c r="AK588" s="146"/>
      <c r="AL588" s="146"/>
      <c r="AM588" s="146"/>
      <c r="AN588" s="146"/>
      <c r="AO588" s="146"/>
      <c r="AP588" s="146"/>
    </row>
    <row r="589" spans="1:42" s="119" customFormat="1">
      <c r="A589" s="37"/>
      <c r="B589" s="164"/>
      <c r="C589" s="164"/>
      <c r="D589" s="245"/>
      <c r="E589" s="220"/>
      <c r="F589" s="220"/>
      <c r="G589" s="220"/>
      <c r="H589" s="220"/>
      <c r="I589" s="146"/>
      <c r="J589" s="146"/>
      <c r="K589" s="42"/>
      <c r="L589" s="146"/>
      <c r="M589" s="146"/>
      <c r="N589" s="146"/>
      <c r="O589" s="146"/>
      <c r="P589" s="146"/>
      <c r="Q589" s="146"/>
      <c r="R589" s="146"/>
      <c r="S589" s="146"/>
      <c r="T589" s="146"/>
      <c r="U589" s="146"/>
      <c r="V589" s="146"/>
      <c r="W589" s="146"/>
      <c r="X589" s="146"/>
      <c r="Y589" s="146"/>
      <c r="Z589" s="146"/>
      <c r="AA589" s="146"/>
      <c r="AB589" s="146"/>
      <c r="AC589" s="146"/>
      <c r="AD589" s="146"/>
      <c r="AE589" s="146"/>
      <c r="AF589" s="146"/>
      <c r="AG589" s="146"/>
      <c r="AH589" s="146"/>
      <c r="AI589" s="146"/>
      <c r="AJ589" s="146"/>
      <c r="AK589" s="146"/>
      <c r="AL589" s="146"/>
      <c r="AM589" s="146"/>
      <c r="AN589" s="146"/>
      <c r="AO589" s="146"/>
      <c r="AP589" s="146"/>
    </row>
    <row r="590" spans="1:42" s="119" customFormat="1">
      <c r="A590" s="206" t="s">
        <v>170</v>
      </c>
      <c r="B590" s="37"/>
      <c r="C590" s="146"/>
      <c r="D590" s="146"/>
      <c r="E590" s="146"/>
      <c r="F590" s="146"/>
      <c r="G590" s="267"/>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146"/>
      <c r="AD590" s="146"/>
      <c r="AE590" s="146"/>
      <c r="AF590" s="146"/>
      <c r="AG590" s="146"/>
      <c r="AH590" s="146"/>
      <c r="AI590" s="146"/>
      <c r="AJ590" s="146"/>
      <c r="AK590" s="146"/>
      <c r="AL590" s="146"/>
      <c r="AM590" s="146"/>
      <c r="AN590" s="146"/>
      <c r="AO590" s="146"/>
      <c r="AP590" s="146"/>
    </row>
    <row r="591" spans="1:42" s="119" customFormat="1">
      <c r="A591" s="222" t="str">
        <f>A556</f>
        <v>Investment Based Incentive (IBI)</v>
      </c>
      <c r="B591" s="37"/>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146"/>
      <c r="AD591" s="146"/>
      <c r="AE591" s="146"/>
      <c r="AF591" s="146"/>
      <c r="AG591" s="146"/>
      <c r="AH591" s="146"/>
      <c r="AI591" s="146"/>
      <c r="AJ591" s="146"/>
      <c r="AK591" s="146"/>
      <c r="AL591" s="146"/>
      <c r="AM591" s="146"/>
      <c r="AN591" s="146"/>
      <c r="AO591" s="146"/>
      <c r="AP591" s="146"/>
    </row>
    <row r="592" spans="1:42" s="119" customFormat="1">
      <c r="A592" s="238" t="str">
        <f t="shared" ref="A592:A610" si="292">A557</f>
        <v>Fixed Amount ($)</v>
      </c>
      <c r="B592" s="37"/>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146"/>
      <c r="AD592" s="146"/>
      <c r="AE592" s="146"/>
      <c r="AF592" s="146"/>
      <c r="AG592" s="146"/>
      <c r="AH592" s="146"/>
      <c r="AI592" s="146"/>
      <c r="AJ592" s="146"/>
      <c r="AK592" s="146"/>
      <c r="AL592" s="146"/>
      <c r="AM592" s="146"/>
      <c r="AN592" s="146"/>
      <c r="AO592" s="146"/>
      <c r="AP592" s="146"/>
    </row>
    <row r="593" spans="1:42" s="119" customFormat="1">
      <c r="A593" s="238" t="str">
        <f t="shared" si="292"/>
        <v>Federal</v>
      </c>
      <c r="B593" s="164">
        <f>IF(IBIFedFixedFedITC="Yes",IBIFedFixed,0)</f>
        <v>1000</v>
      </c>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146"/>
      <c r="AD593" s="146"/>
      <c r="AE593" s="146"/>
      <c r="AF593" s="146"/>
      <c r="AG593" s="146"/>
      <c r="AH593" s="146"/>
      <c r="AI593" s="146"/>
      <c r="AJ593" s="146"/>
      <c r="AK593" s="146"/>
      <c r="AL593" s="146"/>
      <c r="AM593" s="146"/>
      <c r="AN593" s="146"/>
      <c r="AO593" s="146"/>
      <c r="AP593" s="146"/>
    </row>
    <row r="594" spans="1:42" s="119" customFormat="1">
      <c r="A594" s="238" t="str">
        <f t="shared" si="292"/>
        <v>State</v>
      </c>
      <c r="B594" s="164">
        <f>IF(IBIStateFixedFedITC="Yes",IBIStateFixed,0)</f>
        <v>2000</v>
      </c>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146"/>
      <c r="AD594" s="146"/>
      <c r="AE594" s="146"/>
      <c r="AF594" s="146"/>
      <c r="AG594" s="146"/>
      <c r="AH594" s="146"/>
      <c r="AI594" s="146"/>
      <c r="AJ594" s="146"/>
      <c r="AK594" s="146"/>
      <c r="AL594" s="146"/>
      <c r="AM594" s="146"/>
      <c r="AN594" s="146"/>
      <c r="AO594" s="146"/>
      <c r="AP594" s="146"/>
    </row>
    <row r="595" spans="1:42" s="119" customFormat="1">
      <c r="A595" s="238" t="str">
        <f t="shared" si="292"/>
        <v>Utility</v>
      </c>
      <c r="B595" s="164">
        <f>IF(IBIUtilityFixedFedITC="Yes",IBIUtilityFixed,0)</f>
        <v>0</v>
      </c>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146"/>
      <c r="AD595" s="146"/>
      <c r="AE595" s="146"/>
      <c r="AF595" s="146"/>
      <c r="AG595" s="146"/>
      <c r="AH595" s="146"/>
      <c r="AI595" s="146"/>
      <c r="AJ595" s="146"/>
      <c r="AK595" s="146"/>
      <c r="AL595" s="146"/>
      <c r="AM595" s="146"/>
      <c r="AN595" s="146"/>
      <c r="AO595" s="146"/>
      <c r="AP595" s="146"/>
    </row>
    <row r="596" spans="1:42" s="119" customFormat="1">
      <c r="A596" s="238" t="str">
        <f t="shared" si="292"/>
        <v>Other</v>
      </c>
      <c r="B596" s="209">
        <f>IF(IBIOtherFixedFedITC="Yes",IBIOtherFixed,0)</f>
        <v>0</v>
      </c>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146"/>
      <c r="AD596" s="146"/>
      <c r="AE596" s="146"/>
      <c r="AF596" s="146"/>
      <c r="AG596" s="146"/>
      <c r="AH596" s="146"/>
      <c r="AI596" s="146"/>
      <c r="AJ596" s="146"/>
      <c r="AK596" s="146"/>
      <c r="AL596" s="146"/>
      <c r="AM596" s="146"/>
      <c r="AN596" s="146"/>
      <c r="AO596" s="146"/>
      <c r="AP596" s="146"/>
    </row>
    <row r="597" spans="1:42" s="119" customFormat="1">
      <c r="A597" s="238" t="str">
        <f t="shared" si="292"/>
        <v>Total</v>
      </c>
      <c r="B597" s="164">
        <f>SUM(B593:B596)</f>
        <v>3000</v>
      </c>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c r="AA597" s="146"/>
      <c r="AB597" s="146"/>
      <c r="AC597" s="146"/>
      <c r="AD597" s="146"/>
      <c r="AE597" s="146"/>
      <c r="AF597" s="146"/>
      <c r="AG597" s="146"/>
      <c r="AH597" s="146"/>
      <c r="AI597" s="146"/>
      <c r="AJ597" s="146"/>
      <c r="AK597" s="146"/>
      <c r="AL597" s="146"/>
      <c r="AM597" s="146"/>
      <c r="AN597" s="146"/>
      <c r="AO597" s="146"/>
      <c r="AP597" s="146"/>
    </row>
    <row r="598" spans="1:42" s="119" customFormat="1">
      <c r="A598" s="222" t="str">
        <f t="shared" si="292"/>
        <v>Percentage of Pre-Financing Costs</v>
      </c>
      <c r="B598" s="37"/>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c r="AA598" s="146"/>
      <c r="AB598" s="146"/>
      <c r="AC598" s="146"/>
      <c r="AD598" s="146"/>
      <c r="AE598" s="146"/>
      <c r="AF598" s="146"/>
      <c r="AG598" s="146"/>
      <c r="AH598" s="146"/>
      <c r="AI598" s="146"/>
      <c r="AJ598" s="146"/>
      <c r="AK598" s="146"/>
      <c r="AL598" s="146"/>
      <c r="AM598" s="146"/>
      <c r="AN598" s="146"/>
      <c r="AO598" s="146"/>
      <c r="AP598" s="146"/>
    </row>
    <row r="599" spans="1:42" s="119" customFormat="1">
      <c r="A599" s="238" t="str">
        <f t="shared" si="292"/>
        <v>Federal</v>
      </c>
      <c r="B599" s="164">
        <f>IF(IBIFedPercentFedITC="Yes",IBIFedPercent,0)</f>
        <v>0</v>
      </c>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c r="AA599" s="146"/>
      <c r="AB599" s="146"/>
      <c r="AC599" s="146"/>
      <c r="AD599" s="146"/>
      <c r="AE599" s="146"/>
      <c r="AF599" s="146"/>
      <c r="AG599" s="146"/>
      <c r="AH599" s="146"/>
      <c r="AI599" s="146"/>
      <c r="AJ599" s="146"/>
      <c r="AK599" s="146"/>
      <c r="AL599" s="146"/>
      <c r="AM599" s="146"/>
      <c r="AN599" s="146"/>
      <c r="AO599" s="146"/>
      <c r="AP599" s="146"/>
    </row>
    <row r="600" spans="1:42" s="119" customFormat="1">
      <c r="A600" s="238" t="str">
        <f t="shared" si="292"/>
        <v>State</v>
      </c>
      <c r="B600" s="164">
        <f>IF(IBIStatePercentFedITC="Yes",IBIStatePercent,0)</f>
        <v>0</v>
      </c>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c r="AA600" s="146"/>
      <c r="AB600" s="146"/>
      <c r="AC600" s="146"/>
      <c r="AD600" s="146"/>
      <c r="AE600" s="146"/>
      <c r="AF600" s="146"/>
      <c r="AG600" s="146"/>
      <c r="AH600" s="146"/>
      <c r="AI600" s="146"/>
      <c r="AJ600" s="146"/>
      <c r="AK600" s="146"/>
      <c r="AL600" s="146"/>
      <c r="AM600" s="146"/>
      <c r="AN600" s="146"/>
      <c r="AO600" s="146"/>
      <c r="AP600" s="146"/>
    </row>
    <row r="601" spans="1:42" s="119" customFormat="1">
      <c r="A601" s="238" t="str">
        <f t="shared" si="292"/>
        <v>Utility</v>
      </c>
      <c r="B601" s="164">
        <f>IF(IBIUtilityPercentFedITC="Yes",IBIUtilityPercent,0)</f>
        <v>0</v>
      </c>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c r="AA601" s="146"/>
      <c r="AB601" s="146"/>
      <c r="AC601" s="146"/>
      <c r="AD601" s="146"/>
      <c r="AE601" s="146"/>
      <c r="AF601" s="146"/>
      <c r="AG601" s="146"/>
      <c r="AH601" s="146"/>
      <c r="AI601" s="146"/>
      <c r="AJ601" s="146"/>
      <c r="AK601" s="146"/>
      <c r="AL601" s="146"/>
      <c r="AM601" s="146"/>
      <c r="AN601" s="146"/>
      <c r="AO601" s="146"/>
      <c r="AP601" s="146"/>
    </row>
    <row r="602" spans="1:42" s="119" customFormat="1">
      <c r="A602" s="238" t="str">
        <f t="shared" si="292"/>
        <v>Other</v>
      </c>
      <c r="B602" s="209">
        <f>IF(IBIOtherPercentFedITC="Yes",IBIOtherPercent,0)</f>
        <v>0</v>
      </c>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c r="AA602" s="146"/>
      <c r="AB602" s="146"/>
      <c r="AC602" s="146"/>
      <c r="AD602" s="146"/>
      <c r="AE602" s="146"/>
      <c r="AF602" s="146"/>
      <c r="AG602" s="146"/>
      <c r="AH602" s="146"/>
      <c r="AI602" s="146"/>
      <c r="AJ602" s="146"/>
      <c r="AK602" s="146"/>
      <c r="AL602" s="146"/>
      <c r="AM602" s="146"/>
      <c r="AN602" s="146"/>
      <c r="AO602" s="146"/>
      <c r="AP602" s="146"/>
    </row>
    <row r="603" spans="1:42" s="119" customFormat="1">
      <c r="A603" s="238" t="str">
        <f t="shared" si="292"/>
        <v>Total</v>
      </c>
      <c r="B603" s="164">
        <f>SUM(B599:B602)</f>
        <v>0</v>
      </c>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c r="AA603" s="146"/>
      <c r="AB603" s="146"/>
      <c r="AC603" s="146"/>
      <c r="AD603" s="146"/>
      <c r="AE603" s="146"/>
      <c r="AF603" s="146"/>
      <c r="AG603" s="146"/>
      <c r="AH603" s="146"/>
      <c r="AI603" s="146"/>
      <c r="AJ603" s="146"/>
      <c r="AK603" s="146"/>
      <c r="AL603" s="146"/>
      <c r="AM603" s="146"/>
      <c r="AN603" s="146"/>
      <c r="AO603" s="146"/>
      <c r="AP603" s="146"/>
    </row>
    <row r="604" spans="1:42" s="119" customFormat="1">
      <c r="A604" s="222" t="str">
        <f t="shared" si="292"/>
        <v>Capacity Based Incentive (CBI)</v>
      </c>
      <c r="B604" s="37"/>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c r="AA604" s="146"/>
      <c r="AB604" s="146"/>
      <c r="AC604" s="146"/>
      <c r="AD604" s="146"/>
      <c r="AE604" s="146"/>
      <c r="AF604" s="146"/>
      <c r="AG604" s="146"/>
      <c r="AH604" s="146"/>
      <c r="AI604" s="146"/>
      <c r="AJ604" s="146"/>
      <c r="AK604" s="146"/>
      <c r="AL604" s="146"/>
      <c r="AM604" s="146"/>
      <c r="AN604" s="146"/>
      <c r="AO604" s="146"/>
      <c r="AP604" s="146"/>
    </row>
    <row r="605" spans="1:42" s="119" customFormat="1">
      <c r="A605" s="238" t="str">
        <f t="shared" si="292"/>
        <v>Federal</v>
      </c>
      <c r="B605" s="164">
        <f>IF(CBIFedFedITC="Yes",CBIFed,0)</f>
        <v>5000000</v>
      </c>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c r="AA605" s="146"/>
      <c r="AB605" s="146"/>
      <c r="AC605" s="146"/>
      <c r="AD605" s="146"/>
      <c r="AE605" s="146"/>
      <c r="AF605" s="146"/>
      <c r="AG605" s="146"/>
      <c r="AH605" s="146"/>
      <c r="AI605" s="146"/>
      <c r="AJ605" s="146"/>
      <c r="AK605" s="146"/>
      <c r="AL605" s="146"/>
      <c r="AM605" s="146"/>
      <c r="AN605" s="146"/>
      <c r="AO605" s="146"/>
      <c r="AP605" s="146"/>
    </row>
    <row r="606" spans="1:42" s="119" customFormat="1">
      <c r="A606" s="238" t="str">
        <f t="shared" si="292"/>
        <v>State</v>
      </c>
      <c r="B606" s="164">
        <f>IF(CBIStateFedITC="Yes",CBIState,0)</f>
        <v>0</v>
      </c>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c r="AA606" s="146"/>
      <c r="AB606" s="146"/>
      <c r="AC606" s="146"/>
      <c r="AD606" s="146"/>
      <c r="AE606" s="146"/>
      <c r="AF606" s="146"/>
      <c r="AG606" s="146"/>
      <c r="AH606" s="146"/>
      <c r="AI606" s="146"/>
      <c r="AJ606" s="146"/>
      <c r="AK606" s="146"/>
      <c r="AL606" s="146"/>
      <c r="AM606" s="146"/>
      <c r="AN606" s="146"/>
      <c r="AO606" s="146"/>
      <c r="AP606" s="146"/>
    </row>
    <row r="607" spans="1:42" s="119" customFormat="1">
      <c r="A607" s="238" t="str">
        <f t="shared" si="292"/>
        <v>Utility</v>
      </c>
      <c r="B607" s="164">
        <f>IF(CBIUtilityFedITC="Yes",CBIUtility,0)</f>
        <v>0</v>
      </c>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c r="AA607" s="146"/>
      <c r="AB607" s="146"/>
      <c r="AC607" s="146"/>
      <c r="AD607" s="146"/>
      <c r="AE607" s="146"/>
      <c r="AF607" s="146"/>
      <c r="AG607" s="146"/>
      <c r="AH607" s="146"/>
      <c r="AI607" s="146"/>
      <c r="AJ607" s="146"/>
      <c r="AK607" s="146"/>
      <c r="AL607" s="146"/>
      <c r="AM607" s="146"/>
      <c r="AN607" s="146"/>
      <c r="AO607" s="146"/>
      <c r="AP607" s="146"/>
    </row>
    <row r="608" spans="1:42" s="119" customFormat="1">
      <c r="A608" s="238" t="str">
        <f t="shared" si="292"/>
        <v>Other</v>
      </c>
      <c r="B608" s="209">
        <f>IF(CBIOtherFedITC="Yes",CBIOther,0)</f>
        <v>0</v>
      </c>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c r="AA608" s="146"/>
      <c r="AB608" s="146"/>
      <c r="AC608" s="146"/>
      <c r="AD608" s="146"/>
      <c r="AE608" s="146"/>
      <c r="AF608" s="146"/>
      <c r="AG608" s="146"/>
      <c r="AH608" s="146"/>
      <c r="AI608" s="146"/>
      <c r="AJ608" s="146"/>
      <c r="AK608" s="146"/>
      <c r="AL608" s="146"/>
      <c r="AM608" s="146"/>
      <c r="AN608" s="146"/>
      <c r="AO608" s="146"/>
      <c r="AP608" s="146"/>
    </row>
    <row r="609" spans="1:42" s="119" customFormat="1">
      <c r="A609" s="238" t="str">
        <f t="shared" si="292"/>
        <v>Total</v>
      </c>
      <c r="B609" s="216">
        <f>SUM(B605:B608)</f>
        <v>5000000</v>
      </c>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c r="AA609" s="146"/>
      <c r="AB609" s="146"/>
      <c r="AC609" s="146"/>
      <c r="AD609" s="146"/>
      <c r="AE609" s="146"/>
      <c r="AF609" s="146"/>
      <c r="AG609" s="146"/>
      <c r="AH609" s="146"/>
      <c r="AI609" s="146"/>
      <c r="AJ609" s="146"/>
      <c r="AK609" s="146"/>
      <c r="AL609" s="146"/>
      <c r="AM609" s="146"/>
      <c r="AN609" s="146"/>
      <c r="AO609" s="146"/>
      <c r="AP609" s="146"/>
    </row>
    <row r="610" spans="1:42" s="119" customFormat="1">
      <c r="A610" s="206" t="str">
        <f t="shared" si="292"/>
        <v>Total ITC Qualifying Cost Reduction</v>
      </c>
      <c r="B610" s="164">
        <f>B597+B603+B609</f>
        <v>5003000</v>
      </c>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c r="AA610" s="146"/>
      <c r="AB610" s="146"/>
      <c r="AC610" s="146"/>
      <c r="AD610" s="146"/>
      <c r="AE610" s="146"/>
      <c r="AF610" s="146"/>
      <c r="AG610" s="146"/>
      <c r="AH610" s="146"/>
      <c r="AI610" s="146"/>
      <c r="AJ610" s="146"/>
      <c r="AK610" s="146"/>
      <c r="AL610" s="146"/>
      <c r="AM610" s="146"/>
      <c r="AN610" s="146"/>
      <c r="AO610" s="146"/>
      <c r="AP610" s="146"/>
    </row>
    <row r="611" spans="1:42" s="119" customFormat="1">
      <c r="A611" s="268" t="s">
        <v>292</v>
      </c>
      <c r="B611" s="269" t="str">
        <f>IF(B610-E588-F588=0,"OK","Check")</f>
        <v>OK</v>
      </c>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c r="AA611" s="146"/>
      <c r="AB611" s="146"/>
      <c r="AC611" s="146"/>
      <c r="AD611" s="146"/>
      <c r="AE611" s="146"/>
      <c r="AF611" s="146"/>
      <c r="AG611" s="146"/>
      <c r="AH611" s="146"/>
      <c r="AI611" s="146"/>
      <c r="AJ611" s="146"/>
      <c r="AK611" s="146"/>
      <c r="AL611" s="146"/>
      <c r="AM611" s="146"/>
      <c r="AN611" s="146"/>
      <c r="AO611" s="146"/>
      <c r="AP611" s="146"/>
    </row>
    <row r="612" spans="1:42" s="119" customFormat="1">
      <c r="A612" s="22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c r="AA612" s="146"/>
      <c r="AB612" s="146"/>
      <c r="AC612" s="146"/>
      <c r="AD612" s="146"/>
      <c r="AE612" s="146"/>
      <c r="AF612" s="146"/>
      <c r="AG612" s="146"/>
      <c r="AH612" s="146"/>
      <c r="AI612" s="146"/>
      <c r="AJ612" s="146"/>
      <c r="AK612" s="146"/>
      <c r="AL612" s="146"/>
      <c r="AM612" s="146"/>
      <c r="AN612" s="146"/>
      <c r="AO612" s="146"/>
      <c r="AP612" s="146"/>
    </row>
    <row r="613" spans="1:42" s="119" customFormat="1">
      <c r="A613" s="201" t="s">
        <v>180</v>
      </c>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c r="AA613" s="146"/>
      <c r="AB613" s="146"/>
      <c r="AC613" s="146"/>
      <c r="AD613" s="146"/>
      <c r="AE613" s="146"/>
      <c r="AF613" s="146"/>
      <c r="AG613" s="146"/>
      <c r="AH613" s="146"/>
      <c r="AI613" s="146"/>
      <c r="AJ613" s="146"/>
      <c r="AK613" s="146"/>
      <c r="AL613" s="146"/>
      <c r="AM613" s="146"/>
      <c r="AN613" s="146"/>
      <c r="AO613" s="146"/>
      <c r="AP613" s="146"/>
    </row>
    <row r="614" spans="1:42" s="119" customFormat="1">
      <c r="A614" s="219" t="s">
        <v>37</v>
      </c>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c r="AA614" s="146"/>
      <c r="AB614" s="146"/>
      <c r="AC614" s="146"/>
      <c r="AD614" s="146"/>
      <c r="AE614" s="146"/>
      <c r="AF614" s="146"/>
      <c r="AG614" s="146"/>
      <c r="AH614" s="146"/>
      <c r="AI614" s="146"/>
      <c r="AJ614" s="146"/>
      <c r="AK614" s="146"/>
      <c r="AL614" s="146"/>
      <c r="AM614" s="146"/>
      <c r="AN614" s="146"/>
      <c r="AO614" s="146"/>
      <c r="AP614" s="146"/>
    </row>
    <row r="615" spans="1:42" s="119" customFormat="1">
      <c r="A615" s="226" t="s">
        <v>182</v>
      </c>
      <c r="C615" s="270">
        <f t="shared" ref="C615:AP615" si="293">IF(C$2&lt;=StatePTCTerm,StatePTCAmount*(1+Inflation)^B$2,0)</f>
        <v>0</v>
      </c>
      <c r="D615" s="270">
        <f t="shared" si="293"/>
        <v>0</v>
      </c>
      <c r="E615" s="270">
        <f t="shared" si="293"/>
        <v>0</v>
      </c>
      <c r="F615" s="270">
        <f t="shared" si="293"/>
        <v>0</v>
      </c>
      <c r="G615" s="270">
        <f t="shared" si="293"/>
        <v>0</v>
      </c>
      <c r="H615" s="270">
        <f t="shared" si="293"/>
        <v>0</v>
      </c>
      <c r="I615" s="270">
        <f t="shared" si="293"/>
        <v>0</v>
      </c>
      <c r="J615" s="270">
        <f t="shared" si="293"/>
        <v>0</v>
      </c>
      <c r="K615" s="270">
        <f t="shared" si="293"/>
        <v>0</v>
      </c>
      <c r="L615" s="270">
        <f t="shared" si="293"/>
        <v>0</v>
      </c>
      <c r="M615" s="270">
        <f t="shared" si="293"/>
        <v>0</v>
      </c>
      <c r="N615" s="270">
        <f t="shared" si="293"/>
        <v>0</v>
      </c>
      <c r="O615" s="270">
        <f t="shared" si="293"/>
        <v>0</v>
      </c>
      <c r="P615" s="270">
        <f t="shared" si="293"/>
        <v>0</v>
      </c>
      <c r="Q615" s="270">
        <f t="shared" si="293"/>
        <v>0</v>
      </c>
      <c r="R615" s="270">
        <f t="shared" si="293"/>
        <v>0</v>
      </c>
      <c r="S615" s="270">
        <f t="shared" si="293"/>
        <v>0</v>
      </c>
      <c r="T615" s="270">
        <f t="shared" si="293"/>
        <v>0</v>
      </c>
      <c r="U615" s="270">
        <f t="shared" si="293"/>
        <v>0</v>
      </c>
      <c r="V615" s="270">
        <f t="shared" si="293"/>
        <v>0</v>
      </c>
      <c r="W615" s="270">
        <f t="shared" si="293"/>
        <v>0</v>
      </c>
      <c r="X615" s="270">
        <f t="shared" si="293"/>
        <v>0</v>
      </c>
      <c r="Y615" s="270">
        <f t="shared" si="293"/>
        <v>0</v>
      </c>
      <c r="Z615" s="270">
        <f t="shared" si="293"/>
        <v>0</v>
      </c>
      <c r="AA615" s="270">
        <f t="shared" si="293"/>
        <v>0</v>
      </c>
      <c r="AB615" s="270">
        <f t="shared" si="293"/>
        <v>0</v>
      </c>
      <c r="AC615" s="270">
        <f t="shared" si="293"/>
        <v>0</v>
      </c>
      <c r="AD615" s="270">
        <f t="shared" si="293"/>
        <v>0</v>
      </c>
      <c r="AE615" s="270">
        <f t="shared" si="293"/>
        <v>0</v>
      </c>
      <c r="AF615" s="270">
        <f t="shared" si="293"/>
        <v>0</v>
      </c>
      <c r="AG615" s="270">
        <f t="shared" si="293"/>
        <v>0</v>
      </c>
      <c r="AH615" s="270">
        <f t="shared" si="293"/>
        <v>0</v>
      </c>
      <c r="AI615" s="270">
        <f t="shared" si="293"/>
        <v>0</v>
      </c>
      <c r="AJ615" s="270">
        <f t="shared" si="293"/>
        <v>0</v>
      </c>
      <c r="AK615" s="270">
        <f t="shared" si="293"/>
        <v>0</v>
      </c>
      <c r="AL615" s="270">
        <f t="shared" si="293"/>
        <v>0</v>
      </c>
      <c r="AM615" s="270">
        <f t="shared" si="293"/>
        <v>0</v>
      </c>
      <c r="AN615" s="270">
        <f t="shared" si="293"/>
        <v>0</v>
      </c>
      <c r="AO615" s="270">
        <f t="shared" si="293"/>
        <v>0</v>
      </c>
      <c r="AP615" s="270">
        <f t="shared" si="293"/>
        <v>0</v>
      </c>
    </row>
    <row r="616" spans="1:42" s="119" customFormat="1">
      <c r="A616" s="226" t="s">
        <v>183</v>
      </c>
      <c r="C616" s="271">
        <f>ROUND(C615*1000,0)</f>
        <v>0</v>
      </c>
      <c r="D616" s="271">
        <f>ROUND(D615*1000,0)</f>
        <v>0</v>
      </c>
      <c r="E616" s="271">
        <f t="shared" ref="E616:AP616" si="294">ROUND(E615*1000,0)</f>
        <v>0</v>
      </c>
      <c r="F616" s="271">
        <f t="shared" si="294"/>
        <v>0</v>
      </c>
      <c r="G616" s="271">
        <f t="shared" si="294"/>
        <v>0</v>
      </c>
      <c r="H616" s="271">
        <f t="shared" si="294"/>
        <v>0</v>
      </c>
      <c r="I616" s="271">
        <f t="shared" si="294"/>
        <v>0</v>
      </c>
      <c r="J616" s="271">
        <f t="shared" si="294"/>
        <v>0</v>
      </c>
      <c r="K616" s="271">
        <f t="shared" si="294"/>
        <v>0</v>
      </c>
      <c r="L616" s="271">
        <f t="shared" si="294"/>
        <v>0</v>
      </c>
      <c r="M616" s="271">
        <f t="shared" si="294"/>
        <v>0</v>
      </c>
      <c r="N616" s="271">
        <f t="shared" si="294"/>
        <v>0</v>
      </c>
      <c r="O616" s="271">
        <f t="shared" si="294"/>
        <v>0</v>
      </c>
      <c r="P616" s="271">
        <f t="shared" si="294"/>
        <v>0</v>
      </c>
      <c r="Q616" s="271">
        <f t="shared" si="294"/>
        <v>0</v>
      </c>
      <c r="R616" s="271">
        <f t="shared" si="294"/>
        <v>0</v>
      </c>
      <c r="S616" s="271">
        <f t="shared" si="294"/>
        <v>0</v>
      </c>
      <c r="T616" s="271">
        <f t="shared" si="294"/>
        <v>0</v>
      </c>
      <c r="U616" s="271">
        <f t="shared" si="294"/>
        <v>0</v>
      </c>
      <c r="V616" s="271">
        <f t="shared" si="294"/>
        <v>0</v>
      </c>
      <c r="W616" s="271">
        <f t="shared" si="294"/>
        <v>0</v>
      </c>
      <c r="X616" s="271">
        <f t="shared" si="294"/>
        <v>0</v>
      </c>
      <c r="Y616" s="271">
        <f t="shared" si="294"/>
        <v>0</v>
      </c>
      <c r="Z616" s="271">
        <f t="shared" si="294"/>
        <v>0</v>
      </c>
      <c r="AA616" s="271">
        <f t="shared" si="294"/>
        <v>0</v>
      </c>
      <c r="AB616" s="271">
        <f t="shared" si="294"/>
        <v>0</v>
      </c>
      <c r="AC616" s="271">
        <f t="shared" si="294"/>
        <v>0</v>
      </c>
      <c r="AD616" s="271">
        <f t="shared" si="294"/>
        <v>0</v>
      </c>
      <c r="AE616" s="271">
        <f t="shared" si="294"/>
        <v>0</v>
      </c>
      <c r="AF616" s="271">
        <f t="shared" si="294"/>
        <v>0</v>
      </c>
      <c r="AG616" s="271">
        <f t="shared" si="294"/>
        <v>0</v>
      </c>
      <c r="AH616" s="271">
        <f t="shared" si="294"/>
        <v>0</v>
      </c>
      <c r="AI616" s="271">
        <f t="shared" si="294"/>
        <v>0</v>
      </c>
      <c r="AJ616" s="271">
        <f t="shared" si="294"/>
        <v>0</v>
      </c>
      <c r="AK616" s="271">
        <f t="shared" si="294"/>
        <v>0</v>
      </c>
      <c r="AL616" s="271">
        <f t="shared" si="294"/>
        <v>0</v>
      </c>
      <c r="AM616" s="271">
        <f t="shared" si="294"/>
        <v>0</v>
      </c>
      <c r="AN616" s="271">
        <f t="shared" si="294"/>
        <v>0</v>
      </c>
      <c r="AO616" s="271">
        <f t="shared" si="294"/>
        <v>0</v>
      </c>
      <c r="AP616" s="271">
        <f t="shared" si="294"/>
        <v>0</v>
      </c>
    </row>
    <row r="617" spans="1:42" s="119" customFormat="1">
      <c r="A617" s="226" t="s">
        <v>184</v>
      </c>
      <c r="C617" s="225">
        <f>C$5/1000</f>
        <v>17000</v>
      </c>
      <c r="D617" s="225">
        <f>D$5/1000</f>
        <v>16915</v>
      </c>
      <c r="E617" s="225">
        <f t="shared" ref="E617:AP617" si="295">E$5/1000</f>
        <v>16830.424999999999</v>
      </c>
      <c r="F617" s="225">
        <f t="shared" si="295"/>
        <v>16746.272874999999</v>
      </c>
      <c r="G617" s="225">
        <f t="shared" si="295"/>
        <v>16662.541510625</v>
      </c>
      <c r="H617" s="225">
        <f t="shared" si="295"/>
        <v>16579.228803071874</v>
      </c>
      <c r="I617" s="225">
        <f t="shared" si="295"/>
        <v>16496.332659056516</v>
      </c>
      <c r="J617" s="225">
        <f t="shared" si="295"/>
        <v>16413.850995761233</v>
      </c>
      <c r="K617" s="225">
        <f t="shared" si="295"/>
        <v>16331.781740782426</v>
      </c>
      <c r="L617" s="225">
        <f t="shared" si="295"/>
        <v>16250.122832078514</v>
      </c>
      <c r="M617" s="225">
        <f t="shared" si="295"/>
        <v>16168.872217918122</v>
      </c>
      <c r="N617" s="225">
        <f t="shared" si="295"/>
        <v>16088.027856828532</v>
      </c>
      <c r="O617" s="225">
        <f t="shared" si="295"/>
        <v>16007.587717544387</v>
      </c>
      <c r="P617" s="225">
        <f t="shared" si="295"/>
        <v>15927.549778956667</v>
      </c>
      <c r="Q617" s="225">
        <f t="shared" si="295"/>
        <v>15847.912030061883</v>
      </c>
      <c r="R617" s="225">
        <f t="shared" si="295"/>
        <v>15768.672469911573</v>
      </c>
      <c r="S617" s="225">
        <f t="shared" si="295"/>
        <v>15689.829107562015</v>
      </c>
      <c r="T617" s="225">
        <f t="shared" si="295"/>
        <v>15611.379962024204</v>
      </c>
      <c r="U617" s="225">
        <f t="shared" si="295"/>
        <v>15533.323062214084</v>
      </c>
      <c r="V617" s="225">
        <f t="shared" si="295"/>
        <v>15455.656446903013</v>
      </c>
      <c r="W617" s="225">
        <f t="shared" si="295"/>
        <v>15378.378164668497</v>
      </c>
      <c r="X617" s="225">
        <f t="shared" si="295"/>
        <v>15301.486273845156</v>
      </c>
      <c r="Y617" s="225">
        <f t="shared" si="295"/>
        <v>15224.978842475928</v>
      </c>
      <c r="Z617" s="225">
        <f t="shared" si="295"/>
        <v>15148.853948263548</v>
      </c>
      <c r="AA617" s="225">
        <f t="shared" si="295"/>
        <v>15073.109678522231</v>
      </c>
      <c r="AB617" s="225">
        <f t="shared" si="295"/>
        <v>14997.74413012962</v>
      </c>
      <c r="AC617" s="225">
        <f t="shared" si="295"/>
        <v>14922.755409478972</v>
      </c>
      <c r="AD617" s="225">
        <f t="shared" si="295"/>
        <v>14848.141632431576</v>
      </c>
      <c r="AE617" s="225">
        <f t="shared" si="295"/>
        <v>14773.900924269417</v>
      </c>
      <c r="AF617" s="225">
        <f t="shared" si="295"/>
        <v>14700.03141964807</v>
      </c>
      <c r="AG617" s="225">
        <f t="shared" si="295"/>
        <v>0</v>
      </c>
      <c r="AH617" s="225">
        <f t="shared" si="295"/>
        <v>0</v>
      </c>
      <c r="AI617" s="225">
        <f t="shared" si="295"/>
        <v>0</v>
      </c>
      <c r="AJ617" s="225">
        <f t="shared" si="295"/>
        <v>0</v>
      </c>
      <c r="AK617" s="225">
        <f t="shared" si="295"/>
        <v>0</v>
      </c>
      <c r="AL617" s="225">
        <f t="shared" si="295"/>
        <v>0</v>
      </c>
      <c r="AM617" s="225">
        <f t="shared" si="295"/>
        <v>0</v>
      </c>
      <c r="AN617" s="225">
        <f t="shared" si="295"/>
        <v>0</v>
      </c>
      <c r="AO617" s="225">
        <f t="shared" si="295"/>
        <v>0</v>
      </c>
      <c r="AP617" s="225">
        <f t="shared" si="295"/>
        <v>0</v>
      </c>
    </row>
    <row r="618" spans="1:42" s="119" customFormat="1">
      <c r="A618" s="226" t="s">
        <v>53</v>
      </c>
      <c r="C618" s="146">
        <f>C616*C617</f>
        <v>0</v>
      </c>
      <c r="D618" s="146">
        <f>D616*D617</f>
        <v>0</v>
      </c>
      <c r="E618" s="146">
        <f t="shared" ref="E618:AP618" si="296">E616*E617</f>
        <v>0</v>
      </c>
      <c r="F618" s="146">
        <f t="shared" si="296"/>
        <v>0</v>
      </c>
      <c r="G618" s="146">
        <f t="shared" si="296"/>
        <v>0</v>
      </c>
      <c r="H618" s="146">
        <f t="shared" si="296"/>
        <v>0</v>
      </c>
      <c r="I618" s="146">
        <f t="shared" si="296"/>
        <v>0</v>
      </c>
      <c r="J618" s="146">
        <f t="shared" si="296"/>
        <v>0</v>
      </c>
      <c r="K618" s="146">
        <f t="shared" si="296"/>
        <v>0</v>
      </c>
      <c r="L618" s="146">
        <f t="shared" si="296"/>
        <v>0</v>
      </c>
      <c r="M618" s="146">
        <f t="shared" si="296"/>
        <v>0</v>
      </c>
      <c r="N618" s="146">
        <f t="shared" si="296"/>
        <v>0</v>
      </c>
      <c r="O618" s="146">
        <f t="shared" si="296"/>
        <v>0</v>
      </c>
      <c r="P618" s="146">
        <f t="shared" si="296"/>
        <v>0</v>
      </c>
      <c r="Q618" s="146">
        <f t="shared" si="296"/>
        <v>0</v>
      </c>
      <c r="R618" s="146">
        <f t="shared" si="296"/>
        <v>0</v>
      </c>
      <c r="S618" s="146">
        <f t="shared" si="296"/>
        <v>0</v>
      </c>
      <c r="T618" s="146">
        <f t="shared" si="296"/>
        <v>0</v>
      </c>
      <c r="U618" s="146">
        <f t="shared" si="296"/>
        <v>0</v>
      </c>
      <c r="V618" s="146">
        <f t="shared" si="296"/>
        <v>0</v>
      </c>
      <c r="W618" s="146">
        <f t="shared" si="296"/>
        <v>0</v>
      </c>
      <c r="X618" s="146">
        <f t="shared" si="296"/>
        <v>0</v>
      </c>
      <c r="Y618" s="146">
        <f t="shared" si="296"/>
        <v>0</v>
      </c>
      <c r="Z618" s="146">
        <f t="shared" si="296"/>
        <v>0</v>
      </c>
      <c r="AA618" s="146">
        <f t="shared" si="296"/>
        <v>0</v>
      </c>
      <c r="AB618" s="146">
        <f t="shared" si="296"/>
        <v>0</v>
      </c>
      <c r="AC618" s="146">
        <f t="shared" si="296"/>
        <v>0</v>
      </c>
      <c r="AD618" s="146">
        <f t="shared" si="296"/>
        <v>0</v>
      </c>
      <c r="AE618" s="146">
        <f t="shared" si="296"/>
        <v>0</v>
      </c>
      <c r="AF618" s="146">
        <f t="shared" si="296"/>
        <v>0</v>
      </c>
      <c r="AG618" s="146">
        <f t="shared" si="296"/>
        <v>0</v>
      </c>
      <c r="AH618" s="146">
        <f t="shared" si="296"/>
        <v>0</v>
      </c>
      <c r="AI618" s="146">
        <f t="shared" si="296"/>
        <v>0</v>
      </c>
      <c r="AJ618" s="146">
        <f t="shared" si="296"/>
        <v>0</v>
      </c>
      <c r="AK618" s="146">
        <f t="shared" si="296"/>
        <v>0</v>
      </c>
      <c r="AL618" s="146">
        <f t="shared" si="296"/>
        <v>0</v>
      </c>
      <c r="AM618" s="146">
        <f t="shared" si="296"/>
        <v>0</v>
      </c>
      <c r="AN618" s="146">
        <f t="shared" si="296"/>
        <v>0</v>
      </c>
      <c r="AO618" s="146">
        <f t="shared" si="296"/>
        <v>0</v>
      </c>
      <c r="AP618" s="146">
        <f t="shared" si="296"/>
        <v>0</v>
      </c>
    </row>
    <row r="619" spans="1:42" s="119" customFormat="1">
      <c r="A619" s="219"/>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c r="AA619" s="146"/>
      <c r="AB619" s="146"/>
      <c r="AC619" s="146"/>
      <c r="AD619" s="146"/>
      <c r="AE619" s="146"/>
      <c r="AF619" s="146"/>
      <c r="AG619" s="146"/>
      <c r="AH619" s="146"/>
      <c r="AI619" s="146"/>
      <c r="AJ619" s="146"/>
      <c r="AK619" s="146"/>
      <c r="AL619" s="146"/>
      <c r="AM619" s="146"/>
      <c r="AN619" s="146"/>
      <c r="AO619" s="146"/>
      <c r="AP619" s="146"/>
    </row>
    <row r="620" spans="1:42" s="119" customFormat="1">
      <c r="A620" s="219" t="s">
        <v>36</v>
      </c>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c r="AA620" s="146"/>
      <c r="AB620" s="146"/>
      <c r="AC620" s="146"/>
      <c r="AD620" s="146"/>
      <c r="AE620" s="146"/>
      <c r="AF620" s="146"/>
      <c r="AG620" s="146"/>
      <c r="AH620" s="146"/>
      <c r="AI620" s="146"/>
      <c r="AJ620" s="146"/>
      <c r="AK620" s="146"/>
      <c r="AL620" s="146"/>
      <c r="AM620" s="146"/>
      <c r="AN620" s="146"/>
      <c r="AO620" s="146"/>
      <c r="AP620" s="146"/>
    </row>
    <row r="621" spans="1:42" s="119" customFormat="1">
      <c r="A621" s="226" t="s">
        <v>182</v>
      </c>
      <c r="C621" s="270">
        <f t="shared" ref="C621:AP621" si="297">IF(C$2&lt;=FedPTCTerm,FedPTCAmount*(1+Inflation)^B$2,0)</f>
        <v>0</v>
      </c>
      <c r="D621" s="270">
        <f t="shared" si="297"/>
        <v>0</v>
      </c>
      <c r="E621" s="270">
        <f t="shared" si="297"/>
        <v>0</v>
      </c>
      <c r="F621" s="270">
        <f t="shared" si="297"/>
        <v>0</v>
      </c>
      <c r="G621" s="270">
        <f t="shared" si="297"/>
        <v>0</v>
      </c>
      <c r="H621" s="270">
        <f t="shared" si="297"/>
        <v>0</v>
      </c>
      <c r="I621" s="270">
        <f t="shared" si="297"/>
        <v>0</v>
      </c>
      <c r="J621" s="270">
        <f t="shared" si="297"/>
        <v>0</v>
      </c>
      <c r="K621" s="270">
        <f t="shared" si="297"/>
        <v>0</v>
      </c>
      <c r="L621" s="270">
        <f t="shared" si="297"/>
        <v>0</v>
      </c>
      <c r="M621" s="270">
        <f t="shared" si="297"/>
        <v>0</v>
      </c>
      <c r="N621" s="270">
        <f t="shared" si="297"/>
        <v>0</v>
      </c>
      <c r="O621" s="270">
        <f t="shared" si="297"/>
        <v>0</v>
      </c>
      <c r="P621" s="270">
        <f t="shared" si="297"/>
        <v>0</v>
      </c>
      <c r="Q621" s="270">
        <f t="shared" si="297"/>
        <v>0</v>
      </c>
      <c r="R621" s="270">
        <f t="shared" si="297"/>
        <v>0</v>
      </c>
      <c r="S621" s="270">
        <f t="shared" si="297"/>
        <v>0</v>
      </c>
      <c r="T621" s="270">
        <f t="shared" si="297"/>
        <v>0</v>
      </c>
      <c r="U621" s="270">
        <f t="shared" si="297"/>
        <v>0</v>
      </c>
      <c r="V621" s="270">
        <f t="shared" si="297"/>
        <v>0</v>
      </c>
      <c r="W621" s="270">
        <f t="shared" si="297"/>
        <v>0</v>
      </c>
      <c r="X621" s="270">
        <f t="shared" si="297"/>
        <v>0</v>
      </c>
      <c r="Y621" s="270">
        <f t="shared" si="297"/>
        <v>0</v>
      </c>
      <c r="Z621" s="270">
        <f t="shared" si="297"/>
        <v>0</v>
      </c>
      <c r="AA621" s="270">
        <f t="shared" si="297"/>
        <v>0</v>
      </c>
      <c r="AB621" s="270">
        <f t="shared" si="297"/>
        <v>0</v>
      </c>
      <c r="AC621" s="270">
        <f t="shared" si="297"/>
        <v>0</v>
      </c>
      <c r="AD621" s="270">
        <f t="shared" si="297"/>
        <v>0</v>
      </c>
      <c r="AE621" s="270">
        <f t="shared" si="297"/>
        <v>0</v>
      </c>
      <c r="AF621" s="270">
        <f t="shared" si="297"/>
        <v>0</v>
      </c>
      <c r="AG621" s="270">
        <f t="shared" si="297"/>
        <v>0</v>
      </c>
      <c r="AH621" s="270">
        <f t="shared" si="297"/>
        <v>0</v>
      </c>
      <c r="AI621" s="270">
        <f t="shared" si="297"/>
        <v>0</v>
      </c>
      <c r="AJ621" s="270">
        <f t="shared" si="297"/>
        <v>0</v>
      </c>
      <c r="AK621" s="270">
        <f t="shared" si="297"/>
        <v>0</v>
      </c>
      <c r="AL621" s="270">
        <f t="shared" si="297"/>
        <v>0</v>
      </c>
      <c r="AM621" s="270">
        <f t="shared" si="297"/>
        <v>0</v>
      </c>
      <c r="AN621" s="270">
        <f t="shared" si="297"/>
        <v>0</v>
      </c>
      <c r="AO621" s="270">
        <f t="shared" si="297"/>
        <v>0</v>
      </c>
      <c r="AP621" s="270">
        <f t="shared" si="297"/>
        <v>0</v>
      </c>
    </row>
    <row r="622" spans="1:42" s="119" customFormat="1">
      <c r="A622" s="226" t="s">
        <v>183</v>
      </c>
      <c r="C622" s="271">
        <f>ROUND(C621*1000,0)</f>
        <v>0</v>
      </c>
      <c r="D622" s="271">
        <f>ROUND(D621*1000,0)</f>
        <v>0</v>
      </c>
      <c r="E622" s="271">
        <f t="shared" ref="E622:AP622" si="298">ROUND(E621*1000,0)</f>
        <v>0</v>
      </c>
      <c r="F622" s="271">
        <f t="shared" si="298"/>
        <v>0</v>
      </c>
      <c r="G622" s="271">
        <f t="shared" si="298"/>
        <v>0</v>
      </c>
      <c r="H622" s="271">
        <f t="shared" si="298"/>
        <v>0</v>
      </c>
      <c r="I622" s="271">
        <f t="shared" si="298"/>
        <v>0</v>
      </c>
      <c r="J622" s="271">
        <f t="shared" si="298"/>
        <v>0</v>
      </c>
      <c r="K622" s="271">
        <f t="shared" si="298"/>
        <v>0</v>
      </c>
      <c r="L622" s="271">
        <f t="shared" si="298"/>
        <v>0</v>
      </c>
      <c r="M622" s="271">
        <f t="shared" si="298"/>
        <v>0</v>
      </c>
      <c r="N622" s="271">
        <f t="shared" si="298"/>
        <v>0</v>
      </c>
      <c r="O622" s="271">
        <f t="shared" si="298"/>
        <v>0</v>
      </c>
      <c r="P622" s="271">
        <f t="shared" si="298"/>
        <v>0</v>
      </c>
      <c r="Q622" s="271">
        <f t="shared" si="298"/>
        <v>0</v>
      </c>
      <c r="R622" s="271">
        <f t="shared" si="298"/>
        <v>0</v>
      </c>
      <c r="S622" s="271">
        <f t="shared" si="298"/>
        <v>0</v>
      </c>
      <c r="T622" s="271">
        <f t="shared" si="298"/>
        <v>0</v>
      </c>
      <c r="U622" s="271">
        <f t="shared" si="298"/>
        <v>0</v>
      </c>
      <c r="V622" s="271">
        <f t="shared" si="298"/>
        <v>0</v>
      </c>
      <c r="W622" s="271">
        <f t="shared" si="298"/>
        <v>0</v>
      </c>
      <c r="X622" s="271">
        <f t="shared" si="298"/>
        <v>0</v>
      </c>
      <c r="Y622" s="271">
        <f t="shared" si="298"/>
        <v>0</v>
      </c>
      <c r="Z622" s="271">
        <f t="shared" si="298"/>
        <v>0</v>
      </c>
      <c r="AA622" s="271">
        <f t="shared" si="298"/>
        <v>0</v>
      </c>
      <c r="AB622" s="271">
        <f t="shared" si="298"/>
        <v>0</v>
      </c>
      <c r="AC622" s="271">
        <f t="shared" si="298"/>
        <v>0</v>
      </c>
      <c r="AD622" s="271">
        <f t="shared" si="298"/>
        <v>0</v>
      </c>
      <c r="AE622" s="271">
        <f t="shared" si="298"/>
        <v>0</v>
      </c>
      <c r="AF622" s="271">
        <f t="shared" si="298"/>
        <v>0</v>
      </c>
      <c r="AG622" s="271">
        <f t="shared" si="298"/>
        <v>0</v>
      </c>
      <c r="AH622" s="271">
        <f t="shared" si="298"/>
        <v>0</v>
      </c>
      <c r="AI622" s="271">
        <f t="shared" si="298"/>
        <v>0</v>
      </c>
      <c r="AJ622" s="271">
        <f t="shared" si="298"/>
        <v>0</v>
      </c>
      <c r="AK622" s="271">
        <f t="shared" si="298"/>
        <v>0</v>
      </c>
      <c r="AL622" s="271">
        <f t="shared" si="298"/>
        <v>0</v>
      </c>
      <c r="AM622" s="271">
        <f t="shared" si="298"/>
        <v>0</v>
      </c>
      <c r="AN622" s="271">
        <f t="shared" si="298"/>
        <v>0</v>
      </c>
      <c r="AO622" s="271">
        <f t="shared" si="298"/>
        <v>0</v>
      </c>
      <c r="AP622" s="271">
        <f t="shared" si="298"/>
        <v>0</v>
      </c>
    </row>
    <row r="623" spans="1:42" s="119" customFormat="1">
      <c r="A623" s="226" t="s">
        <v>184</v>
      </c>
      <c r="C623" s="225">
        <f>C$5/1000</f>
        <v>17000</v>
      </c>
      <c r="D623" s="225">
        <f>D$5/1000</f>
        <v>16915</v>
      </c>
      <c r="E623" s="225">
        <f t="shared" ref="E623:AP623" si="299">E$5/1000</f>
        <v>16830.424999999999</v>
      </c>
      <c r="F623" s="225">
        <f t="shared" si="299"/>
        <v>16746.272874999999</v>
      </c>
      <c r="G623" s="225">
        <f t="shared" si="299"/>
        <v>16662.541510625</v>
      </c>
      <c r="H623" s="225">
        <f t="shared" si="299"/>
        <v>16579.228803071874</v>
      </c>
      <c r="I623" s="225">
        <f t="shared" si="299"/>
        <v>16496.332659056516</v>
      </c>
      <c r="J623" s="225">
        <f t="shared" si="299"/>
        <v>16413.850995761233</v>
      </c>
      <c r="K623" s="225">
        <f t="shared" si="299"/>
        <v>16331.781740782426</v>
      </c>
      <c r="L623" s="225">
        <f t="shared" si="299"/>
        <v>16250.122832078514</v>
      </c>
      <c r="M623" s="225">
        <f t="shared" si="299"/>
        <v>16168.872217918122</v>
      </c>
      <c r="N623" s="225">
        <f t="shared" si="299"/>
        <v>16088.027856828532</v>
      </c>
      <c r="O623" s="225">
        <f t="shared" si="299"/>
        <v>16007.587717544387</v>
      </c>
      <c r="P623" s="225">
        <f t="shared" si="299"/>
        <v>15927.549778956667</v>
      </c>
      <c r="Q623" s="225">
        <f t="shared" si="299"/>
        <v>15847.912030061883</v>
      </c>
      <c r="R623" s="225">
        <f t="shared" si="299"/>
        <v>15768.672469911573</v>
      </c>
      <c r="S623" s="225">
        <f t="shared" si="299"/>
        <v>15689.829107562015</v>
      </c>
      <c r="T623" s="225">
        <f t="shared" si="299"/>
        <v>15611.379962024204</v>
      </c>
      <c r="U623" s="225">
        <f t="shared" si="299"/>
        <v>15533.323062214084</v>
      </c>
      <c r="V623" s="225">
        <f t="shared" si="299"/>
        <v>15455.656446903013</v>
      </c>
      <c r="W623" s="225">
        <f t="shared" si="299"/>
        <v>15378.378164668497</v>
      </c>
      <c r="X623" s="225">
        <f t="shared" si="299"/>
        <v>15301.486273845156</v>
      </c>
      <c r="Y623" s="225">
        <f t="shared" si="299"/>
        <v>15224.978842475928</v>
      </c>
      <c r="Z623" s="225">
        <f t="shared" si="299"/>
        <v>15148.853948263548</v>
      </c>
      <c r="AA623" s="225">
        <f t="shared" si="299"/>
        <v>15073.109678522231</v>
      </c>
      <c r="AB623" s="225">
        <f t="shared" si="299"/>
        <v>14997.74413012962</v>
      </c>
      <c r="AC623" s="225">
        <f t="shared" si="299"/>
        <v>14922.755409478972</v>
      </c>
      <c r="AD623" s="225">
        <f t="shared" si="299"/>
        <v>14848.141632431576</v>
      </c>
      <c r="AE623" s="225">
        <f t="shared" si="299"/>
        <v>14773.900924269417</v>
      </c>
      <c r="AF623" s="225">
        <f t="shared" si="299"/>
        <v>14700.03141964807</v>
      </c>
      <c r="AG623" s="225">
        <f t="shared" si="299"/>
        <v>0</v>
      </c>
      <c r="AH623" s="225">
        <f t="shared" si="299"/>
        <v>0</v>
      </c>
      <c r="AI623" s="225">
        <f t="shared" si="299"/>
        <v>0</v>
      </c>
      <c r="AJ623" s="225">
        <f t="shared" si="299"/>
        <v>0</v>
      </c>
      <c r="AK623" s="225">
        <f t="shared" si="299"/>
        <v>0</v>
      </c>
      <c r="AL623" s="225">
        <f t="shared" si="299"/>
        <v>0</v>
      </c>
      <c r="AM623" s="225">
        <f t="shared" si="299"/>
        <v>0</v>
      </c>
      <c r="AN623" s="225">
        <f t="shared" si="299"/>
        <v>0</v>
      </c>
      <c r="AO623" s="225">
        <f t="shared" si="299"/>
        <v>0</v>
      </c>
      <c r="AP623" s="225">
        <f t="shared" si="299"/>
        <v>0</v>
      </c>
    </row>
    <row r="624" spans="1:42" s="119" customFormat="1">
      <c r="A624" s="226" t="s">
        <v>53</v>
      </c>
      <c r="C624" s="146">
        <f>C622*C623</f>
        <v>0</v>
      </c>
      <c r="D624" s="146">
        <f>D622*D623</f>
        <v>0</v>
      </c>
      <c r="E624" s="146">
        <f t="shared" ref="E624:AP624" si="300">E622*E623</f>
        <v>0</v>
      </c>
      <c r="F624" s="146">
        <f t="shared" si="300"/>
        <v>0</v>
      </c>
      <c r="G624" s="146">
        <f t="shared" si="300"/>
        <v>0</v>
      </c>
      <c r="H624" s="146">
        <f t="shared" si="300"/>
        <v>0</v>
      </c>
      <c r="I624" s="146">
        <f t="shared" si="300"/>
        <v>0</v>
      </c>
      <c r="J624" s="146">
        <f t="shared" si="300"/>
        <v>0</v>
      </c>
      <c r="K624" s="146">
        <f t="shared" si="300"/>
        <v>0</v>
      </c>
      <c r="L624" s="146">
        <f t="shared" si="300"/>
        <v>0</v>
      </c>
      <c r="M624" s="146">
        <f t="shared" si="300"/>
        <v>0</v>
      </c>
      <c r="N624" s="146">
        <f t="shared" si="300"/>
        <v>0</v>
      </c>
      <c r="O624" s="146">
        <f t="shared" si="300"/>
        <v>0</v>
      </c>
      <c r="P624" s="146">
        <f t="shared" si="300"/>
        <v>0</v>
      </c>
      <c r="Q624" s="146">
        <f t="shared" si="300"/>
        <v>0</v>
      </c>
      <c r="R624" s="146">
        <f t="shared" si="300"/>
        <v>0</v>
      </c>
      <c r="S624" s="146">
        <f t="shared" si="300"/>
        <v>0</v>
      </c>
      <c r="T624" s="146">
        <f t="shared" si="300"/>
        <v>0</v>
      </c>
      <c r="U624" s="146">
        <f t="shared" si="300"/>
        <v>0</v>
      </c>
      <c r="V624" s="146">
        <f t="shared" si="300"/>
        <v>0</v>
      </c>
      <c r="W624" s="146">
        <f t="shared" si="300"/>
        <v>0</v>
      </c>
      <c r="X624" s="146">
        <f t="shared" si="300"/>
        <v>0</v>
      </c>
      <c r="Y624" s="146">
        <f t="shared" si="300"/>
        <v>0</v>
      </c>
      <c r="Z624" s="146">
        <f t="shared" si="300"/>
        <v>0</v>
      </c>
      <c r="AA624" s="146">
        <f t="shared" si="300"/>
        <v>0</v>
      </c>
      <c r="AB624" s="146">
        <f t="shared" si="300"/>
        <v>0</v>
      </c>
      <c r="AC624" s="146">
        <f t="shared" si="300"/>
        <v>0</v>
      </c>
      <c r="AD624" s="146">
        <f t="shared" si="300"/>
        <v>0</v>
      </c>
      <c r="AE624" s="146">
        <f t="shared" si="300"/>
        <v>0</v>
      </c>
      <c r="AF624" s="146">
        <f t="shared" si="300"/>
        <v>0</v>
      </c>
      <c r="AG624" s="146">
        <f t="shared" si="300"/>
        <v>0</v>
      </c>
      <c r="AH624" s="146">
        <f t="shared" si="300"/>
        <v>0</v>
      </c>
      <c r="AI624" s="146">
        <f t="shared" si="300"/>
        <v>0</v>
      </c>
      <c r="AJ624" s="146">
        <f t="shared" si="300"/>
        <v>0</v>
      </c>
      <c r="AK624" s="146">
        <f t="shared" si="300"/>
        <v>0</v>
      </c>
      <c r="AL624" s="146">
        <f t="shared" si="300"/>
        <v>0</v>
      </c>
      <c r="AM624" s="146">
        <f t="shared" si="300"/>
        <v>0</v>
      </c>
      <c r="AN624" s="146">
        <f t="shared" si="300"/>
        <v>0</v>
      </c>
      <c r="AO624" s="146">
        <f t="shared" si="300"/>
        <v>0</v>
      </c>
      <c r="AP624" s="146">
        <f t="shared" si="300"/>
        <v>0</v>
      </c>
    </row>
    <row r="625" spans="1:42" s="119" customFormat="1">
      <c r="A625" s="226"/>
      <c r="C625" s="146"/>
      <c r="D625" s="146"/>
      <c r="E625" s="146"/>
      <c r="F625" s="146"/>
      <c r="G625" s="146"/>
      <c r="H625" s="146"/>
      <c r="I625" s="146"/>
      <c r="J625" s="146"/>
      <c r="K625" s="146"/>
      <c r="L625" s="146"/>
      <c r="M625" s="146"/>
      <c r="N625" s="146"/>
      <c r="O625" s="146"/>
      <c r="P625" s="146"/>
      <c r="Q625" s="146"/>
      <c r="R625" s="146"/>
      <c r="S625" s="146"/>
      <c r="T625" s="146"/>
      <c r="U625" s="146"/>
      <c r="V625" s="146"/>
      <c r="W625" s="146"/>
      <c r="X625" s="146"/>
      <c r="Y625" s="146"/>
      <c r="Z625" s="146"/>
      <c r="AA625" s="146"/>
      <c r="AB625" s="146"/>
      <c r="AC625" s="146"/>
      <c r="AD625" s="146"/>
      <c r="AE625" s="146"/>
      <c r="AF625" s="146"/>
      <c r="AG625" s="146"/>
      <c r="AH625" s="146"/>
      <c r="AI625" s="146"/>
      <c r="AJ625" s="146"/>
      <c r="AK625" s="146"/>
      <c r="AL625" s="146"/>
      <c r="AM625" s="146"/>
      <c r="AN625" s="146"/>
      <c r="AO625" s="146"/>
      <c r="AP625" s="146"/>
    </row>
    <row r="626" spans="1:42">
      <c r="A626" s="201" t="s">
        <v>58</v>
      </c>
      <c r="C626" s="208"/>
      <c r="D626" s="208"/>
      <c r="E626" s="208"/>
      <c r="F626" s="208"/>
      <c r="G626" s="208"/>
      <c r="H626" s="208"/>
      <c r="I626" s="208"/>
      <c r="J626" s="208"/>
      <c r="K626" s="208"/>
      <c r="L626" s="208"/>
      <c r="M626" s="208"/>
      <c r="N626" s="208"/>
      <c r="O626" s="208"/>
      <c r="P626" s="208"/>
      <c r="Q626" s="208"/>
      <c r="R626" s="208"/>
      <c r="S626" s="208"/>
      <c r="T626" s="208"/>
      <c r="U626" s="208"/>
      <c r="V626" s="208"/>
      <c r="W626" s="208"/>
      <c r="X626" s="208"/>
      <c r="Y626" s="208"/>
      <c r="Z626" s="208"/>
      <c r="AA626" s="208"/>
      <c r="AB626" s="208"/>
      <c r="AC626" s="208"/>
      <c r="AD626" s="208"/>
      <c r="AE626" s="208"/>
      <c r="AF626" s="208"/>
      <c r="AG626" s="208"/>
      <c r="AH626" s="208"/>
      <c r="AI626" s="208"/>
      <c r="AJ626" s="208"/>
      <c r="AK626" s="208"/>
      <c r="AL626" s="208"/>
      <c r="AM626" s="208"/>
      <c r="AN626" s="208"/>
      <c r="AO626" s="208"/>
      <c r="AP626" s="208"/>
    </row>
    <row r="627" spans="1:42">
      <c r="A627" s="219" t="str">
        <f>'Inputs &amp; Results'!A49</f>
        <v>Fixed Amount ($)</v>
      </c>
      <c r="B627" s="119"/>
      <c r="C627" s="119"/>
      <c r="D627" s="208"/>
      <c r="E627" s="208"/>
      <c r="F627" s="208"/>
      <c r="G627" s="208"/>
      <c r="H627" s="208"/>
      <c r="I627" s="208"/>
      <c r="J627" s="208"/>
      <c r="K627" s="208"/>
      <c r="L627" s="208"/>
      <c r="M627" s="208"/>
      <c r="N627" s="208"/>
      <c r="O627" s="208"/>
      <c r="P627" s="208"/>
      <c r="Q627" s="208"/>
      <c r="R627" s="208"/>
      <c r="S627" s="208"/>
      <c r="T627" s="208"/>
      <c r="U627" s="208"/>
      <c r="V627" s="208"/>
      <c r="W627" s="208"/>
      <c r="X627" s="208"/>
      <c r="Y627" s="208"/>
      <c r="Z627" s="208"/>
      <c r="AA627" s="208"/>
      <c r="AB627" s="208"/>
      <c r="AC627" s="208"/>
      <c r="AD627" s="208"/>
      <c r="AE627" s="208"/>
      <c r="AF627" s="208"/>
      <c r="AG627" s="208"/>
      <c r="AH627" s="208"/>
      <c r="AI627" s="208"/>
      <c r="AJ627" s="208"/>
      <c r="AK627" s="208"/>
      <c r="AL627" s="208"/>
      <c r="AM627" s="208"/>
      <c r="AN627" s="208"/>
      <c r="AO627" s="208"/>
      <c r="AP627" s="208"/>
    </row>
    <row r="628" spans="1:42">
      <c r="A628" s="226" t="str">
        <f>'Inputs &amp; Results'!A50</f>
        <v>Federal</v>
      </c>
      <c r="B628" s="119"/>
      <c r="C628" s="220">
        <f>IBIFedFixed</f>
        <v>1000</v>
      </c>
      <c r="D628" s="208"/>
      <c r="E628" s="208"/>
      <c r="F628" s="208"/>
      <c r="G628" s="208"/>
      <c r="H628" s="208"/>
      <c r="I628" s="208"/>
      <c r="J628" s="208"/>
      <c r="K628" s="208"/>
      <c r="L628" s="208"/>
      <c r="M628" s="208"/>
      <c r="N628" s="208"/>
      <c r="O628" s="208"/>
      <c r="P628" s="208"/>
      <c r="Q628" s="208"/>
      <c r="R628" s="208"/>
      <c r="S628" s="208"/>
      <c r="T628" s="208"/>
      <c r="U628" s="208"/>
      <c r="V628" s="208"/>
      <c r="W628" s="208"/>
      <c r="X628" s="208"/>
      <c r="Y628" s="208"/>
      <c r="Z628" s="208"/>
      <c r="AA628" s="208"/>
      <c r="AB628" s="208"/>
      <c r="AC628" s="208"/>
      <c r="AD628" s="208"/>
      <c r="AE628" s="208"/>
      <c r="AF628" s="208"/>
      <c r="AG628" s="208"/>
      <c r="AH628" s="208"/>
      <c r="AI628" s="208"/>
      <c r="AJ628" s="208"/>
      <c r="AK628" s="208"/>
      <c r="AL628" s="208"/>
      <c r="AM628" s="208"/>
      <c r="AN628" s="208"/>
      <c r="AO628" s="208"/>
      <c r="AP628" s="208"/>
    </row>
    <row r="629" spans="1:42">
      <c r="A629" s="226" t="str">
        <f>'Inputs &amp; Results'!A51</f>
        <v>State</v>
      </c>
      <c r="B629" s="119"/>
      <c r="C629" s="220">
        <f>IBIStateFixed</f>
        <v>2000</v>
      </c>
      <c r="D629" s="208"/>
      <c r="E629" s="208"/>
      <c r="F629" s="208"/>
      <c r="G629" s="208"/>
      <c r="H629" s="208"/>
      <c r="I629" s="208"/>
      <c r="J629" s="208"/>
      <c r="K629" s="208"/>
      <c r="L629" s="208"/>
      <c r="M629" s="208"/>
      <c r="N629" s="208"/>
      <c r="O629" s="208"/>
      <c r="P629" s="208"/>
      <c r="Q629" s="208"/>
      <c r="R629" s="208"/>
      <c r="S629" s="208"/>
      <c r="T629" s="208"/>
      <c r="U629" s="208"/>
      <c r="V629" s="208"/>
      <c r="W629" s="208"/>
      <c r="X629" s="208"/>
      <c r="Y629" s="208"/>
      <c r="Z629" s="208"/>
      <c r="AA629" s="208"/>
      <c r="AB629" s="208"/>
      <c r="AC629" s="208"/>
      <c r="AD629" s="208"/>
      <c r="AE629" s="208"/>
      <c r="AF629" s="208"/>
      <c r="AG629" s="208"/>
      <c r="AH629" s="208"/>
      <c r="AI629" s="208"/>
      <c r="AJ629" s="208"/>
      <c r="AK629" s="208"/>
      <c r="AL629" s="208"/>
      <c r="AM629" s="208"/>
      <c r="AN629" s="208"/>
      <c r="AO629" s="208"/>
      <c r="AP629" s="208"/>
    </row>
    <row r="630" spans="1:42">
      <c r="A630" s="226" t="str">
        <f>'Inputs &amp; Results'!A52</f>
        <v>Utility</v>
      </c>
      <c r="B630" s="119"/>
      <c r="C630" s="220">
        <f>IBIUtilityFixed</f>
        <v>500</v>
      </c>
      <c r="D630" s="208"/>
      <c r="E630" s="208"/>
      <c r="F630" s="208"/>
      <c r="G630" s="208"/>
      <c r="H630" s="208"/>
      <c r="I630" s="208"/>
      <c r="J630" s="208"/>
      <c r="K630" s="208"/>
      <c r="L630" s="208"/>
      <c r="M630" s="208"/>
      <c r="N630" s="208"/>
      <c r="O630" s="208"/>
      <c r="P630" s="208"/>
      <c r="Q630" s="208"/>
      <c r="R630" s="208"/>
      <c r="S630" s="208"/>
      <c r="T630" s="208"/>
      <c r="U630" s="208"/>
      <c r="V630" s="208"/>
      <c r="W630" s="208"/>
      <c r="X630" s="208"/>
      <c r="Y630" s="208"/>
      <c r="Z630" s="208"/>
      <c r="AA630" s="208"/>
      <c r="AB630" s="208"/>
      <c r="AC630" s="208"/>
      <c r="AD630" s="208"/>
      <c r="AE630" s="208"/>
      <c r="AF630" s="208"/>
      <c r="AG630" s="208"/>
      <c r="AH630" s="208"/>
      <c r="AI630" s="208"/>
      <c r="AJ630" s="208"/>
      <c r="AK630" s="208"/>
      <c r="AL630" s="208"/>
      <c r="AM630" s="208"/>
      <c r="AN630" s="208"/>
      <c r="AO630" s="208"/>
      <c r="AP630" s="208"/>
    </row>
    <row r="631" spans="1:42">
      <c r="A631" s="226" t="str">
        <f>'Inputs &amp; Results'!A53</f>
        <v>Other</v>
      </c>
      <c r="C631" s="225">
        <f>IBIOtherFixed</f>
        <v>250</v>
      </c>
      <c r="D631" s="208"/>
      <c r="E631" s="208"/>
      <c r="F631" s="208"/>
      <c r="G631" s="208"/>
      <c r="H631" s="208"/>
      <c r="I631" s="208"/>
      <c r="J631" s="208"/>
      <c r="K631" s="208"/>
      <c r="L631" s="208"/>
      <c r="M631" s="208"/>
      <c r="N631" s="208"/>
      <c r="O631" s="208"/>
      <c r="P631" s="208"/>
      <c r="Q631" s="208"/>
      <c r="R631" s="208"/>
      <c r="S631" s="208"/>
      <c r="T631" s="208"/>
      <c r="U631" s="208"/>
      <c r="V631" s="208"/>
      <c r="W631" s="208"/>
      <c r="X631" s="208"/>
      <c r="Y631" s="208"/>
      <c r="Z631" s="208"/>
      <c r="AA631" s="208"/>
      <c r="AB631" s="208"/>
      <c r="AC631" s="208"/>
      <c r="AD631" s="208"/>
      <c r="AE631" s="208"/>
      <c r="AF631" s="208"/>
      <c r="AG631" s="208"/>
      <c r="AH631" s="208"/>
      <c r="AI631" s="208"/>
      <c r="AJ631" s="208"/>
      <c r="AK631" s="208"/>
      <c r="AL631" s="208"/>
      <c r="AM631" s="208"/>
      <c r="AN631" s="208"/>
      <c r="AO631" s="208"/>
      <c r="AP631" s="208"/>
    </row>
    <row r="632" spans="1:42">
      <c r="A632" s="206" t="s">
        <v>53</v>
      </c>
      <c r="C632" s="208">
        <f>SUM(C628:C631)</f>
        <v>3750</v>
      </c>
      <c r="D632" s="208"/>
      <c r="E632" s="208"/>
      <c r="F632" s="208"/>
      <c r="G632" s="208"/>
      <c r="H632" s="208"/>
      <c r="I632" s="208"/>
      <c r="J632" s="208"/>
      <c r="K632" s="208"/>
      <c r="L632" s="208"/>
      <c r="M632" s="208"/>
      <c r="N632" s="208"/>
      <c r="O632" s="208"/>
      <c r="P632" s="208"/>
      <c r="Q632" s="208"/>
      <c r="R632" s="208"/>
      <c r="S632" s="208"/>
      <c r="T632" s="208"/>
      <c r="U632" s="208"/>
      <c r="V632" s="208"/>
      <c r="W632" s="208"/>
      <c r="X632" s="208"/>
      <c r="Y632" s="208"/>
      <c r="Z632" s="208"/>
      <c r="AA632" s="208"/>
      <c r="AB632" s="208"/>
      <c r="AC632" s="208"/>
      <c r="AD632" s="208"/>
      <c r="AE632" s="208"/>
      <c r="AF632" s="208"/>
      <c r="AG632" s="208"/>
      <c r="AH632" s="208"/>
      <c r="AI632" s="208"/>
      <c r="AJ632" s="208"/>
      <c r="AK632" s="208"/>
      <c r="AL632" s="208"/>
      <c r="AM632" s="208"/>
      <c r="AN632" s="208"/>
      <c r="AO632" s="208"/>
      <c r="AP632" s="208"/>
    </row>
    <row r="633" spans="1:42">
      <c r="A633" s="219" t="str">
        <f>'Inputs &amp; Results'!A54</f>
        <v>Percentage of Pre-Financing Costs</v>
      </c>
      <c r="C633" s="208"/>
      <c r="D633" s="208"/>
      <c r="E633" s="208"/>
      <c r="F633" s="208"/>
      <c r="G633" s="208"/>
      <c r="H633" s="208"/>
      <c r="I633" s="208"/>
      <c r="J633" s="208"/>
      <c r="K633" s="208"/>
      <c r="L633" s="208"/>
      <c r="M633" s="208"/>
      <c r="N633" s="208"/>
      <c r="O633" s="208"/>
      <c r="P633" s="208"/>
      <c r="Q633" s="208"/>
      <c r="R633" s="208"/>
      <c r="S633" s="208"/>
      <c r="T633" s="208"/>
      <c r="U633" s="208"/>
      <c r="V633" s="208"/>
      <c r="W633" s="208"/>
      <c r="X633" s="208"/>
      <c r="Y633" s="208"/>
      <c r="Z633" s="208"/>
      <c r="AA633" s="208"/>
      <c r="AB633" s="208"/>
      <c r="AC633" s="208"/>
      <c r="AD633" s="208"/>
      <c r="AE633" s="208"/>
      <c r="AF633" s="208"/>
      <c r="AG633" s="208"/>
      <c r="AH633" s="208"/>
      <c r="AI633" s="208"/>
      <c r="AJ633" s="208"/>
      <c r="AK633" s="208"/>
      <c r="AL633" s="208"/>
      <c r="AM633" s="208"/>
      <c r="AN633" s="208"/>
      <c r="AO633" s="208"/>
      <c r="AP633" s="208"/>
    </row>
    <row r="634" spans="1:42">
      <c r="A634" s="226" t="str">
        <f>'Inputs &amp; Results'!A55</f>
        <v>Federal</v>
      </c>
      <c r="C634" s="220">
        <f>IBIFedPercent</f>
        <v>2011357.5</v>
      </c>
      <c r="D634" s="208"/>
      <c r="E634" s="208"/>
      <c r="F634" s="208"/>
      <c r="G634" s="208"/>
      <c r="H634" s="208"/>
      <c r="I634" s="208"/>
      <c r="J634" s="208"/>
      <c r="K634" s="208"/>
      <c r="L634" s="208"/>
      <c r="M634" s="208"/>
      <c r="N634" s="208"/>
      <c r="O634" s="208"/>
      <c r="P634" s="208"/>
      <c r="Q634" s="208"/>
      <c r="R634" s="208"/>
      <c r="S634" s="208"/>
      <c r="T634" s="208"/>
      <c r="U634" s="208"/>
      <c r="V634" s="208"/>
      <c r="W634" s="208"/>
      <c r="X634" s="208"/>
      <c r="Y634" s="208"/>
      <c r="Z634" s="208"/>
      <c r="AA634" s="208"/>
      <c r="AB634" s="208"/>
      <c r="AC634" s="208"/>
      <c r="AD634" s="208"/>
      <c r="AE634" s="208"/>
      <c r="AF634" s="208"/>
      <c r="AG634" s="208"/>
      <c r="AH634" s="208"/>
      <c r="AI634" s="208"/>
      <c r="AJ634" s="208"/>
      <c r="AK634" s="208"/>
      <c r="AL634" s="208"/>
      <c r="AM634" s="208"/>
      <c r="AN634" s="208"/>
      <c r="AO634" s="208"/>
      <c r="AP634" s="208"/>
    </row>
    <row r="635" spans="1:42">
      <c r="A635" s="226" t="str">
        <f>'Inputs &amp; Results'!A56</f>
        <v>State</v>
      </c>
      <c r="C635" s="220">
        <f>IBIStatePercent</f>
        <v>4022715</v>
      </c>
      <c r="D635" s="208"/>
      <c r="E635" s="208"/>
      <c r="F635" s="208"/>
      <c r="G635" s="208"/>
      <c r="H635" s="208"/>
      <c r="I635" s="208"/>
      <c r="J635" s="208"/>
      <c r="K635" s="208"/>
      <c r="L635" s="208"/>
      <c r="M635" s="208"/>
      <c r="N635" s="208"/>
      <c r="O635" s="208"/>
      <c r="P635" s="208"/>
      <c r="Q635" s="208"/>
      <c r="R635" s="208"/>
      <c r="S635" s="208"/>
      <c r="T635" s="208"/>
      <c r="U635" s="208"/>
      <c r="V635" s="208"/>
      <c r="W635" s="208"/>
      <c r="X635" s="208"/>
      <c r="Y635" s="208"/>
      <c r="Z635" s="208"/>
      <c r="AA635" s="208"/>
      <c r="AB635" s="208"/>
      <c r="AC635" s="208"/>
      <c r="AD635" s="208"/>
      <c r="AE635" s="208"/>
      <c r="AF635" s="208"/>
      <c r="AG635" s="208"/>
      <c r="AH635" s="208"/>
      <c r="AI635" s="208"/>
      <c r="AJ635" s="208"/>
      <c r="AK635" s="208"/>
      <c r="AL635" s="208"/>
      <c r="AM635" s="208"/>
      <c r="AN635" s="208"/>
      <c r="AO635" s="208"/>
      <c r="AP635" s="208"/>
    </row>
    <row r="636" spans="1:42">
      <c r="A636" s="226" t="str">
        <f>'Inputs &amp; Results'!A57</f>
        <v>Utility</v>
      </c>
      <c r="C636" s="220">
        <f>IBIUtilityPercent</f>
        <v>402271.5</v>
      </c>
      <c r="D636" s="208"/>
      <c r="E636" s="208"/>
      <c r="F636" s="208"/>
      <c r="G636" s="208"/>
      <c r="H636" s="208"/>
      <c r="I636" s="208"/>
      <c r="J636" s="208"/>
      <c r="K636" s="208"/>
      <c r="L636" s="208"/>
      <c r="M636" s="208"/>
      <c r="N636" s="208"/>
      <c r="O636" s="208"/>
      <c r="P636" s="208"/>
      <c r="Q636" s="208"/>
      <c r="R636" s="208"/>
      <c r="S636" s="208"/>
      <c r="T636" s="208"/>
      <c r="U636" s="208"/>
      <c r="V636" s="208"/>
      <c r="W636" s="208"/>
      <c r="X636" s="208"/>
      <c r="Y636" s="208"/>
      <c r="Z636" s="208"/>
      <c r="AA636" s="208"/>
      <c r="AB636" s="208"/>
      <c r="AC636" s="208"/>
      <c r="AD636" s="208"/>
      <c r="AE636" s="208"/>
      <c r="AF636" s="208"/>
      <c r="AG636" s="208"/>
      <c r="AH636" s="208"/>
      <c r="AI636" s="208"/>
      <c r="AJ636" s="208"/>
      <c r="AK636" s="208"/>
      <c r="AL636" s="208"/>
      <c r="AM636" s="208"/>
      <c r="AN636" s="208"/>
      <c r="AO636" s="208"/>
      <c r="AP636" s="208"/>
    </row>
    <row r="637" spans="1:42">
      <c r="A637" s="226" t="str">
        <f>'Inputs &amp; Results'!A58</f>
        <v>Other</v>
      </c>
      <c r="C637" s="225">
        <f>IBIOtherPercent</f>
        <v>201135.75</v>
      </c>
      <c r="D637" s="208"/>
      <c r="E637" s="208"/>
      <c r="F637" s="208"/>
      <c r="G637" s="208"/>
      <c r="H637" s="208"/>
      <c r="I637" s="208"/>
      <c r="J637" s="208"/>
      <c r="K637" s="208"/>
      <c r="L637" s="208"/>
      <c r="M637" s="208"/>
      <c r="N637" s="208"/>
      <c r="O637" s="208"/>
      <c r="P637" s="208"/>
      <c r="Q637" s="208"/>
      <c r="R637" s="208"/>
      <c r="S637" s="208"/>
      <c r="T637" s="208"/>
      <c r="U637" s="208"/>
      <c r="V637" s="208"/>
      <c r="W637" s="208"/>
      <c r="X637" s="208"/>
      <c r="Y637" s="208"/>
      <c r="Z637" s="208"/>
      <c r="AA637" s="208"/>
      <c r="AB637" s="208"/>
      <c r="AC637" s="208"/>
      <c r="AD637" s="208"/>
      <c r="AE637" s="208"/>
      <c r="AF637" s="208"/>
      <c r="AG637" s="208"/>
      <c r="AH637" s="208"/>
      <c r="AI637" s="208"/>
      <c r="AJ637" s="208"/>
      <c r="AK637" s="208"/>
      <c r="AL637" s="208"/>
      <c r="AM637" s="208"/>
      <c r="AN637" s="208"/>
      <c r="AO637" s="208"/>
      <c r="AP637" s="208"/>
    </row>
    <row r="638" spans="1:42">
      <c r="A638" s="226" t="s">
        <v>53</v>
      </c>
      <c r="C638" s="208">
        <f>SUM(C634:C637)</f>
        <v>6637479.75</v>
      </c>
      <c r="D638" s="208"/>
      <c r="E638" s="208"/>
      <c r="F638" s="208"/>
      <c r="G638" s="208"/>
      <c r="H638" s="208"/>
      <c r="I638" s="208"/>
      <c r="J638" s="208"/>
      <c r="K638" s="208"/>
      <c r="L638" s="208"/>
      <c r="M638" s="208"/>
      <c r="N638" s="208"/>
      <c r="O638" s="208"/>
      <c r="P638" s="208"/>
      <c r="Q638" s="208"/>
      <c r="R638" s="208"/>
      <c r="S638" s="208"/>
      <c r="T638" s="208"/>
      <c r="U638" s="208"/>
      <c r="V638" s="208"/>
      <c r="W638" s="208"/>
      <c r="X638" s="208"/>
      <c r="Y638" s="208"/>
      <c r="Z638" s="208"/>
      <c r="AA638" s="208"/>
      <c r="AB638" s="208"/>
      <c r="AC638" s="208"/>
      <c r="AD638" s="208"/>
      <c r="AE638" s="208"/>
      <c r="AF638" s="208"/>
      <c r="AG638" s="208"/>
      <c r="AH638" s="208"/>
      <c r="AI638" s="208"/>
      <c r="AJ638" s="208"/>
      <c r="AK638" s="208"/>
      <c r="AL638" s="208"/>
      <c r="AM638" s="208"/>
      <c r="AN638" s="208"/>
      <c r="AO638" s="208"/>
      <c r="AP638" s="208"/>
    </row>
    <row r="639" spans="1:42">
      <c r="A639" s="201" t="s">
        <v>129</v>
      </c>
      <c r="C639" s="208"/>
      <c r="D639" s="208"/>
      <c r="E639" s="208"/>
      <c r="F639" s="208"/>
      <c r="G639" s="208"/>
      <c r="H639" s="208"/>
      <c r="I639" s="208"/>
      <c r="J639" s="208"/>
      <c r="K639" s="208"/>
      <c r="L639" s="208"/>
      <c r="M639" s="208"/>
      <c r="N639" s="208"/>
      <c r="O639" s="208"/>
      <c r="P639" s="208"/>
      <c r="Q639" s="208"/>
      <c r="R639" s="208"/>
      <c r="S639" s="208"/>
      <c r="T639" s="208"/>
      <c r="U639" s="208"/>
      <c r="V639" s="208"/>
      <c r="W639" s="208"/>
      <c r="X639" s="208"/>
      <c r="Y639" s="208"/>
      <c r="Z639" s="208"/>
      <c r="AA639" s="208"/>
      <c r="AB639" s="208"/>
      <c r="AC639" s="208"/>
      <c r="AD639" s="208"/>
      <c r="AE639" s="208"/>
      <c r="AF639" s="208"/>
      <c r="AG639" s="208"/>
      <c r="AH639" s="208"/>
      <c r="AI639" s="208"/>
      <c r="AJ639" s="208"/>
      <c r="AK639" s="208"/>
      <c r="AL639" s="208"/>
      <c r="AM639" s="208"/>
      <c r="AN639" s="208"/>
      <c r="AO639" s="208"/>
      <c r="AP639" s="208"/>
    </row>
    <row r="640" spans="1:42">
      <c r="A640" s="219" t="str">
        <f>'Inputs &amp; Results'!A60</f>
        <v>Federal</v>
      </c>
      <c r="B640" s="119"/>
      <c r="C640" s="220">
        <f>CBIFed</f>
        <v>5000000</v>
      </c>
      <c r="D640" s="208"/>
      <c r="E640" s="208"/>
      <c r="F640" s="208"/>
      <c r="G640" s="208"/>
      <c r="H640" s="208"/>
      <c r="I640" s="208"/>
      <c r="J640" s="208"/>
      <c r="K640" s="208"/>
      <c r="L640" s="208"/>
      <c r="M640" s="208"/>
      <c r="N640" s="208"/>
      <c r="O640" s="208"/>
      <c r="P640" s="208"/>
      <c r="Q640" s="208"/>
      <c r="R640" s="208"/>
      <c r="S640" s="208"/>
      <c r="T640" s="208"/>
      <c r="U640" s="208"/>
      <c r="V640" s="208"/>
      <c r="W640" s="208"/>
      <c r="X640" s="208"/>
      <c r="Y640" s="208"/>
      <c r="Z640" s="208"/>
      <c r="AA640" s="208"/>
      <c r="AB640" s="208"/>
      <c r="AC640" s="208"/>
      <c r="AD640" s="208"/>
      <c r="AE640" s="208"/>
      <c r="AF640" s="208"/>
      <c r="AG640" s="208"/>
      <c r="AH640" s="208"/>
      <c r="AI640" s="208"/>
      <c r="AJ640" s="208"/>
      <c r="AK640" s="208"/>
      <c r="AL640" s="208"/>
      <c r="AM640" s="208"/>
      <c r="AN640" s="208"/>
      <c r="AO640" s="208"/>
      <c r="AP640" s="208"/>
    </row>
    <row r="641" spans="1:42">
      <c r="A641" s="219" t="str">
        <f>'Inputs &amp; Results'!A61</f>
        <v>State</v>
      </c>
      <c r="B641" s="119"/>
      <c r="C641" s="220">
        <f>CBIState</f>
        <v>2000000</v>
      </c>
      <c r="D641" s="208"/>
      <c r="E641" s="208"/>
      <c r="F641" s="208"/>
      <c r="G641" s="208"/>
      <c r="H641" s="208"/>
      <c r="I641" s="208"/>
      <c r="J641" s="208"/>
      <c r="K641" s="208"/>
      <c r="L641" s="208"/>
      <c r="M641" s="208"/>
      <c r="N641" s="208"/>
      <c r="O641" s="208"/>
      <c r="P641" s="208"/>
      <c r="Q641" s="208"/>
      <c r="R641" s="208"/>
      <c r="S641" s="208"/>
      <c r="T641" s="208"/>
      <c r="U641" s="208"/>
      <c r="V641" s="208"/>
      <c r="W641" s="208"/>
      <c r="X641" s="208"/>
      <c r="Y641" s="208"/>
      <c r="Z641" s="208"/>
      <c r="AA641" s="208"/>
      <c r="AB641" s="208"/>
      <c r="AC641" s="208"/>
      <c r="AD641" s="208"/>
      <c r="AE641" s="208"/>
      <c r="AF641" s="208"/>
      <c r="AG641" s="208"/>
      <c r="AH641" s="208"/>
      <c r="AI641" s="208"/>
      <c r="AJ641" s="208"/>
      <c r="AK641" s="208"/>
      <c r="AL641" s="208"/>
      <c r="AM641" s="208"/>
      <c r="AN641" s="208"/>
      <c r="AO641" s="208"/>
      <c r="AP641" s="208"/>
    </row>
    <row r="642" spans="1:42">
      <c r="A642" s="219" t="str">
        <f>'Inputs &amp; Results'!A62</f>
        <v>Utility</v>
      </c>
      <c r="B642" s="119"/>
      <c r="C642" s="220">
        <f>CBIUtility</f>
        <v>100000</v>
      </c>
      <c r="D642" s="208"/>
      <c r="E642" s="208"/>
      <c r="F642" s="208"/>
      <c r="G642" s="208"/>
      <c r="H642" s="208"/>
      <c r="I642" s="208"/>
      <c r="J642" s="208"/>
      <c r="K642" s="208"/>
      <c r="L642" s="208"/>
      <c r="M642" s="208"/>
      <c r="N642" s="208"/>
      <c r="O642" s="208"/>
      <c r="P642" s="208"/>
      <c r="Q642" s="208"/>
      <c r="R642" s="208"/>
      <c r="S642" s="208"/>
      <c r="T642" s="208"/>
      <c r="U642" s="208"/>
      <c r="V642" s="208"/>
      <c r="W642" s="208"/>
      <c r="X642" s="208"/>
      <c r="Y642" s="208"/>
      <c r="Z642" s="208"/>
      <c r="AA642" s="208"/>
      <c r="AB642" s="208"/>
      <c r="AC642" s="208"/>
      <c r="AD642" s="208"/>
      <c r="AE642" s="208"/>
      <c r="AF642" s="208"/>
      <c r="AG642" s="208"/>
      <c r="AH642" s="208"/>
      <c r="AI642" s="208"/>
      <c r="AJ642" s="208"/>
      <c r="AK642" s="208"/>
      <c r="AL642" s="208"/>
      <c r="AM642" s="208"/>
      <c r="AN642" s="208"/>
      <c r="AO642" s="208"/>
      <c r="AP642" s="208"/>
    </row>
    <row r="643" spans="1:42">
      <c r="A643" s="219" t="str">
        <f>'Inputs &amp; Results'!A63</f>
        <v>Other</v>
      </c>
      <c r="C643" s="225">
        <f>CBIOther</f>
        <v>50000</v>
      </c>
      <c r="D643" s="208"/>
      <c r="E643" s="208"/>
      <c r="F643" s="208"/>
      <c r="G643" s="208"/>
      <c r="H643" s="208"/>
      <c r="I643" s="208"/>
      <c r="J643" s="208"/>
      <c r="K643" s="208"/>
      <c r="L643" s="208"/>
      <c r="M643" s="208"/>
      <c r="N643" s="208"/>
      <c r="O643" s="208"/>
      <c r="P643" s="208"/>
      <c r="Q643" s="208"/>
      <c r="R643" s="208"/>
      <c r="S643" s="208"/>
      <c r="T643" s="208"/>
      <c r="U643" s="208"/>
      <c r="V643" s="208"/>
      <c r="W643" s="208"/>
      <c r="X643" s="208"/>
      <c r="Y643" s="208"/>
      <c r="Z643" s="208"/>
      <c r="AA643" s="208"/>
      <c r="AB643" s="208"/>
      <c r="AC643" s="208"/>
      <c r="AD643" s="208"/>
      <c r="AE643" s="208"/>
      <c r="AF643" s="208"/>
      <c r="AG643" s="208"/>
      <c r="AH643" s="208"/>
      <c r="AI643" s="208"/>
      <c r="AJ643" s="208"/>
      <c r="AK643" s="208"/>
      <c r="AL643" s="208"/>
      <c r="AM643" s="208"/>
      <c r="AN643" s="208"/>
      <c r="AO643" s="208"/>
      <c r="AP643" s="208"/>
    </row>
    <row r="644" spans="1:42">
      <c r="A644" s="202" t="s">
        <v>53</v>
      </c>
      <c r="C644" s="208">
        <f>SUM(C640:C643)</f>
        <v>7150000</v>
      </c>
      <c r="D644" s="208"/>
      <c r="E644" s="208"/>
      <c r="F644" s="208"/>
      <c r="G644" s="208"/>
      <c r="H644" s="208"/>
      <c r="I644" s="208"/>
      <c r="J644" s="208"/>
      <c r="K644" s="208"/>
      <c r="L644" s="208"/>
      <c r="M644" s="208"/>
      <c r="N644" s="208"/>
      <c r="O644" s="208"/>
      <c r="P644" s="208"/>
      <c r="Q644" s="208"/>
      <c r="R644" s="208"/>
      <c r="S644" s="208"/>
      <c r="T644" s="208"/>
      <c r="U644" s="208"/>
      <c r="V644" s="208"/>
      <c r="W644" s="208"/>
      <c r="X644" s="208"/>
      <c r="Y644" s="208"/>
      <c r="Z644" s="208"/>
      <c r="AA644" s="208"/>
      <c r="AB644" s="208"/>
      <c r="AC644" s="208"/>
      <c r="AD644" s="208"/>
      <c r="AE644" s="208"/>
      <c r="AF644" s="208"/>
      <c r="AG644" s="208"/>
      <c r="AH644" s="208"/>
      <c r="AI644" s="208"/>
      <c r="AJ644" s="208"/>
      <c r="AK644" s="208"/>
      <c r="AL644" s="208"/>
      <c r="AM644" s="208"/>
      <c r="AN644" s="208"/>
      <c r="AO644" s="208"/>
      <c r="AP644" s="208"/>
    </row>
    <row r="645" spans="1:42">
      <c r="C645" s="208"/>
      <c r="D645" s="208"/>
      <c r="E645" s="208"/>
      <c r="F645" s="208"/>
      <c r="G645" s="208"/>
      <c r="H645" s="208"/>
      <c r="I645" s="208"/>
      <c r="J645" s="208"/>
      <c r="K645" s="208"/>
      <c r="L645" s="208"/>
      <c r="M645" s="208"/>
      <c r="N645" s="208"/>
      <c r="O645" s="208"/>
      <c r="P645" s="208"/>
      <c r="Q645" s="208"/>
      <c r="R645" s="208"/>
      <c r="S645" s="208"/>
      <c r="T645" s="208"/>
      <c r="U645" s="208"/>
      <c r="V645" s="208"/>
      <c r="W645" s="208"/>
      <c r="X645" s="208"/>
      <c r="Y645" s="208"/>
      <c r="Z645" s="208"/>
      <c r="AA645" s="208"/>
      <c r="AB645" s="208"/>
      <c r="AC645" s="208"/>
      <c r="AD645" s="208"/>
      <c r="AE645" s="208"/>
      <c r="AF645" s="208"/>
      <c r="AG645" s="208"/>
      <c r="AH645" s="208"/>
      <c r="AI645" s="208"/>
      <c r="AJ645" s="208"/>
      <c r="AK645" s="208"/>
      <c r="AL645" s="208"/>
      <c r="AM645" s="208"/>
      <c r="AN645" s="208"/>
      <c r="AO645" s="208"/>
      <c r="AP645" s="208"/>
    </row>
    <row r="646" spans="1:42">
      <c r="A646" s="201" t="s">
        <v>126</v>
      </c>
    </row>
    <row r="647" spans="1:42">
      <c r="A647" s="202" t="str">
        <f>'Inputs &amp; Results'!A65</f>
        <v>Federal</v>
      </c>
    </row>
    <row r="648" spans="1:42">
      <c r="A648" s="206" t="s">
        <v>127</v>
      </c>
      <c r="C648" s="270">
        <f t="shared" ref="C648:AP648" si="301">IF(AND(C$2&lt;=PBIFedTerm,C$2&lt;=AnalysisPeriod),PBIFed*(1+PBIFedEsc)^B$2,0)</f>
        <v>0</v>
      </c>
      <c r="D648" s="270">
        <f t="shared" si="301"/>
        <v>0</v>
      </c>
      <c r="E648" s="270">
        <f t="shared" si="301"/>
        <v>0</v>
      </c>
      <c r="F648" s="270">
        <f t="shared" si="301"/>
        <v>0</v>
      </c>
      <c r="G648" s="270">
        <f t="shared" si="301"/>
        <v>0</v>
      </c>
      <c r="H648" s="270">
        <f t="shared" si="301"/>
        <v>0</v>
      </c>
      <c r="I648" s="270">
        <f t="shared" si="301"/>
        <v>0</v>
      </c>
      <c r="J648" s="270">
        <f t="shared" si="301"/>
        <v>0</v>
      </c>
      <c r="K648" s="270">
        <f t="shared" si="301"/>
        <v>0</v>
      </c>
      <c r="L648" s="270">
        <f t="shared" si="301"/>
        <v>0</v>
      </c>
      <c r="M648" s="270">
        <f t="shared" si="301"/>
        <v>0</v>
      </c>
      <c r="N648" s="270">
        <f t="shared" si="301"/>
        <v>0</v>
      </c>
      <c r="O648" s="270">
        <f t="shared" si="301"/>
        <v>0</v>
      </c>
      <c r="P648" s="270">
        <f t="shared" si="301"/>
        <v>0</v>
      </c>
      <c r="Q648" s="270">
        <f t="shared" si="301"/>
        <v>0</v>
      </c>
      <c r="R648" s="270">
        <f t="shared" si="301"/>
        <v>0</v>
      </c>
      <c r="S648" s="270">
        <f t="shared" si="301"/>
        <v>0</v>
      </c>
      <c r="T648" s="270">
        <f t="shared" si="301"/>
        <v>0</v>
      </c>
      <c r="U648" s="270">
        <f t="shared" si="301"/>
        <v>0</v>
      </c>
      <c r="V648" s="270">
        <f t="shared" si="301"/>
        <v>0</v>
      </c>
      <c r="W648" s="270">
        <f t="shared" si="301"/>
        <v>0</v>
      </c>
      <c r="X648" s="270">
        <f t="shared" si="301"/>
        <v>0</v>
      </c>
      <c r="Y648" s="270">
        <f t="shared" si="301"/>
        <v>0</v>
      </c>
      <c r="Z648" s="270">
        <f t="shared" si="301"/>
        <v>0</v>
      </c>
      <c r="AA648" s="270">
        <f t="shared" si="301"/>
        <v>0</v>
      </c>
      <c r="AB648" s="270">
        <f t="shared" si="301"/>
        <v>0</v>
      </c>
      <c r="AC648" s="270">
        <f t="shared" si="301"/>
        <v>0</v>
      </c>
      <c r="AD648" s="270">
        <f t="shared" si="301"/>
        <v>0</v>
      </c>
      <c r="AE648" s="270">
        <f t="shared" si="301"/>
        <v>0</v>
      </c>
      <c r="AF648" s="270">
        <f t="shared" si="301"/>
        <v>0</v>
      </c>
      <c r="AG648" s="270">
        <f t="shared" si="301"/>
        <v>0</v>
      </c>
      <c r="AH648" s="270">
        <f t="shared" si="301"/>
        <v>0</v>
      </c>
      <c r="AI648" s="270">
        <f t="shared" si="301"/>
        <v>0</v>
      </c>
      <c r="AJ648" s="270">
        <f t="shared" si="301"/>
        <v>0</v>
      </c>
      <c r="AK648" s="270">
        <f t="shared" si="301"/>
        <v>0</v>
      </c>
      <c r="AL648" s="270">
        <f t="shared" si="301"/>
        <v>0</v>
      </c>
      <c r="AM648" s="270">
        <f t="shared" si="301"/>
        <v>0</v>
      </c>
      <c r="AN648" s="270">
        <f t="shared" si="301"/>
        <v>0</v>
      </c>
      <c r="AO648" s="270">
        <f t="shared" si="301"/>
        <v>0</v>
      </c>
      <c r="AP648" s="270">
        <f t="shared" si="301"/>
        <v>0</v>
      </c>
    </row>
    <row r="649" spans="1:42">
      <c r="A649" s="206" t="s">
        <v>128</v>
      </c>
      <c r="C649" s="225">
        <f>C$5</f>
        <v>17000000</v>
      </c>
      <c r="D649" s="225">
        <f t="shared" ref="D649:AP649" si="302">D$5</f>
        <v>16915000</v>
      </c>
      <c r="E649" s="225">
        <f t="shared" si="302"/>
        <v>16830425</v>
      </c>
      <c r="F649" s="225">
        <f t="shared" si="302"/>
        <v>16746272.875</v>
      </c>
      <c r="G649" s="225">
        <f t="shared" si="302"/>
        <v>16662541.510624999</v>
      </c>
      <c r="H649" s="225">
        <f t="shared" si="302"/>
        <v>16579228.803071873</v>
      </c>
      <c r="I649" s="225">
        <f t="shared" si="302"/>
        <v>16496332.659056515</v>
      </c>
      <c r="J649" s="225">
        <f t="shared" si="302"/>
        <v>16413850.995761232</v>
      </c>
      <c r="K649" s="225">
        <f t="shared" si="302"/>
        <v>16331781.740782427</v>
      </c>
      <c r="L649" s="225">
        <f t="shared" si="302"/>
        <v>16250122.832078515</v>
      </c>
      <c r="M649" s="225">
        <f t="shared" si="302"/>
        <v>16168872.217918122</v>
      </c>
      <c r="N649" s="225">
        <f t="shared" si="302"/>
        <v>16088027.856828531</v>
      </c>
      <c r="O649" s="225">
        <f t="shared" si="302"/>
        <v>16007587.717544388</v>
      </c>
      <c r="P649" s="225">
        <f t="shared" si="302"/>
        <v>15927549.778956667</v>
      </c>
      <c r="Q649" s="225">
        <f t="shared" si="302"/>
        <v>15847912.030061884</v>
      </c>
      <c r="R649" s="225">
        <f t="shared" si="302"/>
        <v>15768672.469911573</v>
      </c>
      <c r="S649" s="225">
        <f t="shared" si="302"/>
        <v>15689829.107562015</v>
      </c>
      <c r="T649" s="225">
        <f t="shared" si="302"/>
        <v>15611379.962024204</v>
      </c>
      <c r="U649" s="225">
        <f t="shared" si="302"/>
        <v>15533323.062214084</v>
      </c>
      <c r="V649" s="225">
        <f t="shared" si="302"/>
        <v>15455656.446903013</v>
      </c>
      <c r="W649" s="225">
        <f t="shared" si="302"/>
        <v>15378378.164668497</v>
      </c>
      <c r="X649" s="225">
        <f t="shared" si="302"/>
        <v>15301486.273845155</v>
      </c>
      <c r="Y649" s="225">
        <f t="shared" si="302"/>
        <v>15224978.842475928</v>
      </c>
      <c r="Z649" s="225">
        <f t="shared" si="302"/>
        <v>15148853.948263548</v>
      </c>
      <c r="AA649" s="225">
        <f t="shared" si="302"/>
        <v>15073109.678522231</v>
      </c>
      <c r="AB649" s="225">
        <f t="shared" si="302"/>
        <v>14997744.13012962</v>
      </c>
      <c r="AC649" s="225">
        <f t="shared" si="302"/>
        <v>14922755.409478972</v>
      </c>
      <c r="AD649" s="225">
        <f t="shared" si="302"/>
        <v>14848141.632431576</v>
      </c>
      <c r="AE649" s="225">
        <f t="shared" si="302"/>
        <v>14773900.924269417</v>
      </c>
      <c r="AF649" s="225">
        <f t="shared" si="302"/>
        <v>14700031.41964807</v>
      </c>
      <c r="AG649" s="225">
        <f t="shared" si="302"/>
        <v>0</v>
      </c>
      <c r="AH649" s="225">
        <f t="shared" si="302"/>
        <v>0</v>
      </c>
      <c r="AI649" s="225">
        <f t="shared" si="302"/>
        <v>0</v>
      </c>
      <c r="AJ649" s="225">
        <f t="shared" si="302"/>
        <v>0</v>
      </c>
      <c r="AK649" s="225">
        <f t="shared" si="302"/>
        <v>0</v>
      </c>
      <c r="AL649" s="225">
        <f t="shared" si="302"/>
        <v>0</v>
      </c>
      <c r="AM649" s="225">
        <f t="shared" si="302"/>
        <v>0</v>
      </c>
      <c r="AN649" s="225">
        <f t="shared" si="302"/>
        <v>0</v>
      </c>
      <c r="AO649" s="225">
        <f t="shared" si="302"/>
        <v>0</v>
      </c>
      <c r="AP649" s="225">
        <f t="shared" si="302"/>
        <v>0</v>
      </c>
    </row>
    <row r="650" spans="1:42">
      <c r="A650" s="206" t="s">
        <v>53</v>
      </c>
      <c r="C650" s="220">
        <f>C648*C649</f>
        <v>0</v>
      </c>
      <c r="D650" s="220">
        <f t="shared" ref="D650:AP650" si="303">D648*D649</f>
        <v>0</v>
      </c>
      <c r="E650" s="220">
        <f t="shared" si="303"/>
        <v>0</v>
      </c>
      <c r="F650" s="220">
        <f t="shared" si="303"/>
        <v>0</v>
      </c>
      <c r="G650" s="220">
        <f t="shared" si="303"/>
        <v>0</v>
      </c>
      <c r="H650" s="220">
        <f t="shared" si="303"/>
        <v>0</v>
      </c>
      <c r="I650" s="220">
        <f t="shared" si="303"/>
        <v>0</v>
      </c>
      <c r="J650" s="220">
        <f t="shared" si="303"/>
        <v>0</v>
      </c>
      <c r="K650" s="220">
        <f t="shared" si="303"/>
        <v>0</v>
      </c>
      <c r="L650" s="220">
        <f t="shared" si="303"/>
        <v>0</v>
      </c>
      <c r="M650" s="220">
        <f t="shared" si="303"/>
        <v>0</v>
      </c>
      <c r="N650" s="220">
        <f t="shared" si="303"/>
        <v>0</v>
      </c>
      <c r="O650" s="220">
        <f t="shared" si="303"/>
        <v>0</v>
      </c>
      <c r="P650" s="220">
        <f t="shared" si="303"/>
        <v>0</v>
      </c>
      <c r="Q650" s="220">
        <f t="shared" si="303"/>
        <v>0</v>
      </c>
      <c r="R650" s="220">
        <f t="shared" si="303"/>
        <v>0</v>
      </c>
      <c r="S650" s="220">
        <f t="shared" si="303"/>
        <v>0</v>
      </c>
      <c r="T650" s="220">
        <f t="shared" si="303"/>
        <v>0</v>
      </c>
      <c r="U650" s="220">
        <f t="shared" si="303"/>
        <v>0</v>
      </c>
      <c r="V650" s="220">
        <f t="shared" si="303"/>
        <v>0</v>
      </c>
      <c r="W650" s="220">
        <f t="shared" si="303"/>
        <v>0</v>
      </c>
      <c r="X650" s="220">
        <f t="shared" si="303"/>
        <v>0</v>
      </c>
      <c r="Y650" s="220">
        <f t="shared" si="303"/>
        <v>0</v>
      </c>
      <c r="Z650" s="220">
        <f t="shared" si="303"/>
        <v>0</v>
      </c>
      <c r="AA650" s="220">
        <f t="shared" si="303"/>
        <v>0</v>
      </c>
      <c r="AB650" s="220">
        <f t="shared" si="303"/>
        <v>0</v>
      </c>
      <c r="AC650" s="220">
        <f t="shared" si="303"/>
        <v>0</v>
      </c>
      <c r="AD650" s="220">
        <f t="shared" si="303"/>
        <v>0</v>
      </c>
      <c r="AE650" s="220">
        <f t="shared" si="303"/>
        <v>0</v>
      </c>
      <c r="AF650" s="220">
        <f t="shared" si="303"/>
        <v>0</v>
      </c>
      <c r="AG650" s="220">
        <f t="shared" si="303"/>
        <v>0</v>
      </c>
      <c r="AH650" s="220">
        <f t="shared" si="303"/>
        <v>0</v>
      </c>
      <c r="AI650" s="220">
        <f t="shared" si="303"/>
        <v>0</v>
      </c>
      <c r="AJ650" s="220">
        <f t="shared" si="303"/>
        <v>0</v>
      </c>
      <c r="AK650" s="220">
        <f t="shared" si="303"/>
        <v>0</v>
      </c>
      <c r="AL650" s="220">
        <f t="shared" si="303"/>
        <v>0</v>
      </c>
      <c r="AM650" s="220">
        <f t="shared" si="303"/>
        <v>0</v>
      </c>
      <c r="AN650" s="220">
        <f t="shared" si="303"/>
        <v>0</v>
      </c>
      <c r="AO650" s="220">
        <f t="shared" si="303"/>
        <v>0</v>
      </c>
      <c r="AP650" s="220">
        <f t="shared" si="303"/>
        <v>0</v>
      </c>
    </row>
    <row r="651" spans="1:42">
      <c r="A651" s="202" t="str">
        <f>'Inputs &amp; Results'!A66</f>
        <v>State</v>
      </c>
      <c r="D651" s="344"/>
    </row>
    <row r="652" spans="1:42">
      <c r="A652" s="206" t="s">
        <v>127</v>
      </c>
      <c r="C652" s="270">
        <f t="shared" ref="C652:AP652" si="304">IF(AND(C$2&lt;=PBIStateTerm,C$2&lt;=AnalysisPeriod),PBIState*(1+PBIStateEsc)^B$2,0)</f>
        <v>0</v>
      </c>
      <c r="D652" s="270">
        <f t="shared" si="304"/>
        <v>0</v>
      </c>
      <c r="E652" s="270">
        <f t="shared" si="304"/>
        <v>0</v>
      </c>
      <c r="F652" s="270">
        <f t="shared" si="304"/>
        <v>0</v>
      </c>
      <c r="G652" s="270">
        <f t="shared" si="304"/>
        <v>0</v>
      </c>
      <c r="H652" s="270">
        <f t="shared" si="304"/>
        <v>0</v>
      </c>
      <c r="I652" s="270">
        <f t="shared" si="304"/>
        <v>0</v>
      </c>
      <c r="J652" s="270">
        <f t="shared" si="304"/>
        <v>0</v>
      </c>
      <c r="K652" s="270">
        <f t="shared" si="304"/>
        <v>0</v>
      </c>
      <c r="L652" s="270">
        <f t="shared" si="304"/>
        <v>0</v>
      </c>
      <c r="M652" s="270">
        <f t="shared" si="304"/>
        <v>0</v>
      </c>
      <c r="N652" s="270">
        <f t="shared" si="304"/>
        <v>0</v>
      </c>
      <c r="O652" s="270">
        <f t="shared" si="304"/>
        <v>0</v>
      </c>
      <c r="P652" s="270">
        <f t="shared" si="304"/>
        <v>0</v>
      </c>
      <c r="Q652" s="270">
        <f t="shared" si="304"/>
        <v>0</v>
      </c>
      <c r="R652" s="270">
        <f t="shared" si="304"/>
        <v>0</v>
      </c>
      <c r="S652" s="270">
        <f t="shared" si="304"/>
        <v>0</v>
      </c>
      <c r="T652" s="270">
        <f t="shared" si="304"/>
        <v>0</v>
      </c>
      <c r="U652" s="270">
        <f t="shared" si="304"/>
        <v>0</v>
      </c>
      <c r="V652" s="270">
        <f t="shared" si="304"/>
        <v>0</v>
      </c>
      <c r="W652" s="270">
        <f t="shared" si="304"/>
        <v>0</v>
      </c>
      <c r="X652" s="270">
        <f t="shared" si="304"/>
        <v>0</v>
      </c>
      <c r="Y652" s="270">
        <f t="shared" si="304"/>
        <v>0</v>
      </c>
      <c r="Z652" s="270">
        <f t="shared" si="304"/>
        <v>0</v>
      </c>
      <c r="AA652" s="270">
        <f t="shared" si="304"/>
        <v>0</v>
      </c>
      <c r="AB652" s="270">
        <f t="shared" si="304"/>
        <v>0</v>
      </c>
      <c r="AC652" s="270">
        <f t="shared" si="304"/>
        <v>0</v>
      </c>
      <c r="AD652" s="270">
        <f t="shared" si="304"/>
        <v>0</v>
      </c>
      <c r="AE652" s="270">
        <f t="shared" si="304"/>
        <v>0</v>
      </c>
      <c r="AF652" s="270">
        <f t="shared" si="304"/>
        <v>0</v>
      </c>
      <c r="AG652" s="270">
        <f t="shared" si="304"/>
        <v>0</v>
      </c>
      <c r="AH652" s="270">
        <f t="shared" si="304"/>
        <v>0</v>
      </c>
      <c r="AI652" s="270">
        <f t="shared" si="304"/>
        <v>0</v>
      </c>
      <c r="AJ652" s="270">
        <f t="shared" si="304"/>
        <v>0</v>
      </c>
      <c r="AK652" s="270">
        <f t="shared" si="304"/>
        <v>0</v>
      </c>
      <c r="AL652" s="270">
        <f t="shared" si="304"/>
        <v>0</v>
      </c>
      <c r="AM652" s="270">
        <f t="shared" si="304"/>
        <v>0</v>
      </c>
      <c r="AN652" s="270">
        <f t="shared" si="304"/>
        <v>0</v>
      </c>
      <c r="AO652" s="270">
        <f t="shared" si="304"/>
        <v>0</v>
      </c>
      <c r="AP652" s="270">
        <f t="shared" si="304"/>
        <v>0</v>
      </c>
    </row>
    <row r="653" spans="1:42">
      <c r="A653" s="206" t="s">
        <v>128</v>
      </c>
      <c r="C653" s="225">
        <f>C$5</f>
        <v>17000000</v>
      </c>
      <c r="D653" s="225">
        <f t="shared" ref="D653:AP653" si="305">D$5</f>
        <v>16915000</v>
      </c>
      <c r="E653" s="225">
        <f t="shared" si="305"/>
        <v>16830425</v>
      </c>
      <c r="F653" s="225">
        <f t="shared" si="305"/>
        <v>16746272.875</v>
      </c>
      <c r="G653" s="225">
        <f t="shared" si="305"/>
        <v>16662541.510624999</v>
      </c>
      <c r="H653" s="225">
        <f t="shared" si="305"/>
        <v>16579228.803071873</v>
      </c>
      <c r="I653" s="225">
        <f t="shared" si="305"/>
        <v>16496332.659056515</v>
      </c>
      <c r="J653" s="225">
        <f t="shared" si="305"/>
        <v>16413850.995761232</v>
      </c>
      <c r="K653" s="225">
        <f t="shared" si="305"/>
        <v>16331781.740782427</v>
      </c>
      <c r="L653" s="225">
        <f t="shared" si="305"/>
        <v>16250122.832078515</v>
      </c>
      <c r="M653" s="225">
        <f t="shared" si="305"/>
        <v>16168872.217918122</v>
      </c>
      <c r="N653" s="225">
        <f t="shared" si="305"/>
        <v>16088027.856828531</v>
      </c>
      <c r="O653" s="225">
        <f t="shared" si="305"/>
        <v>16007587.717544388</v>
      </c>
      <c r="P653" s="225">
        <f t="shared" si="305"/>
        <v>15927549.778956667</v>
      </c>
      <c r="Q653" s="225">
        <f t="shared" si="305"/>
        <v>15847912.030061884</v>
      </c>
      <c r="R653" s="225">
        <f t="shared" si="305"/>
        <v>15768672.469911573</v>
      </c>
      <c r="S653" s="225">
        <f t="shared" si="305"/>
        <v>15689829.107562015</v>
      </c>
      <c r="T653" s="225">
        <f t="shared" si="305"/>
        <v>15611379.962024204</v>
      </c>
      <c r="U653" s="225">
        <f t="shared" si="305"/>
        <v>15533323.062214084</v>
      </c>
      <c r="V653" s="225">
        <f t="shared" si="305"/>
        <v>15455656.446903013</v>
      </c>
      <c r="W653" s="225">
        <f t="shared" si="305"/>
        <v>15378378.164668497</v>
      </c>
      <c r="X653" s="225">
        <f t="shared" si="305"/>
        <v>15301486.273845155</v>
      </c>
      <c r="Y653" s="225">
        <f t="shared" si="305"/>
        <v>15224978.842475928</v>
      </c>
      <c r="Z653" s="225">
        <f t="shared" si="305"/>
        <v>15148853.948263548</v>
      </c>
      <c r="AA653" s="225">
        <f t="shared" si="305"/>
        <v>15073109.678522231</v>
      </c>
      <c r="AB653" s="225">
        <f t="shared" si="305"/>
        <v>14997744.13012962</v>
      </c>
      <c r="AC653" s="225">
        <f t="shared" si="305"/>
        <v>14922755.409478972</v>
      </c>
      <c r="AD653" s="225">
        <f t="shared" si="305"/>
        <v>14848141.632431576</v>
      </c>
      <c r="AE653" s="225">
        <f t="shared" si="305"/>
        <v>14773900.924269417</v>
      </c>
      <c r="AF653" s="225">
        <f t="shared" si="305"/>
        <v>14700031.41964807</v>
      </c>
      <c r="AG653" s="225">
        <f t="shared" si="305"/>
        <v>0</v>
      </c>
      <c r="AH653" s="225">
        <f t="shared" si="305"/>
        <v>0</v>
      </c>
      <c r="AI653" s="225">
        <f t="shared" si="305"/>
        <v>0</v>
      </c>
      <c r="AJ653" s="225">
        <f t="shared" si="305"/>
        <v>0</v>
      </c>
      <c r="AK653" s="225">
        <f t="shared" si="305"/>
        <v>0</v>
      </c>
      <c r="AL653" s="225">
        <f t="shared" si="305"/>
        <v>0</v>
      </c>
      <c r="AM653" s="225">
        <f t="shared" si="305"/>
        <v>0</v>
      </c>
      <c r="AN653" s="225">
        <f t="shared" si="305"/>
        <v>0</v>
      </c>
      <c r="AO653" s="225">
        <f t="shared" si="305"/>
        <v>0</v>
      </c>
      <c r="AP653" s="225">
        <f t="shared" si="305"/>
        <v>0</v>
      </c>
    </row>
    <row r="654" spans="1:42">
      <c r="A654" s="206" t="s">
        <v>53</v>
      </c>
      <c r="C654" s="220">
        <f>C652*C653</f>
        <v>0</v>
      </c>
      <c r="D654" s="220">
        <f t="shared" ref="D654:AP654" si="306">D652*D653</f>
        <v>0</v>
      </c>
      <c r="E654" s="220">
        <f t="shared" si="306"/>
        <v>0</v>
      </c>
      <c r="F654" s="220">
        <f t="shared" si="306"/>
        <v>0</v>
      </c>
      <c r="G654" s="220">
        <f t="shared" si="306"/>
        <v>0</v>
      </c>
      <c r="H654" s="220">
        <f t="shared" si="306"/>
        <v>0</v>
      </c>
      <c r="I654" s="220">
        <f t="shared" si="306"/>
        <v>0</v>
      </c>
      <c r="J654" s="220">
        <f t="shared" si="306"/>
        <v>0</v>
      </c>
      <c r="K654" s="220">
        <f t="shared" si="306"/>
        <v>0</v>
      </c>
      <c r="L654" s="220">
        <f t="shared" si="306"/>
        <v>0</v>
      </c>
      <c r="M654" s="220">
        <f t="shared" si="306"/>
        <v>0</v>
      </c>
      <c r="N654" s="220">
        <f t="shared" si="306"/>
        <v>0</v>
      </c>
      <c r="O654" s="220">
        <f t="shared" si="306"/>
        <v>0</v>
      </c>
      <c r="P654" s="220">
        <f t="shared" si="306"/>
        <v>0</v>
      </c>
      <c r="Q654" s="220">
        <f t="shared" si="306"/>
        <v>0</v>
      </c>
      <c r="R654" s="220">
        <f t="shared" si="306"/>
        <v>0</v>
      </c>
      <c r="S654" s="220">
        <f t="shared" si="306"/>
        <v>0</v>
      </c>
      <c r="T654" s="220">
        <f t="shared" si="306"/>
        <v>0</v>
      </c>
      <c r="U654" s="220">
        <f t="shared" si="306"/>
        <v>0</v>
      </c>
      <c r="V654" s="220">
        <f t="shared" si="306"/>
        <v>0</v>
      </c>
      <c r="W654" s="220">
        <f t="shared" si="306"/>
        <v>0</v>
      </c>
      <c r="X654" s="220">
        <f t="shared" si="306"/>
        <v>0</v>
      </c>
      <c r="Y654" s="220">
        <f t="shared" si="306"/>
        <v>0</v>
      </c>
      <c r="Z654" s="220">
        <f t="shared" si="306"/>
        <v>0</v>
      </c>
      <c r="AA654" s="220">
        <f t="shared" si="306"/>
        <v>0</v>
      </c>
      <c r="AB654" s="220">
        <f t="shared" si="306"/>
        <v>0</v>
      </c>
      <c r="AC654" s="220">
        <f t="shared" si="306"/>
        <v>0</v>
      </c>
      <c r="AD654" s="220">
        <f t="shared" si="306"/>
        <v>0</v>
      </c>
      <c r="AE654" s="220">
        <f t="shared" si="306"/>
        <v>0</v>
      </c>
      <c r="AF654" s="220">
        <f t="shared" si="306"/>
        <v>0</v>
      </c>
      <c r="AG654" s="220">
        <f t="shared" si="306"/>
        <v>0</v>
      </c>
      <c r="AH654" s="220">
        <f t="shared" si="306"/>
        <v>0</v>
      </c>
      <c r="AI654" s="220">
        <f t="shared" si="306"/>
        <v>0</v>
      </c>
      <c r="AJ654" s="220">
        <f t="shared" si="306"/>
        <v>0</v>
      </c>
      <c r="AK654" s="220">
        <f t="shared" si="306"/>
        <v>0</v>
      </c>
      <c r="AL654" s="220">
        <f t="shared" si="306"/>
        <v>0</v>
      </c>
      <c r="AM654" s="220">
        <f t="shared" si="306"/>
        <v>0</v>
      </c>
      <c r="AN654" s="220">
        <f t="shared" si="306"/>
        <v>0</v>
      </c>
      <c r="AO654" s="220">
        <f t="shared" si="306"/>
        <v>0</v>
      </c>
      <c r="AP654" s="220">
        <f t="shared" si="306"/>
        <v>0</v>
      </c>
    </row>
    <row r="655" spans="1:42">
      <c r="A655" s="202" t="str">
        <f>'Inputs &amp; Results'!A67</f>
        <v>Utility</v>
      </c>
    </row>
    <row r="656" spans="1:42">
      <c r="A656" s="206" t="s">
        <v>127</v>
      </c>
      <c r="C656" s="270">
        <f t="shared" ref="C656:AP656" si="307">IF(AND(C$2&lt;=PBIUtilityTerm,C$2&lt;=AnalysisPeriod),PBIUtility*(1+PBIUtilityEsc)^B$2,0)</f>
        <v>0</v>
      </c>
      <c r="D656" s="270">
        <f t="shared" si="307"/>
        <v>0</v>
      </c>
      <c r="E656" s="270">
        <f t="shared" si="307"/>
        <v>0</v>
      </c>
      <c r="F656" s="270">
        <f t="shared" si="307"/>
        <v>0</v>
      </c>
      <c r="G656" s="270">
        <f t="shared" si="307"/>
        <v>0</v>
      </c>
      <c r="H656" s="270">
        <f t="shared" si="307"/>
        <v>0</v>
      </c>
      <c r="I656" s="270">
        <f t="shared" si="307"/>
        <v>0</v>
      </c>
      <c r="J656" s="270">
        <f t="shared" si="307"/>
        <v>0</v>
      </c>
      <c r="K656" s="270">
        <f t="shared" si="307"/>
        <v>0</v>
      </c>
      <c r="L656" s="270">
        <f t="shared" si="307"/>
        <v>0</v>
      </c>
      <c r="M656" s="270">
        <f t="shared" si="307"/>
        <v>0</v>
      </c>
      <c r="N656" s="270">
        <f t="shared" si="307"/>
        <v>0</v>
      </c>
      <c r="O656" s="270">
        <f t="shared" si="307"/>
        <v>0</v>
      </c>
      <c r="P656" s="270">
        <f t="shared" si="307"/>
        <v>0</v>
      </c>
      <c r="Q656" s="270">
        <f t="shared" si="307"/>
        <v>0</v>
      </c>
      <c r="R656" s="270">
        <f t="shared" si="307"/>
        <v>0</v>
      </c>
      <c r="S656" s="270">
        <f t="shared" si="307"/>
        <v>0</v>
      </c>
      <c r="T656" s="270">
        <f t="shared" si="307"/>
        <v>0</v>
      </c>
      <c r="U656" s="270">
        <f t="shared" si="307"/>
        <v>0</v>
      </c>
      <c r="V656" s="270">
        <f t="shared" si="307"/>
        <v>0</v>
      </c>
      <c r="W656" s="270">
        <f t="shared" si="307"/>
        <v>0</v>
      </c>
      <c r="X656" s="270">
        <f t="shared" si="307"/>
        <v>0</v>
      </c>
      <c r="Y656" s="270">
        <f t="shared" si="307"/>
        <v>0</v>
      </c>
      <c r="Z656" s="270">
        <f t="shared" si="307"/>
        <v>0</v>
      </c>
      <c r="AA656" s="270">
        <f t="shared" si="307"/>
        <v>0</v>
      </c>
      <c r="AB656" s="270">
        <f t="shared" si="307"/>
        <v>0</v>
      </c>
      <c r="AC656" s="270">
        <f t="shared" si="307"/>
        <v>0</v>
      </c>
      <c r="AD656" s="270">
        <f t="shared" si="307"/>
        <v>0</v>
      </c>
      <c r="AE656" s="270">
        <f t="shared" si="307"/>
        <v>0</v>
      </c>
      <c r="AF656" s="270">
        <f t="shared" si="307"/>
        <v>0</v>
      </c>
      <c r="AG656" s="270">
        <f t="shared" si="307"/>
        <v>0</v>
      </c>
      <c r="AH656" s="270">
        <f t="shared" si="307"/>
        <v>0</v>
      </c>
      <c r="AI656" s="270">
        <f t="shared" si="307"/>
        <v>0</v>
      </c>
      <c r="AJ656" s="270">
        <f t="shared" si="307"/>
        <v>0</v>
      </c>
      <c r="AK656" s="270">
        <f t="shared" si="307"/>
        <v>0</v>
      </c>
      <c r="AL656" s="270">
        <f t="shared" si="307"/>
        <v>0</v>
      </c>
      <c r="AM656" s="270">
        <f t="shared" si="307"/>
        <v>0</v>
      </c>
      <c r="AN656" s="270">
        <f t="shared" si="307"/>
        <v>0</v>
      </c>
      <c r="AO656" s="270">
        <f t="shared" si="307"/>
        <v>0</v>
      </c>
      <c r="AP656" s="270">
        <f t="shared" si="307"/>
        <v>0</v>
      </c>
    </row>
    <row r="657" spans="1:42">
      <c r="A657" s="206" t="s">
        <v>128</v>
      </c>
      <c r="C657" s="225">
        <f>C$5</f>
        <v>17000000</v>
      </c>
      <c r="D657" s="225">
        <f t="shared" ref="D657:AP657" si="308">D$5</f>
        <v>16915000</v>
      </c>
      <c r="E657" s="225">
        <f t="shared" si="308"/>
        <v>16830425</v>
      </c>
      <c r="F657" s="225">
        <f t="shared" si="308"/>
        <v>16746272.875</v>
      </c>
      <c r="G657" s="225">
        <f t="shared" si="308"/>
        <v>16662541.510624999</v>
      </c>
      <c r="H657" s="225">
        <f t="shared" si="308"/>
        <v>16579228.803071873</v>
      </c>
      <c r="I657" s="225">
        <f t="shared" si="308"/>
        <v>16496332.659056515</v>
      </c>
      <c r="J657" s="225">
        <f t="shared" si="308"/>
        <v>16413850.995761232</v>
      </c>
      <c r="K657" s="225">
        <f t="shared" si="308"/>
        <v>16331781.740782427</v>
      </c>
      <c r="L657" s="225">
        <f t="shared" si="308"/>
        <v>16250122.832078515</v>
      </c>
      <c r="M657" s="225">
        <f t="shared" si="308"/>
        <v>16168872.217918122</v>
      </c>
      <c r="N657" s="225">
        <f t="shared" si="308"/>
        <v>16088027.856828531</v>
      </c>
      <c r="O657" s="225">
        <f t="shared" si="308"/>
        <v>16007587.717544388</v>
      </c>
      <c r="P657" s="225">
        <f t="shared" si="308"/>
        <v>15927549.778956667</v>
      </c>
      <c r="Q657" s="225">
        <f t="shared" si="308"/>
        <v>15847912.030061884</v>
      </c>
      <c r="R657" s="225">
        <f t="shared" si="308"/>
        <v>15768672.469911573</v>
      </c>
      <c r="S657" s="225">
        <f t="shared" si="308"/>
        <v>15689829.107562015</v>
      </c>
      <c r="T657" s="225">
        <f t="shared" si="308"/>
        <v>15611379.962024204</v>
      </c>
      <c r="U657" s="225">
        <f t="shared" si="308"/>
        <v>15533323.062214084</v>
      </c>
      <c r="V657" s="225">
        <f t="shared" si="308"/>
        <v>15455656.446903013</v>
      </c>
      <c r="W657" s="225">
        <f t="shared" si="308"/>
        <v>15378378.164668497</v>
      </c>
      <c r="X657" s="225">
        <f t="shared" si="308"/>
        <v>15301486.273845155</v>
      </c>
      <c r="Y657" s="225">
        <f t="shared" si="308"/>
        <v>15224978.842475928</v>
      </c>
      <c r="Z657" s="225">
        <f t="shared" si="308"/>
        <v>15148853.948263548</v>
      </c>
      <c r="AA657" s="225">
        <f t="shared" si="308"/>
        <v>15073109.678522231</v>
      </c>
      <c r="AB657" s="225">
        <f t="shared" si="308"/>
        <v>14997744.13012962</v>
      </c>
      <c r="AC657" s="225">
        <f t="shared" si="308"/>
        <v>14922755.409478972</v>
      </c>
      <c r="AD657" s="225">
        <f t="shared" si="308"/>
        <v>14848141.632431576</v>
      </c>
      <c r="AE657" s="225">
        <f t="shared" si="308"/>
        <v>14773900.924269417</v>
      </c>
      <c r="AF657" s="225">
        <f t="shared" si="308"/>
        <v>14700031.41964807</v>
      </c>
      <c r="AG657" s="225">
        <f t="shared" si="308"/>
        <v>0</v>
      </c>
      <c r="AH657" s="225">
        <f t="shared" si="308"/>
        <v>0</v>
      </c>
      <c r="AI657" s="225">
        <f t="shared" si="308"/>
        <v>0</v>
      </c>
      <c r="AJ657" s="225">
        <f t="shared" si="308"/>
        <v>0</v>
      </c>
      <c r="AK657" s="225">
        <f t="shared" si="308"/>
        <v>0</v>
      </c>
      <c r="AL657" s="225">
        <f t="shared" si="308"/>
        <v>0</v>
      </c>
      <c r="AM657" s="225">
        <f t="shared" si="308"/>
        <v>0</v>
      </c>
      <c r="AN657" s="225">
        <f t="shared" si="308"/>
        <v>0</v>
      </c>
      <c r="AO657" s="225">
        <f t="shared" si="308"/>
        <v>0</v>
      </c>
      <c r="AP657" s="225">
        <f t="shared" si="308"/>
        <v>0</v>
      </c>
    </row>
    <row r="658" spans="1:42">
      <c r="A658" s="206" t="s">
        <v>53</v>
      </c>
      <c r="C658" s="220">
        <f>C656*C657</f>
        <v>0</v>
      </c>
      <c r="D658" s="220">
        <f t="shared" ref="D658:AP658" si="309">D656*D657</f>
        <v>0</v>
      </c>
      <c r="E658" s="220">
        <f t="shared" si="309"/>
        <v>0</v>
      </c>
      <c r="F658" s="220">
        <f t="shared" si="309"/>
        <v>0</v>
      </c>
      <c r="G658" s="220">
        <f t="shared" si="309"/>
        <v>0</v>
      </c>
      <c r="H658" s="220">
        <f t="shared" si="309"/>
        <v>0</v>
      </c>
      <c r="I658" s="220">
        <f t="shared" si="309"/>
        <v>0</v>
      </c>
      <c r="J658" s="220">
        <f t="shared" si="309"/>
        <v>0</v>
      </c>
      <c r="K658" s="220">
        <f t="shared" si="309"/>
        <v>0</v>
      </c>
      <c r="L658" s="220">
        <f t="shared" si="309"/>
        <v>0</v>
      </c>
      <c r="M658" s="220">
        <f t="shared" si="309"/>
        <v>0</v>
      </c>
      <c r="N658" s="220">
        <f t="shared" si="309"/>
        <v>0</v>
      </c>
      <c r="O658" s="220">
        <f t="shared" si="309"/>
        <v>0</v>
      </c>
      <c r="P658" s="220">
        <f t="shared" si="309"/>
        <v>0</v>
      </c>
      <c r="Q658" s="220">
        <f t="shared" si="309"/>
        <v>0</v>
      </c>
      <c r="R658" s="220">
        <f t="shared" si="309"/>
        <v>0</v>
      </c>
      <c r="S658" s="220">
        <f t="shared" si="309"/>
        <v>0</v>
      </c>
      <c r="T658" s="220">
        <f t="shared" si="309"/>
        <v>0</v>
      </c>
      <c r="U658" s="220">
        <f t="shared" si="309"/>
        <v>0</v>
      </c>
      <c r="V658" s="220">
        <f t="shared" si="309"/>
        <v>0</v>
      </c>
      <c r="W658" s="220">
        <f t="shared" si="309"/>
        <v>0</v>
      </c>
      <c r="X658" s="220">
        <f t="shared" si="309"/>
        <v>0</v>
      </c>
      <c r="Y658" s="220">
        <f t="shared" si="309"/>
        <v>0</v>
      </c>
      <c r="Z658" s="220">
        <f t="shared" si="309"/>
        <v>0</v>
      </c>
      <c r="AA658" s="220">
        <f t="shared" si="309"/>
        <v>0</v>
      </c>
      <c r="AB658" s="220">
        <f t="shared" si="309"/>
        <v>0</v>
      </c>
      <c r="AC658" s="220">
        <f t="shared" si="309"/>
        <v>0</v>
      </c>
      <c r="AD658" s="220">
        <f t="shared" si="309"/>
        <v>0</v>
      </c>
      <c r="AE658" s="220">
        <f t="shared" si="309"/>
        <v>0</v>
      </c>
      <c r="AF658" s="220">
        <f t="shared" si="309"/>
        <v>0</v>
      </c>
      <c r="AG658" s="220">
        <f t="shared" si="309"/>
        <v>0</v>
      </c>
      <c r="AH658" s="220">
        <f t="shared" si="309"/>
        <v>0</v>
      </c>
      <c r="AI658" s="220">
        <f t="shared" si="309"/>
        <v>0</v>
      </c>
      <c r="AJ658" s="220">
        <f t="shared" si="309"/>
        <v>0</v>
      </c>
      <c r="AK658" s="220">
        <f t="shared" si="309"/>
        <v>0</v>
      </c>
      <c r="AL658" s="220">
        <f t="shared" si="309"/>
        <v>0</v>
      </c>
      <c r="AM658" s="220">
        <f t="shared" si="309"/>
        <v>0</v>
      </c>
      <c r="AN658" s="220">
        <f t="shared" si="309"/>
        <v>0</v>
      </c>
      <c r="AO658" s="220">
        <f t="shared" si="309"/>
        <v>0</v>
      </c>
      <c r="AP658" s="220">
        <f t="shared" si="309"/>
        <v>0</v>
      </c>
    </row>
    <row r="659" spans="1:42">
      <c r="A659" s="202" t="str">
        <f>'Inputs &amp; Results'!A68</f>
        <v>Other</v>
      </c>
    </row>
    <row r="660" spans="1:42">
      <c r="A660" s="206" t="s">
        <v>127</v>
      </c>
      <c r="C660" s="272">
        <f t="shared" ref="C660:AP660" si="310">IF(AND(C$2&lt;=PBIOtherTerm,C$2&lt;=AnalysisPeriod),PBIOther*(1+PBIOtherEsc)^B$2,0)</f>
        <v>0</v>
      </c>
      <c r="D660" s="272">
        <f t="shared" si="310"/>
        <v>0</v>
      </c>
      <c r="E660" s="272">
        <f t="shared" si="310"/>
        <v>0</v>
      </c>
      <c r="F660" s="272">
        <f t="shared" si="310"/>
        <v>0</v>
      </c>
      <c r="G660" s="272">
        <f t="shared" si="310"/>
        <v>0</v>
      </c>
      <c r="H660" s="272">
        <f t="shared" si="310"/>
        <v>0</v>
      </c>
      <c r="I660" s="272">
        <f t="shared" si="310"/>
        <v>0</v>
      </c>
      <c r="J660" s="272">
        <f t="shared" si="310"/>
        <v>0</v>
      </c>
      <c r="K660" s="272">
        <f t="shared" si="310"/>
        <v>0</v>
      </c>
      <c r="L660" s="272">
        <f t="shared" si="310"/>
        <v>0</v>
      </c>
      <c r="M660" s="272">
        <f t="shared" si="310"/>
        <v>0</v>
      </c>
      <c r="N660" s="272">
        <f t="shared" si="310"/>
        <v>0</v>
      </c>
      <c r="O660" s="272">
        <f t="shared" si="310"/>
        <v>0</v>
      </c>
      <c r="P660" s="272">
        <f t="shared" si="310"/>
        <v>0</v>
      </c>
      <c r="Q660" s="272">
        <f t="shared" si="310"/>
        <v>0</v>
      </c>
      <c r="R660" s="272">
        <f t="shared" si="310"/>
        <v>0</v>
      </c>
      <c r="S660" s="272">
        <f t="shared" si="310"/>
        <v>0</v>
      </c>
      <c r="T660" s="272">
        <f t="shared" si="310"/>
        <v>0</v>
      </c>
      <c r="U660" s="272">
        <f t="shared" si="310"/>
        <v>0</v>
      </c>
      <c r="V660" s="272">
        <f t="shared" si="310"/>
        <v>0</v>
      </c>
      <c r="W660" s="272">
        <f t="shared" si="310"/>
        <v>0</v>
      </c>
      <c r="X660" s="272">
        <f t="shared" si="310"/>
        <v>0</v>
      </c>
      <c r="Y660" s="272">
        <f t="shared" si="310"/>
        <v>0</v>
      </c>
      <c r="Z660" s="272">
        <f t="shared" si="310"/>
        <v>0</v>
      </c>
      <c r="AA660" s="272">
        <f t="shared" si="310"/>
        <v>0</v>
      </c>
      <c r="AB660" s="272">
        <f t="shared" si="310"/>
        <v>0</v>
      </c>
      <c r="AC660" s="272">
        <f t="shared" si="310"/>
        <v>0</v>
      </c>
      <c r="AD660" s="272">
        <f t="shared" si="310"/>
        <v>0</v>
      </c>
      <c r="AE660" s="272">
        <f t="shared" si="310"/>
        <v>0</v>
      </c>
      <c r="AF660" s="272">
        <f t="shared" si="310"/>
        <v>0</v>
      </c>
      <c r="AG660" s="272">
        <f t="shared" si="310"/>
        <v>0</v>
      </c>
      <c r="AH660" s="272">
        <f t="shared" si="310"/>
        <v>0</v>
      </c>
      <c r="AI660" s="272">
        <f t="shared" si="310"/>
        <v>0</v>
      </c>
      <c r="AJ660" s="272">
        <f t="shared" si="310"/>
        <v>0</v>
      </c>
      <c r="AK660" s="272">
        <f t="shared" si="310"/>
        <v>0</v>
      </c>
      <c r="AL660" s="272">
        <f t="shared" si="310"/>
        <v>0</v>
      </c>
      <c r="AM660" s="272">
        <f t="shared" si="310"/>
        <v>0</v>
      </c>
      <c r="AN660" s="272">
        <f t="shared" si="310"/>
        <v>0</v>
      </c>
      <c r="AO660" s="272">
        <f t="shared" si="310"/>
        <v>0</v>
      </c>
      <c r="AP660" s="272">
        <f t="shared" si="310"/>
        <v>0</v>
      </c>
    </row>
    <row r="661" spans="1:42">
      <c r="A661" s="206" t="s">
        <v>128</v>
      </c>
      <c r="C661" s="225">
        <f>C$5</f>
        <v>17000000</v>
      </c>
      <c r="D661" s="225">
        <f t="shared" ref="D661:AP661" si="311">D$5</f>
        <v>16915000</v>
      </c>
      <c r="E661" s="225">
        <f t="shared" si="311"/>
        <v>16830425</v>
      </c>
      <c r="F661" s="225">
        <f t="shared" si="311"/>
        <v>16746272.875</v>
      </c>
      <c r="G661" s="225">
        <f t="shared" si="311"/>
        <v>16662541.510624999</v>
      </c>
      <c r="H661" s="225">
        <f t="shared" si="311"/>
        <v>16579228.803071873</v>
      </c>
      <c r="I661" s="225">
        <f t="shared" si="311"/>
        <v>16496332.659056515</v>
      </c>
      <c r="J661" s="225">
        <f t="shared" si="311"/>
        <v>16413850.995761232</v>
      </c>
      <c r="K661" s="225">
        <f t="shared" si="311"/>
        <v>16331781.740782427</v>
      </c>
      <c r="L661" s="225">
        <f t="shared" si="311"/>
        <v>16250122.832078515</v>
      </c>
      <c r="M661" s="225">
        <f t="shared" si="311"/>
        <v>16168872.217918122</v>
      </c>
      <c r="N661" s="225">
        <f t="shared" si="311"/>
        <v>16088027.856828531</v>
      </c>
      <c r="O661" s="225">
        <f t="shared" si="311"/>
        <v>16007587.717544388</v>
      </c>
      <c r="P661" s="225">
        <f t="shared" si="311"/>
        <v>15927549.778956667</v>
      </c>
      <c r="Q661" s="225">
        <f t="shared" si="311"/>
        <v>15847912.030061884</v>
      </c>
      <c r="R661" s="225">
        <f t="shared" si="311"/>
        <v>15768672.469911573</v>
      </c>
      <c r="S661" s="225">
        <f t="shared" si="311"/>
        <v>15689829.107562015</v>
      </c>
      <c r="T661" s="225">
        <f t="shared" si="311"/>
        <v>15611379.962024204</v>
      </c>
      <c r="U661" s="225">
        <f t="shared" si="311"/>
        <v>15533323.062214084</v>
      </c>
      <c r="V661" s="225">
        <f t="shared" si="311"/>
        <v>15455656.446903013</v>
      </c>
      <c r="W661" s="225">
        <f t="shared" si="311"/>
        <v>15378378.164668497</v>
      </c>
      <c r="X661" s="225">
        <f t="shared" si="311"/>
        <v>15301486.273845155</v>
      </c>
      <c r="Y661" s="225">
        <f t="shared" si="311"/>
        <v>15224978.842475928</v>
      </c>
      <c r="Z661" s="225">
        <f t="shared" si="311"/>
        <v>15148853.948263548</v>
      </c>
      <c r="AA661" s="225">
        <f t="shared" si="311"/>
        <v>15073109.678522231</v>
      </c>
      <c r="AB661" s="225">
        <f t="shared" si="311"/>
        <v>14997744.13012962</v>
      </c>
      <c r="AC661" s="225">
        <f t="shared" si="311"/>
        <v>14922755.409478972</v>
      </c>
      <c r="AD661" s="225">
        <f t="shared" si="311"/>
        <v>14848141.632431576</v>
      </c>
      <c r="AE661" s="225">
        <f t="shared" si="311"/>
        <v>14773900.924269417</v>
      </c>
      <c r="AF661" s="225">
        <f t="shared" si="311"/>
        <v>14700031.41964807</v>
      </c>
      <c r="AG661" s="225">
        <f t="shared" si="311"/>
        <v>0</v>
      </c>
      <c r="AH661" s="225">
        <f t="shared" si="311"/>
        <v>0</v>
      </c>
      <c r="AI661" s="225">
        <f t="shared" si="311"/>
        <v>0</v>
      </c>
      <c r="AJ661" s="225">
        <f t="shared" si="311"/>
        <v>0</v>
      </c>
      <c r="AK661" s="225">
        <f t="shared" si="311"/>
        <v>0</v>
      </c>
      <c r="AL661" s="225">
        <f t="shared" si="311"/>
        <v>0</v>
      </c>
      <c r="AM661" s="225">
        <f t="shared" si="311"/>
        <v>0</v>
      </c>
      <c r="AN661" s="225">
        <f t="shared" si="311"/>
        <v>0</v>
      </c>
      <c r="AO661" s="225">
        <f t="shared" si="311"/>
        <v>0</v>
      </c>
      <c r="AP661" s="225">
        <f t="shared" si="311"/>
        <v>0</v>
      </c>
    </row>
    <row r="662" spans="1:42">
      <c r="A662" s="206" t="s">
        <v>53</v>
      </c>
      <c r="C662" s="220">
        <f>C660*C661</f>
        <v>0</v>
      </c>
      <c r="D662" s="220">
        <f t="shared" ref="D662:AP662" si="312">D660*D661</f>
        <v>0</v>
      </c>
      <c r="E662" s="220">
        <f t="shared" si="312"/>
        <v>0</v>
      </c>
      <c r="F662" s="220">
        <f t="shared" si="312"/>
        <v>0</v>
      </c>
      <c r="G662" s="220">
        <f t="shared" si="312"/>
        <v>0</v>
      </c>
      <c r="H662" s="220">
        <f t="shared" si="312"/>
        <v>0</v>
      </c>
      <c r="I662" s="220">
        <f t="shared" si="312"/>
        <v>0</v>
      </c>
      <c r="J662" s="220">
        <f t="shared" si="312"/>
        <v>0</v>
      </c>
      <c r="K662" s="220">
        <f t="shared" si="312"/>
        <v>0</v>
      </c>
      <c r="L662" s="220">
        <f t="shared" si="312"/>
        <v>0</v>
      </c>
      <c r="M662" s="220">
        <f t="shared" si="312"/>
        <v>0</v>
      </c>
      <c r="N662" s="220">
        <f t="shared" si="312"/>
        <v>0</v>
      </c>
      <c r="O662" s="220">
        <f t="shared" si="312"/>
        <v>0</v>
      </c>
      <c r="P662" s="220">
        <f t="shared" si="312"/>
        <v>0</v>
      </c>
      <c r="Q662" s="220">
        <f t="shared" si="312"/>
        <v>0</v>
      </c>
      <c r="R662" s="220">
        <f t="shared" si="312"/>
        <v>0</v>
      </c>
      <c r="S662" s="220">
        <f t="shared" si="312"/>
        <v>0</v>
      </c>
      <c r="T662" s="220">
        <f t="shared" si="312"/>
        <v>0</v>
      </c>
      <c r="U662" s="220">
        <f t="shared" si="312"/>
        <v>0</v>
      </c>
      <c r="V662" s="220">
        <f t="shared" si="312"/>
        <v>0</v>
      </c>
      <c r="W662" s="220">
        <f t="shared" si="312"/>
        <v>0</v>
      </c>
      <c r="X662" s="220">
        <f t="shared" si="312"/>
        <v>0</v>
      </c>
      <c r="Y662" s="220">
        <f t="shared" si="312"/>
        <v>0</v>
      </c>
      <c r="Z662" s="220">
        <f t="shared" si="312"/>
        <v>0</v>
      </c>
      <c r="AA662" s="220">
        <f t="shared" si="312"/>
        <v>0</v>
      </c>
      <c r="AB662" s="220">
        <f t="shared" si="312"/>
        <v>0</v>
      </c>
      <c r="AC662" s="220">
        <f t="shared" si="312"/>
        <v>0</v>
      </c>
      <c r="AD662" s="220">
        <f t="shared" si="312"/>
        <v>0</v>
      </c>
      <c r="AE662" s="220">
        <f t="shared" si="312"/>
        <v>0</v>
      </c>
      <c r="AF662" s="220">
        <f t="shared" si="312"/>
        <v>0</v>
      </c>
      <c r="AG662" s="220">
        <f t="shared" si="312"/>
        <v>0</v>
      </c>
      <c r="AH662" s="220">
        <f t="shared" si="312"/>
        <v>0</v>
      </c>
      <c r="AI662" s="220">
        <f t="shared" si="312"/>
        <v>0</v>
      </c>
      <c r="AJ662" s="220">
        <f t="shared" si="312"/>
        <v>0</v>
      </c>
      <c r="AK662" s="220">
        <f t="shared" si="312"/>
        <v>0</v>
      </c>
      <c r="AL662" s="220">
        <f t="shared" si="312"/>
        <v>0</v>
      </c>
      <c r="AM662" s="220">
        <f t="shared" si="312"/>
        <v>0</v>
      </c>
      <c r="AN662" s="220">
        <f t="shared" si="312"/>
        <v>0</v>
      </c>
      <c r="AO662" s="220">
        <f t="shared" si="312"/>
        <v>0</v>
      </c>
      <c r="AP662" s="220">
        <f t="shared" si="312"/>
        <v>0</v>
      </c>
    </row>
    <row r="663" spans="1:42">
      <c r="C663" s="208"/>
      <c r="D663" s="208"/>
      <c r="E663" s="208"/>
      <c r="F663" s="208"/>
      <c r="G663" s="208"/>
      <c r="H663" s="208"/>
      <c r="I663" s="208"/>
      <c r="J663" s="208"/>
      <c r="K663" s="208"/>
      <c r="L663" s="208"/>
      <c r="M663" s="208"/>
      <c r="N663" s="208"/>
      <c r="O663" s="208"/>
      <c r="P663" s="208"/>
      <c r="Q663" s="208"/>
      <c r="R663" s="208"/>
      <c r="S663" s="208"/>
      <c r="T663" s="208"/>
      <c r="U663" s="208"/>
      <c r="V663" s="208"/>
      <c r="W663" s="208"/>
      <c r="X663" s="208"/>
      <c r="Y663" s="208"/>
      <c r="Z663" s="208"/>
      <c r="AA663" s="208"/>
      <c r="AB663" s="208"/>
      <c r="AC663" s="208"/>
      <c r="AD663" s="208"/>
      <c r="AE663" s="208"/>
      <c r="AF663" s="208"/>
      <c r="AG663" s="208"/>
      <c r="AH663" s="208"/>
      <c r="AI663" s="208"/>
      <c r="AJ663" s="208"/>
      <c r="AK663" s="208"/>
      <c r="AL663" s="208"/>
      <c r="AM663" s="208"/>
      <c r="AN663" s="208"/>
      <c r="AO663" s="208"/>
      <c r="AP663" s="208"/>
    </row>
    <row r="664" spans="1:42">
      <c r="A664" s="37" t="s">
        <v>53</v>
      </c>
      <c r="C664" s="216">
        <f>C650+C654+C658+C662</f>
        <v>0</v>
      </c>
      <c r="D664" s="216">
        <f t="shared" ref="D664:AP664" si="313">D650+D654+D658+D662</f>
        <v>0</v>
      </c>
      <c r="E664" s="216">
        <f t="shared" si="313"/>
        <v>0</v>
      </c>
      <c r="F664" s="216">
        <f t="shared" si="313"/>
        <v>0</v>
      </c>
      <c r="G664" s="216">
        <f t="shared" si="313"/>
        <v>0</v>
      </c>
      <c r="H664" s="216">
        <f t="shared" si="313"/>
        <v>0</v>
      </c>
      <c r="I664" s="216">
        <f t="shared" si="313"/>
        <v>0</v>
      </c>
      <c r="J664" s="216">
        <f t="shared" si="313"/>
        <v>0</v>
      </c>
      <c r="K664" s="216">
        <f t="shared" si="313"/>
        <v>0</v>
      </c>
      <c r="L664" s="216">
        <f t="shared" si="313"/>
        <v>0</v>
      </c>
      <c r="M664" s="216">
        <f t="shared" si="313"/>
        <v>0</v>
      </c>
      <c r="N664" s="216">
        <f t="shared" si="313"/>
        <v>0</v>
      </c>
      <c r="O664" s="216">
        <f t="shared" si="313"/>
        <v>0</v>
      </c>
      <c r="P664" s="216">
        <f t="shared" si="313"/>
        <v>0</v>
      </c>
      <c r="Q664" s="216">
        <f t="shared" si="313"/>
        <v>0</v>
      </c>
      <c r="R664" s="216">
        <f t="shared" si="313"/>
        <v>0</v>
      </c>
      <c r="S664" s="216">
        <f t="shared" si="313"/>
        <v>0</v>
      </c>
      <c r="T664" s="216">
        <f t="shared" si="313"/>
        <v>0</v>
      </c>
      <c r="U664" s="216">
        <f t="shared" si="313"/>
        <v>0</v>
      </c>
      <c r="V664" s="216">
        <f t="shared" si="313"/>
        <v>0</v>
      </c>
      <c r="W664" s="216">
        <f t="shared" si="313"/>
        <v>0</v>
      </c>
      <c r="X664" s="216">
        <f t="shared" si="313"/>
        <v>0</v>
      </c>
      <c r="Y664" s="216">
        <f t="shared" si="313"/>
        <v>0</v>
      </c>
      <c r="Z664" s="216">
        <f t="shared" si="313"/>
        <v>0</v>
      </c>
      <c r="AA664" s="216">
        <f t="shared" si="313"/>
        <v>0</v>
      </c>
      <c r="AB664" s="216">
        <f t="shared" si="313"/>
        <v>0</v>
      </c>
      <c r="AC664" s="216">
        <f t="shared" si="313"/>
        <v>0</v>
      </c>
      <c r="AD664" s="216">
        <f t="shared" si="313"/>
        <v>0</v>
      </c>
      <c r="AE664" s="216">
        <f t="shared" si="313"/>
        <v>0</v>
      </c>
      <c r="AF664" s="216">
        <f t="shared" si="313"/>
        <v>0</v>
      </c>
      <c r="AG664" s="216">
        <f t="shared" si="313"/>
        <v>0</v>
      </c>
      <c r="AH664" s="216">
        <f t="shared" si="313"/>
        <v>0</v>
      </c>
      <c r="AI664" s="216">
        <f t="shared" si="313"/>
        <v>0</v>
      </c>
      <c r="AJ664" s="216">
        <f t="shared" si="313"/>
        <v>0</v>
      </c>
      <c r="AK664" s="216">
        <f t="shared" si="313"/>
        <v>0</v>
      </c>
      <c r="AL664" s="216">
        <f t="shared" si="313"/>
        <v>0</v>
      </c>
      <c r="AM664" s="216">
        <f t="shared" si="313"/>
        <v>0</v>
      </c>
      <c r="AN664" s="216">
        <f t="shared" si="313"/>
        <v>0</v>
      </c>
      <c r="AO664" s="216">
        <f t="shared" si="313"/>
        <v>0</v>
      </c>
      <c r="AP664" s="216">
        <f t="shared" si="313"/>
        <v>0</v>
      </c>
    </row>
    <row r="666" spans="1:42">
      <c r="A666" s="201" t="s">
        <v>201</v>
      </c>
      <c r="B666" s="164"/>
      <c r="C666" s="164"/>
      <c r="D666" s="164"/>
      <c r="E666" s="164"/>
      <c r="F666" s="164"/>
      <c r="G666" s="208"/>
      <c r="H666" s="208"/>
      <c r="I666" s="208"/>
      <c r="J666" s="208"/>
      <c r="K666" s="208"/>
      <c r="L666" s="208"/>
      <c r="M666" s="208"/>
      <c r="N666" s="208"/>
      <c r="O666" s="208"/>
      <c r="P666" s="208"/>
      <c r="Q666" s="208"/>
      <c r="R666" s="208"/>
      <c r="S666" s="208"/>
      <c r="T666" s="208"/>
      <c r="U666" s="208"/>
      <c r="V666" s="208"/>
      <c r="W666" s="208"/>
      <c r="X666" s="208"/>
      <c r="Y666" s="208"/>
      <c r="Z666" s="208"/>
      <c r="AA666" s="208"/>
      <c r="AB666" s="208"/>
      <c r="AC666" s="208"/>
      <c r="AD666" s="208"/>
      <c r="AE666" s="208"/>
      <c r="AF666" s="208"/>
      <c r="AG666" s="208"/>
      <c r="AH666" s="208"/>
      <c r="AI666" s="208"/>
      <c r="AJ666" s="208"/>
      <c r="AK666" s="208"/>
      <c r="AL666" s="208"/>
      <c r="AM666" s="208"/>
      <c r="AN666" s="208"/>
      <c r="AO666" s="208"/>
      <c r="AP666" s="208"/>
    </row>
    <row r="667" spans="1:42">
      <c r="A667" s="204" t="str">
        <f>'Inputs &amp; Results'!A147</f>
        <v>O&amp;M/Working Capital Reserve</v>
      </c>
      <c r="C667" s="164"/>
      <c r="D667" s="164"/>
      <c r="E667" s="164"/>
      <c r="F667" s="164"/>
      <c r="G667" s="164"/>
      <c r="H667" s="164"/>
      <c r="I667" s="164"/>
      <c r="J667" s="164"/>
      <c r="K667" s="164"/>
      <c r="L667" s="164"/>
      <c r="M667" s="164"/>
      <c r="N667" s="164"/>
      <c r="O667" s="164"/>
      <c r="P667" s="164"/>
      <c r="Q667" s="164"/>
      <c r="R667" s="164"/>
      <c r="S667" s="164"/>
      <c r="T667" s="164"/>
      <c r="U667" s="164"/>
      <c r="V667" s="164"/>
      <c r="W667" s="164"/>
      <c r="X667" s="164"/>
      <c r="Y667" s="164"/>
      <c r="Z667" s="164"/>
      <c r="AA667" s="164"/>
      <c r="AB667" s="164"/>
      <c r="AC667" s="164"/>
      <c r="AD667" s="164"/>
      <c r="AE667" s="164"/>
      <c r="AF667" s="164"/>
      <c r="AG667" s="164"/>
      <c r="AH667" s="164"/>
      <c r="AI667" s="164"/>
      <c r="AJ667" s="164"/>
      <c r="AK667" s="164"/>
      <c r="AL667" s="164"/>
      <c r="AM667" s="164"/>
      <c r="AN667" s="164"/>
      <c r="AO667" s="164"/>
      <c r="AP667" s="164"/>
    </row>
    <row r="668" spans="1:42">
      <c r="A668" s="37" t="s">
        <v>100</v>
      </c>
      <c r="B668" s="164">
        <v>0</v>
      </c>
      <c r="C668" s="164">
        <f>B671</f>
        <v>150000</v>
      </c>
      <c r="D668" s="164">
        <f t="shared" ref="D668:AP668" si="314">C671</f>
        <v>150000</v>
      </c>
      <c r="E668" s="164">
        <f t="shared" si="314"/>
        <v>150000</v>
      </c>
      <c r="F668" s="164">
        <f t="shared" si="314"/>
        <v>150000</v>
      </c>
      <c r="G668" s="164">
        <f t="shared" si="314"/>
        <v>150000</v>
      </c>
      <c r="H668" s="164">
        <f t="shared" si="314"/>
        <v>150000</v>
      </c>
      <c r="I668" s="164">
        <f t="shared" si="314"/>
        <v>150000</v>
      </c>
      <c r="J668" s="164">
        <f t="shared" si="314"/>
        <v>150000</v>
      </c>
      <c r="K668" s="164">
        <f t="shared" si="314"/>
        <v>150000</v>
      </c>
      <c r="L668" s="164">
        <f t="shared" si="314"/>
        <v>150000</v>
      </c>
      <c r="M668" s="164">
        <f t="shared" si="314"/>
        <v>150000</v>
      </c>
      <c r="N668" s="164">
        <f t="shared" si="314"/>
        <v>150000</v>
      </c>
      <c r="O668" s="164">
        <f t="shared" si="314"/>
        <v>150000</v>
      </c>
      <c r="P668" s="164">
        <f t="shared" si="314"/>
        <v>150000</v>
      </c>
      <c r="Q668" s="164">
        <f t="shared" si="314"/>
        <v>150000</v>
      </c>
      <c r="R668" s="164">
        <f t="shared" si="314"/>
        <v>150000</v>
      </c>
      <c r="S668" s="164">
        <f t="shared" si="314"/>
        <v>150000</v>
      </c>
      <c r="T668" s="164">
        <f t="shared" si="314"/>
        <v>150000</v>
      </c>
      <c r="U668" s="164">
        <f t="shared" si="314"/>
        <v>150000</v>
      </c>
      <c r="V668" s="164">
        <f t="shared" si="314"/>
        <v>150000</v>
      </c>
      <c r="W668" s="164">
        <f t="shared" si="314"/>
        <v>150000</v>
      </c>
      <c r="X668" s="164">
        <f t="shared" si="314"/>
        <v>150000</v>
      </c>
      <c r="Y668" s="164">
        <f t="shared" si="314"/>
        <v>150000</v>
      </c>
      <c r="Z668" s="164">
        <f t="shared" si="314"/>
        <v>150000</v>
      </c>
      <c r="AA668" s="164">
        <f t="shared" si="314"/>
        <v>150000</v>
      </c>
      <c r="AB668" s="164">
        <f t="shared" si="314"/>
        <v>150000</v>
      </c>
      <c r="AC668" s="164">
        <f t="shared" si="314"/>
        <v>150000</v>
      </c>
      <c r="AD668" s="164">
        <f t="shared" si="314"/>
        <v>150000</v>
      </c>
      <c r="AE668" s="164">
        <f t="shared" si="314"/>
        <v>150000</v>
      </c>
      <c r="AF668" s="164">
        <f t="shared" si="314"/>
        <v>150000</v>
      </c>
      <c r="AG668" s="164">
        <f t="shared" si="314"/>
        <v>0</v>
      </c>
      <c r="AH668" s="164">
        <f t="shared" si="314"/>
        <v>0</v>
      </c>
      <c r="AI668" s="164">
        <f t="shared" si="314"/>
        <v>0</v>
      </c>
      <c r="AJ668" s="164">
        <f t="shared" si="314"/>
        <v>0</v>
      </c>
      <c r="AK668" s="164">
        <f t="shared" si="314"/>
        <v>0</v>
      </c>
      <c r="AL668" s="164">
        <f t="shared" si="314"/>
        <v>0</v>
      </c>
      <c r="AM668" s="164">
        <f t="shared" si="314"/>
        <v>0</v>
      </c>
      <c r="AN668" s="164">
        <f t="shared" si="314"/>
        <v>0</v>
      </c>
      <c r="AO668" s="164">
        <f t="shared" si="314"/>
        <v>0</v>
      </c>
      <c r="AP668" s="164">
        <f t="shared" si="314"/>
        <v>0</v>
      </c>
    </row>
    <row r="669" spans="1:42">
      <c r="A669" s="37" t="s">
        <v>101</v>
      </c>
      <c r="B669" s="164">
        <f>'Inputs &amp; Results'!$B$147</f>
        <v>150000</v>
      </c>
      <c r="C669" s="164"/>
      <c r="D669" s="164"/>
      <c r="E669" s="164"/>
      <c r="F669" s="164"/>
      <c r="G669" s="164"/>
      <c r="H669" s="164"/>
      <c r="I669" s="164"/>
      <c r="J669" s="164"/>
      <c r="K669" s="164"/>
      <c r="L669" s="164"/>
      <c r="M669" s="164"/>
      <c r="N669" s="164"/>
      <c r="O669" s="164"/>
      <c r="P669" s="164"/>
      <c r="Q669" s="164"/>
      <c r="R669" s="164"/>
      <c r="S669" s="164"/>
      <c r="T669" s="164"/>
      <c r="U669" s="164"/>
      <c r="V669" s="164"/>
      <c r="W669" s="164"/>
      <c r="X669" s="164"/>
      <c r="Y669" s="164"/>
      <c r="Z669" s="164"/>
      <c r="AA669" s="164"/>
      <c r="AB669" s="164"/>
      <c r="AC669" s="164"/>
      <c r="AD669" s="164"/>
      <c r="AE669" s="164"/>
      <c r="AF669" s="164"/>
      <c r="AG669" s="164"/>
      <c r="AH669" s="164"/>
      <c r="AI669" s="164"/>
      <c r="AJ669" s="164"/>
      <c r="AK669" s="164"/>
      <c r="AL669" s="164"/>
      <c r="AM669" s="164"/>
      <c r="AN669" s="164"/>
      <c r="AO669" s="164"/>
      <c r="AP669" s="164"/>
    </row>
    <row r="670" spans="1:42">
      <c r="A670" s="37" t="s">
        <v>107</v>
      </c>
      <c r="B670" s="209">
        <v>0</v>
      </c>
      <c r="C670" s="209">
        <f t="shared" ref="C670:AP670" si="315">IF(C$2=AnalysisPeriod,-C668,0)</f>
        <v>0</v>
      </c>
      <c r="D670" s="209">
        <f t="shared" si="315"/>
        <v>0</v>
      </c>
      <c r="E670" s="209">
        <f t="shared" si="315"/>
        <v>0</v>
      </c>
      <c r="F670" s="209">
        <f t="shared" si="315"/>
        <v>0</v>
      </c>
      <c r="G670" s="209">
        <f t="shared" si="315"/>
        <v>0</v>
      </c>
      <c r="H670" s="209">
        <f t="shared" si="315"/>
        <v>0</v>
      </c>
      <c r="I670" s="209">
        <f t="shared" si="315"/>
        <v>0</v>
      </c>
      <c r="J670" s="209">
        <f t="shared" si="315"/>
        <v>0</v>
      </c>
      <c r="K670" s="209">
        <f t="shared" si="315"/>
        <v>0</v>
      </c>
      <c r="L670" s="209">
        <f t="shared" si="315"/>
        <v>0</v>
      </c>
      <c r="M670" s="209">
        <f t="shared" si="315"/>
        <v>0</v>
      </c>
      <c r="N670" s="209">
        <f t="shared" si="315"/>
        <v>0</v>
      </c>
      <c r="O670" s="209">
        <f t="shared" si="315"/>
        <v>0</v>
      </c>
      <c r="P670" s="209">
        <f t="shared" si="315"/>
        <v>0</v>
      </c>
      <c r="Q670" s="209">
        <f t="shared" si="315"/>
        <v>0</v>
      </c>
      <c r="R670" s="209">
        <f t="shared" si="315"/>
        <v>0</v>
      </c>
      <c r="S670" s="209">
        <f t="shared" si="315"/>
        <v>0</v>
      </c>
      <c r="T670" s="209">
        <f t="shared" si="315"/>
        <v>0</v>
      </c>
      <c r="U670" s="209">
        <f t="shared" si="315"/>
        <v>0</v>
      </c>
      <c r="V670" s="209">
        <f t="shared" si="315"/>
        <v>0</v>
      </c>
      <c r="W670" s="209">
        <f t="shared" si="315"/>
        <v>0</v>
      </c>
      <c r="X670" s="209">
        <f t="shared" si="315"/>
        <v>0</v>
      </c>
      <c r="Y670" s="209">
        <f t="shared" si="315"/>
        <v>0</v>
      </c>
      <c r="Z670" s="209">
        <f t="shared" si="315"/>
        <v>0</v>
      </c>
      <c r="AA670" s="209">
        <f t="shared" si="315"/>
        <v>0</v>
      </c>
      <c r="AB670" s="209">
        <f t="shared" si="315"/>
        <v>0</v>
      </c>
      <c r="AC670" s="209">
        <f t="shared" si="315"/>
        <v>0</v>
      </c>
      <c r="AD670" s="209">
        <f t="shared" si="315"/>
        <v>0</v>
      </c>
      <c r="AE670" s="209">
        <f t="shared" si="315"/>
        <v>0</v>
      </c>
      <c r="AF670" s="209">
        <f t="shared" si="315"/>
        <v>-150000</v>
      </c>
      <c r="AG670" s="209">
        <f t="shared" si="315"/>
        <v>0</v>
      </c>
      <c r="AH670" s="209">
        <f t="shared" si="315"/>
        <v>0</v>
      </c>
      <c r="AI670" s="209">
        <f t="shared" si="315"/>
        <v>0</v>
      </c>
      <c r="AJ670" s="209">
        <f t="shared" si="315"/>
        <v>0</v>
      </c>
      <c r="AK670" s="209">
        <f t="shared" si="315"/>
        <v>0</v>
      </c>
      <c r="AL670" s="209">
        <f t="shared" si="315"/>
        <v>0</v>
      </c>
      <c r="AM670" s="209">
        <f t="shared" si="315"/>
        <v>0</v>
      </c>
      <c r="AN670" s="209">
        <f t="shared" si="315"/>
        <v>0</v>
      </c>
      <c r="AO670" s="209">
        <f t="shared" si="315"/>
        <v>0</v>
      </c>
      <c r="AP670" s="209">
        <f t="shared" si="315"/>
        <v>0</v>
      </c>
    </row>
    <row r="671" spans="1:42">
      <c r="A671" s="37" t="s">
        <v>103</v>
      </c>
      <c r="B671" s="164">
        <f>SUM(B668:B670)</f>
        <v>150000</v>
      </c>
      <c r="C671" s="164">
        <f>SUM(C668:C670)</f>
        <v>150000</v>
      </c>
      <c r="D671" s="164">
        <f t="shared" ref="D671:AP671" si="316">SUM(D668:D670)</f>
        <v>150000</v>
      </c>
      <c r="E671" s="164">
        <f t="shared" si="316"/>
        <v>150000</v>
      </c>
      <c r="F671" s="164">
        <f t="shared" si="316"/>
        <v>150000</v>
      </c>
      <c r="G671" s="164">
        <f t="shared" si="316"/>
        <v>150000</v>
      </c>
      <c r="H671" s="164">
        <f t="shared" si="316"/>
        <v>150000</v>
      </c>
      <c r="I671" s="164">
        <f t="shared" si="316"/>
        <v>150000</v>
      </c>
      <c r="J671" s="164">
        <f t="shared" si="316"/>
        <v>150000</v>
      </c>
      <c r="K671" s="164">
        <f t="shared" si="316"/>
        <v>150000</v>
      </c>
      <c r="L671" s="164">
        <f t="shared" si="316"/>
        <v>150000</v>
      </c>
      <c r="M671" s="164">
        <f t="shared" si="316"/>
        <v>150000</v>
      </c>
      <c r="N671" s="164">
        <f t="shared" si="316"/>
        <v>150000</v>
      </c>
      <c r="O671" s="164">
        <f t="shared" si="316"/>
        <v>150000</v>
      </c>
      <c r="P671" s="164">
        <f t="shared" si="316"/>
        <v>150000</v>
      </c>
      <c r="Q671" s="164">
        <f t="shared" si="316"/>
        <v>150000</v>
      </c>
      <c r="R671" s="164">
        <f t="shared" si="316"/>
        <v>150000</v>
      </c>
      <c r="S671" s="164">
        <f t="shared" si="316"/>
        <v>150000</v>
      </c>
      <c r="T671" s="164">
        <f t="shared" si="316"/>
        <v>150000</v>
      </c>
      <c r="U671" s="164">
        <f t="shared" si="316"/>
        <v>150000</v>
      </c>
      <c r="V671" s="164">
        <f t="shared" si="316"/>
        <v>150000</v>
      </c>
      <c r="W671" s="164">
        <f t="shared" si="316"/>
        <v>150000</v>
      </c>
      <c r="X671" s="164">
        <f t="shared" si="316"/>
        <v>150000</v>
      </c>
      <c r="Y671" s="164">
        <f t="shared" si="316"/>
        <v>150000</v>
      </c>
      <c r="Z671" s="164">
        <f t="shared" si="316"/>
        <v>150000</v>
      </c>
      <c r="AA671" s="164">
        <f t="shared" si="316"/>
        <v>150000</v>
      </c>
      <c r="AB671" s="164">
        <f t="shared" si="316"/>
        <v>150000</v>
      </c>
      <c r="AC671" s="164">
        <f t="shared" si="316"/>
        <v>150000</v>
      </c>
      <c r="AD671" s="164">
        <f t="shared" si="316"/>
        <v>150000</v>
      </c>
      <c r="AE671" s="164">
        <f t="shared" si="316"/>
        <v>150000</v>
      </c>
      <c r="AF671" s="164">
        <f t="shared" si="316"/>
        <v>0</v>
      </c>
      <c r="AG671" s="164">
        <f t="shared" si="316"/>
        <v>0</v>
      </c>
      <c r="AH671" s="164">
        <f t="shared" si="316"/>
        <v>0</v>
      </c>
      <c r="AI671" s="164">
        <f t="shared" si="316"/>
        <v>0</v>
      </c>
      <c r="AJ671" s="164">
        <f t="shared" si="316"/>
        <v>0</v>
      </c>
      <c r="AK671" s="164">
        <f t="shared" si="316"/>
        <v>0</v>
      </c>
      <c r="AL671" s="164">
        <f t="shared" si="316"/>
        <v>0</v>
      </c>
      <c r="AM671" s="164">
        <f t="shared" si="316"/>
        <v>0</v>
      </c>
      <c r="AN671" s="164">
        <f t="shared" si="316"/>
        <v>0</v>
      </c>
      <c r="AO671" s="164">
        <f t="shared" si="316"/>
        <v>0</v>
      </c>
      <c r="AP671" s="164">
        <f t="shared" si="316"/>
        <v>0</v>
      </c>
    </row>
    <row r="672" spans="1:42">
      <c r="B672" s="164"/>
      <c r="C672" s="164"/>
      <c r="D672" s="164"/>
      <c r="E672" s="164"/>
      <c r="F672" s="164"/>
      <c r="G672" s="208"/>
      <c r="H672" s="208"/>
      <c r="I672" s="208"/>
      <c r="J672" s="208"/>
      <c r="K672" s="208"/>
      <c r="L672" s="208"/>
      <c r="M672" s="208"/>
      <c r="N672" s="208"/>
      <c r="O672" s="208"/>
      <c r="P672" s="208"/>
      <c r="Q672" s="208"/>
      <c r="R672" s="208"/>
      <c r="S672" s="208"/>
      <c r="T672" s="208"/>
      <c r="U672" s="208"/>
      <c r="V672" s="208"/>
      <c r="W672" s="208"/>
      <c r="X672" s="208"/>
      <c r="Y672" s="208"/>
      <c r="Z672" s="208"/>
      <c r="AA672" s="208"/>
      <c r="AB672" s="208"/>
      <c r="AC672" s="208"/>
      <c r="AD672" s="208"/>
      <c r="AE672" s="208"/>
      <c r="AF672" s="208"/>
      <c r="AG672" s="208"/>
      <c r="AH672" s="208"/>
      <c r="AI672" s="208"/>
      <c r="AJ672" s="208"/>
      <c r="AK672" s="208"/>
      <c r="AL672" s="208"/>
      <c r="AM672" s="208"/>
      <c r="AN672" s="208"/>
      <c r="AO672" s="208"/>
      <c r="AP672" s="208"/>
    </row>
    <row r="673" spans="1:42">
      <c r="A673" s="204" t="s">
        <v>375</v>
      </c>
      <c r="C673" s="164"/>
      <c r="D673" s="164"/>
      <c r="E673" s="164"/>
      <c r="F673" s="164"/>
      <c r="G673" s="164"/>
      <c r="H673" s="164"/>
      <c r="I673" s="164"/>
      <c r="J673" s="164"/>
      <c r="K673" s="164"/>
      <c r="L673" s="164"/>
      <c r="M673" s="164"/>
      <c r="N673" s="164"/>
      <c r="O673" s="164"/>
      <c r="P673" s="164"/>
      <c r="Q673" s="164"/>
      <c r="R673" s="164"/>
      <c r="S673" s="164"/>
      <c r="T673" s="164"/>
      <c r="U673" s="164"/>
      <c r="V673" s="164"/>
      <c r="W673" s="164"/>
      <c r="X673" s="164"/>
      <c r="Y673" s="164"/>
      <c r="Z673" s="164"/>
      <c r="AA673" s="164"/>
      <c r="AB673" s="164"/>
      <c r="AC673" s="164"/>
      <c r="AD673" s="164"/>
      <c r="AE673" s="164"/>
      <c r="AF673" s="164"/>
      <c r="AG673" s="164"/>
      <c r="AH673" s="164"/>
      <c r="AI673" s="164"/>
      <c r="AJ673" s="164"/>
      <c r="AK673" s="164"/>
      <c r="AL673" s="164"/>
      <c r="AM673" s="164"/>
      <c r="AN673" s="164"/>
      <c r="AO673" s="164"/>
      <c r="AP673" s="164"/>
    </row>
    <row r="674" spans="1:42">
      <c r="A674" s="37" t="s">
        <v>100</v>
      </c>
      <c r="B674" s="164">
        <v>0</v>
      </c>
      <c r="C674" s="164">
        <f>B677</f>
        <v>0</v>
      </c>
      <c r="D674" s="164">
        <f t="shared" ref="D674:AP674" si="317">C677</f>
        <v>245406.02862510949</v>
      </c>
      <c r="E674" s="164">
        <f t="shared" si="317"/>
        <v>490812.05725021899</v>
      </c>
      <c r="F674" s="164">
        <f t="shared" si="317"/>
        <v>736218.08587532851</v>
      </c>
      <c r="G674" s="164">
        <f t="shared" si="317"/>
        <v>981624.11450043798</v>
      </c>
      <c r="H674" s="164">
        <f t="shared" si="317"/>
        <v>1227030.1431255476</v>
      </c>
      <c r="I674" s="164">
        <f t="shared" si="317"/>
        <v>1472436.171750657</v>
      </c>
      <c r="J674" s="164">
        <f t="shared" si="317"/>
        <v>1717842.2003757665</v>
      </c>
      <c r="K674" s="164">
        <f t="shared" si="317"/>
        <v>1963248.229000876</v>
      </c>
      <c r="L674" s="164">
        <f t="shared" si="317"/>
        <v>2208654.2576259854</v>
      </c>
      <c r="M674" s="164">
        <f t="shared" si="317"/>
        <v>2454060.2862510951</v>
      </c>
      <c r="N674" s="164">
        <f t="shared" si="317"/>
        <v>2699466.3148762048</v>
      </c>
      <c r="O674" s="164">
        <f t="shared" si="317"/>
        <v>0</v>
      </c>
      <c r="P674" s="164">
        <f t="shared" si="317"/>
        <v>293411.90721039008</v>
      </c>
      <c r="Q674" s="164">
        <f t="shared" si="317"/>
        <v>586823.81442078017</v>
      </c>
      <c r="R674" s="164">
        <f t="shared" si="317"/>
        <v>880235.72163117025</v>
      </c>
      <c r="S674" s="164">
        <f t="shared" si="317"/>
        <v>1173647.6288415603</v>
      </c>
      <c r="T674" s="164">
        <f t="shared" si="317"/>
        <v>1467059.5360519504</v>
      </c>
      <c r="U674" s="164">
        <f t="shared" si="317"/>
        <v>1760471.4432623405</v>
      </c>
      <c r="V674" s="164">
        <f t="shared" si="317"/>
        <v>2053883.3504727306</v>
      </c>
      <c r="W674" s="164">
        <f t="shared" si="317"/>
        <v>2347295.2576831207</v>
      </c>
      <c r="X674" s="164">
        <f t="shared" si="317"/>
        <v>2640707.1648935108</v>
      </c>
      <c r="Y674" s="164">
        <f t="shared" si="317"/>
        <v>2934119.0721039008</v>
      </c>
      <c r="Z674" s="164">
        <f t="shared" si="317"/>
        <v>3227530.9793142909</v>
      </c>
      <c r="AA674" s="164">
        <f t="shared" si="317"/>
        <v>0</v>
      </c>
      <c r="AB674" s="164">
        <f t="shared" si="317"/>
        <v>0</v>
      </c>
      <c r="AC674" s="164">
        <f t="shared" si="317"/>
        <v>0</v>
      </c>
      <c r="AD674" s="164">
        <f t="shared" si="317"/>
        <v>0</v>
      </c>
      <c r="AE674" s="164">
        <f t="shared" si="317"/>
        <v>0</v>
      </c>
      <c r="AF674" s="164">
        <f t="shared" si="317"/>
        <v>0</v>
      </c>
      <c r="AG674" s="164">
        <f t="shared" si="317"/>
        <v>0</v>
      </c>
      <c r="AH674" s="164">
        <f t="shared" si="317"/>
        <v>0</v>
      </c>
      <c r="AI674" s="164">
        <f t="shared" si="317"/>
        <v>0</v>
      </c>
      <c r="AJ674" s="164">
        <f t="shared" si="317"/>
        <v>0</v>
      </c>
      <c r="AK674" s="164">
        <f t="shared" si="317"/>
        <v>0</v>
      </c>
      <c r="AL674" s="164">
        <f t="shared" si="317"/>
        <v>0</v>
      </c>
      <c r="AM674" s="164">
        <f t="shared" si="317"/>
        <v>0</v>
      </c>
      <c r="AN674" s="164">
        <f t="shared" si="317"/>
        <v>0</v>
      </c>
      <c r="AO674" s="164">
        <f t="shared" si="317"/>
        <v>0</v>
      </c>
      <c r="AP674" s="164">
        <f t="shared" si="317"/>
        <v>0</v>
      </c>
    </row>
    <row r="675" spans="1:42">
      <c r="A675" s="37" t="s">
        <v>208</v>
      </c>
      <c r="B675" s="164">
        <v>0</v>
      </c>
      <c r="C675" s="164">
        <f>C703</f>
        <v>245406.02862510949</v>
      </c>
      <c r="D675" s="164">
        <f t="shared" ref="D675:AP675" si="318">D703</f>
        <v>245406.02862510949</v>
      </c>
      <c r="E675" s="164">
        <f t="shared" si="318"/>
        <v>245406.02862510949</v>
      </c>
      <c r="F675" s="164">
        <f t="shared" si="318"/>
        <v>245406.02862510949</v>
      </c>
      <c r="G675" s="164">
        <f t="shared" si="318"/>
        <v>245406.02862510949</v>
      </c>
      <c r="H675" s="164">
        <f t="shared" si="318"/>
        <v>245406.02862510949</v>
      </c>
      <c r="I675" s="164">
        <f t="shared" si="318"/>
        <v>245406.02862510949</v>
      </c>
      <c r="J675" s="164">
        <f t="shared" si="318"/>
        <v>245406.02862510949</v>
      </c>
      <c r="K675" s="164">
        <f t="shared" si="318"/>
        <v>245406.02862510949</v>
      </c>
      <c r="L675" s="164">
        <f t="shared" si="318"/>
        <v>245406.02862510949</v>
      </c>
      <c r="M675" s="164">
        <f t="shared" si="318"/>
        <v>245406.02862510949</v>
      </c>
      <c r="N675" s="164">
        <f t="shared" si="318"/>
        <v>245406.02862510949</v>
      </c>
      <c r="O675" s="164">
        <f t="shared" si="318"/>
        <v>293411.90721039008</v>
      </c>
      <c r="P675" s="164">
        <f t="shared" si="318"/>
        <v>293411.90721039008</v>
      </c>
      <c r="Q675" s="164">
        <f t="shared" si="318"/>
        <v>293411.90721039008</v>
      </c>
      <c r="R675" s="164">
        <f t="shared" si="318"/>
        <v>293411.90721039008</v>
      </c>
      <c r="S675" s="164">
        <f t="shared" si="318"/>
        <v>293411.90721039008</v>
      </c>
      <c r="T675" s="164">
        <f t="shared" si="318"/>
        <v>293411.90721039008</v>
      </c>
      <c r="U675" s="164">
        <f t="shared" si="318"/>
        <v>293411.90721039008</v>
      </c>
      <c r="V675" s="164">
        <f t="shared" si="318"/>
        <v>293411.90721039008</v>
      </c>
      <c r="W675" s="164">
        <f t="shared" si="318"/>
        <v>293411.90721039008</v>
      </c>
      <c r="X675" s="164">
        <f t="shared" si="318"/>
        <v>293411.90721039008</v>
      </c>
      <c r="Y675" s="164">
        <f t="shared" si="318"/>
        <v>293411.90721039008</v>
      </c>
      <c r="Z675" s="164">
        <f t="shared" si="318"/>
        <v>293411.90721039008</v>
      </c>
      <c r="AA675" s="164">
        <f t="shared" si="318"/>
        <v>0</v>
      </c>
      <c r="AB675" s="164">
        <f t="shared" si="318"/>
        <v>0</v>
      </c>
      <c r="AC675" s="164">
        <f t="shared" si="318"/>
        <v>0</v>
      </c>
      <c r="AD675" s="164">
        <f t="shared" si="318"/>
        <v>0</v>
      </c>
      <c r="AE675" s="164">
        <f t="shared" si="318"/>
        <v>0</v>
      </c>
      <c r="AF675" s="164">
        <f t="shared" si="318"/>
        <v>0</v>
      </c>
      <c r="AG675" s="164">
        <f t="shared" si="318"/>
        <v>0</v>
      </c>
      <c r="AH675" s="164">
        <f t="shared" si="318"/>
        <v>0</v>
      </c>
      <c r="AI675" s="164">
        <f t="shared" si="318"/>
        <v>0</v>
      </c>
      <c r="AJ675" s="164">
        <f t="shared" si="318"/>
        <v>0</v>
      </c>
      <c r="AK675" s="164">
        <f t="shared" si="318"/>
        <v>0</v>
      </c>
      <c r="AL675" s="164">
        <f t="shared" si="318"/>
        <v>0</v>
      </c>
      <c r="AM675" s="164">
        <f t="shared" si="318"/>
        <v>0</v>
      </c>
      <c r="AN675" s="164">
        <f t="shared" si="318"/>
        <v>0</v>
      </c>
      <c r="AO675" s="164">
        <f t="shared" si="318"/>
        <v>0</v>
      </c>
      <c r="AP675" s="164">
        <f t="shared" si="318"/>
        <v>0</v>
      </c>
    </row>
    <row r="676" spans="1:42">
      <c r="A676" s="37" t="s">
        <v>107</v>
      </c>
      <c r="B676" s="209">
        <v>0</v>
      </c>
      <c r="C676" s="209">
        <f>-C691</f>
        <v>0</v>
      </c>
      <c r="D676" s="209">
        <f t="shared" ref="D676:AP676" si="319">-D691</f>
        <v>0</v>
      </c>
      <c r="E676" s="209">
        <f t="shared" si="319"/>
        <v>0</v>
      </c>
      <c r="F676" s="209">
        <f t="shared" si="319"/>
        <v>0</v>
      </c>
      <c r="G676" s="209">
        <f t="shared" si="319"/>
        <v>0</v>
      </c>
      <c r="H676" s="209">
        <f t="shared" si="319"/>
        <v>0</v>
      </c>
      <c r="I676" s="209">
        <f t="shared" si="319"/>
        <v>0</v>
      </c>
      <c r="J676" s="209">
        <f t="shared" si="319"/>
        <v>0</v>
      </c>
      <c r="K676" s="209">
        <f t="shared" si="319"/>
        <v>0</v>
      </c>
      <c r="L676" s="209">
        <f t="shared" si="319"/>
        <v>0</v>
      </c>
      <c r="M676" s="209">
        <f t="shared" si="319"/>
        <v>0</v>
      </c>
      <c r="N676" s="209">
        <f t="shared" si="319"/>
        <v>-2944872.3435013141</v>
      </c>
      <c r="O676" s="209">
        <f t="shared" si="319"/>
        <v>0</v>
      </c>
      <c r="P676" s="209">
        <f t="shared" si="319"/>
        <v>0</v>
      </c>
      <c r="Q676" s="209">
        <f t="shared" si="319"/>
        <v>0</v>
      </c>
      <c r="R676" s="209">
        <f t="shared" si="319"/>
        <v>0</v>
      </c>
      <c r="S676" s="209">
        <f t="shared" si="319"/>
        <v>0</v>
      </c>
      <c r="T676" s="209">
        <f t="shared" si="319"/>
        <v>0</v>
      </c>
      <c r="U676" s="209">
        <f t="shared" si="319"/>
        <v>0</v>
      </c>
      <c r="V676" s="209">
        <f t="shared" si="319"/>
        <v>0</v>
      </c>
      <c r="W676" s="209">
        <f t="shared" si="319"/>
        <v>0</v>
      </c>
      <c r="X676" s="209">
        <f t="shared" si="319"/>
        <v>0</v>
      </c>
      <c r="Y676" s="209">
        <f t="shared" si="319"/>
        <v>0</v>
      </c>
      <c r="Z676" s="209">
        <f t="shared" si="319"/>
        <v>-3520942.886524681</v>
      </c>
      <c r="AA676" s="209">
        <f t="shared" si="319"/>
        <v>0</v>
      </c>
      <c r="AB676" s="209">
        <f t="shared" si="319"/>
        <v>0</v>
      </c>
      <c r="AC676" s="209">
        <f t="shared" si="319"/>
        <v>0</v>
      </c>
      <c r="AD676" s="209">
        <f t="shared" si="319"/>
        <v>0</v>
      </c>
      <c r="AE676" s="209">
        <f t="shared" si="319"/>
        <v>0</v>
      </c>
      <c r="AF676" s="209">
        <f t="shared" si="319"/>
        <v>0</v>
      </c>
      <c r="AG676" s="209">
        <f t="shared" si="319"/>
        <v>0</v>
      </c>
      <c r="AH676" s="209">
        <f t="shared" si="319"/>
        <v>0</v>
      </c>
      <c r="AI676" s="209">
        <f t="shared" si="319"/>
        <v>0</v>
      </c>
      <c r="AJ676" s="209">
        <f t="shared" si="319"/>
        <v>0</v>
      </c>
      <c r="AK676" s="209">
        <f t="shared" si="319"/>
        <v>0</v>
      </c>
      <c r="AL676" s="209">
        <f t="shared" si="319"/>
        <v>0</v>
      </c>
      <c r="AM676" s="209">
        <f t="shared" si="319"/>
        <v>0</v>
      </c>
      <c r="AN676" s="209">
        <f t="shared" si="319"/>
        <v>0</v>
      </c>
      <c r="AO676" s="209">
        <f t="shared" si="319"/>
        <v>0</v>
      </c>
      <c r="AP676" s="209">
        <f t="shared" si="319"/>
        <v>0</v>
      </c>
    </row>
    <row r="677" spans="1:42">
      <c r="A677" s="37" t="s">
        <v>103</v>
      </c>
      <c r="B677" s="164">
        <f>SUM(B674:B676)</f>
        <v>0</v>
      </c>
      <c r="C677" s="164">
        <f>SUM(C674:C676)</f>
        <v>245406.02862510949</v>
      </c>
      <c r="D677" s="164">
        <f t="shared" ref="D677:AP677" si="320">SUM(D674:D676)</f>
        <v>490812.05725021899</v>
      </c>
      <c r="E677" s="164">
        <f t="shared" si="320"/>
        <v>736218.08587532851</v>
      </c>
      <c r="F677" s="164">
        <f t="shared" si="320"/>
        <v>981624.11450043798</v>
      </c>
      <c r="G677" s="164">
        <f t="shared" si="320"/>
        <v>1227030.1431255476</v>
      </c>
      <c r="H677" s="164">
        <f t="shared" si="320"/>
        <v>1472436.171750657</v>
      </c>
      <c r="I677" s="164">
        <f t="shared" si="320"/>
        <v>1717842.2003757665</v>
      </c>
      <c r="J677" s="164">
        <f t="shared" si="320"/>
        <v>1963248.229000876</v>
      </c>
      <c r="K677" s="164">
        <f t="shared" si="320"/>
        <v>2208654.2576259854</v>
      </c>
      <c r="L677" s="164">
        <f t="shared" si="320"/>
        <v>2454060.2862510951</v>
      </c>
      <c r="M677" s="164">
        <f t="shared" si="320"/>
        <v>2699466.3148762048</v>
      </c>
      <c r="N677" s="164">
        <f t="shared" si="320"/>
        <v>0</v>
      </c>
      <c r="O677" s="164">
        <f t="shared" si="320"/>
        <v>293411.90721039008</v>
      </c>
      <c r="P677" s="164">
        <f t="shared" si="320"/>
        <v>586823.81442078017</v>
      </c>
      <c r="Q677" s="164">
        <f t="shared" si="320"/>
        <v>880235.72163117025</v>
      </c>
      <c r="R677" s="164">
        <f t="shared" si="320"/>
        <v>1173647.6288415603</v>
      </c>
      <c r="S677" s="164">
        <f t="shared" si="320"/>
        <v>1467059.5360519504</v>
      </c>
      <c r="T677" s="164">
        <f t="shared" si="320"/>
        <v>1760471.4432623405</v>
      </c>
      <c r="U677" s="164">
        <f t="shared" si="320"/>
        <v>2053883.3504727306</v>
      </c>
      <c r="V677" s="164">
        <f t="shared" si="320"/>
        <v>2347295.2576831207</v>
      </c>
      <c r="W677" s="164">
        <f t="shared" si="320"/>
        <v>2640707.1648935108</v>
      </c>
      <c r="X677" s="164">
        <f t="shared" si="320"/>
        <v>2934119.0721039008</v>
      </c>
      <c r="Y677" s="164">
        <f t="shared" si="320"/>
        <v>3227530.9793142909</v>
      </c>
      <c r="Z677" s="164">
        <f t="shared" si="320"/>
        <v>0</v>
      </c>
      <c r="AA677" s="164">
        <f t="shared" si="320"/>
        <v>0</v>
      </c>
      <c r="AB677" s="164">
        <f t="shared" si="320"/>
        <v>0</v>
      </c>
      <c r="AC677" s="164">
        <f t="shared" si="320"/>
        <v>0</v>
      </c>
      <c r="AD677" s="164">
        <f t="shared" si="320"/>
        <v>0</v>
      </c>
      <c r="AE677" s="164">
        <f t="shared" si="320"/>
        <v>0</v>
      </c>
      <c r="AF677" s="164">
        <f t="shared" si="320"/>
        <v>0</v>
      </c>
      <c r="AG677" s="164">
        <f t="shared" si="320"/>
        <v>0</v>
      </c>
      <c r="AH677" s="164">
        <f t="shared" si="320"/>
        <v>0</v>
      </c>
      <c r="AI677" s="164">
        <f t="shared" si="320"/>
        <v>0</v>
      </c>
      <c r="AJ677" s="164">
        <f t="shared" si="320"/>
        <v>0</v>
      </c>
      <c r="AK677" s="164">
        <f t="shared" si="320"/>
        <v>0</v>
      </c>
      <c r="AL677" s="164">
        <f t="shared" si="320"/>
        <v>0</v>
      </c>
      <c r="AM677" s="164">
        <f t="shared" si="320"/>
        <v>0</v>
      </c>
      <c r="AN677" s="164">
        <f t="shared" si="320"/>
        <v>0</v>
      </c>
      <c r="AO677" s="164">
        <f t="shared" si="320"/>
        <v>0</v>
      </c>
      <c r="AP677" s="164">
        <f t="shared" si="320"/>
        <v>0</v>
      </c>
    </row>
    <row r="678" spans="1:42">
      <c r="B678" s="164"/>
      <c r="C678" s="164"/>
      <c r="D678" s="164"/>
      <c r="E678" s="164"/>
      <c r="F678" s="164"/>
      <c r="G678" s="208"/>
      <c r="H678" s="208"/>
      <c r="I678" s="208"/>
      <c r="J678" s="208"/>
      <c r="K678" s="208"/>
      <c r="L678" s="208"/>
      <c r="M678" s="208"/>
      <c r="N678" s="208"/>
      <c r="O678" s="208"/>
      <c r="P678" s="208"/>
      <c r="Q678" s="208"/>
      <c r="R678" s="208"/>
      <c r="S678" s="208"/>
      <c r="T678" s="208"/>
      <c r="U678" s="208"/>
      <c r="V678" s="208"/>
      <c r="W678" s="208"/>
      <c r="X678" s="208"/>
      <c r="Y678" s="208"/>
      <c r="Z678" s="208"/>
      <c r="AA678" s="208"/>
      <c r="AB678" s="208"/>
      <c r="AC678" s="208"/>
      <c r="AD678" s="208"/>
      <c r="AE678" s="208"/>
      <c r="AF678" s="208"/>
      <c r="AG678" s="208"/>
      <c r="AH678" s="208"/>
      <c r="AI678" s="208"/>
      <c r="AJ678" s="208"/>
      <c r="AK678" s="208"/>
      <c r="AL678" s="208"/>
      <c r="AM678" s="208"/>
      <c r="AN678" s="208"/>
      <c r="AO678" s="208"/>
      <c r="AP678" s="208"/>
    </row>
    <row r="679" spans="1:42">
      <c r="A679" s="37" t="s">
        <v>206</v>
      </c>
      <c r="B679" s="164"/>
      <c r="C679" s="164"/>
      <c r="D679" s="164"/>
      <c r="E679" s="164"/>
      <c r="F679" s="164"/>
      <c r="G679" s="208"/>
      <c r="H679" s="208"/>
      <c r="I679" s="208"/>
      <c r="J679" s="208"/>
      <c r="K679" s="208"/>
      <c r="L679" s="208"/>
      <c r="M679" s="208"/>
      <c r="N679" s="208"/>
      <c r="O679" s="208"/>
      <c r="P679" s="208"/>
      <c r="Q679" s="208"/>
      <c r="R679" s="208"/>
      <c r="S679" s="208"/>
      <c r="T679" s="208"/>
      <c r="U679" s="208"/>
      <c r="V679" s="208"/>
      <c r="W679" s="208"/>
      <c r="X679" s="208"/>
      <c r="Y679" s="208"/>
      <c r="Z679" s="208"/>
      <c r="AA679" s="208"/>
      <c r="AB679" s="208"/>
      <c r="AC679" s="208"/>
      <c r="AD679" s="208"/>
      <c r="AE679" s="208"/>
      <c r="AF679" s="208"/>
      <c r="AG679" s="208"/>
      <c r="AH679" s="208"/>
      <c r="AI679" s="208"/>
      <c r="AJ679" s="208"/>
      <c r="AK679" s="208"/>
      <c r="AL679" s="208"/>
      <c r="AM679" s="208"/>
      <c r="AN679" s="208"/>
      <c r="AO679" s="208"/>
      <c r="AP679" s="208"/>
    </row>
    <row r="680" spans="1:42">
      <c r="A680" s="37" t="s">
        <v>207</v>
      </c>
      <c r="B680" s="164"/>
      <c r="C680" s="164"/>
      <c r="D680" s="164"/>
      <c r="E680" s="164"/>
      <c r="F680" s="164"/>
      <c r="G680" s="208"/>
      <c r="H680" s="208"/>
      <c r="I680" s="208"/>
      <c r="J680" s="208"/>
      <c r="K680" s="208"/>
      <c r="L680" s="208"/>
      <c r="M680" s="208"/>
      <c r="N680" s="208"/>
      <c r="O680" s="208"/>
      <c r="P680" s="208"/>
      <c r="Q680" s="208"/>
      <c r="R680" s="208"/>
      <c r="S680" s="208"/>
      <c r="T680" s="208"/>
      <c r="U680" s="208"/>
      <c r="V680" s="208"/>
      <c r="W680" s="208"/>
      <c r="X680" s="208"/>
      <c r="Y680" s="208"/>
      <c r="Z680" s="208"/>
      <c r="AA680" s="208"/>
      <c r="AB680" s="208"/>
      <c r="AC680" s="208"/>
      <c r="AD680" s="208"/>
      <c r="AE680" s="208"/>
      <c r="AF680" s="208"/>
      <c r="AG680" s="208"/>
      <c r="AH680" s="208"/>
      <c r="AI680" s="208"/>
      <c r="AJ680" s="208"/>
      <c r="AK680" s="208"/>
      <c r="AL680" s="208"/>
      <c r="AM680" s="208"/>
      <c r="AN680" s="208"/>
      <c r="AO680" s="208"/>
      <c r="AP680" s="208"/>
    </row>
    <row r="681" spans="1:42">
      <c r="A681" s="37">
        <v>1</v>
      </c>
      <c r="B681" s="218">
        <f t="shared" ref="B681:B690" si="321">SUM(C681:AP681)</f>
        <v>2944872.3435013141</v>
      </c>
      <c r="C681" s="208">
        <f t="shared" ref="C681:AP687" si="322">IF(C$2&gt;AnalysisPeriod,0,IF(C$2=MMFrequency*$A681,MMCost*CapacityDC*1000*(1+Inflation)^B$2,0))</f>
        <v>0</v>
      </c>
      <c r="D681" s="208">
        <f t="shared" si="322"/>
        <v>0</v>
      </c>
      <c r="E681" s="208">
        <f t="shared" si="322"/>
        <v>0</v>
      </c>
      <c r="F681" s="208">
        <f t="shared" si="322"/>
        <v>0</v>
      </c>
      <c r="G681" s="208">
        <f t="shared" si="322"/>
        <v>0</v>
      </c>
      <c r="H681" s="208">
        <f t="shared" si="322"/>
        <v>0</v>
      </c>
      <c r="I681" s="208">
        <f t="shared" si="322"/>
        <v>0</v>
      </c>
      <c r="J681" s="208">
        <f t="shared" si="322"/>
        <v>0</v>
      </c>
      <c r="K681" s="208">
        <f t="shared" si="322"/>
        <v>0</v>
      </c>
      <c r="L681" s="208">
        <f t="shared" si="322"/>
        <v>0</v>
      </c>
      <c r="M681" s="208">
        <f t="shared" si="322"/>
        <v>0</v>
      </c>
      <c r="N681" s="208">
        <f t="shared" si="322"/>
        <v>2944872.3435013141</v>
      </c>
      <c r="O681" s="208">
        <f t="shared" si="322"/>
        <v>0</v>
      </c>
      <c r="P681" s="208">
        <f t="shared" si="322"/>
        <v>0</v>
      </c>
      <c r="Q681" s="208">
        <f t="shared" si="322"/>
        <v>0</v>
      </c>
      <c r="R681" s="208">
        <f t="shared" si="322"/>
        <v>0</v>
      </c>
      <c r="S681" s="208">
        <f t="shared" si="322"/>
        <v>0</v>
      </c>
      <c r="T681" s="208">
        <f t="shared" si="322"/>
        <v>0</v>
      </c>
      <c r="U681" s="208">
        <f t="shared" si="322"/>
        <v>0</v>
      </c>
      <c r="V681" s="208">
        <f t="shared" si="322"/>
        <v>0</v>
      </c>
      <c r="W681" s="208">
        <f t="shared" si="322"/>
        <v>0</v>
      </c>
      <c r="X681" s="208">
        <f t="shared" si="322"/>
        <v>0</v>
      </c>
      <c r="Y681" s="208">
        <f t="shared" si="322"/>
        <v>0</v>
      </c>
      <c r="Z681" s="208">
        <f t="shared" si="322"/>
        <v>0</v>
      </c>
      <c r="AA681" s="208">
        <f t="shared" si="322"/>
        <v>0</v>
      </c>
      <c r="AB681" s="208">
        <f t="shared" si="322"/>
        <v>0</v>
      </c>
      <c r="AC681" s="208">
        <f t="shared" si="322"/>
        <v>0</v>
      </c>
      <c r="AD681" s="208">
        <f t="shared" si="322"/>
        <v>0</v>
      </c>
      <c r="AE681" s="208">
        <f t="shared" si="322"/>
        <v>0</v>
      </c>
      <c r="AF681" s="208">
        <f t="shared" si="322"/>
        <v>0</v>
      </c>
      <c r="AG681" s="208">
        <f t="shared" si="322"/>
        <v>0</v>
      </c>
      <c r="AH681" s="208">
        <f t="shared" si="322"/>
        <v>0</v>
      </c>
      <c r="AI681" s="208">
        <f t="shared" si="322"/>
        <v>0</v>
      </c>
      <c r="AJ681" s="208">
        <f t="shared" si="322"/>
        <v>0</v>
      </c>
      <c r="AK681" s="208">
        <f t="shared" si="322"/>
        <v>0</v>
      </c>
      <c r="AL681" s="208">
        <f t="shared" si="322"/>
        <v>0</v>
      </c>
      <c r="AM681" s="208">
        <f t="shared" si="322"/>
        <v>0</v>
      </c>
      <c r="AN681" s="208">
        <f t="shared" si="322"/>
        <v>0</v>
      </c>
      <c r="AO681" s="208">
        <f t="shared" si="322"/>
        <v>0</v>
      </c>
      <c r="AP681" s="208">
        <f t="shared" si="322"/>
        <v>0</v>
      </c>
    </row>
    <row r="682" spans="1:42">
      <c r="A682" s="37">
        <f>A681+1</f>
        <v>2</v>
      </c>
      <c r="B682" s="218">
        <f t="shared" si="321"/>
        <v>3520942.886524681</v>
      </c>
      <c r="C682" s="208">
        <f t="shared" si="322"/>
        <v>0</v>
      </c>
      <c r="D682" s="208">
        <f t="shared" si="322"/>
        <v>0</v>
      </c>
      <c r="E682" s="208">
        <f t="shared" si="322"/>
        <v>0</v>
      </c>
      <c r="F682" s="208">
        <f t="shared" si="322"/>
        <v>0</v>
      </c>
      <c r="G682" s="208">
        <f t="shared" si="322"/>
        <v>0</v>
      </c>
      <c r="H682" s="208">
        <f t="shared" si="322"/>
        <v>0</v>
      </c>
      <c r="I682" s="208">
        <f t="shared" si="322"/>
        <v>0</v>
      </c>
      <c r="J682" s="208">
        <f t="shared" si="322"/>
        <v>0</v>
      </c>
      <c r="K682" s="208">
        <f t="shared" si="322"/>
        <v>0</v>
      </c>
      <c r="L682" s="208">
        <f t="shared" si="322"/>
        <v>0</v>
      </c>
      <c r="M682" s="208">
        <f t="shared" si="322"/>
        <v>0</v>
      </c>
      <c r="N682" s="208">
        <f t="shared" si="322"/>
        <v>0</v>
      </c>
      <c r="O682" s="208">
        <f t="shared" si="322"/>
        <v>0</v>
      </c>
      <c r="P682" s="208">
        <f t="shared" si="322"/>
        <v>0</v>
      </c>
      <c r="Q682" s="208">
        <f t="shared" si="322"/>
        <v>0</v>
      </c>
      <c r="R682" s="208">
        <f t="shared" si="322"/>
        <v>0</v>
      </c>
      <c r="S682" s="208">
        <f t="shared" si="322"/>
        <v>0</v>
      </c>
      <c r="T682" s="208">
        <f t="shared" si="322"/>
        <v>0</v>
      </c>
      <c r="U682" s="208">
        <f t="shared" si="322"/>
        <v>0</v>
      </c>
      <c r="V682" s="208">
        <f t="shared" si="322"/>
        <v>0</v>
      </c>
      <c r="W682" s="208">
        <f t="shared" si="322"/>
        <v>0</v>
      </c>
      <c r="X682" s="208">
        <f t="shared" si="322"/>
        <v>0</v>
      </c>
      <c r="Y682" s="208">
        <f t="shared" si="322"/>
        <v>0</v>
      </c>
      <c r="Z682" s="208">
        <f t="shared" si="322"/>
        <v>3520942.886524681</v>
      </c>
      <c r="AA682" s="208">
        <f t="shared" si="322"/>
        <v>0</v>
      </c>
      <c r="AB682" s="208">
        <f t="shared" si="322"/>
        <v>0</v>
      </c>
      <c r="AC682" s="208">
        <f t="shared" si="322"/>
        <v>0</v>
      </c>
      <c r="AD682" s="208">
        <f t="shared" si="322"/>
        <v>0</v>
      </c>
      <c r="AE682" s="208">
        <f t="shared" si="322"/>
        <v>0</v>
      </c>
      <c r="AF682" s="208">
        <f t="shared" si="322"/>
        <v>0</v>
      </c>
      <c r="AG682" s="208">
        <f t="shared" si="322"/>
        <v>0</v>
      </c>
      <c r="AH682" s="208">
        <f t="shared" si="322"/>
        <v>0</v>
      </c>
      <c r="AI682" s="208">
        <f t="shared" si="322"/>
        <v>0</v>
      </c>
      <c r="AJ682" s="208">
        <f t="shared" si="322"/>
        <v>0</v>
      </c>
      <c r="AK682" s="208">
        <f t="shared" si="322"/>
        <v>0</v>
      </c>
      <c r="AL682" s="208">
        <f t="shared" si="322"/>
        <v>0</v>
      </c>
      <c r="AM682" s="208">
        <f t="shared" si="322"/>
        <v>0</v>
      </c>
      <c r="AN682" s="208">
        <f t="shared" si="322"/>
        <v>0</v>
      </c>
      <c r="AO682" s="208">
        <f t="shared" si="322"/>
        <v>0</v>
      </c>
      <c r="AP682" s="208">
        <f t="shared" si="322"/>
        <v>0</v>
      </c>
    </row>
    <row r="683" spans="1:42">
      <c r="A683" s="37">
        <f t="shared" ref="A683:A690" si="323">A682+1</f>
        <v>3</v>
      </c>
      <c r="B683" s="218">
        <f t="shared" si="321"/>
        <v>0</v>
      </c>
      <c r="C683" s="208">
        <f t="shared" si="322"/>
        <v>0</v>
      </c>
      <c r="D683" s="208">
        <f t="shared" si="322"/>
        <v>0</v>
      </c>
      <c r="E683" s="208">
        <f t="shared" si="322"/>
        <v>0</v>
      </c>
      <c r="F683" s="208">
        <f t="shared" si="322"/>
        <v>0</v>
      </c>
      <c r="G683" s="208">
        <f t="shared" si="322"/>
        <v>0</v>
      </c>
      <c r="H683" s="208">
        <f t="shared" si="322"/>
        <v>0</v>
      </c>
      <c r="I683" s="208">
        <f t="shared" si="322"/>
        <v>0</v>
      </c>
      <c r="J683" s="208">
        <f t="shared" si="322"/>
        <v>0</v>
      </c>
      <c r="K683" s="208">
        <f t="shared" si="322"/>
        <v>0</v>
      </c>
      <c r="L683" s="208">
        <f t="shared" si="322"/>
        <v>0</v>
      </c>
      <c r="M683" s="208">
        <f t="shared" si="322"/>
        <v>0</v>
      </c>
      <c r="N683" s="208">
        <f t="shared" si="322"/>
        <v>0</v>
      </c>
      <c r="O683" s="208">
        <f t="shared" si="322"/>
        <v>0</v>
      </c>
      <c r="P683" s="208">
        <f t="shared" si="322"/>
        <v>0</v>
      </c>
      <c r="Q683" s="208">
        <f t="shared" si="322"/>
        <v>0</v>
      </c>
      <c r="R683" s="208">
        <f t="shared" si="322"/>
        <v>0</v>
      </c>
      <c r="S683" s="208">
        <f t="shared" si="322"/>
        <v>0</v>
      </c>
      <c r="T683" s="208">
        <f t="shared" si="322"/>
        <v>0</v>
      </c>
      <c r="U683" s="208">
        <f t="shared" si="322"/>
        <v>0</v>
      </c>
      <c r="V683" s="208">
        <f t="shared" si="322"/>
        <v>0</v>
      </c>
      <c r="W683" s="208">
        <f t="shared" si="322"/>
        <v>0</v>
      </c>
      <c r="X683" s="208">
        <f t="shared" si="322"/>
        <v>0</v>
      </c>
      <c r="Y683" s="208">
        <f t="shared" si="322"/>
        <v>0</v>
      </c>
      <c r="Z683" s="208">
        <f t="shared" si="322"/>
        <v>0</v>
      </c>
      <c r="AA683" s="208">
        <f t="shared" si="322"/>
        <v>0</v>
      </c>
      <c r="AB683" s="208">
        <f t="shared" si="322"/>
        <v>0</v>
      </c>
      <c r="AC683" s="208">
        <f t="shared" si="322"/>
        <v>0</v>
      </c>
      <c r="AD683" s="208">
        <f t="shared" si="322"/>
        <v>0</v>
      </c>
      <c r="AE683" s="208">
        <f t="shared" si="322"/>
        <v>0</v>
      </c>
      <c r="AF683" s="208">
        <f t="shared" si="322"/>
        <v>0</v>
      </c>
      <c r="AG683" s="208">
        <f t="shared" si="322"/>
        <v>0</v>
      </c>
      <c r="AH683" s="208">
        <f t="shared" si="322"/>
        <v>0</v>
      </c>
      <c r="AI683" s="208">
        <f t="shared" si="322"/>
        <v>0</v>
      </c>
      <c r="AJ683" s="208">
        <f t="shared" si="322"/>
        <v>0</v>
      </c>
      <c r="AK683" s="208">
        <f t="shared" si="322"/>
        <v>0</v>
      </c>
      <c r="AL683" s="208">
        <f t="shared" si="322"/>
        <v>0</v>
      </c>
      <c r="AM683" s="208">
        <f t="shared" si="322"/>
        <v>0</v>
      </c>
      <c r="AN683" s="208">
        <f t="shared" si="322"/>
        <v>0</v>
      </c>
      <c r="AO683" s="208">
        <f t="shared" si="322"/>
        <v>0</v>
      </c>
      <c r="AP683" s="208">
        <f t="shared" si="322"/>
        <v>0</v>
      </c>
    </row>
    <row r="684" spans="1:42">
      <c r="A684" s="37">
        <f t="shared" si="323"/>
        <v>4</v>
      </c>
      <c r="B684" s="218">
        <f t="shared" si="321"/>
        <v>0</v>
      </c>
      <c r="C684" s="208">
        <f t="shared" si="322"/>
        <v>0</v>
      </c>
      <c r="D684" s="208">
        <f t="shared" si="322"/>
        <v>0</v>
      </c>
      <c r="E684" s="208">
        <f t="shared" si="322"/>
        <v>0</v>
      </c>
      <c r="F684" s="208">
        <f t="shared" si="322"/>
        <v>0</v>
      </c>
      <c r="G684" s="208">
        <f t="shared" si="322"/>
        <v>0</v>
      </c>
      <c r="H684" s="208">
        <f t="shared" si="322"/>
        <v>0</v>
      </c>
      <c r="I684" s="208">
        <f t="shared" si="322"/>
        <v>0</v>
      </c>
      <c r="J684" s="208">
        <f t="shared" si="322"/>
        <v>0</v>
      </c>
      <c r="K684" s="208">
        <f t="shared" si="322"/>
        <v>0</v>
      </c>
      <c r="L684" s="208">
        <f t="shared" si="322"/>
        <v>0</v>
      </c>
      <c r="M684" s="208">
        <f t="shared" si="322"/>
        <v>0</v>
      </c>
      <c r="N684" s="208">
        <f t="shared" si="322"/>
        <v>0</v>
      </c>
      <c r="O684" s="208">
        <f t="shared" si="322"/>
        <v>0</v>
      </c>
      <c r="P684" s="208">
        <f t="shared" si="322"/>
        <v>0</v>
      </c>
      <c r="Q684" s="208">
        <f t="shared" si="322"/>
        <v>0</v>
      </c>
      <c r="R684" s="208">
        <f t="shared" si="322"/>
        <v>0</v>
      </c>
      <c r="S684" s="208">
        <f t="shared" si="322"/>
        <v>0</v>
      </c>
      <c r="T684" s="208">
        <f t="shared" si="322"/>
        <v>0</v>
      </c>
      <c r="U684" s="208">
        <f t="shared" si="322"/>
        <v>0</v>
      </c>
      <c r="V684" s="208">
        <f t="shared" si="322"/>
        <v>0</v>
      </c>
      <c r="W684" s="208">
        <f t="shared" si="322"/>
        <v>0</v>
      </c>
      <c r="X684" s="208">
        <f t="shared" si="322"/>
        <v>0</v>
      </c>
      <c r="Y684" s="208">
        <f t="shared" si="322"/>
        <v>0</v>
      </c>
      <c r="Z684" s="208">
        <f t="shared" si="322"/>
        <v>0</v>
      </c>
      <c r="AA684" s="208">
        <f t="shared" si="322"/>
        <v>0</v>
      </c>
      <c r="AB684" s="208">
        <f t="shared" si="322"/>
        <v>0</v>
      </c>
      <c r="AC684" s="208">
        <f t="shared" si="322"/>
        <v>0</v>
      </c>
      <c r="AD684" s="208">
        <f t="shared" si="322"/>
        <v>0</v>
      </c>
      <c r="AE684" s="208">
        <f t="shared" si="322"/>
        <v>0</v>
      </c>
      <c r="AF684" s="208">
        <f t="shared" si="322"/>
        <v>0</v>
      </c>
      <c r="AG684" s="208">
        <f t="shared" si="322"/>
        <v>0</v>
      </c>
      <c r="AH684" s="208">
        <f t="shared" si="322"/>
        <v>0</v>
      </c>
      <c r="AI684" s="208">
        <f t="shared" si="322"/>
        <v>0</v>
      </c>
      <c r="AJ684" s="208">
        <f t="shared" si="322"/>
        <v>0</v>
      </c>
      <c r="AK684" s="208">
        <f t="shared" si="322"/>
        <v>0</v>
      </c>
      <c r="AL684" s="208">
        <f t="shared" si="322"/>
        <v>0</v>
      </c>
      <c r="AM684" s="208">
        <f t="shared" si="322"/>
        <v>0</v>
      </c>
      <c r="AN684" s="208">
        <f t="shared" si="322"/>
        <v>0</v>
      </c>
      <c r="AO684" s="208">
        <f t="shared" si="322"/>
        <v>0</v>
      </c>
      <c r="AP684" s="208">
        <f t="shared" si="322"/>
        <v>0</v>
      </c>
    </row>
    <row r="685" spans="1:42">
      <c r="A685" s="37">
        <f t="shared" si="323"/>
        <v>5</v>
      </c>
      <c r="B685" s="218">
        <f t="shared" si="321"/>
        <v>0</v>
      </c>
      <c r="C685" s="208">
        <f t="shared" si="322"/>
        <v>0</v>
      </c>
      <c r="D685" s="208">
        <f t="shared" si="322"/>
        <v>0</v>
      </c>
      <c r="E685" s="208">
        <f t="shared" si="322"/>
        <v>0</v>
      </c>
      <c r="F685" s="208">
        <f t="shared" si="322"/>
        <v>0</v>
      </c>
      <c r="G685" s="208">
        <f t="shared" si="322"/>
        <v>0</v>
      </c>
      <c r="H685" s="208">
        <f t="shared" si="322"/>
        <v>0</v>
      </c>
      <c r="I685" s="208">
        <f t="shared" si="322"/>
        <v>0</v>
      </c>
      <c r="J685" s="208">
        <f t="shared" si="322"/>
        <v>0</v>
      </c>
      <c r="K685" s="208">
        <f t="shared" si="322"/>
        <v>0</v>
      </c>
      <c r="L685" s="208">
        <f t="shared" si="322"/>
        <v>0</v>
      </c>
      <c r="M685" s="208">
        <f t="shared" si="322"/>
        <v>0</v>
      </c>
      <c r="N685" s="208">
        <f t="shared" si="322"/>
        <v>0</v>
      </c>
      <c r="O685" s="208">
        <f t="shared" si="322"/>
        <v>0</v>
      </c>
      <c r="P685" s="208">
        <f t="shared" si="322"/>
        <v>0</v>
      </c>
      <c r="Q685" s="208">
        <f t="shared" si="322"/>
        <v>0</v>
      </c>
      <c r="R685" s="208">
        <f t="shared" si="322"/>
        <v>0</v>
      </c>
      <c r="S685" s="208">
        <f t="shared" si="322"/>
        <v>0</v>
      </c>
      <c r="T685" s="208">
        <f t="shared" si="322"/>
        <v>0</v>
      </c>
      <c r="U685" s="208">
        <f t="shared" si="322"/>
        <v>0</v>
      </c>
      <c r="V685" s="208">
        <f t="shared" si="322"/>
        <v>0</v>
      </c>
      <c r="W685" s="208">
        <f t="shared" si="322"/>
        <v>0</v>
      </c>
      <c r="X685" s="208">
        <f t="shared" si="322"/>
        <v>0</v>
      </c>
      <c r="Y685" s="208">
        <f t="shared" si="322"/>
        <v>0</v>
      </c>
      <c r="Z685" s="208">
        <f t="shared" si="322"/>
        <v>0</v>
      </c>
      <c r="AA685" s="208">
        <f t="shared" si="322"/>
        <v>0</v>
      </c>
      <c r="AB685" s="208">
        <f t="shared" si="322"/>
        <v>0</v>
      </c>
      <c r="AC685" s="208">
        <f t="shared" si="322"/>
        <v>0</v>
      </c>
      <c r="AD685" s="208">
        <f t="shared" si="322"/>
        <v>0</v>
      </c>
      <c r="AE685" s="208">
        <f t="shared" si="322"/>
        <v>0</v>
      </c>
      <c r="AF685" s="208">
        <f t="shared" si="322"/>
        <v>0</v>
      </c>
      <c r="AG685" s="208">
        <f t="shared" si="322"/>
        <v>0</v>
      </c>
      <c r="AH685" s="208">
        <f t="shared" si="322"/>
        <v>0</v>
      </c>
      <c r="AI685" s="208">
        <f t="shared" si="322"/>
        <v>0</v>
      </c>
      <c r="AJ685" s="208">
        <f t="shared" si="322"/>
        <v>0</v>
      </c>
      <c r="AK685" s="208">
        <f t="shared" si="322"/>
        <v>0</v>
      </c>
      <c r="AL685" s="208">
        <f t="shared" si="322"/>
        <v>0</v>
      </c>
      <c r="AM685" s="208">
        <f t="shared" si="322"/>
        <v>0</v>
      </c>
      <c r="AN685" s="208">
        <f t="shared" si="322"/>
        <v>0</v>
      </c>
      <c r="AO685" s="208">
        <f t="shared" si="322"/>
        <v>0</v>
      </c>
      <c r="AP685" s="208">
        <f t="shared" si="322"/>
        <v>0</v>
      </c>
    </row>
    <row r="686" spans="1:42">
      <c r="A686" s="37">
        <f t="shared" si="323"/>
        <v>6</v>
      </c>
      <c r="B686" s="218">
        <f t="shared" si="321"/>
        <v>0</v>
      </c>
      <c r="C686" s="208">
        <f t="shared" si="322"/>
        <v>0</v>
      </c>
      <c r="D686" s="208">
        <f t="shared" si="322"/>
        <v>0</v>
      </c>
      <c r="E686" s="208">
        <f t="shared" si="322"/>
        <v>0</v>
      </c>
      <c r="F686" s="208">
        <f t="shared" si="322"/>
        <v>0</v>
      </c>
      <c r="G686" s="208">
        <f t="shared" si="322"/>
        <v>0</v>
      </c>
      <c r="H686" s="208">
        <f t="shared" si="322"/>
        <v>0</v>
      </c>
      <c r="I686" s="208">
        <f t="shared" si="322"/>
        <v>0</v>
      </c>
      <c r="J686" s="208">
        <f t="shared" si="322"/>
        <v>0</v>
      </c>
      <c r="K686" s="208">
        <f t="shared" si="322"/>
        <v>0</v>
      </c>
      <c r="L686" s="208">
        <f t="shared" si="322"/>
        <v>0</v>
      </c>
      <c r="M686" s="208">
        <f t="shared" si="322"/>
        <v>0</v>
      </c>
      <c r="N686" s="208">
        <f t="shared" si="322"/>
        <v>0</v>
      </c>
      <c r="O686" s="208">
        <f t="shared" si="322"/>
        <v>0</v>
      </c>
      <c r="P686" s="208">
        <f t="shared" si="322"/>
        <v>0</v>
      </c>
      <c r="Q686" s="208">
        <f t="shared" si="322"/>
        <v>0</v>
      </c>
      <c r="R686" s="208">
        <f t="shared" si="322"/>
        <v>0</v>
      </c>
      <c r="S686" s="208">
        <f t="shared" si="322"/>
        <v>0</v>
      </c>
      <c r="T686" s="208">
        <f t="shared" si="322"/>
        <v>0</v>
      </c>
      <c r="U686" s="208">
        <f t="shared" si="322"/>
        <v>0</v>
      </c>
      <c r="V686" s="208">
        <f t="shared" si="322"/>
        <v>0</v>
      </c>
      <c r="W686" s="208">
        <f t="shared" si="322"/>
        <v>0</v>
      </c>
      <c r="X686" s="208">
        <f t="shared" si="322"/>
        <v>0</v>
      </c>
      <c r="Y686" s="208">
        <f t="shared" si="322"/>
        <v>0</v>
      </c>
      <c r="Z686" s="208">
        <f t="shared" si="322"/>
        <v>0</v>
      </c>
      <c r="AA686" s="208">
        <f t="shared" si="322"/>
        <v>0</v>
      </c>
      <c r="AB686" s="208">
        <f t="shared" si="322"/>
        <v>0</v>
      </c>
      <c r="AC686" s="208">
        <f t="shared" si="322"/>
        <v>0</v>
      </c>
      <c r="AD686" s="208">
        <f t="shared" si="322"/>
        <v>0</v>
      </c>
      <c r="AE686" s="208">
        <f t="shared" si="322"/>
        <v>0</v>
      </c>
      <c r="AF686" s="208">
        <f t="shared" si="322"/>
        <v>0</v>
      </c>
      <c r="AG686" s="208">
        <f t="shared" si="322"/>
        <v>0</v>
      </c>
      <c r="AH686" s="208">
        <f t="shared" si="322"/>
        <v>0</v>
      </c>
      <c r="AI686" s="208">
        <f t="shared" si="322"/>
        <v>0</v>
      </c>
      <c r="AJ686" s="208">
        <f t="shared" si="322"/>
        <v>0</v>
      </c>
      <c r="AK686" s="208">
        <f t="shared" si="322"/>
        <v>0</v>
      </c>
      <c r="AL686" s="208">
        <f t="shared" si="322"/>
        <v>0</v>
      </c>
      <c r="AM686" s="208">
        <f t="shared" si="322"/>
        <v>0</v>
      </c>
      <c r="AN686" s="208">
        <f t="shared" si="322"/>
        <v>0</v>
      </c>
      <c r="AO686" s="208">
        <f t="shared" si="322"/>
        <v>0</v>
      </c>
      <c r="AP686" s="208">
        <f t="shared" si="322"/>
        <v>0</v>
      </c>
    </row>
    <row r="687" spans="1:42">
      <c r="A687" s="37">
        <f t="shared" si="323"/>
        <v>7</v>
      </c>
      <c r="B687" s="218">
        <f t="shared" si="321"/>
        <v>0</v>
      </c>
      <c r="C687" s="208">
        <f t="shared" si="322"/>
        <v>0</v>
      </c>
      <c r="D687" s="208">
        <f t="shared" si="322"/>
        <v>0</v>
      </c>
      <c r="E687" s="208">
        <f t="shared" si="322"/>
        <v>0</v>
      </c>
      <c r="F687" s="208">
        <f t="shared" si="322"/>
        <v>0</v>
      </c>
      <c r="G687" s="208">
        <f t="shared" si="322"/>
        <v>0</v>
      </c>
      <c r="H687" s="208">
        <f t="shared" si="322"/>
        <v>0</v>
      </c>
      <c r="I687" s="208">
        <f t="shared" si="322"/>
        <v>0</v>
      </c>
      <c r="J687" s="208">
        <f t="shared" si="322"/>
        <v>0</v>
      </c>
      <c r="K687" s="208">
        <f t="shared" si="322"/>
        <v>0</v>
      </c>
      <c r="L687" s="208">
        <f t="shared" si="322"/>
        <v>0</v>
      </c>
      <c r="M687" s="208">
        <f t="shared" si="322"/>
        <v>0</v>
      </c>
      <c r="N687" s="208">
        <f t="shared" si="322"/>
        <v>0</v>
      </c>
      <c r="O687" s="208">
        <f t="shared" si="322"/>
        <v>0</v>
      </c>
      <c r="P687" s="208">
        <f t="shared" si="322"/>
        <v>0</v>
      </c>
      <c r="Q687" s="208">
        <f t="shared" si="322"/>
        <v>0</v>
      </c>
      <c r="R687" s="208">
        <f t="shared" ref="R687:AP687" si="324">IF(R$2&gt;AnalysisPeriod,0,IF(R$2=MMFrequency*$A687,MMCost*CapacityDC*1000*(1+Inflation)^Q$2,0))</f>
        <v>0</v>
      </c>
      <c r="S687" s="208">
        <f t="shared" si="324"/>
        <v>0</v>
      </c>
      <c r="T687" s="208">
        <f t="shared" si="324"/>
        <v>0</v>
      </c>
      <c r="U687" s="208">
        <f t="shared" si="324"/>
        <v>0</v>
      </c>
      <c r="V687" s="208">
        <f t="shared" si="324"/>
        <v>0</v>
      </c>
      <c r="W687" s="208">
        <f t="shared" si="324"/>
        <v>0</v>
      </c>
      <c r="X687" s="208">
        <f t="shared" si="324"/>
        <v>0</v>
      </c>
      <c r="Y687" s="208">
        <f t="shared" si="324"/>
        <v>0</v>
      </c>
      <c r="Z687" s="208">
        <f t="shared" si="324"/>
        <v>0</v>
      </c>
      <c r="AA687" s="208">
        <f t="shared" si="324"/>
        <v>0</v>
      </c>
      <c r="AB687" s="208">
        <f t="shared" si="324"/>
        <v>0</v>
      </c>
      <c r="AC687" s="208">
        <f t="shared" si="324"/>
        <v>0</v>
      </c>
      <c r="AD687" s="208">
        <f t="shared" si="324"/>
        <v>0</v>
      </c>
      <c r="AE687" s="208">
        <f t="shared" si="324"/>
        <v>0</v>
      </c>
      <c r="AF687" s="208">
        <f t="shared" si="324"/>
        <v>0</v>
      </c>
      <c r="AG687" s="208">
        <f t="shared" si="324"/>
        <v>0</v>
      </c>
      <c r="AH687" s="208">
        <f t="shared" si="324"/>
        <v>0</v>
      </c>
      <c r="AI687" s="208">
        <f t="shared" si="324"/>
        <v>0</v>
      </c>
      <c r="AJ687" s="208">
        <f t="shared" si="324"/>
        <v>0</v>
      </c>
      <c r="AK687" s="208">
        <f t="shared" si="324"/>
        <v>0</v>
      </c>
      <c r="AL687" s="208">
        <f t="shared" si="324"/>
        <v>0</v>
      </c>
      <c r="AM687" s="208">
        <f t="shared" si="324"/>
        <v>0</v>
      </c>
      <c r="AN687" s="208">
        <f t="shared" si="324"/>
        <v>0</v>
      </c>
      <c r="AO687" s="208">
        <f t="shared" si="324"/>
        <v>0</v>
      </c>
      <c r="AP687" s="208">
        <f t="shared" si="324"/>
        <v>0</v>
      </c>
    </row>
    <row r="688" spans="1:42">
      <c r="A688" s="37">
        <f t="shared" si="323"/>
        <v>8</v>
      </c>
      <c r="B688" s="218">
        <f t="shared" si="321"/>
        <v>0</v>
      </c>
      <c r="C688" s="208">
        <f t="shared" ref="C688:AP690" si="325">IF(C$2&gt;AnalysisPeriod,0,IF(C$2=MMFrequency*$A688,MMCost*CapacityDC*1000*(1+Inflation)^B$2,0))</f>
        <v>0</v>
      </c>
      <c r="D688" s="208">
        <f t="shared" si="325"/>
        <v>0</v>
      </c>
      <c r="E688" s="208">
        <f t="shared" si="325"/>
        <v>0</v>
      </c>
      <c r="F688" s="208">
        <f t="shared" si="325"/>
        <v>0</v>
      </c>
      <c r="G688" s="208">
        <f t="shared" si="325"/>
        <v>0</v>
      </c>
      <c r="H688" s="208">
        <f t="shared" si="325"/>
        <v>0</v>
      </c>
      <c r="I688" s="208">
        <f t="shared" si="325"/>
        <v>0</v>
      </c>
      <c r="J688" s="208">
        <f t="shared" si="325"/>
        <v>0</v>
      </c>
      <c r="K688" s="208">
        <f t="shared" si="325"/>
        <v>0</v>
      </c>
      <c r="L688" s="208">
        <f t="shared" si="325"/>
        <v>0</v>
      </c>
      <c r="M688" s="208">
        <f t="shared" si="325"/>
        <v>0</v>
      </c>
      <c r="N688" s="208">
        <f t="shared" si="325"/>
        <v>0</v>
      </c>
      <c r="O688" s="208">
        <f t="shared" si="325"/>
        <v>0</v>
      </c>
      <c r="P688" s="208">
        <f t="shared" si="325"/>
        <v>0</v>
      </c>
      <c r="Q688" s="208">
        <f t="shared" si="325"/>
        <v>0</v>
      </c>
      <c r="R688" s="208">
        <f t="shared" si="325"/>
        <v>0</v>
      </c>
      <c r="S688" s="208">
        <f t="shared" si="325"/>
        <v>0</v>
      </c>
      <c r="T688" s="208">
        <f t="shared" si="325"/>
        <v>0</v>
      </c>
      <c r="U688" s="208">
        <f t="shared" si="325"/>
        <v>0</v>
      </c>
      <c r="V688" s="208">
        <f t="shared" si="325"/>
        <v>0</v>
      </c>
      <c r="W688" s="208">
        <f t="shared" si="325"/>
        <v>0</v>
      </c>
      <c r="X688" s="208">
        <f t="shared" si="325"/>
        <v>0</v>
      </c>
      <c r="Y688" s="208">
        <f t="shared" si="325"/>
        <v>0</v>
      </c>
      <c r="Z688" s="208">
        <f t="shared" si="325"/>
        <v>0</v>
      </c>
      <c r="AA688" s="208">
        <f t="shared" si="325"/>
        <v>0</v>
      </c>
      <c r="AB688" s="208">
        <f t="shared" si="325"/>
        <v>0</v>
      </c>
      <c r="AC688" s="208">
        <f t="shared" si="325"/>
        <v>0</v>
      </c>
      <c r="AD688" s="208">
        <f t="shared" si="325"/>
        <v>0</v>
      </c>
      <c r="AE688" s="208">
        <f t="shared" si="325"/>
        <v>0</v>
      </c>
      <c r="AF688" s="208">
        <f t="shared" si="325"/>
        <v>0</v>
      </c>
      <c r="AG688" s="208">
        <f t="shared" si="325"/>
        <v>0</v>
      </c>
      <c r="AH688" s="208">
        <f t="shared" si="325"/>
        <v>0</v>
      </c>
      <c r="AI688" s="208">
        <f t="shared" si="325"/>
        <v>0</v>
      </c>
      <c r="AJ688" s="208">
        <f t="shared" si="325"/>
        <v>0</v>
      </c>
      <c r="AK688" s="208">
        <f t="shared" si="325"/>
        <v>0</v>
      </c>
      <c r="AL688" s="208">
        <f t="shared" si="325"/>
        <v>0</v>
      </c>
      <c r="AM688" s="208">
        <f t="shared" si="325"/>
        <v>0</v>
      </c>
      <c r="AN688" s="208">
        <f t="shared" si="325"/>
        <v>0</v>
      </c>
      <c r="AO688" s="208">
        <f t="shared" si="325"/>
        <v>0</v>
      </c>
      <c r="AP688" s="208">
        <f t="shared" si="325"/>
        <v>0</v>
      </c>
    </row>
    <row r="689" spans="1:42">
      <c r="A689" s="37">
        <f>A688+1</f>
        <v>9</v>
      </c>
      <c r="B689" s="218">
        <f t="shared" si="321"/>
        <v>0</v>
      </c>
      <c r="C689" s="208">
        <f t="shared" si="325"/>
        <v>0</v>
      </c>
      <c r="D689" s="208">
        <f t="shared" si="325"/>
        <v>0</v>
      </c>
      <c r="E689" s="208">
        <f t="shared" si="325"/>
        <v>0</v>
      </c>
      <c r="F689" s="208">
        <f t="shared" si="325"/>
        <v>0</v>
      </c>
      <c r="G689" s="208">
        <f t="shared" si="325"/>
        <v>0</v>
      </c>
      <c r="H689" s="208">
        <f t="shared" si="325"/>
        <v>0</v>
      </c>
      <c r="I689" s="208">
        <f t="shared" si="325"/>
        <v>0</v>
      </c>
      <c r="J689" s="208">
        <f t="shared" si="325"/>
        <v>0</v>
      </c>
      <c r="K689" s="208">
        <f t="shared" si="325"/>
        <v>0</v>
      </c>
      <c r="L689" s="208">
        <f t="shared" si="325"/>
        <v>0</v>
      </c>
      <c r="M689" s="208">
        <f t="shared" si="325"/>
        <v>0</v>
      </c>
      <c r="N689" s="208">
        <f t="shared" si="325"/>
        <v>0</v>
      </c>
      <c r="O689" s="208">
        <f t="shared" si="325"/>
        <v>0</v>
      </c>
      <c r="P689" s="208">
        <f t="shared" si="325"/>
        <v>0</v>
      </c>
      <c r="Q689" s="208">
        <f t="shared" si="325"/>
        <v>0</v>
      </c>
      <c r="R689" s="208">
        <f t="shared" si="325"/>
        <v>0</v>
      </c>
      <c r="S689" s="208">
        <f t="shared" si="325"/>
        <v>0</v>
      </c>
      <c r="T689" s="208">
        <f t="shared" si="325"/>
        <v>0</v>
      </c>
      <c r="U689" s="208">
        <f t="shared" si="325"/>
        <v>0</v>
      </c>
      <c r="V689" s="208">
        <f t="shared" si="325"/>
        <v>0</v>
      </c>
      <c r="W689" s="208">
        <f t="shared" si="325"/>
        <v>0</v>
      </c>
      <c r="X689" s="208">
        <f t="shared" si="325"/>
        <v>0</v>
      </c>
      <c r="Y689" s="208">
        <f t="shared" si="325"/>
        <v>0</v>
      </c>
      <c r="Z689" s="208">
        <f t="shared" si="325"/>
        <v>0</v>
      </c>
      <c r="AA689" s="208">
        <f t="shared" si="325"/>
        <v>0</v>
      </c>
      <c r="AB689" s="208">
        <f t="shared" si="325"/>
        <v>0</v>
      </c>
      <c r="AC689" s="208">
        <f t="shared" si="325"/>
        <v>0</v>
      </c>
      <c r="AD689" s="208">
        <f t="shared" si="325"/>
        <v>0</v>
      </c>
      <c r="AE689" s="208">
        <f t="shared" si="325"/>
        <v>0</v>
      </c>
      <c r="AF689" s="208">
        <f t="shared" si="325"/>
        <v>0</v>
      </c>
      <c r="AG689" s="208">
        <f t="shared" si="325"/>
        <v>0</v>
      </c>
      <c r="AH689" s="208">
        <f t="shared" si="325"/>
        <v>0</v>
      </c>
      <c r="AI689" s="208">
        <f t="shared" si="325"/>
        <v>0</v>
      </c>
      <c r="AJ689" s="208">
        <f t="shared" si="325"/>
        <v>0</v>
      </c>
      <c r="AK689" s="208">
        <f t="shared" si="325"/>
        <v>0</v>
      </c>
      <c r="AL689" s="208">
        <f t="shared" si="325"/>
        <v>0</v>
      </c>
      <c r="AM689" s="208">
        <f t="shared" si="325"/>
        <v>0</v>
      </c>
      <c r="AN689" s="208">
        <f t="shared" si="325"/>
        <v>0</v>
      </c>
      <c r="AO689" s="208">
        <f t="shared" si="325"/>
        <v>0</v>
      </c>
      <c r="AP689" s="208">
        <f t="shared" si="325"/>
        <v>0</v>
      </c>
    </row>
    <row r="690" spans="1:42">
      <c r="A690" s="37">
        <f t="shared" si="323"/>
        <v>10</v>
      </c>
      <c r="B690" s="218">
        <f t="shared" si="321"/>
        <v>0</v>
      </c>
      <c r="C690" s="209">
        <f t="shared" si="325"/>
        <v>0</v>
      </c>
      <c r="D690" s="209">
        <f t="shared" si="325"/>
        <v>0</v>
      </c>
      <c r="E690" s="209">
        <f t="shared" si="325"/>
        <v>0</v>
      </c>
      <c r="F690" s="209">
        <f t="shared" si="325"/>
        <v>0</v>
      </c>
      <c r="G690" s="209">
        <f t="shared" si="325"/>
        <v>0</v>
      </c>
      <c r="H690" s="209">
        <f t="shared" si="325"/>
        <v>0</v>
      </c>
      <c r="I690" s="209">
        <f t="shared" si="325"/>
        <v>0</v>
      </c>
      <c r="J690" s="209">
        <f t="shared" si="325"/>
        <v>0</v>
      </c>
      <c r="K690" s="209">
        <f t="shared" si="325"/>
        <v>0</v>
      </c>
      <c r="L690" s="209">
        <f t="shared" si="325"/>
        <v>0</v>
      </c>
      <c r="M690" s="209">
        <f t="shared" si="325"/>
        <v>0</v>
      </c>
      <c r="N690" s="209">
        <f t="shared" si="325"/>
        <v>0</v>
      </c>
      <c r="O690" s="209">
        <f t="shared" si="325"/>
        <v>0</v>
      </c>
      <c r="P690" s="209">
        <f t="shared" si="325"/>
        <v>0</v>
      </c>
      <c r="Q690" s="209">
        <f t="shared" si="325"/>
        <v>0</v>
      </c>
      <c r="R690" s="209">
        <f t="shared" si="325"/>
        <v>0</v>
      </c>
      <c r="S690" s="209">
        <f t="shared" si="325"/>
        <v>0</v>
      </c>
      <c r="T690" s="209">
        <f t="shared" si="325"/>
        <v>0</v>
      </c>
      <c r="U690" s="209">
        <f t="shared" si="325"/>
        <v>0</v>
      </c>
      <c r="V690" s="209">
        <f t="shared" si="325"/>
        <v>0</v>
      </c>
      <c r="W690" s="209">
        <f t="shared" si="325"/>
        <v>0</v>
      </c>
      <c r="X690" s="209">
        <f t="shared" si="325"/>
        <v>0</v>
      </c>
      <c r="Y690" s="209">
        <f t="shared" si="325"/>
        <v>0</v>
      </c>
      <c r="Z690" s="209">
        <f t="shared" si="325"/>
        <v>0</v>
      </c>
      <c r="AA690" s="209">
        <f t="shared" si="325"/>
        <v>0</v>
      </c>
      <c r="AB690" s="209">
        <f t="shared" si="325"/>
        <v>0</v>
      </c>
      <c r="AC690" s="209">
        <f t="shared" si="325"/>
        <v>0</v>
      </c>
      <c r="AD690" s="209">
        <f t="shared" si="325"/>
        <v>0</v>
      </c>
      <c r="AE690" s="209">
        <f t="shared" si="325"/>
        <v>0</v>
      </c>
      <c r="AF690" s="209">
        <f t="shared" si="325"/>
        <v>0</v>
      </c>
      <c r="AG690" s="209">
        <f t="shared" si="325"/>
        <v>0</v>
      </c>
      <c r="AH690" s="209">
        <f t="shared" si="325"/>
        <v>0</v>
      </c>
      <c r="AI690" s="209">
        <f t="shared" si="325"/>
        <v>0</v>
      </c>
      <c r="AJ690" s="209">
        <f t="shared" si="325"/>
        <v>0</v>
      </c>
      <c r="AK690" s="209">
        <f t="shared" si="325"/>
        <v>0</v>
      </c>
      <c r="AL690" s="209">
        <f t="shared" si="325"/>
        <v>0</v>
      </c>
      <c r="AM690" s="209">
        <f t="shared" si="325"/>
        <v>0</v>
      </c>
      <c r="AN690" s="209">
        <f t="shared" si="325"/>
        <v>0</v>
      </c>
      <c r="AO690" s="209">
        <f t="shared" si="325"/>
        <v>0</v>
      </c>
      <c r="AP690" s="209">
        <f t="shared" si="325"/>
        <v>0</v>
      </c>
    </row>
    <row r="691" spans="1:42">
      <c r="A691" s="244" t="s">
        <v>53</v>
      </c>
      <c r="B691" s="208"/>
      <c r="C691" s="164">
        <f>SUM(C681:C690)</f>
        <v>0</v>
      </c>
      <c r="D691" s="164">
        <f t="shared" ref="D691:AD691" si="326">SUM(D681:D690)</f>
        <v>0</v>
      </c>
      <c r="E691" s="164">
        <f t="shared" si="326"/>
        <v>0</v>
      </c>
      <c r="F691" s="164">
        <f t="shared" si="326"/>
        <v>0</v>
      </c>
      <c r="G691" s="164">
        <f t="shared" si="326"/>
        <v>0</v>
      </c>
      <c r="H691" s="164">
        <f t="shared" si="326"/>
        <v>0</v>
      </c>
      <c r="I691" s="164">
        <f t="shared" si="326"/>
        <v>0</v>
      </c>
      <c r="J691" s="164">
        <f t="shared" si="326"/>
        <v>0</v>
      </c>
      <c r="K691" s="164">
        <f t="shared" si="326"/>
        <v>0</v>
      </c>
      <c r="L691" s="164">
        <f t="shared" si="326"/>
        <v>0</v>
      </c>
      <c r="M691" s="164">
        <f t="shared" si="326"/>
        <v>0</v>
      </c>
      <c r="N691" s="164">
        <f t="shared" si="326"/>
        <v>2944872.3435013141</v>
      </c>
      <c r="O691" s="164">
        <f t="shared" si="326"/>
        <v>0</v>
      </c>
      <c r="P691" s="164">
        <f t="shared" si="326"/>
        <v>0</v>
      </c>
      <c r="Q691" s="164">
        <f t="shared" si="326"/>
        <v>0</v>
      </c>
      <c r="R691" s="164">
        <f t="shared" si="326"/>
        <v>0</v>
      </c>
      <c r="S691" s="164">
        <f t="shared" si="326"/>
        <v>0</v>
      </c>
      <c r="T691" s="164">
        <f t="shared" si="326"/>
        <v>0</v>
      </c>
      <c r="U691" s="164">
        <f t="shared" si="326"/>
        <v>0</v>
      </c>
      <c r="V691" s="164">
        <f t="shared" si="326"/>
        <v>0</v>
      </c>
      <c r="W691" s="164">
        <f t="shared" si="326"/>
        <v>0</v>
      </c>
      <c r="X691" s="164">
        <f t="shared" si="326"/>
        <v>0</v>
      </c>
      <c r="Y691" s="164">
        <f t="shared" si="326"/>
        <v>0</v>
      </c>
      <c r="Z691" s="164">
        <f t="shared" si="326"/>
        <v>3520942.886524681</v>
      </c>
      <c r="AA691" s="164">
        <f t="shared" si="326"/>
        <v>0</v>
      </c>
      <c r="AB691" s="164">
        <f t="shared" si="326"/>
        <v>0</v>
      </c>
      <c r="AC691" s="164">
        <f t="shared" si="326"/>
        <v>0</v>
      </c>
      <c r="AD691" s="164">
        <f t="shared" si="326"/>
        <v>0</v>
      </c>
      <c r="AE691" s="164">
        <f t="shared" ref="AE691" si="327">SUM(AE681:AE690)</f>
        <v>0</v>
      </c>
      <c r="AF691" s="164">
        <f t="shared" ref="AF691:AP691" si="328">SUM(AF681:AF690)</f>
        <v>0</v>
      </c>
      <c r="AG691" s="164">
        <f t="shared" si="328"/>
        <v>0</v>
      </c>
      <c r="AH691" s="164">
        <f t="shared" si="328"/>
        <v>0</v>
      </c>
      <c r="AI691" s="164">
        <f t="shared" si="328"/>
        <v>0</v>
      </c>
      <c r="AJ691" s="164">
        <f t="shared" si="328"/>
        <v>0</v>
      </c>
      <c r="AK691" s="164">
        <f t="shared" si="328"/>
        <v>0</v>
      </c>
      <c r="AL691" s="164">
        <f t="shared" si="328"/>
        <v>0</v>
      </c>
      <c r="AM691" s="164">
        <f t="shared" si="328"/>
        <v>0</v>
      </c>
      <c r="AN691" s="164">
        <f t="shared" si="328"/>
        <v>0</v>
      </c>
      <c r="AO691" s="164">
        <f t="shared" si="328"/>
        <v>0</v>
      </c>
      <c r="AP691" s="164">
        <f t="shared" si="328"/>
        <v>0</v>
      </c>
    </row>
    <row r="692" spans="1:42">
      <c r="A692" s="37" t="s">
        <v>209</v>
      </c>
      <c r="B692" s="164"/>
      <c r="C692" s="164"/>
      <c r="D692" s="164"/>
      <c r="E692" s="164"/>
      <c r="F692" s="164"/>
      <c r="G692" s="208"/>
      <c r="H692" s="208"/>
      <c r="I692" s="208"/>
      <c r="J692" s="208"/>
      <c r="K692" s="208"/>
      <c r="L692" s="208"/>
      <c r="M692" s="208"/>
      <c r="N692" s="208"/>
      <c r="O692" s="208"/>
      <c r="P692" s="208"/>
      <c r="Q692" s="208"/>
      <c r="R692" s="208"/>
      <c r="S692" s="208"/>
      <c r="T692" s="208"/>
      <c r="U692" s="208"/>
      <c r="V692" s="208"/>
      <c r="W692" s="208"/>
      <c r="X692" s="208"/>
      <c r="Y692" s="208"/>
      <c r="Z692" s="208"/>
      <c r="AA692" s="208"/>
      <c r="AB692" s="208"/>
      <c r="AC692" s="208"/>
      <c r="AD692" s="208"/>
      <c r="AE692" s="208"/>
      <c r="AF692" s="208"/>
      <c r="AG692" s="208"/>
      <c r="AH692" s="208"/>
      <c r="AI692" s="208"/>
      <c r="AJ692" s="208"/>
      <c r="AK692" s="208"/>
      <c r="AL692" s="208"/>
      <c r="AM692" s="208"/>
      <c r="AN692" s="208"/>
      <c r="AO692" s="208"/>
      <c r="AP692" s="208"/>
    </row>
    <row r="693" spans="1:42">
      <c r="A693" s="37">
        <v>1</v>
      </c>
      <c r="B693" s="218">
        <f t="shared" ref="B693:B702" si="329">SUM(C693:AP693)</f>
        <v>2944872.3435013145</v>
      </c>
      <c r="C693" s="164">
        <f t="shared" ref="C693:AP693" si="330">IF(C$2&lt;=MMFrequency*$A$681,$B$681/(MMFrequency),0)</f>
        <v>245406.02862510949</v>
      </c>
      <c r="D693" s="164">
        <f t="shared" si="330"/>
        <v>245406.02862510949</v>
      </c>
      <c r="E693" s="164">
        <f t="shared" si="330"/>
        <v>245406.02862510949</v>
      </c>
      <c r="F693" s="164">
        <f t="shared" si="330"/>
        <v>245406.02862510949</v>
      </c>
      <c r="G693" s="164">
        <f t="shared" si="330"/>
        <v>245406.02862510949</v>
      </c>
      <c r="H693" s="164">
        <f t="shared" si="330"/>
        <v>245406.02862510949</v>
      </c>
      <c r="I693" s="164">
        <f t="shared" si="330"/>
        <v>245406.02862510949</v>
      </c>
      <c r="J693" s="164">
        <f t="shared" si="330"/>
        <v>245406.02862510949</v>
      </c>
      <c r="K693" s="164">
        <f t="shared" si="330"/>
        <v>245406.02862510949</v>
      </c>
      <c r="L693" s="164">
        <f t="shared" si="330"/>
        <v>245406.02862510949</v>
      </c>
      <c r="M693" s="164">
        <f t="shared" si="330"/>
        <v>245406.02862510949</v>
      </c>
      <c r="N693" s="164">
        <f t="shared" si="330"/>
        <v>245406.02862510949</v>
      </c>
      <c r="O693" s="164">
        <f t="shared" si="330"/>
        <v>0</v>
      </c>
      <c r="P693" s="164">
        <f t="shared" si="330"/>
        <v>0</v>
      </c>
      <c r="Q693" s="164">
        <f t="shared" si="330"/>
        <v>0</v>
      </c>
      <c r="R693" s="164">
        <f t="shared" si="330"/>
        <v>0</v>
      </c>
      <c r="S693" s="164">
        <f t="shared" si="330"/>
        <v>0</v>
      </c>
      <c r="T693" s="164">
        <f t="shared" si="330"/>
        <v>0</v>
      </c>
      <c r="U693" s="164">
        <f t="shared" si="330"/>
        <v>0</v>
      </c>
      <c r="V693" s="164">
        <f t="shared" si="330"/>
        <v>0</v>
      </c>
      <c r="W693" s="164">
        <f t="shared" si="330"/>
        <v>0</v>
      </c>
      <c r="X693" s="164">
        <f t="shared" si="330"/>
        <v>0</v>
      </c>
      <c r="Y693" s="164">
        <f t="shared" si="330"/>
        <v>0</v>
      </c>
      <c r="Z693" s="164">
        <f t="shared" si="330"/>
        <v>0</v>
      </c>
      <c r="AA693" s="164">
        <f t="shared" si="330"/>
        <v>0</v>
      </c>
      <c r="AB693" s="164">
        <f t="shared" si="330"/>
        <v>0</v>
      </c>
      <c r="AC693" s="164">
        <f t="shared" si="330"/>
        <v>0</v>
      </c>
      <c r="AD693" s="164">
        <f t="shared" si="330"/>
        <v>0</v>
      </c>
      <c r="AE693" s="164">
        <f t="shared" si="330"/>
        <v>0</v>
      </c>
      <c r="AF693" s="164">
        <f t="shared" si="330"/>
        <v>0</v>
      </c>
      <c r="AG693" s="164">
        <f t="shared" si="330"/>
        <v>0</v>
      </c>
      <c r="AH693" s="164">
        <f t="shared" si="330"/>
        <v>0</v>
      </c>
      <c r="AI693" s="164">
        <f t="shared" si="330"/>
        <v>0</v>
      </c>
      <c r="AJ693" s="164">
        <f t="shared" si="330"/>
        <v>0</v>
      </c>
      <c r="AK693" s="164">
        <f t="shared" si="330"/>
        <v>0</v>
      </c>
      <c r="AL693" s="164">
        <f t="shared" si="330"/>
        <v>0</v>
      </c>
      <c r="AM693" s="164">
        <f t="shared" si="330"/>
        <v>0</v>
      </c>
      <c r="AN693" s="164">
        <f t="shared" si="330"/>
        <v>0</v>
      </c>
      <c r="AO693" s="164">
        <f t="shared" si="330"/>
        <v>0</v>
      </c>
      <c r="AP693" s="164">
        <f t="shared" si="330"/>
        <v>0</v>
      </c>
    </row>
    <row r="694" spans="1:42">
      <c r="A694" s="37">
        <f>A693+1</f>
        <v>2</v>
      </c>
      <c r="B694" s="218">
        <f t="shared" si="329"/>
        <v>3520942.886524681</v>
      </c>
      <c r="C694" s="250">
        <f t="shared" ref="C694:AP700" si="331">IF(AND(C$2&gt;MMFrequency*$A681,C$2&lt;=MMFrequency*$A682),$B682/(MMFrequency),0)</f>
        <v>0</v>
      </c>
      <c r="D694" s="208">
        <f t="shared" si="331"/>
        <v>0</v>
      </c>
      <c r="E694" s="208">
        <f t="shared" si="331"/>
        <v>0</v>
      </c>
      <c r="F694" s="208">
        <f t="shared" si="331"/>
        <v>0</v>
      </c>
      <c r="G694" s="208">
        <f t="shared" si="331"/>
        <v>0</v>
      </c>
      <c r="H694" s="208">
        <f t="shared" si="331"/>
        <v>0</v>
      </c>
      <c r="I694" s="208">
        <f t="shared" si="331"/>
        <v>0</v>
      </c>
      <c r="J694" s="208">
        <f t="shared" si="331"/>
        <v>0</v>
      </c>
      <c r="K694" s="208">
        <f t="shared" si="331"/>
        <v>0</v>
      </c>
      <c r="L694" s="208">
        <f t="shared" si="331"/>
        <v>0</v>
      </c>
      <c r="M694" s="208">
        <f t="shared" si="331"/>
        <v>0</v>
      </c>
      <c r="N694" s="208">
        <f t="shared" si="331"/>
        <v>0</v>
      </c>
      <c r="O694" s="208">
        <f t="shared" si="331"/>
        <v>293411.90721039008</v>
      </c>
      <c r="P694" s="208">
        <f t="shared" si="331"/>
        <v>293411.90721039008</v>
      </c>
      <c r="Q694" s="208">
        <f t="shared" si="331"/>
        <v>293411.90721039008</v>
      </c>
      <c r="R694" s="208">
        <f t="shared" si="331"/>
        <v>293411.90721039008</v>
      </c>
      <c r="S694" s="208">
        <f t="shared" si="331"/>
        <v>293411.90721039008</v>
      </c>
      <c r="T694" s="208">
        <f t="shared" si="331"/>
        <v>293411.90721039008</v>
      </c>
      <c r="U694" s="208">
        <f t="shared" si="331"/>
        <v>293411.90721039008</v>
      </c>
      <c r="V694" s="208">
        <f t="shared" si="331"/>
        <v>293411.90721039008</v>
      </c>
      <c r="W694" s="208">
        <f t="shared" si="331"/>
        <v>293411.90721039008</v>
      </c>
      <c r="X694" s="208">
        <f t="shared" si="331"/>
        <v>293411.90721039008</v>
      </c>
      <c r="Y694" s="208">
        <f t="shared" si="331"/>
        <v>293411.90721039008</v>
      </c>
      <c r="Z694" s="208">
        <f t="shared" si="331"/>
        <v>293411.90721039008</v>
      </c>
      <c r="AA694" s="208">
        <f t="shared" si="331"/>
        <v>0</v>
      </c>
      <c r="AB694" s="208">
        <f t="shared" si="331"/>
        <v>0</v>
      </c>
      <c r="AC694" s="208">
        <f t="shared" si="331"/>
        <v>0</v>
      </c>
      <c r="AD694" s="208">
        <f t="shared" si="331"/>
        <v>0</v>
      </c>
      <c r="AE694" s="208">
        <f t="shared" si="331"/>
        <v>0</v>
      </c>
      <c r="AF694" s="208">
        <f t="shared" si="331"/>
        <v>0</v>
      </c>
      <c r="AG694" s="208">
        <f t="shared" si="331"/>
        <v>0</v>
      </c>
      <c r="AH694" s="208">
        <f t="shared" si="331"/>
        <v>0</v>
      </c>
      <c r="AI694" s="208">
        <f t="shared" si="331"/>
        <v>0</v>
      </c>
      <c r="AJ694" s="208">
        <f t="shared" si="331"/>
        <v>0</v>
      </c>
      <c r="AK694" s="208">
        <f t="shared" si="331"/>
        <v>0</v>
      </c>
      <c r="AL694" s="208">
        <f t="shared" si="331"/>
        <v>0</v>
      </c>
      <c r="AM694" s="208">
        <f t="shared" si="331"/>
        <v>0</v>
      </c>
      <c r="AN694" s="208">
        <f t="shared" si="331"/>
        <v>0</v>
      </c>
      <c r="AO694" s="208">
        <f t="shared" si="331"/>
        <v>0</v>
      </c>
      <c r="AP694" s="208">
        <f t="shared" si="331"/>
        <v>0</v>
      </c>
    </row>
    <row r="695" spans="1:42">
      <c r="A695" s="37">
        <f t="shared" ref="A695:A700" si="332">A694+1</f>
        <v>3</v>
      </c>
      <c r="B695" s="218">
        <f t="shared" si="329"/>
        <v>0</v>
      </c>
      <c r="C695" s="250">
        <f t="shared" si="331"/>
        <v>0</v>
      </c>
      <c r="D695" s="208">
        <f t="shared" si="331"/>
        <v>0</v>
      </c>
      <c r="E695" s="208">
        <f t="shared" si="331"/>
        <v>0</v>
      </c>
      <c r="F695" s="208">
        <f t="shared" si="331"/>
        <v>0</v>
      </c>
      <c r="G695" s="208">
        <f t="shared" si="331"/>
        <v>0</v>
      </c>
      <c r="H695" s="208">
        <f t="shared" si="331"/>
        <v>0</v>
      </c>
      <c r="I695" s="208">
        <f t="shared" si="331"/>
        <v>0</v>
      </c>
      <c r="J695" s="208">
        <f t="shared" si="331"/>
        <v>0</v>
      </c>
      <c r="K695" s="208">
        <f t="shared" si="331"/>
        <v>0</v>
      </c>
      <c r="L695" s="208">
        <f t="shared" si="331"/>
        <v>0</v>
      </c>
      <c r="M695" s="208">
        <f t="shared" si="331"/>
        <v>0</v>
      </c>
      <c r="N695" s="208">
        <f t="shared" si="331"/>
        <v>0</v>
      </c>
      <c r="O695" s="208">
        <f t="shared" si="331"/>
        <v>0</v>
      </c>
      <c r="P695" s="208">
        <f t="shared" si="331"/>
        <v>0</v>
      </c>
      <c r="Q695" s="208">
        <f t="shared" si="331"/>
        <v>0</v>
      </c>
      <c r="R695" s="208">
        <f t="shared" si="331"/>
        <v>0</v>
      </c>
      <c r="S695" s="208">
        <f t="shared" si="331"/>
        <v>0</v>
      </c>
      <c r="T695" s="208">
        <f t="shared" si="331"/>
        <v>0</v>
      </c>
      <c r="U695" s="208">
        <f t="shared" si="331"/>
        <v>0</v>
      </c>
      <c r="V695" s="208">
        <f t="shared" si="331"/>
        <v>0</v>
      </c>
      <c r="W695" s="208">
        <f t="shared" si="331"/>
        <v>0</v>
      </c>
      <c r="X695" s="208">
        <f t="shared" si="331"/>
        <v>0</v>
      </c>
      <c r="Y695" s="208">
        <f t="shared" si="331"/>
        <v>0</v>
      </c>
      <c r="Z695" s="208">
        <f t="shared" si="331"/>
        <v>0</v>
      </c>
      <c r="AA695" s="208">
        <f t="shared" si="331"/>
        <v>0</v>
      </c>
      <c r="AB695" s="208">
        <f t="shared" si="331"/>
        <v>0</v>
      </c>
      <c r="AC695" s="208">
        <f t="shared" si="331"/>
        <v>0</v>
      </c>
      <c r="AD695" s="208">
        <f t="shared" si="331"/>
        <v>0</v>
      </c>
      <c r="AE695" s="208">
        <f t="shared" si="331"/>
        <v>0</v>
      </c>
      <c r="AF695" s="208">
        <f t="shared" si="331"/>
        <v>0</v>
      </c>
      <c r="AG695" s="208">
        <f t="shared" si="331"/>
        <v>0</v>
      </c>
      <c r="AH695" s="208">
        <f t="shared" si="331"/>
        <v>0</v>
      </c>
      <c r="AI695" s="208">
        <f t="shared" si="331"/>
        <v>0</v>
      </c>
      <c r="AJ695" s="208">
        <f t="shared" si="331"/>
        <v>0</v>
      </c>
      <c r="AK695" s="208">
        <f t="shared" si="331"/>
        <v>0</v>
      </c>
      <c r="AL695" s="208">
        <f t="shared" si="331"/>
        <v>0</v>
      </c>
      <c r="AM695" s="208">
        <f t="shared" si="331"/>
        <v>0</v>
      </c>
      <c r="AN695" s="208">
        <f t="shared" si="331"/>
        <v>0</v>
      </c>
      <c r="AO695" s="208">
        <f t="shared" si="331"/>
        <v>0</v>
      </c>
      <c r="AP695" s="208">
        <f t="shared" si="331"/>
        <v>0</v>
      </c>
    </row>
    <row r="696" spans="1:42">
      <c r="A696" s="37">
        <f t="shared" si="332"/>
        <v>4</v>
      </c>
      <c r="B696" s="218">
        <f t="shared" si="329"/>
        <v>0</v>
      </c>
      <c r="C696" s="250">
        <f t="shared" si="331"/>
        <v>0</v>
      </c>
      <c r="D696" s="208">
        <f t="shared" si="331"/>
        <v>0</v>
      </c>
      <c r="E696" s="208">
        <f t="shared" si="331"/>
        <v>0</v>
      </c>
      <c r="F696" s="208">
        <f t="shared" si="331"/>
        <v>0</v>
      </c>
      <c r="G696" s="208">
        <f t="shared" si="331"/>
        <v>0</v>
      </c>
      <c r="H696" s="208">
        <f t="shared" si="331"/>
        <v>0</v>
      </c>
      <c r="I696" s="208">
        <f t="shared" si="331"/>
        <v>0</v>
      </c>
      <c r="J696" s="208">
        <f t="shared" si="331"/>
        <v>0</v>
      </c>
      <c r="K696" s="208">
        <f t="shared" si="331"/>
        <v>0</v>
      </c>
      <c r="L696" s="208">
        <f t="shared" si="331"/>
        <v>0</v>
      </c>
      <c r="M696" s="208">
        <f t="shared" si="331"/>
        <v>0</v>
      </c>
      <c r="N696" s="208">
        <f t="shared" si="331"/>
        <v>0</v>
      </c>
      <c r="O696" s="208">
        <f t="shared" si="331"/>
        <v>0</v>
      </c>
      <c r="P696" s="208">
        <f t="shared" si="331"/>
        <v>0</v>
      </c>
      <c r="Q696" s="208">
        <f t="shared" si="331"/>
        <v>0</v>
      </c>
      <c r="R696" s="208">
        <f t="shared" si="331"/>
        <v>0</v>
      </c>
      <c r="S696" s="208">
        <f t="shared" si="331"/>
        <v>0</v>
      </c>
      <c r="T696" s="208">
        <f t="shared" si="331"/>
        <v>0</v>
      </c>
      <c r="U696" s="208">
        <f t="shared" si="331"/>
        <v>0</v>
      </c>
      <c r="V696" s="208">
        <f t="shared" si="331"/>
        <v>0</v>
      </c>
      <c r="W696" s="208">
        <f t="shared" si="331"/>
        <v>0</v>
      </c>
      <c r="X696" s="208">
        <f t="shared" si="331"/>
        <v>0</v>
      </c>
      <c r="Y696" s="208">
        <f t="shared" si="331"/>
        <v>0</v>
      </c>
      <c r="Z696" s="208">
        <f t="shared" si="331"/>
        <v>0</v>
      </c>
      <c r="AA696" s="208">
        <f t="shared" si="331"/>
        <v>0</v>
      </c>
      <c r="AB696" s="208">
        <f t="shared" si="331"/>
        <v>0</v>
      </c>
      <c r="AC696" s="208">
        <f t="shared" si="331"/>
        <v>0</v>
      </c>
      <c r="AD696" s="208">
        <f t="shared" si="331"/>
        <v>0</v>
      </c>
      <c r="AE696" s="208">
        <f t="shared" si="331"/>
        <v>0</v>
      </c>
      <c r="AF696" s="208">
        <f t="shared" si="331"/>
        <v>0</v>
      </c>
      <c r="AG696" s="208">
        <f t="shared" si="331"/>
        <v>0</v>
      </c>
      <c r="AH696" s="208">
        <f t="shared" si="331"/>
        <v>0</v>
      </c>
      <c r="AI696" s="208">
        <f t="shared" si="331"/>
        <v>0</v>
      </c>
      <c r="AJ696" s="208">
        <f t="shared" si="331"/>
        <v>0</v>
      </c>
      <c r="AK696" s="208">
        <f t="shared" si="331"/>
        <v>0</v>
      </c>
      <c r="AL696" s="208">
        <f t="shared" si="331"/>
        <v>0</v>
      </c>
      <c r="AM696" s="208">
        <f t="shared" si="331"/>
        <v>0</v>
      </c>
      <c r="AN696" s="208">
        <f t="shared" si="331"/>
        <v>0</v>
      </c>
      <c r="AO696" s="208">
        <f t="shared" si="331"/>
        <v>0</v>
      </c>
      <c r="AP696" s="208">
        <f t="shared" si="331"/>
        <v>0</v>
      </c>
    </row>
    <row r="697" spans="1:42">
      <c r="A697" s="37">
        <f t="shared" si="332"/>
        <v>5</v>
      </c>
      <c r="B697" s="218">
        <f t="shared" si="329"/>
        <v>0</v>
      </c>
      <c r="C697" s="250">
        <f t="shared" si="331"/>
        <v>0</v>
      </c>
      <c r="D697" s="208">
        <f t="shared" si="331"/>
        <v>0</v>
      </c>
      <c r="E697" s="208">
        <f t="shared" si="331"/>
        <v>0</v>
      </c>
      <c r="F697" s="208">
        <f t="shared" si="331"/>
        <v>0</v>
      </c>
      <c r="G697" s="208">
        <f t="shared" si="331"/>
        <v>0</v>
      </c>
      <c r="H697" s="208">
        <f t="shared" si="331"/>
        <v>0</v>
      </c>
      <c r="I697" s="208">
        <f t="shared" si="331"/>
        <v>0</v>
      </c>
      <c r="J697" s="208">
        <f t="shared" si="331"/>
        <v>0</v>
      </c>
      <c r="K697" s="208">
        <f t="shared" si="331"/>
        <v>0</v>
      </c>
      <c r="L697" s="208">
        <f t="shared" si="331"/>
        <v>0</v>
      </c>
      <c r="M697" s="208">
        <f t="shared" si="331"/>
        <v>0</v>
      </c>
      <c r="N697" s="208">
        <f t="shared" si="331"/>
        <v>0</v>
      </c>
      <c r="O697" s="208">
        <f t="shared" si="331"/>
        <v>0</v>
      </c>
      <c r="P697" s="208">
        <f t="shared" si="331"/>
        <v>0</v>
      </c>
      <c r="Q697" s="208">
        <f t="shared" si="331"/>
        <v>0</v>
      </c>
      <c r="R697" s="208">
        <f t="shared" si="331"/>
        <v>0</v>
      </c>
      <c r="S697" s="208">
        <f t="shared" si="331"/>
        <v>0</v>
      </c>
      <c r="T697" s="208">
        <f t="shared" si="331"/>
        <v>0</v>
      </c>
      <c r="U697" s="208">
        <f t="shared" si="331"/>
        <v>0</v>
      </c>
      <c r="V697" s="208">
        <f t="shared" si="331"/>
        <v>0</v>
      </c>
      <c r="W697" s="208">
        <f t="shared" si="331"/>
        <v>0</v>
      </c>
      <c r="X697" s="208">
        <f t="shared" si="331"/>
        <v>0</v>
      </c>
      <c r="Y697" s="208">
        <f t="shared" si="331"/>
        <v>0</v>
      </c>
      <c r="Z697" s="208">
        <f t="shared" si="331"/>
        <v>0</v>
      </c>
      <c r="AA697" s="208">
        <f t="shared" si="331"/>
        <v>0</v>
      </c>
      <c r="AB697" s="208">
        <f t="shared" si="331"/>
        <v>0</v>
      </c>
      <c r="AC697" s="208">
        <f t="shared" si="331"/>
        <v>0</v>
      </c>
      <c r="AD697" s="208">
        <f t="shared" si="331"/>
        <v>0</v>
      </c>
      <c r="AE697" s="208">
        <f t="shared" si="331"/>
        <v>0</v>
      </c>
      <c r="AF697" s="208">
        <f t="shared" si="331"/>
        <v>0</v>
      </c>
      <c r="AG697" s="208">
        <f t="shared" si="331"/>
        <v>0</v>
      </c>
      <c r="AH697" s="208">
        <f t="shared" si="331"/>
        <v>0</v>
      </c>
      <c r="AI697" s="208">
        <f t="shared" si="331"/>
        <v>0</v>
      </c>
      <c r="AJ697" s="208">
        <f t="shared" si="331"/>
        <v>0</v>
      </c>
      <c r="AK697" s="208">
        <f t="shared" si="331"/>
        <v>0</v>
      </c>
      <c r="AL697" s="208">
        <f t="shared" si="331"/>
        <v>0</v>
      </c>
      <c r="AM697" s="208">
        <f t="shared" si="331"/>
        <v>0</v>
      </c>
      <c r="AN697" s="208">
        <f t="shared" si="331"/>
        <v>0</v>
      </c>
      <c r="AO697" s="208">
        <f t="shared" si="331"/>
        <v>0</v>
      </c>
      <c r="AP697" s="208">
        <f t="shared" si="331"/>
        <v>0</v>
      </c>
    </row>
    <row r="698" spans="1:42">
      <c r="A698" s="37">
        <f t="shared" si="332"/>
        <v>6</v>
      </c>
      <c r="B698" s="218">
        <f t="shared" si="329"/>
        <v>0</v>
      </c>
      <c r="C698" s="250">
        <f t="shared" si="331"/>
        <v>0</v>
      </c>
      <c r="D698" s="208">
        <f t="shared" si="331"/>
        <v>0</v>
      </c>
      <c r="E698" s="208">
        <f t="shared" si="331"/>
        <v>0</v>
      </c>
      <c r="F698" s="208">
        <f t="shared" si="331"/>
        <v>0</v>
      </c>
      <c r="G698" s="208">
        <f t="shared" si="331"/>
        <v>0</v>
      </c>
      <c r="H698" s="208">
        <f t="shared" si="331"/>
        <v>0</v>
      </c>
      <c r="I698" s="208">
        <f t="shared" si="331"/>
        <v>0</v>
      </c>
      <c r="J698" s="208">
        <f t="shared" si="331"/>
        <v>0</v>
      </c>
      <c r="K698" s="208">
        <f t="shared" si="331"/>
        <v>0</v>
      </c>
      <c r="L698" s="208">
        <f t="shared" si="331"/>
        <v>0</v>
      </c>
      <c r="M698" s="208">
        <f t="shared" si="331"/>
        <v>0</v>
      </c>
      <c r="N698" s="208">
        <f t="shared" si="331"/>
        <v>0</v>
      </c>
      <c r="O698" s="208">
        <f t="shared" si="331"/>
        <v>0</v>
      </c>
      <c r="P698" s="208">
        <f t="shared" si="331"/>
        <v>0</v>
      </c>
      <c r="Q698" s="208">
        <f t="shared" si="331"/>
        <v>0</v>
      </c>
      <c r="R698" s="208">
        <f t="shared" si="331"/>
        <v>0</v>
      </c>
      <c r="S698" s="208">
        <f t="shared" si="331"/>
        <v>0</v>
      </c>
      <c r="T698" s="208">
        <f t="shared" si="331"/>
        <v>0</v>
      </c>
      <c r="U698" s="208">
        <f t="shared" si="331"/>
        <v>0</v>
      </c>
      <c r="V698" s="208">
        <f t="shared" si="331"/>
        <v>0</v>
      </c>
      <c r="W698" s="208">
        <f t="shared" si="331"/>
        <v>0</v>
      </c>
      <c r="X698" s="208">
        <f t="shared" si="331"/>
        <v>0</v>
      </c>
      <c r="Y698" s="208">
        <f t="shared" si="331"/>
        <v>0</v>
      </c>
      <c r="Z698" s="208">
        <f t="shared" si="331"/>
        <v>0</v>
      </c>
      <c r="AA698" s="208">
        <f t="shared" si="331"/>
        <v>0</v>
      </c>
      <c r="AB698" s="208">
        <f t="shared" si="331"/>
        <v>0</v>
      </c>
      <c r="AC698" s="208">
        <f t="shared" si="331"/>
        <v>0</v>
      </c>
      <c r="AD698" s="208">
        <f t="shared" si="331"/>
        <v>0</v>
      </c>
      <c r="AE698" s="208">
        <f t="shared" si="331"/>
        <v>0</v>
      </c>
      <c r="AF698" s="208">
        <f t="shared" si="331"/>
        <v>0</v>
      </c>
      <c r="AG698" s="208">
        <f t="shared" si="331"/>
        <v>0</v>
      </c>
      <c r="AH698" s="208">
        <f t="shared" si="331"/>
        <v>0</v>
      </c>
      <c r="AI698" s="208">
        <f t="shared" si="331"/>
        <v>0</v>
      </c>
      <c r="AJ698" s="208">
        <f t="shared" si="331"/>
        <v>0</v>
      </c>
      <c r="AK698" s="208">
        <f t="shared" si="331"/>
        <v>0</v>
      </c>
      <c r="AL698" s="208">
        <f t="shared" si="331"/>
        <v>0</v>
      </c>
      <c r="AM698" s="208">
        <f t="shared" si="331"/>
        <v>0</v>
      </c>
      <c r="AN698" s="208">
        <f t="shared" si="331"/>
        <v>0</v>
      </c>
      <c r="AO698" s="208">
        <f t="shared" si="331"/>
        <v>0</v>
      </c>
      <c r="AP698" s="208">
        <f t="shared" si="331"/>
        <v>0</v>
      </c>
    </row>
    <row r="699" spans="1:42">
      <c r="A699" s="37">
        <f t="shared" si="332"/>
        <v>7</v>
      </c>
      <c r="B699" s="218">
        <f t="shared" si="329"/>
        <v>0</v>
      </c>
      <c r="C699" s="250">
        <f t="shared" si="331"/>
        <v>0</v>
      </c>
      <c r="D699" s="208">
        <f t="shared" si="331"/>
        <v>0</v>
      </c>
      <c r="E699" s="208">
        <f t="shared" si="331"/>
        <v>0</v>
      </c>
      <c r="F699" s="208">
        <f t="shared" si="331"/>
        <v>0</v>
      </c>
      <c r="G699" s="208">
        <f t="shared" si="331"/>
        <v>0</v>
      </c>
      <c r="H699" s="208">
        <f t="shared" si="331"/>
        <v>0</v>
      </c>
      <c r="I699" s="208">
        <f t="shared" si="331"/>
        <v>0</v>
      </c>
      <c r="J699" s="208">
        <f t="shared" si="331"/>
        <v>0</v>
      </c>
      <c r="K699" s="208">
        <f t="shared" si="331"/>
        <v>0</v>
      </c>
      <c r="L699" s="208">
        <f t="shared" si="331"/>
        <v>0</v>
      </c>
      <c r="M699" s="208">
        <f t="shared" si="331"/>
        <v>0</v>
      </c>
      <c r="N699" s="208">
        <f t="shared" si="331"/>
        <v>0</v>
      </c>
      <c r="O699" s="208">
        <f t="shared" si="331"/>
        <v>0</v>
      </c>
      <c r="P699" s="208">
        <f t="shared" si="331"/>
        <v>0</v>
      </c>
      <c r="Q699" s="208">
        <f t="shared" si="331"/>
        <v>0</v>
      </c>
      <c r="R699" s="208">
        <f t="shared" si="331"/>
        <v>0</v>
      </c>
      <c r="S699" s="208">
        <f t="shared" si="331"/>
        <v>0</v>
      </c>
      <c r="T699" s="208">
        <f t="shared" si="331"/>
        <v>0</v>
      </c>
      <c r="U699" s="208">
        <f t="shared" si="331"/>
        <v>0</v>
      </c>
      <c r="V699" s="208">
        <f t="shared" si="331"/>
        <v>0</v>
      </c>
      <c r="W699" s="208">
        <f t="shared" si="331"/>
        <v>0</v>
      </c>
      <c r="X699" s="208">
        <f t="shared" si="331"/>
        <v>0</v>
      </c>
      <c r="Y699" s="208">
        <f t="shared" si="331"/>
        <v>0</v>
      </c>
      <c r="Z699" s="208">
        <f t="shared" si="331"/>
        <v>0</v>
      </c>
      <c r="AA699" s="208">
        <f t="shared" si="331"/>
        <v>0</v>
      </c>
      <c r="AB699" s="208">
        <f t="shared" si="331"/>
        <v>0</v>
      </c>
      <c r="AC699" s="208">
        <f t="shared" si="331"/>
        <v>0</v>
      </c>
      <c r="AD699" s="208">
        <f t="shared" si="331"/>
        <v>0</v>
      </c>
      <c r="AE699" s="208">
        <f t="shared" si="331"/>
        <v>0</v>
      </c>
      <c r="AF699" s="208">
        <f t="shared" si="331"/>
        <v>0</v>
      </c>
      <c r="AG699" s="208">
        <f t="shared" si="331"/>
        <v>0</v>
      </c>
      <c r="AH699" s="208">
        <f t="shared" si="331"/>
        <v>0</v>
      </c>
      <c r="AI699" s="208">
        <f t="shared" si="331"/>
        <v>0</v>
      </c>
      <c r="AJ699" s="208">
        <f t="shared" si="331"/>
        <v>0</v>
      </c>
      <c r="AK699" s="208">
        <f t="shared" si="331"/>
        <v>0</v>
      </c>
      <c r="AL699" s="208">
        <f t="shared" si="331"/>
        <v>0</v>
      </c>
      <c r="AM699" s="208">
        <f t="shared" si="331"/>
        <v>0</v>
      </c>
      <c r="AN699" s="208">
        <f t="shared" si="331"/>
        <v>0</v>
      </c>
      <c r="AO699" s="208">
        <f t="shared" si="331"/>
        <v>0</v>
      </c>
      <c r="AP699" s="208">
        <f t="shared" si="331"/>
        <v>0</v>
      </c>
    </row>
    <row r="700" spans="1:42">
      <c r="A700" s="37">
        <f t="shared" si="332"/>
        <v>8</v>
      </c>
      <c r="B700" s="218">
        <f t="shared" si="329"/>
        <v>0</v>
      </c>
      <c r="C700" s="250">
        <f t="shared" si="331"/>
        <v>0</v>
      </c>
      <c r="D700" s="208">
        <f t="shared" si="331"/>
        <v>0</v>
      </c>
      <c r="E700" s="208">
        <f t="shared" si="331"/>
        <v>0</v>
      </c>
      <c r="F700" s="208">
        <f t="shared" si="331"/>
        <v>0</v>
      </c>
      <c r="G700" s="208">
        <f t="shared" si="331"/>
        <v>0</v>
      </c>
      <c r="H700" s="208">
        <f t="shared" si="331"/>
        <v>0</v>
      </c>
      <c r="I700" s="208">
        <f t="shared" si="331"/>
        <v>0</v>
      </c>
      <c r="J700" s="208">
        <f t="shared" si="331"/>
        <v>0</v>
      </c>
      <c r="K700" s="208">
        <f t="shared" si="331"/>
        <v>0</v>
      </c>
      <c r="L700" s="208">
        <f t="shared" si="331"/>
        <v>0</v>
      </c>
      <c r="M700" s="208">
        <f t="shared" si="331"/>
        <v>0</v>
      </c>
      <c r="N700" s="208">
        <f t="shared" si="331"/>
        <v>0</v>
      </c>
      <c r="O700" s="208">
        <f t="shared" si="331"/>
        <v>0</v>
      </c>
      <c r="P700" s="208">
        <f t="shared" si="331"/>
        <v>0</v>
      </c>
      <c r="Q700" s="208">
        <f t="shared" si="331"/>
        <v>0</v>
      </c>
      <c r="R700" s="208">
        <f t="shared" ref="R700:AP700" si="333">IF(AND(R$2&gt;MMFrequency*$A687,R$2&lt;=MMFrequency*$A688),$B688/(MMFrequency),0)</f>
        <v>0</v>
      </c>
      <c r="S700" s="208">
        <f t="shared" si="333"/>
        <v>0</v>
      </c>
      <c r="T700" s="208">
        <f t="shared" si="333"/>
        <v>0</v>
      </c>
      <c r="U700" s="208">
        <f t="shared" si="333"/>
        <v>0</v>
      </c>
      <c r="V700" s="208">
        <f t="shared" si="333"/>
        <v>0</v>
      </c>
      <c r="W700" s="208">
        <f t="shared" si="333"/>
        <v>0</v>
      </c>
      <c r="X700" s="208">
        <f t="shared" si="333"/>
        <v>0</v>
      </c>
      <c r="Y700" s="208">
        <f t="shared" si="333"/>
        <v>0</v>
      </c>
      <c r="Z700" s="208">
        <f t="shared" si="333"/>
        <v>0</v>
      </c>
      <c r="AA700" s="208">
        <f t="shared" si="333"/>
        <v>0</v>
      </c>
      <c r="AB700" s="208">
        <f t="shared" si="333"/>
        <v>0</v>
      </c>
      <c r="AC700" s="208">
        <f t="shared" si="333"/>
        <v>0</v>
      </c>
      <c r="AD700" s="208">
        <f t="shared" si="333"/>
        <v>0</v>
      </c>
      <c r="AE700" s="208">
        <f t="shared" si="333"/>
        <v>0</v>
      </c>
      <c r="AF700" s="208">
        <f t="shared" si="333"/>
        <v>0</v>
      </c>
      <c r="AG700" s="208">
        <f t="shared" si="333"/>
        <v>0</v>
      </c>
      <c r="AH700" s="208">
        <f t="shared" si="333"/>
        <v>0</v>
      </c>
      <c r="AI700" s="208">
        <f t="shared" si="333"/>
        <v>0</v>
      </c>
      <c r="AJ700" s="208">
        <f t="shared" si="333"/>
        <v>0</v>
      </c>
      <c r="AK700" s="208">
        <f t="shared" si="333"/>
        <v>0</v>
      </c>
      <c r="AL700" s="208">
        <f t="shared" si="333"/>
        <v>0</v>
      </c>
      <c r="AM700" s="208">
        <f t="shared" si="333"/>
        <v>0</v>
      </c>
      <c r="AN700" s="208">
        <f t="shared" si="333"/>
        <v>0</v>
      </c>
      <c r="AO700" s="208">
        <f t="shared" si="333"/>
        <v>0</v>
      </c>
      <c r="AP700" s="208">
        <f t="shared" si="333"/>
        <v>0</v>
      </c>
    </row>
    <row r="701" spans="1:42">
      <c r="A701" s="37">
        <f>A700+1</f>
        <v>9</v>
      </c>
      <c r="B701" s="218">
        <f t="shared" si="329"/>
        <v>0</v>
      </c>
      <c r="C701" s="250">
        <f t="shared" ref="C701:AP702" si="334">IF(AND(C$2&gt;MMFrequency*$A688,C$2&lt;=MMFrequency*$A689),$B689/(MMFrequency),0)</f>
        <v>0</v>
      </c>
      <c r="D701" s="208">
        <f t="shared" si="334"/>
        <v>0</v>
      </c>
      <c r="E701" s="208">
        <f t="shared" si="334"/>
        <v>0</v>
      </c>
      <c r="F701" s="208">
        <f t="shared" si="334"/>
        <v>0</v>
      </c>
      <c r="G701" s="208">
        <f t="shared" si="334"/>
        <v>0</v>
      </c>
      <c r="H701" s="208">
        <f t="shared" si="334"/>
        <v>0</v>
      </c>
      <c r="I701" s="208">
        <f t="shared" si="334"/>
        <v>0</v>
      </c>
      <c r="J701" s="208">
        <f t="shared" si="334"/>
        <v>0</v>
      </c>
      <c r="K701" s="208">
        <f t="shared" si="334"/>
        <v>0</v>
      </c>
      <c r="L701" s="208">
        <f t="shared" si="334"/>
        <v>0</v>
      </c>
      <c r="M701" s="208">
        <f t="shared" si="334"/>
        <v>0</v>
      </c>
      <c r="N701" s="208">
        <f t="shared" si="334"/>
        <v>0</v>
      </c>
      <c r="O701" s="208">
        <f t="shared" si="334"/>
        <v>0</v>
      </c>
      <c r="P701" s="208">
        <f t="shared" si="334"/>
        <v>0</v>
      </c>
      <c r="Q701" s="208">
        <f t="shared" si="334"/>
        <v>0</v>
      </c>
      <c r="R701" s="208">
        <f t="shared" si="334"/>
        <v>0</v>
      </c>
      <c r="S701" s="208">
        <f t="shared" si="334"/>
        <v>0</v>
      </c>
      <c r="T701" s="208">
        <f t="shared" si="334"/>
        <v>0</v>
      </c>
      <c r="U701" s="208">
        <f t="shared" si="334"/>
        <v>0</v>
      </c>
      <c r="V701" s="208">
        <f t="shared" si="334"/>
        <v>0</v>
      </c>
      <c r="W701" s="208">
        <f t="shared" si="334"/>
        <v>0</v>
      </c>
      <c r="X701" s="208">
        <f t="shared" si="334"/>
        <v>0</v>
      </c>
      <c r="Y701" s="208">
        <f t="shared" si="334"/>
        <v>0</v>
      </c>
      <c r="Z701" s="208">
        <f t="shared" si="334"/>
        <v>0</v>
      </c>
      <c r="AA701" s="208">
        <f t="shared" si="334"/>
        <v>0</v>
      </c>
      <c r="AB701" s="208">
        <f t="shared" si="334"/>
        <v>0</v>
      </c>
      <c r="AC701" s="208">
        <f t="shared" si="334"/>
        <v>0</v>
      </c>
      <c r="AD701" s="208">
        <f t="shared" si="334"/>
        <v>0</v>
      </c>
      <c r="AE701" s="208">
        <f t="shared" si="334"/>
        <v>0</v>
      </c>
      <c r="AF701" s="208">
        <f t="shared" si="334"/>
        <v>0</v>
      </c>
      <c r="AG701" s="208">
        <f t="shared" si="334"/>
        <v>0</v>
      </c>
      <c r="AH701" s="208">
        <f t="shared" si="334"/>
        <v>0</v>
      </c>
      <c r="AI701" s="208">
        <f t="shared" si="334"/>
        <v>0</v>
      </c>
      <c r="AJ701" s="208">
        <f t="shared" si="334"/>
        <v>0</v>
      </c>
      <c r="AK701" s="208">
        <f t="shared" si="334"/>
        <v>0</v>
      </c>
      <c r="AL701" s="208">
        <f t="shared" si="334"/>
        <v>0</v>
      </c>
      <c r="AM701" s="208">
        <f t="shared" si="334"/>
        <v>0</v>
      </c>
      <c r="AN701" s="208">
        <f t="shared" si="334"/>
        <v>0</v>
      </c>
      <c r="AO701" s="208">
        <f t="shared" si="334"/>
        <v>0</v>
      </c>
      <c r="AP701" s="208">
        <f t="shared" si="334"/>
        <v>0</v>
      </c>
    </row>
    <row r="702" spans="1:42">
      <c r="A702" s="37">
        <f t="shared" ref="A702" si="335">A701+1</f>
        <v>10</v>
      </c>
      <c r="B702" s="218">
        <f t="shared" si="329"/>
        <v>0</v>
      </c>
      <c r="C702" s="246">
        <f t="shared" si="334"/>
        <v>0</v>
      </c>
      <c r="D702" s="209">
        <f t="shared" si="334"/>
        <v>0</v>
      </c>
      <c r="E702" s="209">
        <f t="shared" si="334"/>
        <v>0</v>
      </c>
      <c r="F702" s="209">
        <f t="shared" si="334"/>
        <v>0</v>
      </c>
      <c r="G702" s="209">
        <f t="shared" si="334"/>
        <v>0</v>
      </c>
      <c r="H702" s="209">
        <f t="shared" si="334"/>
        <v>0</v>
      </c>
      <c r="I702" s="209">
        <f t="shared" si="334"/>
        <v>0</v>
      </c>
      <c r="J702" s="209">
        <f t="shared" si="334"/>
        <v>0</v>
      </c>
      <c r="K702" s="209">
        <f t="shared" si="334"/>
        <v>0</v>
      </c>
      <c r="L702" s="209">
        <f t="shared" si="334"/>
        <v>0</v>
      </c>
      <c r="M702" s="209">
        <f t="shared" si="334"/>
        <v>0</v>
      </c>
      <c r="N702" s="209">
        <f t="shared" si="334"/>
        <v>0</v>
      </c>
      <c r="O702" s="209">
        <f t="shared" si="334"/>
        <v>0</v>
      </c>
      <c r="P702" s="209">
        <f t="shared" si="334"/>
        <v>0</v>
      </c>
      <c r="Q702" s="209">
        <f t="shared" si="334"/>
        <v>0</v>
      </c>
      <c r="R702" s="209">
        <f t="shared" si="334"/>
        <v>0</v>
      </c>
      <c r="S702" s="209">
        <f t="shared" si="334"/>
        <v>0</v>
      </c>
      <c r="T702" s="209">
        <f t="shared" si="334"/>
        <v>0</v>
      </c>
      <c r="U702" s="209">
        <f t="shared" si="334"/>
        <v>0</v>
      </c>
      <c r="V702" s="209">
        <f t="shared" si="334"/>
        <v>0</v>
      </c>
      <c r="W702" s="209">
        <f t="shared" si="334"/>
        <v>0</v>
      </c>
      <c r="X702" s="209">
        <f t="shared" si="334"/>
        <v>0</v>
      </c>
      <c r="Y702" s="209">
        <f t="shared" si="334"/>
        <v>0</v>
      </c>
      <c r="Z702" s="209">
        <f t="shared" si="334"/>
        <v>0</v>
      </c>
      <c r="AA702" s="209">
        <f t="shared" si="334"/>
        <v>0</v>
      </c>
      <c r="AB702" s="209">
        <f t="shared" si="334"/>
        <v>0</v>
      </c>
      <c r="AC702" s="209">
        <f t="shared" si="334"/>
        <v>0</v>
      </c>
      <c r="AD702" s="209">
        <f t="shared" si="334"/>
        <v>0</v>
      </c>
      <c r="AE702" s="209">
        <f t="shared" si="334"/>
        <v>0</v>
      </c>
      <c r="AF702" s="209">
        <f t="shared" si="334"/>
        <v>0</v>
      </c>
      <c r="AG702" s="209">
        <f t="shared" si="334"/>
        <v>0</v>
      </c>
      <c r="AH702" s="209">
        <f t="shared" si="334"/>
        <v>0</v>
      </c>
      <c r="AI702" s="209">
        <f t="shared" si="334"/>
        <v>0</v>
      </c>
      <c r="AJ702" s="209">
        <f t="shared" si="334"/>
        <v>0</v>
      </c>
      <c r="AK702" s="209">
        <f t="shared" si="334"/>
        <v>0</v>
      </c>
      <c r="AL702" s="209">
        <f t="shared" si="334"/>
        <v>0</v>
      </c>
      <c r="AM702" s="209">
        <f t="shared" si="334"/>
        <v>0</v>
      </c>
      <c r="AN702" s="209">
        <f t="shared" si="334"/>
        <v>0</v>
      </c>
      <c r="AO702" s="209">
        <f t="shared" si="334"/>
        <v>0</v>
      </c>
      <c r="AP702" s="209">
        <f t="shared" si="334"/>
        <v>0</v>
      </c>
    </row>
    <row r="703" spans="1:42">
      <c r="A703" s="244" t="s">
        <v>53</v>
      </c>
      <c r="B703" s="208"/>
      <c r="C703" s="164">
        <f>SUM(C693:C702)</f>
        <v>245406.02862510949</v>
      </c>
      <c r="D703" s="164">
        <f t="shared" ref="D703:AP703" si="336">SUM(D693:D702)</f>
        <v>245406.02862510949</v>
      </c>
      <c r="E703" s="164">
        <f t="shared" si="336"/>
        <v>245406.02862510949</v>
      </c>
      <c r="F703" s="164">
        <f t="shared" si="336"/>
        <v>245406.02862510949</v>
      </c>
      <c r="G703" s="164">
        <f t="shared" si="336"/>
        <v>245406.02862510949</v>
      </c>
      <c r="H703" s="164">
        <f t="shared" si="336"/>
        <v>245406.02862510949</v>
      </c>
      <c r="I703" s="164">
        <f t="shared" si="336"/>
        <v>245406.02862510949</v>
      </c>
      <c r="J703" s="164">
        <f t="shared" si="336"/>
        <v>245406.02862510949</v>
      </c>
      <c r="K703" s="164">
        <f t="shared" si="336"/>
        <v>245406.02862510949</v>
      </c>
      <c r="L703" s="164">
        <f t="shared" si="336"/>
        <v>245406.02862510949</v>
      </c>
      <c r="M703" s="164">
        <f t="shared" si="336"/>
        <v>245406.02862510949</v>
      </c>
      <c r="N703" s="164">
        <f t="shared" si="336"/>
        <v>245406.02862510949</v>
      </c>
      <c r="O703" s="164">
        <f t="shared" si="336"/>
        <v>293411.90721039008</v>
      </c>
      <c r="P703" s="164">
        <f t="shared" si="336"/>
        <v>293411.90721039008</v>
      </c>
      <c r="Q703" s="164">
        <f t="shared" si="336"/>
        <v>293411.90721039008</v>
      </c>
      <c r="R703" s="164">
        <f t="shared" si="336"/>
        <v>293411.90721039008</v>
      </c>
      <c r="S703" s="164">
        <f t="shared" si="336"/>
        <v>293411.90721039008</v>
      </c>
      <c r="T703" s="164">
        <f t="shared" si="336"/>
        <v>293411.90721039008</v>
      </c>
      <c r="U703" s="164">
        <f t="shared" si="336"/>
        <v>293411.90721039008</v>
      </c>
      <c r="V703" s="164">
        <f t="shared" si="336"/>
        <v>293411.90721039008</v>
      </c>
      <c r="W703" s="164">
        <f t="shared" si="336"/>
        <v>293411.90721039008</v>
      </c>
      <c r="X703" s="164">
        <f t="shared" si="336"/>
        <v>293411.90721039008</v>
      </c>
      <c r="Y703" s="164">
        <f t="shared" si="336"/>
        <v>293411.90721039008</v>
      </c>
      <c r="Z703" s="164">
        <f t="shared" si="336"/>
        <v>293411.90721039008</v>
      </c>
      <c r="AA703" s="164">
        <f t="shared" si="336"/>
        <v>0</v>
      </c>
      <c r="AB703" s="164">
        <f t="shared" si="336"/>
        <v>0</v>
      </c>
      <c r="AC703" s="164">
        <f t="shared" si="336"/>
        <v>0</v>
      </c>
      <c r="AD703" s="164">
        <f t="shared" si="336"/>
        <v>0</v>
      </c>
      <c r="AE703" s="164">
        <f t="shared" si="336"/>
        <v>0</v>
      </c>
      <c r="AF703" s="164">
        <f t="shared" si="336"/>
        <v>0</v>
      </c>
      <c r="AG703" s="164">
        <f t="shared" si="336"/>
        <v>0</v>
      </c>
      <c r="AH703" s="164">
        <f t="shared" si="336"/>
        <v>0</v>
      </c>
      <c r="AI703" s="164">
        <f t="shared" si="336"/>
        <v>0</v>
      </c>
      <c r="AJ703" s="164">
        <f t="shared" si="336"/>
        <v>0</v>
      </c>
      <c r="AK703" s="164">
        <f t="shared" si="336"/>
        <v>0</v>
      </c>
      <c r="AL703" s="164">
        <f t="shared" si="336"/>
        <v>0</v>
      </c>
      <c r="AM703" s="164">
        <f t="shared" si="336"/>
        <v>0</v>
      </c>
      <c r="AN703" s="164">
        <f t="shared" si="336"/>
        <v>0</v>
      </c>
      <c r="AO703" s="164">
        <f t="shared" si="336"/>
        <v>0</v>
      </c>
      <c r="AP703" s="164">
        <f t="shared" si="336"/>
        <v>0</v>
      </c>
    </row>
    <row r="704" spans="1:42">
      <c r="B704" s="208"/>
      <c r="C704" s="164"/>
      <c r="D704" s="164"/>
      <c r="E704" s="164"/>
      <c r="F704" s="164"/>
      <c r="G704" s="164"/>
      <c r="H704" s="164"/>
      <c r="I704" s="164"/>
      <c r="J704" s="164"/>
      <c r="K704" s="164"/>
      <c r="L704" s="164"/>
      <c r="M704" s="164"/>
      <c r="N704" s="164"/>
      <c r="O704" s="164"/>
      <c r="P704" s="164"/>
      <c r="Q704" s="164"/>
      <c r="R704" s="164"/>
      <c r="S704" s="164"/>
      <c r="T704" s="164"/>
      <c r="U704" s="164"/>
      <c r="V704" s="164"/>
      <c r="W704" s="164"/>
      <c r="X704" s="164"/>
      <c r="Y704" s="164"/>
      <c r="Z704" s="164"/>
      <c r="AA704" s="164"/>
      <c r="AB704" s="164"/>
      <c r="AC704" s="164"/>
      <c r="AD704" s="164"/>
      <c r="AE704" s="164"/>
      <c r="AF704" s="164"/>
      <c r="AG704" s="164"/>
      <c r="AH704" s="164"/>
      <c r="AI704" s="164"/>
      <c r="AJ704" s="164"/>
      <c r="AK704" s="164"/>
      <c r="AL704" s="164"/>
      <c r="AM704" s="164"/>
      <c r="AN704" s="164"/>
      <c r="AO704" s="164"/>
      <c r="AP704" s="164"/>
    </row>
    <row r="705" spans="1:42">
      <c r="A705" s="204" t="s">
        <v>376</v>
      </c>
      <c r="C705" s="164"/>
      <c r="D705" s="164"/>
      <c r="E705" s="164"/>
      <c r="F705" s="164"/>
      <c r="G705" s="164"/>
      <c r="H705" s="164"/>
      <c r="I705" s="164"/>
      <c r="J705" s="164"/>
      <c r="K705" s="164"/>
      <c r="L705" s="164"/>
      <c r="M705" s="164"/>
      <c r="N705" s="164"/>
      <c r="O705" s="164"/>
      <c r="P705" s="164"/>
      <c r="Q705" s="164"/>
      <c r="R705" s="164"/>
      <c r="S705" s="164"/>
      <c r="T705" s="164"/>
      <c r="U705" s="164"/>
      <c r="V705" s="164"/>
      <c r="W705" s="164"/>
      <c r="X705" s="164"/>
      <c r="Y705" s="164"/>
      <c r="Z705" s="164"/>
      <c r="AA705" s="164"/>
      <c r="AB705" s="164"/>
      <c r="AC705" s="164"/>
      <c r="AD705" s="164"/>
      <c r="AE705" s="164"/>
      <c r="AF705" s="164"/>
      <c r="AG705" s="164"/>
      <c r="AH705" s="164"/>
      <c r="AI705" s="164"/>
      <c r="AJ705" s="164"/>
      <c r="AK705" s="164"/>
      <c r="AL705" s="164"/>
      <c r="AM705" s="164"/>
      <c r="AN705" s="164"/>
      <c r="AO705" s="164"/>
      <c r="AP705" s="164"/>
    </row>
    <row r="706" spans="1:42">
      <c r="A706" s="37" t="s">
        <v>100</v>
      </c>
      <c r="B706" s="164">
        <v>0</v>
      </c>
      <c r="C706" s="164">
        <f>B709</f>
        <v>0</v>
      </c>
      <c r="D706" s="164">
        <f t="shared" ref="D706:AP706" si="337">C709</f>
        <v>410585.24356465257</v>
      </c>
      <c r="E706" s="164">
        <f t="shared" si="337"/>
        <v>821170.48712930514</v>
      </c>
      <c r="F706" s="164">
        <f t="shared" si="337"/>
        <v>1231755.7306939578</v>
      </c>
      <c r="G706" s="164">
        <f t="shared" si="337"/>
        <v>1642340.9742586103</v>
      </c>
      <c r="H706" s="164">
        <f t="shared" si="337"/>
        <v>2052926.2178232628</v>
      </c>
      <c r="I706" s="164">
        <f t="shared" si="337"/>
        <v>2463511.4613879155</v>
      </c>
      <c r="J706" s="164">
        <f t="shared" si="337"/>
        <v>2874096.7049525683</v>
      </c>
      <c r="K706" s="164">
        <f t="shared" si="337"/>
        <v>3284681.948517221</v>
      </c>
      <c r="L706" s="164">
        <f t="shared" si="337"/>
        <v>3695267.1920818738</v>
      </c>
      <c r="M706" s="164">
        <f t="shared" si="337"/>
        <v>4105852.4356465265</v>
      </c>
      <c r="N706" s="164">
        <f t="shared" si="337"/>
        <v>4516437.6792111788</v>
      </c>
      <c r="O706" s="164">
        <f t="shared" si="337"/>
        <v>4927022.9227758311</v>
      </c>
      <c r="P706" s="164">
        <f t="shared" si="337"/>
        <v>5337608.1663404834</v>
      </c>
      <c r="Q706" s="164">
        <f t="shared" si="337"/>
        <v>5748193.4099051356</v>
      </c>
      <c r="R706" s="164">
        <f t="shared" si="337"/>
        <v>0</v>
      </c>
      <c r="S706" s="164">
        <f t="shared" si="337"/>
        <v>513326.83759962226</v>
      </c>
      <c r="T706" s="164">
        <f t="shared" si="337"/>
        <v>1026653.6751992445</v>
      </c>
      <c r="U706" s="164">
        <f t="shared" si="337"/>
        <v>1539980.5127988667</v>
      </c>
      <c r="V706" s="164">
        <f t="shared" si="337"/>
        <v>2053307.350398489</v>
      </c>
      <c r="W706" s="164">
        <f t="shared" si="337"/>
        <v>2566634.1879981114</v>
      </c>
      <c r="X706" s="164">
        <f t="shared" si="337"/>
        <v>3079961.0255977334</v>
      </c>
      <c r="Y706" s="164">
        <f t="shared" si="337"/>
        <v>3593287.8631973555</v>
      </c>
      <c r="Z706" s="164">
        <f t="shared" si="337"/>
        <v>4106614.7007969776</v>
      </c>
      <c r="AA706" s="164">
        <f t="shared" si="337"/>
        <v>4619941.5383965997</v>
      </c>
      <c r="AB706" s="164">
        <f t="shared" si="337"/>
        <v>5133268.3759962218</v>
      </c>
      <c r="AC706" s="164">
        <f t="shared" si="337"/>
        <v>5646595.2135958439</v>
      </c>
      <c r="AD706" s="164">
        <f t="shared" si="337"/>
        <v>6159922.051195466</v>
      </c>
      <c r="AE706" s="164">
        <f t="shared" si="337"/>
        <v>6673248.888795088</v>
      </c>
      <c r="AF706" s="164">
        <f t="shared" si="337"/>
        <v>7186575.7263947101</v>
      </c>
      <c r="AG706" s="164">
        <f t="shared" si="337"/>
        <v>0</v>
      </c>
      <c r="AH706" s="164">
        <f t="shared" si="337"/>
        <v>0</v>
      </c>
      <c r="AI706" s="164">
        <f t="shared" si="337"/>
        <v>0</v>
      </c>
      <c r="AJ706" s="164">
        <f t="shared" si="337"/>
        <v>0</v>
      </c>
      <c r="AK706" s="164">
        <f t="shared" si="337"/>
        <v>0</v>
      </c>
      <c r="AL706" s="164">
        <f t="shared" si="337"/>
        <v>0</v>
      </c>
      <c r="AM706" s="164">
        <f t="shared" si="337"/>
        <v>0</v>
      </c>
      <c r="AN706" s="164">
        <f t="shared" si="337"/>
        <v>0</v>
      </c>
      <c r="AO706" s="164">
        <f t="shared" si="337"/>
        <v>0</v>
      </c>
      <c r="AP706" s="164">
        <f t="shared" si="337"/>
        <v>0</v>
      </c>
    </row>
    <row r="707" spans="1:42">
      <c r="A707" s="37" t="s">
        <v>208</v>
      </c>
      <c r="B707" s="164">
        <v>0</v>
      </c>
      <c r="C707" s="164">
        <f>C735</f>
        <v>410585.24356465257</v>
      </c>
      <c r="D707" s="164">
        <f t="shared" ref="D707:AP707" si="338">D735</f>
        <v>410585.24356465257</v>
      </c>
      <c r="E707" s="164">
        <f t="shared" si="338"/>
        <v>410585.24356465257</v>
      </c>
      <c r="F707" s="164">
        <f t="shared" si="338"/>
        <v>410585.24356465257</v>
      </c>
      <c r="G707" s="164">
        <f t="shared" si="338"/>
        <v>410585.24356465257</v>
      </c>
      <c r="H707" s="164">
        <f t="shared" si="338"/>
        <v>410585.24356465257</v>
      </c>
      <c r="I707" s="164">
        <f t="shared" si="338"/>
        <v>410585.24356465257</v>
      </c>
      <c r="J707" s="164">
        <f t="shared" si="338"/>
        <v>410585.24356465257</v>
      </c>
      <c r="K707" s="164">
        <f t="shared" si="338"/>
        <v>410585.24356465257</v>
      </c>
      <c r="L707" s="164">
        <f t="shared" si="338"/>
        <v>410585.24356465257</v>
      </c>
      <c r="M707" s="164">
        <f t="shared" si="338"/>
        <v>410585.24356465257</v>
      </c>
      <c r="N707" s="164">
        <f t="shared" si="338"/>
        <v>410585.24356465257</v>
      </c>
      <c r="O707" s="164">
        <f t="shared" si="338"/>
        <v>410585.24356465257</v>
      </c>
      <c r="P707" s="164">
        <f t="shared" si="338"/>
        <v>410585.24356465257</v>
      </c>
      <c r="Q707" s="164">
        <f t="shared" si="338"/>
        <v>410585.24356465257</v>
      </c>
      <c r="R707" s="164">
        <f t="shared" si="338"/>
        <v>513326.83759962226</v>
      </c>
      <c r="S707" s="164">
        <f t="shared" si="338"/>
        <v>513326.83759962226</v>
      </c>
      <c r="T707" s="164">
        <f t="shared" si="338"/>
        <v>513326.83759962226</v>
      </c>
      <c r="U707" s="164">
        <f t="shared" si="338"/>
        <v>513326.83759962226</v>
      </c>
      <c r="V707" s="164">
        <f t="shared" si="338"/>
        <v>513326.83759962226</v>
      </c>
      <c r="W707" s="164">
        <f t="shared" si="338"/>
        <v>513326.83759962226</v>
      </c>
      <c r="X707" s="164">
        <f t="shared" si="338"/>
        <v>513326.83759962226</v>
      </c>
      <c r="Y707" s="164">
        <f t="shared" si="338"/>
        <v>513326.83759962226</v>
      </c>
      <c r="Z707" s="164">
        <f t="shared" si="338"/>
        <v>513326.83759962226</v>
      </c>
      <c r="AA707" s="164">
        <f t="shared" si="338"/>
        <v>513326.83759962226</v>
      </c>
      <c r="AB707" s="164">
        <f t="shared" si="338"/>
        <v>513326.83759962226</v>
      </c>
      <c r="AC707" s="164">
        <f t="shared" si="338"/>
        <v>513326.83759962226</v>
      </c>
      <c r="AD707" s="164">
        <f t="shared" si="338"/>
        <v>513326.83759962226</v>
      </c>
      <c r="AE707" s="164">
        <f t="shared" si="338"/>
        <v>513326.83759962226</v>
      </c>
      <c r="AF707" s="164">
        <f t="shared" si="338"/>
        <v>513326.83759962226</v>
      </c>
      <c r="AG707" s="164">
        <f t="shared" si="338"/>
        <v>0</v>
      </c>
      <c r="AH707" s="164">
        <f t="shared" si="338"/>
        <v>0</v>
      </c>
      <c r="AI707" s="164">
        <f t="shared" si="338"/>
        <v>0</v>
      </c>
      <c r="AJ707" s="164">
        <f t="shared" si="338"/>
        <v>0</v>
      </c>
      <c r="AK707" s="164">
        <f t="shared" si="338"/>
        <v>0</v>
      </c>
      <c r="AL707" s="164">
        <f t="shared" si="338"/>
        <v>0</v>
      </c>
      <c r="AM707" s="164">
        <f t="shared" si="338"/>
        <v>0</v>
      </c>
      <c r="AN707" s="164">
        <f t="shared" si="338"/>
        <v>0</v>
      </c>
      <c r="AO707" s="164">
        <f t="shared" si="338"/>
        <v>0</v>
      </c>
      <c r="AP707" s="164">
        <f t="shared" si="338"/>
        <v>0</v>
      </c>
    </row>
    <row r="708" spans="1:42">
      <c r="A708" s="37" t="s">
        <v>107</v>
      </c>
      <c r="B708" s="209">
        <v>0</v>
      </c>
      <c r="C708" s="209">
        <f>-C723</f>
        <v>0</v>
      </c>
      <c r="D708" s="209">
        <f t="shared" ref="D708:AP708" si="339">-D723</f>
        <v>0</v>
      </c>
      <c r="E708" s="209">
        <f t="shared" si="339"/>
        <v>0</v>
      </c>
      <c r="F708" s="209">
        <f t="shared" si="339"/>
        <v>0</v>
      </c>
      <c r="G708" s="209">
        <f t="shared" si="339"/>
        <v>0</v>
      </c>
      <c r="H708" s="209">
        <f t="shared" si="339"/>
        <v>0</v>
      </c>
      <c r="I708" s="209">
        <f t="shared" si="339"/>
        <v>0</v>
      </c>
      <c r="J708" s="209">
        <f t="shared" si="339"/>
        <v>0</v>
      </c>
      <c r="K708" s="209">
        <f t="shared" si="339"/>
        <v>0</v>
      </c>
      <c r="L708" s="209">
        <f t="shared" si="339"/>
        <v>0</v>
      </c>
      <c r="M708" s="209">
        <f t="shared" si="339"/>
        <v>0</v>
      </c>
      <c r="N708" s="209">
        <f t="shared" si="339"/>
        <v>0</v>
      </c>
      <c r="O708" s="209">
        <f t="shared" si="339"/>
        <v>0</v>
      </c>
      <c r="P708" s="209">
        <f t="shared" si="339"/>
        <v>0</v>
      </c>
      <c r="Q708" s="209">
        <f t="shared" si="339"/>
        <v>-6158778.6534697888</v>
      </c>
      <c r="R708" s="209">
        <f t="shared" si="339"/>
        <v>0</v>
      </c>
      <c r="S708" s="209">
        <f t="shared" si="339"/>
        <v>0</v>
      </c>
      <c r="T708" s="209">
        <f t="shared" si="339"/>
        <v>0</v>
      </c>
      <c r="U708" s="209">
        <f t="shared" si="339"/>
        <v>0</v>
      </c>
      <c r="V708" s="209">
        <f t="shared" si="339"/>
        <v>0</v>
      </c>
      <c r="W708" s="209">
        <f t="shared" si="339"/>
        <v>0</v>
      </c>
      <c r="X708" s="209">
        <f t="shared" si="339"/>
        <v>0</v>
      </c>
      <c r="Y708" s="209">
        <f t="shared" si="339"/>
        <v>0</v>
      </c>
      <c r="Z708" s="209">
        <f t="shared" si="339"/>
        <v>0</v>
      </c>
      <c r="AA708" s="209">
        <f t="shared" si="339"/>
        <v>0</v>
      </c>
      <c r="AB708" s="209">
        <f t="shared" si="339"/>
        <v>0</v>
      </c>
      <c r="AC708" s="209">
        <f t="shared" si="339"/>
        <v>0</v>
      </c>
      <c r="AD708" s="209">
        <f t="shared" si="339"/>
        <v>0</v>
      </c>
      <c r="AE708" s="209">
        <f t="shared" si="339"/>
        <v>0</v>
      </c>
      <c r="AF708" s="209">
        <f t="shared" si="339"/>
        <v>-7699902.5639943341</v>
      </c>
      <c r="AG708" s="209">
        <f t="shared" si="339"/>
        <v>0</v>
      </c>
      <c r="AH708" s="209">
        <f t="shared" si="339"/>
        <v>0</v>
      </c>
      <c r="AI708" s="209">
        <f t="shared" si="339"/>
        <v>0</v>
      </c>
      <c r="AJ708" s="209">
        <f t="shared" si="339"/>
        <v>0</v>
      </c>
      <c r="AK708" s="209">
        <f t="shared" si="339"/>
        <v>0</v>
      </c>
      <c r="AL708" s="209">
        <f t="shared" si="339"/>
        <v>0</v>
      </c>
      <c r="AM708" s="209">
        <f t="shared" si="339"/>
        <v>0</v>
      </c>
      <c r="AN708" s="209">
        <f t="shared" si="339"/>
        <v>0</v>
      </c>
      <c r="AO708" s="209">
        <f t="shared" si="339"/>
        <v>0</v>
      </c>
      <c r="AP708" s="209">
        <f t="shared" si="339"/>
        <v>0</v>
      </c>
    </row>
    <row r="709" spans="1:42">
      <c r="A709" s="37" t="s">
        <v>103</v>
      </c>
      <c r="B709" s="164">
        <f>SUM(B706:B708)</f>
        <v>0</v>
      </c>
      <c r="C709" s="164">
        <f>SUM(C706:C708)</f>
        <v>410585.24356465257</v>
      </c>
      <c r="D709" s="164">
        <f t="shared" ref="D709:AP709" si="340">SUM(D706:D708)</f>
        <v>821170.48712930514</v>
      </c>
      <c r="E709" s="164">
        <f t="shared" si="340"/>
        <v>1231755.7306939578</v>
      </c>
      <c r="F709" s="164">
        <f t="shared" si="340"/>
        <v>1642340.9742586103</v>
      </c>
      <c r="G709" s="164">
        <f t="shared" si="340"/>
        <v>2052926.2178232628</v>
      </c>
      <c r="H709" s="164">
        <f t="shared" si="340"/>
        <v>2463511.4613879155</v>
      </c>
      <c r="I709" s="164">
        <f t="shared" si="340"/>
        <v>2874096.7049525683</v>
      </c>
      <c r="J709" s="164">
        <f t="shared" si="340"/>
        <v>3284681.948517221</v>
      </c>
      <c r="K709" s="164">
        <f t="shared" si="340"/>
        <v>3695267.1920818738</v>
      </c>
      <c r="L709" s="164">
        <f t="shared" si="340"/>
        <v>4105852.4356465265</v>
      </c>
      <c r="M709" s="164">
        <f t="shared" si="340"/>
        <v>4516437.6792111788</v>
      </c>
      <c r="N709" s="164">
        <f t="shared" si="340"/>
        <v>4927022.9227758311</v>
      </c>
      <c r="O709" s="164">
        <f t="shared" si="340"/>
        <v>5337608.1663404834</v>
      </c>
      <c r="P709" s="164">
        <f t="shared" si="340"/>
        <v>5748193.4099051356</v>
      </c>
      <c r="Q709" s="164">
        <f t="shared" si="340"/>
        <v>0</v>
      </c>
      <c r="R709" s="164">
        <f t="shared" si="340"/>
        <v>513326.83759962226</v>
      </c>
      <c r="S709" s="164">
        <f t="shared" si="340"/>
        <v>1026653.6751992445</v>
      </c>
      <c r="T709" s="164">
        <f t="shared" si="340"/>
        <v>1539980.5127988667</v>
      </c>
      <c r="U709" s="164">
        <f t="shared" si="340"/>
        <v>2053307.350398489</v>
      </c>
      <c r="V709" s="164">
        <f t="shared" si="340"/>
        <v>2566634.1879981114</v>
      </c>
      <c r="W709" s="164">
        <f t="shared" si="340"/>
        <v>3079961.0255977334</v>
      </c>
      <c r="X709" s="164">
        <f t="shared" si="340"/>
        <v>3593287.8631973555</v>
      </c>
      <c r="Y709" s="164">
        <f t="shared" si="340"/>
        <v>4106614.7007969776</v>
      </c>
      <c r="Z709" s="164">
        <f t="shared" si="340"/>
        <v>4619941.5383965997</v>
      </c>
      <c r="AA709" s="164">
        <f t="shared" si="340"/>
        <v>5133268.3759962218</v>
      </c>
      <c r="AB709" s="164">
        <f t="shared" si="340"/>
        <v>5646595.2135958439</v>
      </c>
      <c r="AC709" s="164">
        <f t="shared" si="340"/>
        <v>6159922.051195466</v>
      </c>
      <c r="AD709" s="164">
        <f t="shared" si="340"/>
        <v>6673248.888795088</v>
      </c>
      <c r="AE709" s="164">
        <f t="shared" si="340"/>
        <v>7186575.7263947101</v>
      </c>
      <c r="AF709" s="164">
        <f t="shared" si="340"/>
        <v>0</v>
      </c>
      <c r="AG709" s="164">
        <f t="shared" si="340"/>
        <v>0</v>
      </c>
      <c r="AH709" s="164">
        <f t="shared" si="340"/>
        <v>0</v>
      </c>
      <c r="AI709" s="164">
        <f t="shared" si="340"/>
        <v>0</v>
      </c>
      <c r="AJ709" s="164">
        <f t="shared" si="340"/>
        <v>0</v>
      </c>
      <c r="AK709" s="164">
        <f t="shared" si="340"/>
        <v>0</v>
      </c>
      <c r="AL709" s="164">
        <f t="shared" si="340"/>
        <v>0</v>
      </c>
      <c r="AM709" s="164">
        <f t="shared" si="340"/>
        <v>0</v>
      </c>
      <c r="AN709" s="164">
        <f t="shared" si="340"/>
        <v>0</v>
      </c>
      <c r="AO709" s="164">
        <f t="shared" si="340"/>
        <v>0</v>
      </c>
      <c r="AP709" s="164">
        <f t="shared" si="340"/>
        <v>0</v>
      </c>
    </row>
    <row r="710" spans="1:42">
      <c r="B710" s="164"/>
      <c r="C710" s="164"/>
      <c r="D710" s="164"/>
      <c r="E710" s="164"/>
      <c r="F710" s="164"/>
      <c r="G710" s="208"/>
      <c r="H710" s="208"/>
      <c r="I710" s="208"/>
      <c r="J710" s="208"/>
      <c r="K710" s="208"/>
      <c r="L710" s="208"/>
      <c r="M710" s="208"/>
      <c r="N710" s="208"/>
      <c r="O710" s="208"/>
      <c r="P710" s="208"/>
      <c r="Q710" s="208"/>
      <c r="R710" s="208"/>
      <c r="S710" s="208"/>
      <c r="T710" s="208"/>
      <c r="U710" s="208"/>
      <c r="V710" s="208"/>
      <c r="W710" s="208"/>
      <c r="X710" s="208"/>
      <c r="Y710" s="208"/>
      <c r="Z710" s="208"/>
      <c r="AA710" s="208"/>
      <c r="AB710" s="208"/>
      <c r="AC710" s="208"/>
      <c r="AD710" s="208"/>
      <c r="AE710" s="208"/>
      <c r="AF710" s="208"/>
      <c r="AG710" s="208"/>
      <c r="AH710" s="208"/>
      <c r="AI710" s="208"/>
      <c r="AJ710" s="208"/>
      <c r="AK710" s="208"/>
      <c r="AL710" s="208"/>
      <c r="AM710" s="208"/>
      <c r="AN710" s="208"/>
      <c r="AO710" s="208"/>
      <c r="AP710" s="208"/>
    </row>
    <row r="711" spans="1:42">
      <c r="A711" s="37" t="s">
        <v>206</v>
      </c>
      <c r="B711" s="164"/>
      <c r="C711" s="164"/>
      <c r="D711" s="164"/>
      <c r="E711" s="164"/>
      <c r="F711" s="164"/>
      <c r="G711" s="208"/>
      <c r="H711" s="208"/>
      <c r="I711" s="208"/>
      <c r="J711" s="208"/>
      <c r="K711" s="208"/>
      <c r="L711" s="208"/>
      <c r="M711" s="208"/>
      <c r="N711" s="208"/>
      <c r="O711" s="208"/>
      <c r="P711" s="208"/>
      <c r="Q711" s="208"/>
      <c r="R711" s="208"/>
      <c r="S711" s="208"/>
      <c r="T711" s="208"/>
      <c r="U711" s="208"/>
      <c r="V711" s="208"/>
      <c r="W711" s="208"/>
      <c r="X711" s="208"/>
      <c r="Y711" s="208"/>
      <c r="Z711" s="208"/>
      <c r="AA711" s="208"/>
      <c r="AB711" s="208"/>
      <c r="AC711" s="208"/>
      <c r="AD711" s="208"/>
      <c r="AE711" s="208"/>
      <c r="AF711" s="208"/>
      <c r="AG711" s="208"/>
      <c r="AH711" s="208"/>
      <c r="AI711" s="208"/>
      <c r="AJ711" s="208"/>
      <c r="AK711" s="208"/>
      <c r="AL711" s="208"/>
      <c r="AM711" s="208"/>
      <c r="AN711" s="208"/>
      <c r="AO711" s="208"/>
      <c r="AP711" s="208"/>
    </row>
    <row r="712" spans="1:42">
      <c r="A712" s="37" t="s">
        <v>207</v>
      </c>
      <c r="B712" s="164"/>
      <c r="C712" s="164"/>
      <c r="D712" s="164"/>
      <c r="E712" s="164"/>
      <c r="F712" s="164"/>
      <c r="G712" s="208"/>
      <c r="H712" s="208"/>
      <c r="I712" s="208"/>
      <c r="J712" s="208"/>
      <c r="K712" s="208"/>
      <c r="L712" s="208"/>
      <c r="M712" s="208"/>
      <c r="N712" s="208"/>
      <c r="O712" s="208"/>
      <c r="P712" s="208"/>
      <c r="Q712" s="208"/>
      <c r="R712" s="208"/>
      <c r="S712" s="208"/>
      <c r="T712" s="208"/>
      <c r="U712" s="208"/>
      <c r="V712" s="208"/>
      <c r="W712" s="208"/>
      <c r="X712" s="208"/>
      <c r="Y712" s="208"/>
      <c r="Z712" s="208"/>
      <c r="AA712" s="208"/>
      <c r="AB712" s="208"/>
      <c r="AC712" s="208"/>
      <c r="AD712" s="208"/>
      <c r="AE712" s="208"/>
      <c r="AF712" s="208"/>
      <c r="AG712" s="208"/>
      <c r="AH712" s="208"/>
      <c r="AI712" s="208"/>
      <c r="AJ712" s="208"/>
      <c r="AK712" s="208"/>
      <c r="AL712" s="208"/>
      <c r="AM712" s="208"/>
      <c r="AN712" s="208"/>
      <c r="AO712" s="208"/>
      <c r="AP712" s="208"/>
    </row>
    <row r="713" spans="1:42">
      <c r="A713" s="37">
        <v>1</v>
      </c>
      <c r="B713" s="218">
        <f t="shared" ref="B713:B722" si="341">SUM(C713:AP713)</f>
        <v>6158778.6534697888</v>
      </c>
      <c r="C713" s="208">
        <f t="shared" ref="C713:AP719" si="342">IF(C$2&gt;AnalysisPeriod,0,IF(C$2=MMFrequency2*$A713,MMCost2*CapacityDC*1000*(1+Inflation)^B$2,0))</f>
        <v>0</v>
      </c>
      <c r="D713" s="208">
        <f t="shared" si="342"/>
        <v>0</v>
      </c>
      <c r="E713" s="208">
        <f t="shared" si="342"/>
        <v>0</v>
      </c>
      <c r="F713" s="208">
        <f t="shared" si="342"/>
        <v>0</v>
      </c>
      <c r="G713" s="208">
        <f t="shared" si="342"/>
        <v>0</v>
      </c>
      <c r="H713" s="208">
        <f t="shared" si="342"/>
        <v>0</v>
      </c>
      <c r="I713" s="208">
        <f t="shared" si="342"/>
        <v>0</v>
      </c>
      <c r="J713" s="208">
        <f t="shared" si="342"/>
        <v>0</v>
      </c>
      <c r="K713" s="208">
        <f t="shared" si="342"/>
        <v>0</v>
      </c>
      <c r="L713" s="208">
        <f t="shared" si="342"/>
        <v>0</v>
      </c>
      <c r="M713" s="208">
        <f t="shared" si="342"/>
        <v>0</v>
      </c>
      <c r="N713" s="208">
        <f t="shared" si="342"/>
        <v>0</v>
      </c>
      <c r="O713" s="208">
        <f t="shared" si="342"/>
        <v>0</v>
      </c>
      <c r="P713" s="208">
        <f t="shared" si="342"/>
        <v>0</v>
      </c>
      <c r="Q713" s="208">
        <f t="shared" si="342"/>
        <v>6158778.6534697888</v>
      </c>
      <c r="R713" s="208">
        <f t="shared" si="342"/>
        <v>0</v>
      </c>
      <c r="S713" s="208">
        <f t="shared" si="342"/>
        <v>0</v>
      </c>
      <c r="T713" s="208">
        <f t="shared" si="342"/>
        <v>0</v>
      </c>
      <c r="U713" s="208">
        <f t="shared" si="342"/>
        <v>0</v>
      </c>
      <c r="V713" s="208">
        <f t="shared" si="342"/>
        <v>0</v>
      </c>
      <c r="W713" s="208">
        <f t="shared" si="342"/>
        <v>0</v>
      </c>
      <c r="X713" s="208">
        <f t="shared" si="342"/>
        <v>0</v>
      </c>
      <c r="Y713" s="208">
        <f t="shared" si="342"/>
        <v>0</v>
      </c>
      <c r="Z713" s="208">
        <f t="shared" si="342"/>
        <v>0</v>
      </c>
      <c r="AA713" s="208">
        <f t="shared" si="342"/>
        <v>0</v>
      </c>
      <c r="AB713" s="208">
        <f t="shared" si="342"/>
        <v>0</v>
      </c>
      <c r="AC713" s="208">
        <f t="shared" si="342"/>
        <v>0</v>
      </c>
      <c r="AD713" s="208">
        <f t="shared" si="342"/>
        <v>0</v>
      </c>
      <c r="AE713" s="208">
        <f t="shared" si="342"/>
        <v>0</v>
      </c>
      <c r="AF713" s="208">
        <f t="shared" si="342"/>
        <v>0</v>
      </c>
      <c r="AG713" s="208">
        <f t="shared" si="342"/>
        <v>0</v>
      </c>
      <c r="AH713" s="208">
        <f t="shared" si="342"/>
        <v>0</v>
      </c>
      <c r="AI713" s="208">
        <f t="shared" si="342"/>
        <v>0</v>
      </c>
      <c r="AJ713" s="208">
        <f t="shared" si="342"/>
        <v>0</v>
      </c>
      <c r="AK713" s="208">
        <f t="shared" si="342"/>
        <v>0</v>
      </c>
      <c r="AL713" s="208">
        <f t="shared" si="342"/>
        <v>0</v>
      </c>
      <c r="AM713" s="208">
        <f t="shared" si="342"/>
        <v>0</v>
      </c>
      <c r="AN713" s="208">
        <f t="shared" si="342"/>
        <v>0</v>
      </c>
      <c r="AO713" s="208">
        <f t="shared" si="342"/>
        <v>0</v>
      </c>
      <c r="AP713" s="208">
        <f t="shared" si="342"/>
        <v>0</v>
      </c>
    </row>
    <row r="714" spans="1:42">
      <c r="A714" s="37">
        <f>A713+1</f>
        <v>2</v>
      </c>
      <c r="B714" s="218">
        <f t="shared" si="341"/>
        <v>7699902.5639943341</v>
      </c>
      <c r="C714" s="208">
        <f t="shared" si="342"/>
        <v>0</v>
      </c>
      <c r="D714" s="208">
        <f t="shared" si="342"/>
        <v>0</v>
      </c>
      <c r="E714" s="208">
        <f t="shared" si="342"/>
        <v>0</v>
      </c>
      <c r="F714" s="208">
        <f t="shared" si="342"/>
        <v>0</v>
      </c>
      <c r="G714" s="208">
        <f t="shared" si="342"/>
        <v>0</v>
      </c>
      <c r="H714" s="208">
        <f t="shared" si="342"/>
        <v>0</v>
      </c>
      <c r="I714" s="208">
        <f t="shared" si="342"/>
        <v>0</v>
      </c>
      <c r="J714" s="208">
        <f t="shared" si="342"/>
        <v>0</v>
      </c>
      <c r="K714" s="208">
        <f t="shared" si="342"/>
        <v>0</v>
      </c>
      <c r="L714" s="208">
        <f t="shared" si="342"/>
        <v>0</v>
      </c>
      <c r="M714" s="208">
        <f t="shared" si="342"/>
        <v>0</v>
      </c>
      <c r="N714" s="208">
        <f t="shared" si="342"/>
        <v>0</v>
      </c>
      <c r="O714" s="208">
        <f t="shared" si="342"/>
        <v>0</v>
      </c>
      <c r="P714" s="208">
        <f t="shared" si="342"/>
        <v>0</v>
      </c>
      <c r="Q714" s="208">
        <f t="shared" si="342"/>
        <v>0</v>
      </c>
      <c r="R714" s="208">
        <f t="shared" si="342"/>
        <v>0</v>
      </c>
      <c r="S714" s="208">
        <f t="shared" si="342"/>
        <v>0</v>
      </c>
      <c r="T714" s="208">
        <f t="shared" si="342"/>
        <v>0</v>
      </c>
      <c r="U714" s="208">
        <f t="shared" si="342"/>
        <v>0</v>
      </c>
      <c r="V714" s="208">
        <f t="shared" si="342"/>
        <v>0</v>
      </c>
      <c r="W714" s="208">
        <f t="shared" si="342"/>
        <v>0</v>
      </c>
      <c r="X714" s="208">
        <f t="shared" si="342"/>
        <v>0</v>
      </c>
      <c r="Y714" s="208">
        <f t="shared" si="342"/>
        <v>0</v>
      </c>
      <c r="Z714" s="208">
        <f t="shared" si="342"/>
        <v>0</v>
      </c>
      <c r="AA714" s="208">
        <f t="shared" si="342"/>
        <v>0</v>
      </c>
      <c r="AB714" s="208">
        <f t="shared" si="342"/>
        <v>0</v>
      </c>
      <c r="AC714" s="208">
        <f t="shared" si="342"/>
        <v>0</v>
      </c>
      <c r="AD714" s="208">
        <f t="shared" si="342"/>
        <v>0</v>
      </c>
      <c r="AE714" s="208">
        <f t="shared" si="342"/>
        <v>0</v>
      </c>
      <c r="AF714" s="208">
        <f t="shared" si="342"/>
        <v>7699902.5639943341</v>
      </c>
      <c r="AG714" s="208">
        <f t="shared" si="342"/>
        <v>0</v>
      </c>
      <c r="AH714" s="208">
        <f t="shared" si="342"/>
        <v>0</v>
      </c>
      <c r="AI714" s="208">
        <f t="shared" si="342"/>
        <v>0</v>
      </c>
      <c r="AJ714" s="208">
        <f t="shared" si="342"/>
        <v>0</v>
      </c>
      <c r="AK714" s="208">
        <f t="shared" si="342"/>
        <v>0</v>
      </c>
      <c r="AL714" s="208">
        <f t="shared" si="342"/>
        <v>0</v>
      </c>
      <c r="AM714" s="208">
        <f t="shared" si="342"/>
        <v>0</v>
      </c>
      <c r="AN714" s="208">
        <f t="shared" si="342"/>
        <v>0</v>
      </c>
      <c r="AO714" s="208">
        <f t="shared" si="342"/>
        <v>0</v>
      </c>
      <c r="AP714" s="208">
        <f t="shared" si="342"/>
        <v>0</v>
      </c>
    </row>
    <row r="715" spans="1:42">
      <c r="A715" s="37">
        <f t="shared" ref="A715:A722" si="343">A714+1</f>
        <v>3</v>
      </c>
      <c r="B715" s="218">
        <f t="shared" si="341"/>
        <v>0</v>
      </c>
      <c r="C715" s="208">
        <f t="shared" si="342"/>
        <v>0</v>
      </c>
      <c r="D715" s="208">
        <f t="shared" si="342"/>
        <v>0</v>
      </c>
      <c r="E715" s="208">
        <f t="shared" si="342"/>
        <v>0</v>
      </c>
      <c r="F715" s="208">
        <f t="shared" si="342"/>
        <v>0</v>
      </c>
      <c r="G715" s="208">
        <f t="shared" si="342"/>
        <v>0</v>
      </c>
      <c r="H715" s="208">
        <f t="shared" si="342"/>
        <v>0</v>
      </c>
      <c r="I715" s="208">
        <f t="shared" si="342"/>
        <v>0</v>
      </c>
      <c r="J715" s="208">
        <f t="shared" si="342"/>
        <v>0</v>
      </c>
      <c r="K715" s="208">
        <f t="shared" si="342"/>
        <v>0</v>
      </c>
      <c r="L715" s="208">
        <f t="shared" si="342"/>
        <v>0</v>
      </c>
      <c r="M715" s="208">
        <f t="shared" si="342"/>
        <v>0</v>
      </c>
      <c r="N715" s="208">
        <f t="shared" si="342"/>
        <v>0</v>
      </c>
      <c r="O715" s="208">
        <f t="shared" si="342"/>
        <v>0</v>
      </c>
      <c r="P715" s="208">
        <f t="shared" si="342"/>
        <v>0</v>
      </c>
      <c r="Q715" s="208">
        <f t="shared" si="342"/>
        <v>0</v>
      </c>
      <c r="R715" s="208">
        <f t="shared" si="342"/>
        <v>0</v>
      </c>
      <c r="S715" s="208">
        <f t="shared" si="342"/>
        <v>0</v>
      </c>
      <c r="T715" s="208">
        <f t="shared" si="342"/>
        <v>0</v>
      </c>
      <c r="U715" s="208">
        <f t="shared" si="342"/>
        <v>0</v>
      </c>
      <c r="V715" s="208">
        <f t="shared" si="342"/>
        <v>0</v>
      </c>
      <c r="W715" s="208">
        <f t="shared" si="342"/>
        <v>0</v>
      </c>
      <c r="X715" s="208">
        <f t="shared" si="342"/>
        <v>0</v>
      </c>
      <c r="Y715" s="208">
        <f t="shared" si="342"/>
        <v>0</v>
      </c>
      <c r="Z715" s="208">
        <f t="shared" si="342"/>
        <v>0</v>
      </c>
      <c r="AA715" s="208">
        <f t="shared" si="342"/>
        <v>0</v>
      </c>
      <c r="AB715" s="208">
        <f t="shared" si="342"/>
        <v>0</v>
      </c>
      <c r="AC715" s="208">
        <f t="shared" si="342"/>
        <v>0</v>
      </c>
      <c r="AD715" s="208">
        <f t="shared" si="342"/>
        <v>0</v>
      </c>
      <c r="AE715" s="208">
        <f t="shared" si="342"/>
        <v>0</v>
      </c>
      <c r="AF715" s="208">
        <f t="shared" si="342"/>
        <v>0</v>
      </c>
      <c r="AG715" s="208">
        <f t="shared" si="342"/>
        <v>0</v>
      </c>
      <c r="AH715" s="208">
        <f t="shared" si="342"/>
        <v>0</v>
      </c>
      <c r="AI715" s="208">
        <f t="shared" si="342"/>
        <v>0</v>
      </c>
      <c r="AJ715" s="208">
        <f t="shared" si="342"/>
        <v>0</v>
      </c>
      <c r="AK715" s="208">
        <f t="shared" si="342"/>
        <v>0</v>
      </c>
      <c r="AL715" s="208">
        <f t="shared" si="342"/>
        <v>0</v>
      </c>
      <c r="AM715" s="208">
        <f t="shared" si="342"/>
        <v>0</v>
      </c>
      <c r="AN715" s="208">
        <f t="shared" si="342"/>
        <v>0</v>
      </c>
      <c r="AO715" s="208">
        <f t="shared" si="342"/>
        <v>0</v>
      </c>
      <c r="AP715" s="208">
        <f t="shared" si="342"/>
        <v>0</v>
      </c>
    </row>
    <row r="716" spans="1:42">
      <c r="A716" s="37">
        <f t="shared" si="343"/>
        <v>4</v>
      </c>
      <c r="B716" s="218">
        <f t="shared" si="341"/>
        <v>0</v>
      </c>
      <c r="C716" s="208">
        <f t="shared" si="342"/>
        <v>0</v>
      </c>
      <c r="D716" s="208">
        <f t="shared" si="342"/>
        <v>0</v>
      </c>
      <c r="E716" s="208">
        <f t="shared" si="342"/>
        <v>0</v>
      </c>
      <c r="F716" s="208">
        <f t="shared" si="342"/>
        <v>0</v>
      </c>
      <c r="G716" s="208">
        <f t="shared" si="342"/>
        <v>0</v>
      </c>
      <c r="H716" s="208">
        <f t="shared" si="342"/>
        <v>0</v>
      </c>
      <c r="I716" s="208">
        <f t="shared" si="342"/>
        <v>0</v>
      </c>
      <c r="J716" s="208">
        <f t="shared" si="342"/>
        <v>0</v>
      </c>
      <c r="K716" s="208">
        <f t="shared" si="342"/>
        <v>0</v>
      </c>
      <c r="L716" s="208">
        <f t="shared" si="342"/>
        <v>0</v>
      </c>
      <c r="M716" s="208">
        <f t="shared" si="342"/>
        <v>0</v>
      </c>
      <c r="N716" s="208">
        <f t="shared" si="342"/>
        <v>0</v>
      </c>
      <c r="O716" s="208">
        <f t="shared" si="342"/>
        <v>0</v>
      </c>
      <c r="P716" s="208">
        <f t="shared" si="342"/>
        <v>0</v>
      </c>
      <c r="Q716" s="208">
        <f t="shared" si="342"/>
        <v>0</v>
      </c>
      <c r="R716" s="208">
        <f t="shared" si="342"/>
        <v>0</v>
      </c>
      <c r="S716" s="208">
        <f t="shared" si="342"/>
        <v>0</v>
      </c>
      <c r="T716" s="208">
        <f t="shared" si="342"/>
        <v>0</v>
      </c>
      <c r="U716" s="208">
        <f t="shared" si="342"/>
        <v>0</v>
      </c>
      <c r="V716" s="208">
        <f t="shared" si="342"/>
        <v>0</v>
      </c>
      <c r="W716" s="208">
        <f t="shared" si="342"/>
        <v>0</v>
      </c>
      <c r="X716" s="208">
        <f t="shared" si="342"/>
        <v>0</v>
      </c>
      <c r="Y716" s="208">
        <f t="shared" si="342"/>
        <v>0</v>
      </c>
      <c r="Z716" s="208">
        <f t="shared" si="342"/>
        <v>0</v>
      </c>
      <c r="AA716" s="208">
        <f t="shared" si="342"/>
        <v>0</v>
      </c>
      <c r="AB716" s="208">
        <f t="shared" si="342"/>
        <v>0</v>
      </c>
      <c r="AC716" s="208">
        <f t="shared" si="342"/>
        <v>0</v>
      </c>
      <c r="AD716" s="208">
        <f t="shared" si="342"/>
        <v>0</v>
      </c>
      <c r="AE716" s="208">
        <f t="shared" si="342"/>
        <v>0</v>
      </c>
      <c r="AF716" s="208">
        <f t="shared" si="342"/>
        <v>0</v>
      </c>
      <c r="AG716" s="208">
        <f t="shared" si="342"/>
        <v>0</v>
      </c>
      <c r="AH716" s="208">
        <f t="shared" si="342"/>
        <v>0</v>
      </c>
      <c r="AI716" s="208">
        <f t="shared" si="342"/>
        <v>0</v>
      </c>
      <c r="AJ716" s="208">
        <f t="shared" si="342"/>
        <v>0</v>
      </c>
      <c r="AK716" s="208">
        <f t="shared" si="342"/>
        <v>0</v>
      </c>
      <c r="AL716" s="208">
        <f t="shared" si="342"/>
        <v>0</v>
      </c>
      <c r="AM716" s="208">
        <f t="shared" si="342"/>
        <v>0</v>
      </c>
      <c r="AN716" s="208">
        <f t="shared" si="342"/>
        <v>0</v>
      </c>
      <c r="AO716" s="208">
        <f t="shared" si="342"/>
        <v>0</v>
      </c>
      <c r="AP716" s="208">
        <f t="shared" si="342"/>
        <v>0</v>
      </c>
    </row>
    <row r="717" spans="1:42">
      <c r="A717" s="37">
        <f t="shared" si="343"/>
        <v>5</v>
      </c>
      <c r="B717" s="218">
        <f t="shared" si="341"/>
        <v>0</v>
      </c>
      <c r="C717" s="208">
        <f t="shared" si="342"/>
        <v>0</v>
      </c>
      <c r="D717" s="208">
        <f t="shared" si="342"/>
        <v>0</v>
      </c>
      <c r="E717" s="208">
        <f t="shared" si="342"/>
        <v>0</v>
      </c>
      <c r="F717" s="208">
        <f t="shared" si="342"/>
        <v>0</v>
      </c>
      <c r="G717" s="208">
        <f t="shared" si="342"/>
        <v>0</v>
      </c>
      <c r="H717" s="208">
        <f t="shared" si="342"/>
        <v>0</v>
      </c>
      <c r="I717" s="208">
        <f t="shared" si="342"/>
        <v>0</v>
      </c>
      <c r="J717" s="208">
        <f t="shared" si="342"/>
        <v>0</v>
      </c>
      <c r="K717" s="208">
        <f t="shared" si="342"/>
        <v>0</v>
      </c>
      <c r="L717" s="208">
        <f t="shared" si="342"/>
        <v>0</v>
      </c>
      <c r="M717" s="208">
        <f t="shared" si="342"/>
        <v>0</v>
      </c>
      <c r="N717" s="208">
        <f t="shared" si="342"/>
        <v>0</v>
      </c>
      <c r="O717" s="208">
        <f t="shared" si="342"/>
        <v>0</v>
      </c>
      <c r="P717" s="208">
        <f t="shared" si="342"/>
        <v>0</v>
      </c>
      <c r="Q717" s="208">
        <f t="shared" si="342"/>
        <v>0</v>
      </c>
      <c r="R717" s="208">
        <f t="shared" si="342"/>
        <v>0</v>
      </c>
      <c r="S717" s="208">
        <f t="shared" si="342"/>
        <v>0</v>
      </c>
      <c r="T717" s="208">
        <f t="shared" si="342"/>
        <v>0</v>
      </c>
      <c r="U717" s="208">
        <f t="shared" si="342"/>
        <v>0</v>
      </c>
      <c r="V717" s="208">
        <f t="shared" si="342"/>
        <v>0</v>
      </c>
      <c r="W717" s="208">
        <f t="shared" si="342"/>
        <v>0</v>
      </c>
      <c r="X717" s="208">
        <f t="shared" si="342"/>
        <v>0</v>
      </c>
      <c r="Y717" s="208">
        <f t="shared" si="342"/>
        <v>0</v>
      </c>
      <c r="Z717" s="208">
        <f t="shared" si="342"/>
        <v>0</v>
      </c>
      <c r="AA717" s="208">
        <f t="shared" si="342"/>
        <v>0</v>
      </c>
      <c r="AB717" s="208">
        <f t="shared" si="342"/>
        <v>0</v>
      </c>
      <c r="AC717" s="208">
        <f t="shared" si="342"/>
        <v>0</v>
      </c>
      <c r="AD717" s="208">
        <f t="shared" si="342"/>
        <v>0</v>
      </c>
      <c r="AE717" s="208">
        <f t="shared" si="342"/>
        <v>0</v>
      </c>
      <c r="AF717" s="208">
        <f t="shared" si="342"/>
        <v>0</v>
      </c>
      <c r="AG717" s="208">
        <f t="shared" si="342"/>
        <v>0</v>
      </c>
      <c r="AH717" s="208">
        <f t="shared" si="342"/>
        <v>0</v>
      </c>
      <c r="AI717" s="208">
        <f t="shared" si="342"/>
        <v>0</v>
      </c>
      <c r="AJ717" s="208">
        <f t="shared" si="342"/>
        <v>0</v>
      </c>
      <c r="AK717" s="208">
        <f t="shared" si="342"/>
        <v>0</v>
      </c>
      <c r="AL717" s="208">
        <f t="shared" si="342"/>
        <v>0</v>
      </c>
      <c r="AM717" s="208">
        <f t="shared" si="342"/>
        <v>0</v>
      </c>
      <c r="AN717" s="208">
        <f t="shared" si="342"/>
        <v>0</v>
      </c>
      <c r="AO717" s="208">
        <f t="shared" si="342"/>
        <v>0</v>
      </c>
      <c r="AP717" s="208">
        <f t="shared" si="342"/>
        <v>0</v>
      </c>
    </row>
    <row r="718" spans="1:42">
      <c r="A718" s="37">
        <f t="shared" si="343"/>
        <v>6</v>
      </c>
      <c r="B718" s="218">
        <f t="shared" si="341"/>
        <v>0</v>
      </c>
      <c r="C718" s="208">
        <f t="shared" si="342"/>
        <v>0</v>
      </c>
      <c r="D718" s="208">
        <f t="shared" si="342"/>
        <v>0</v>
      </c>
      <c r="E718" s="208">
        <f t="shared" si="342"/>
        <v>0</v>
      </c>
      <c r="F718" s="208">
        <f t="shared" si="342"/>
        <v>0</v>
      </c>
      <c r="G718" s="208">
        <f t="shared" si="342"/>
        <v>0</v>
      </c>
      <c r="H718" s="208">
        <f t="shared" si="342"/>
        <v>0</v>
      </c>
      <c r="I718" s="208">
        <f t="shared" si="342"/>
        <v>0</v>
      </c>
      <c r="J718" s="208">
        <f t="shared" si="342"/>
        <v>0</v>
      </c>
      <c r="K718" s="208">
        <f t="shared" si="342"/>
        <v>0</v>
      </c>
      <c r="L718" s="208">
        <f t="shared" si="342"/>
        <v>0</v>
      </c>
      <c r="M718" s="208">
        <f t="shared" si="342"/>
        <v>0</v>
      </c>
      <c r="N718" s="208">
        <f t="shared" si="342"/>
        <v>0</v>
      </c>
      <c r="O718" s="208">
        <f t="shared" si="342"/>
        <v>0</v>
      </c>
      <c r="P718" s="208">
        <f t="shared" si="342"/>
        <v>0</v>
      </c>
      <c r="Q718" s="208">
        <f t="shared" si="342"/>
        <v>0</v>
      </c>
      <c r="R718" s="208">
        <f t="shared" si="342"/>
        <v>0</v>
      </c>
      <c r="S718" s="208">
        <f t="shared" si="342"/>
        <v>0</v>
      </c>
      <c r="T718" s="208">
        <f t="shared" si="342"/>
        <v>0</v>
      </c>
      <c r="U718" s="208">
        <f t="shared" si="342"/>
        <v>0</v>
      </c>
      <c r="V718" s="208">
        <f t="shared" si="342"/>
        <v>0</v>
      </c>
      <c r="W718" s="208">
        <f t="shared" si="342"/>
        <v>0</v>
      </c>
      <c r="X718" s="208">
        <f t="shared" si="342"/>
        <v>0</v>
      </c>
      <c r="Y718" s="208">
        <f t="shared" si="342"/>
        <v>0</v>
      </c>
      <c r="Z718" s="208">
        <f t="shared" si="342"/>
        <v>0</v>
      </c>
      <c r="AA718" s="208">
        <f t="shared" si="342"/>
        <v>0</v>
      </c>
      <c r="AB718" s="208">
        <f t="shared" si="342"/>
        <v>0</v>
      </c>
      <c r="AC718" s="208">
        <f t="shared" si="342"/>
        <v>0</v>
      </c>
      <c r="AD718" s="208">
        <f t="shared" si="342"/>
        <v>0</v>
      </c>
      <c r="AE718" s="208">
        <f t="shared" si="342"/>
        <v>0</v>
      </c>
      <c r="AF718" s="208">
        <f t="shared" si="342"/>
        <v>0</v>
      </c>
      <c r="AG718" s="208">
        <f t="shared" si="342"/>
        <v>0</v>
      </c>
      <c r="AH718" s="208">
        <f t="shared" si="342"/>
        <v>0</v>
      </c>
      <c r="AI718" s="208">
        <f t="shared" si="342"/>
        <v>0</v>
      </c>
      <c r="AJ718" s="208">
        <f t="shared" si="342"/>
        <v>0</v>
      </c>
      <c r="AK718" s="208">
        <f t="shared" si="342"/>
        <v>0</v>
      </c>
      <c r="AL718" s="208">
        <f t="shared" si="342"/>
        <v>0</v>
      </c>
      <c r="AM718" s="208">
        <f t="shared" si="342"/>
        <v>0</v>
      </c>
      <c r="AN718" s="208">
        <f t="shared" si="342"/>
        <v>0</v>
      </c>
      <c r="AO718" s="208">
        <f t="shared" si="342"/>
        <v>0</v>
      </c>
      <c r="AP718" s="208">
        <f t="shared" si="342"/>
        <v>0</v>
      </c>
    </row>
    <row r="719" spans="1:42">
      <c r="A719" s="37">
        <f t="shared" si="343"/>
        <v>7</v>
      </c>
      <c r="B719" s="218">
        <f t="shared" si="341"/>
        <v>0</v>
      </c>
      <c r="C719" s="208">
        <f t="shared" si="342"/>
        <v>0</v>
      </c>
      <c r="D719" s="208">
        <f t="shared" si="342"/>
        <v>0</v>
      </c>
      <c r="E719" s="208">
        <f t="shared" si="342"/>
        <v>0</v>
      </c>
      <c r="F719" s="208">
        <f t="shared" si="342"/>
        <v>0</v>
      </c>
      <c r="G719" s="208">
        <f t="shared" si="342"/>
        <v>0</v>
      </c>
      <c r="H719" s="208">
        <f t="shared" si="342"/>
        <v>0</v>
      </c>
      <c r="I719" s="208">
        <f t="shared" si="342"/>
        <v>0</v>
      </c>
      <c r="J719" s="208">
        <f t="shared" si="342"/>
        <v>0</v>
      </c>
      <c r="K719" s="208">
        <f t="shared" si="342"/>
        <v>0</v>
      </c>
      <c r="L719" s="208">
        <f t="shared" si="342"/>
        <v>0</v>
      </c>
      <c r="M719" s="208">
        <f t="shared" si="342"/>
        <v>0</v>
      </c>
      <c r="N719" s="208">
        <f t="shared" si="342"/>
        <v>0</v>
      </c>
      <c r="O719" s="208">
        <f t="shared" si="342"/>
        <v>0</v>
      </c>
      <c r="P719" s="208">
        <f t="shared" si="342"/>
        <v>0</v>
      </c>
      <c r="Q719" s="208">
        <f t="shared" si="342"/>
        <v>0</v>
      </c>
      <c r="R719" s="208">
        <f t="shared" ref="R719:AP719" si="344">IF(R$2&gt;AnalysisPeriod,0,IF(R$2=MMFrequency2*$A719,MMCost2*CapacityDC*1000*(1+Inflation)^Q$2,0))</f>
        <v>0</v>
      </c>
      <c r="S719" s="208">
        <f t="shared" si="344"/>
        <v>0</v>
      </c>
      <c r="T719" s="208">
        <f t="shared" si="344"/>
        <v>0</v>
      </c>
      <c r="U719" s="208">
        <f t="shared" si="344"/>
        <v>0</v>
      </c>
      <c r="V719" s="208">
        <f t="shared" si="344"/>
        <v>0</v>
      </c>
      <c r="W719" s="208">
        <f t="shared" si="344"/>
        <v>0</v>
      </c>
      <c r="X719" s="208">
        <f t="shared" si="344"/>
        <v>0</v>
      </c>
      <c r="Y719" s="208">
        <f t="shared" si="344"/>
        <v>0</v>
      </c>
      <c r="Z719" s="208">
        <f t="shared" si="344"/>
        <v>0</v>
      </c>
      <c r="AA719" s="208">
        <f t="shared" si="344"/>
        <v>0</v>
      </c>
      <c r="AB719" s="208">
        <f t="shared" si="344"/>
        <v>0</v>
      </c>
      <c r="AC719" s="208">
        <f t="shared" si="344"/>
        <v>0</v>
      </c>
      <c r="AD719" s="208">
        <f t="shared" si="344"/>
        <v>0</v>
      </c>
      <c r="AE719" s="208">
        <f t="shared" si="344"/>
        <v>0</v>
      </c>
      <c r="AF719" s="208">
        <f t="shared" si="344"/>
        <v>0</v>
      </c>
      <c r="AG719" s="208">
        <f t="shared" si="344"/>
        <v>0</v>
      </c>
      <c r="AH719" s="208">
        <f t="shared" si="344"/>
        <v>0</v>
      </c>
      <c r="AI719" s="208">
        <f t="shared" si="344"/>
        <v>0</v>
      </c>
      <c r="AJ719" s="208">
        <f t="shared" si="344"/>
        <v>0</v>
      </c>
      <c r="AK719" s="208">
        <f t="shared" si="344"/>
        <v>0</v>
      </c>
      <c r="AL719" s="208">
        <f t="shared" si="344"/>
        <v>0</v>
      </c>
      <c r="AM719" s="208">
        <f t="shared" si="344"/>
        <v>0</v>
      </c>
      <c r="AN719" s="208">
        <f t="shared" si="344"/>
        <v>0</v>
      </c>
      <c r="AO719" s="208">
        <f t="shared" si="344"/>
        <v>0</v>
      </c>
      <c r="AP719" s="208">
        <f t="shared" si="344"/>
        <v>0</v>
      </c>
    </row>
    <row r="720" spans="1:42">
      <c r="A720" s="37">
        <f t="shared" si="343"/>
        <v>8</v>
      </c>
      <c r="B720" s="218">
        <f t="shared" si="341"/>
        <v>0</v>
      </c>
      <c r="C720" s="208">
        <f t="shared" ref="C720:AP722" si="345">IF(C$2&gt;AnalysisPeriod,0,IF(C$2=MMFrequency2*$A720,MMCost2*CapacityDC*1000*(1+Inflation)^B$2,0))</f>
        <v>0</v>
      </c>
      <c r="D720" s="208">
        <f t="shared" si="345"/>
        <v>0</v>
      </c>
      <c r="E720" s="208">
        <f t="shared" si="345"/>
        <v>0</v>
      </c>
      <c r="F720" s="208">
        <f t="shared" si="345"/>
        <v>0</v>
      </c>
      <c r="G720" s="208">
        <f t="shared" si="345"/>
        <v>0</v>
      </c>
      <c r="H720" s="208">
        <f t="shared" si="345"/>
        <v>0</v>
      </c>
      <c r="I720" s="208">
        <f t="shared" si="345"/>
        <v>0</v>
      </c>
      <c r="J720" s="208">
        <f t="shared" si="345"/>
        <v>0</v>
      </c>
      <c r="K720" s="208">
        <f t="shared" si="345"/>
        <v>0</v>
      </c>
      <c r="L720" s="208">
        <f t="shared" si="345"/>
        <v>0</v>
      </c>
      <c r="M720" s="208">
        <f t="shared" si="345"/>
        <v>0</v>
      </c>
      <c r="N720" s="208">
        <f t="shared" si="345"/>
        <v>0</v>
      </c>
      <c r="O720" s="208">
        <f t="shared" si="345"/>
        <v>0</v>
      </c>
      <c r="P720" s="208">
        <f t="shared" si="345"/>
        <v>0</v>
      </c>
      <c r="Q720" s="208">
        <f t="shared" si="345"/>
        <v>0</v>
      </c>
      <c r="R720" s="208">
        <f t="shared" si="345"/>
        <v>0</v>
      </c>
      <c r="S720" s="208">
        <f t="shared" si="345"/>
        <v>0</v>
      </c>
      <c r="T720" s="208">
        <f t="shared" si="345"/>
        <v>0</v>
      </c>
      <c r="U720" s="208">
        <f t="shared" si="345"/>
        <v>0</v>
      </c>
      <c r="V720" s="208">
        <f t="shared" si="345"/>
        <v>0</v>
      </c>
      <c r="W720" s="208">
        <f t="shared" si="345"/>
        <v>0</v>
      </c>
      <c r="X720" s="208">
        <f t="shared" si="345"/>
        <v>0</v>
      </c>
      <c r="Y720" s="208">
        <f t="shared" si="345"/>
        <v>0</v>
      </c>
      <c r="Z720" s="208">
        <f t="shared" si="345"/>
        <v>0</v>
      </c>
      <c r="AA720" s="208">
        <f t="shared" si="345"/>
        <v>0</v>
      </c>
      <c r="AB720" s="208">
        <f t="shared" si="345"/>
        <v>0</v>
      </c>
      <c r="AC720" s="208">
        <f t="shared" si="345"/>
        <v>0</v>
      </c>
      <c r="AD720" s="208">
        <f t="shared" si="345"/>
        <v>0</v>
      </c>
      <c r="AE720" s="208">
        <f t="shared" si="345"/>
        <v>0</v>
      </c>
      <c r="AF720" s="208">
        <f t="shared" si="345"/>
        <v>0</v>
      </c>
      <c r="AG720" s="208">
        <f t="shared" si="345"/>
        <v>0</v>
      </c>
      <c r="AH720" s="208">
        <f t="shared" si="345"/>
        <v>0</v>
      </c>
      <c r="AI720" s="208">
        <f t="shared" si="345"/>
        <v>0</v>
      </c>
      <c r="AJ720" s="208">
        <f t="shared" si="345"/>
        <v>0</v>
      </c>
      <c r="AK720" s="208">
        <f t="shared" si="345"/>
        <v>0</v>
      </c>
      <c r="AL720" s="208">
        <f t="shared" si="345"/>
        <v>0</v>
      </c>
      <c r="AM720" s="208">
        <f t="shared" si="345"/>
        <v>0</v>
      </c>
      <c r="AN720" s="208">
        <f t="shared" si="345"/>
        <v>0</v>
      </c>
      <c r="AO720" s="208">
        <f t="shared" si="345"/>
        <v>0</v>
      </c>
      <c r="AP720" s="208">
        <f t="shared" si="345"/>
        <v>0</v>
      </c>
    </row>
    <row r="721" spans="1:42">
      <c r="A721" s="37">
        <f>A720+1</f>
        <v>9</v>
      </c>
      <c r="B721" s="218">
        <f t="shared" si="341"/>
        <v>0</v>
      </c>
      <c r="C721" s="208">
        <f t="shared" si="345"/>
        <v>0</v>
      </c>
      <c r="D721" s="208">
        <f t="shared" si="345"/>
        <v>0</v>
      </c>
      <c r="E721" s="208">
        <f t="shared" si="345"/>
        <v>0</v>
      </c>
      <c r="F721" s="208">
        <f t="shared" si="345"/>
        <v>0</v>
      </c>
      <c r="G721" s="208">
        <f t="shared" si="345"/>
        <v>0</v>
      </c>
      <c r="H721" s="208">
        <f t="shared" si="345"/>
        <v>0</v>
      </c>
      <c r="I721" s="208">
        <f t="shared" si="345"/>
        <v>0</v>
      </c>
      <c r="J721" s="208">
        <f t="shared" si="345"/>
        <v>0</v>
      </c>
      <c r="K721" s="208">
        <f t="shared" si="345"/>
        <v>0</v>
      </c>
      <c r="L721" s="208">
        <f t="shared" si="345"/>
        <v>0</v>
      </c>
      <c r="M721" s="208">
        <f t="shared" si="345"/>
        <v>0</v>
      </c>
      <c r="N721" s="208">
        <f t="shared" si="345"/>
        <v>0</v>
      </c>
      <c r="O721" s="208">
        <f t="shared" si="345"/>
        <v>0</v>
      </c>
      <c r="P721" s="208">
        <f t="shared" si="345"/>
        <v>0</v>
      </c>
      <c r="Q721" s="208">
        <f t="shared" si="345"/>
        <v>0</v>
      </c>
      <c r="R721" s="208">
        <f t="shared" si="345"/>
        <v>0</v>
      </c>
      <c r="S721" s="208">
        <f t="shared" si="345"/>
        <v>0</v>
      </c>
      <c r="T721" s="208">
        <f t="shared" si="345"/>
        <v>0</v>
      </c>
      <c r="U721" s="208">
        <f t="shared" si="345"/>
        <v>0</v>
      </c>
      <c r="V721" s="208">
        <f t="shared" si="345"/>
        <v>0</v>
      </c>
      <c r="W721" s="208">
        <f t="shared" si="345"/>
        <v>0</v>
      </c>
      <c r="X721" s="208">
        <f t="shared" si="345"/>
        <v>0</v>
      </c>
      <c r="Y721" s="208">
        <f t="shared" si="345"/>
        <v>0</v>
      </c>
      <c r="Z721" s="208">
        <f t="shared" si="345"/>
        <v>0</v>
      </c>
      <c r="AA721" s="208">
        <f t="shared" si="345"/>
        <v>0</v>
      </c>
      <c r="AB721" s="208">
        <f t="shared" si="345"/>
        <v>0</v>
      </c>
      <c r="AC721" s="208">
        <f t="shared" si="345"/>
        <v>0</v>
      </c>
      <c r="AD721" s="208">
        <f t="shared" si="345"/>
        <v>0</v>
      </c>
      <c r="AE721" s="208">
        <f t="shared" si="345"/>
        <v>0</v>
      </c>
      <c r="AF721" s="208">
        <f t="shared" si="345"/>
        <v>0</v>
      </c>
      <c r="AG721" s="208">
        <f t="shared" si="345"/>
        <v>0</v>
      </c>
      <c r="AH721" s="208">
        <f t="shared" si="345"/>
        <v>0</v>
      </c>
      <c r="AI721" s="208">
        <f t="shared" si="345"/>
        <v>0</v>
      </c>
      <c r="AJ721" s="208">
        <f t="shared" si="345"/>
        <v>0</v>
      </c>
      <c r="AK721" s="208">
        <f t="shared" si="345"/>
        <v>0</v>
      </c>
      <c r="AL721" s="208">
        <f t="shared" si="345"/>
        <v>0</v>
      </c>
      <c r="AM721" s="208">
        <f t="shared" si="345"/>
        <v>0</v>
      </c>
      <c r="AN721" s="208">
        <f t="shared" si="345"/>
        <v>0</v>
      </c>
      <c r="AO721" s="208">
        <f t="shared" si="345"/>
        <v>0</v>
      </c>
      <c r="AP721" s="208">
        <f t="shared" si="345"/>
        <v>0</v>
      </c>
    </row>
    <row r="722" spans="1:42">
      <c r="A722" s="37">
        <f t="shared" si="343"/>
        <v>10</v>
      </c>
      <c r="B722" s="218">
        <f t="shared" si="341"/>
        <v>0</v>
      </c>
      <c r="C722" s="209">
        <f t="shared" si="345"/>
        <v>0</v>
      </c>
      <c r="D722" s="209">
        <f t="shared" si="345"/>
        <v>0</v>
      </c>
      <c r="E722" s="209">
        <f t="shared" si="345"/>
        <v>0</v>
      </c>
      <c r="F722" s="209">
        <f t="shared" si="345"/>
        <v>0</v>
      </c>
      <c r="G722" s="209">
        <f t="shared" si="345"/>
        <v>0</v>
      </c>
      <c r="H722" s="209">
        <f t="shared" si="345"/>
        <v>0</v>
      </c>
      <c r="I722" s="209">
        <f t="shared" si="345"/>
        <v>0</v>
      </c>
      <c r="J722" s="209">
        <f t="shared" si="345"/>
        <v>0</v>
      </c>
      <c r="K722" s="209">
        <f t="shared" si="345"/>
        <v>0</v>
      </c>
      <c r="L722" s="209">
        <f t="shared" si="345"/>
        <v>0</v>
      </c>
      <c r="M722" s="209">
        <f t="shared" si="345"/>
        <v>0</v>
      </c>
      <c r="N722" s="209">
        <f t="shared" si="345"/>
        <v>0</v>
      </c>
      <c r="O722" s="209">
        <f t="shared" si="345"/>
        <v>0</v>
      </c>
      <c r="P722" s="209">
        <f t="shared" si="345"/>
        <v>0</v>
      </c>
      <c r="Q722" s="209">
        <f t="shared" si="345"/>
        <v>0</v>
      </c>
      <c r="R722" s="209">
        <f t="shared" si="345"/>
        <v>0</v>
      </c>
      <c r="S722" s="209">
        <f t="shared" si="345"/>
        <v>0</v>
      </c>
      <c r="T722" s="209">
        <f t="shared" si="345"/>
        <v>0</v>
      </c>
      <c r="U722" s="209">
        <f t="shared" si="345"/>
        <v>0</v>
      </c>
      <c r="V722" s="209">
        <f t="shared" si="345"/>
        <v>0</v>
      </c>
      <c r="W722" s="209">
        <f t="shared" si="345"/>
        <v>0</v>
      </c>
      <c r="X722" s="209">
        <f t="shared" si="345"/>
        <v>0</v>
      </c>
      <c r="Y722" s="209">
        <f t="shared" si="345"/>
        <v>0</v>
      </c>
      <c r="Z722" s="209">
        <f t="shared" si="345"/>
        <v>0</v>
      </c>
      <c r="AA722" s="209">
        <f t="shared" si="345"/>
        <v>0</v>
      </c>
      <c r="AB722" s="209">
        <f t="shared" si="345"/>
        <v>0</v>
      </c>
      <c r="AC722" s="209">
        <f t="shared" si="345"/>
        <v>0</v>
      </c>
      <c r="AD722" s="209">
        <f t="shared" si="345"/>
        <v>0</v>
      </c>
      <c r="AE722" s="209">
        <f t="shared" si="345"/>
        <v>0</v>
      </c>
      <c r="AF722" s="209">
        <f t="shared" si="345"/>
        <v>0</v>
      </c>
      <c r="AG722" s="209">
        <f t="shared" si="345"/>
        <v>0</v>
      </c>
      <c r="AH722" s="209">
        <f t="shared" si="345"/>
        <v>0</v>
      </c>
      <c r="AI722" s="209">
        <f t="shared" si="345"/>
        <v>0</v>
      </c>
      <c r="AJ722" s="209">
        <f t="shared" si="345"/>
        <v>0</v>
      </c>
      <c r="AK722" s="209">
        <f t="shared" si="345"/>
        <v>0</v>
      </c>
      <c r="AL722" s="209">
        <f t="shared" si="345"/>
        <v>0</v>
      </c>
      <c r="AM722" s="209">
        <f t="shared" si="345"/>
        <v>0</v>
      </c>
      <c r="AN722" s="209">
        <f t="shared" si="345"/>
        <v>0</v>
      </c>
      <c r="AO722" s="209">
        <f t="shared" si="345"/>
        <v>0</v>
      </c>
      <c r="AP722" s="209">
        <f t="shared" si="345"/>
        <v>0</v>
      </c>
    </row>
    <row r="723" spans="1:42">
      <c r="A723" s="244" t="s">
        <v>53</v>
      </c>
      <c r="B723" s="208"/>
      <c r="C723" s="164">
        <f>SUM(C713:C722)</f>
        <v>0</v>
      </c>
      <c r="D723" s="164">
        <f t="shared" ref="D723:AP723" si="346">SUM(D713:D722)</f>
        <v>0</v>
      </c>
      <c r="E723" s="164">
        <f t="shared" si="346"/>
        <v>0</v>
      </c>
      <c r="F723" s="164">
        <f t="shared" si="346"/>
        <v>0</v>
      </c>
      <c r="G723" s="164">
        <f t="shared" si="346"/>
        <v>0</v>
      </c>
      <c r="H723" s="164">
        <f t="shared" si="346"/>
        <v>0</v>
      </c>
      <c r="I723" s="164">
        <f t="shared" si="346"/>
        <v>0</v>
      </c>
      <c r="J723" s="164">
        <f t="shared" si="346"/>
        <v>0</v>
      </c>
      <c r="K723" s="164">
        <f t="shared" si="346"/>
        <v>0</v>
      </c>
      <c r="L723" s="164">
        <f t="shared" si="346"/>
        <v>0</v>
      </c>
      <c r="M723" s="164">
        <f t="shared" si="346"/>
        <v>0</v>
      </c>
      <c r="N723" s="164">
        <f t="shared" si="346"/>
        <v>0</v>
      </c>
      <c r="O723" s="164">
        <f t="shared" si="346"/>
        <v>0</v>
      </c>
      <c r="P723" s="164">
        <f t="shared" si="346"/>
        <v>0</v>
      </c>
      <c r="Q723" s="164">
        <f t="shared" si="346"/>
        <v>6158778.6534697888</v>
      </c>
      <c r="R723" s="164">
        <f t="shared" si="346"/>
        <v>0</v>
      </c>
      <c r="S723" s="164">
        <f t="shared" si="346"/>
        <v>0</v>
      </c>
      <c r="T723" s="164">
        <f t="shared" si="346"/>
        <v>0</v>
      </c>
      <c r="U723" s="164">
        <f t="shared" si="346"/>
        <v>0</v>
      </c>
      <c r="V723" s="164">
        <f t="shared" si="346"/>
        <v>0</v>
      </c>
      <c r="W723" s="164">
        <f t="shared" si="346"/>
        <v>0</v>
      </c>
      <c r="X723" s="164">
        <f t="shared" si="346"/>
        <v>0</v>
      </c>
      <c r="Y723" s="164">
        <f t="shared" si="346"/>
        <v>0</v>
      </c>
      <c r="Z723" s="164">
        <f t="shared" si="346"/>
        <v>0</v>
      </c>
      <c r="AA723" s="164">
        <f t="shared" si="346"/>
        <v>0</v>
      </c>
      <c r="AB723" s="164">
        <f t="shared" si="346"/>
        <v>0</v>
      </c>
      <c r="AC723" s="164">
        <f t="shared" si="346"/>
        <v>0</v>
      </c>
      <c r="AD723" s="164">
        <f t="shared" si="346"/>
        <v>0</v>
      </c>
      <c r="AE723" s="164">
        <f t="shared" si="346"/>
        <v>0</v>
      </c>
      <c r="AF723" s="164">
        <f t="shared" si="346"/>
        <v>7699902.5639943341</v>
      </c>
      <c r="AG723" s="164">
        <f t="shared" si="346"/>
        <v>0</v>
      </c>
      <c r="AH723" s="164">
        <f t="shared" si="346"/>
        <v>0</v>
      </c>
      <c r="AI723" s="164">
        <f t="shared" si="346"/>
        <v>0</v>
      </c>
      <c r="AJ723" s="164">
        <f t="shared" si="346"/>
        <v>0</v>
      </c>
      <c r="AK723" s="164">
        <f t="shared" si="346"/>
        <v>0</v>
      </c>
      <c r="AL723" s="164">
        <f t="shared" si="346"/>
        <v>0</v>
      </c>
      <c r="AM723" s="164">
        <f t="shared" si="346"/>
        <v>0</v>
      </c>
      <c r="AN723" s="164">
        <f t="shared" si="346"/>
        <v>0</v>
      </c>
      <c r="AO723" s="164">
        <f t="shared" si="346"/>
        <v>0</v>
      </c>
      <c r="AP723" s="164">
        <f t="shared" si="346"/>
        <v>0</v>
      </c>
    </row>
    <row r="724" spans="1:42">
      <c r="A724" s="37" t="s">
        <v>209</v>
      </c>
      <c r="B724" s="164"/>
      <c r="C724" s="164"/>
      <c r="D724" s="164"/>
      <c r="E724" s="164"/>
      <c r="F724" s="164"/>
      <c r="G724" s="208"/>
      <c r="H724" s="208"/>
      <c r="I724" s="208"/>
      <c r="J724" s="208"/>
      <c r="K724" s="208"/>
      <c r="L724" s="208"/>
      <c r="M724" s="208"/>
      <c r="N724" s="208"/>
      <c r="O724" s="208"/>
      <c r="P724" s="208"/>
      <c r="Q724" s="208"/>
      <c r="R724" s="208"/>
      <c r="S724" s="208"/>
      <c r="T724" s="208"/>
      <c r="U724" s="208"/>
      <c r="V724" s="208"/>
      <c r="W724" s="208"/>
      <c r="X724" s="208"/>
      <c r="Y724" s="208"/>
      <c r="Z724" s="208"/>
      <c r="AA724" s="208"/>
      <c r="AB724" s="208"/>
      <c r="AC724" s="208"/>
      <c r="AD724" s="208"/>
      <c r="AE724" s="208"/>
      <c r="AF724" s="208"/>
      <c r="AG724" s="208"/>
      <c r="AH724" s="208"/>
      <c r="AI724" s="208"/>
      <c r="AJ724" s="208"/>
      <c r="AK724" s="208"/>
      <c r="AL724" s="208"/>
      <c r="AM724" s="208"/>
      <c r="AN724" s="208"/>
      <c r="AO724" s="208"/>
      <c r="AP724" s="208"/>
    </row>
    <row r="725" spans="1:42">
      <c r="A725" s="37">
        <v>1</v>
      </c>
      <c r="B725" s="295">
        <f t="shared" ref="B725:B734" si="347">SUM(C725:AP725)</f>
        <v>6158778.6534697879</v>
      </c>
      <c r="C725" s="208">
        <f t="shared" ref="C725:AP725" si="348">IF(C$2&lt;=MMFrequency2*$A$713,$B$713/(MMFrequency2),0)</f>
        <v>410585.24356465257</v>
      </c>
      <c r="D725" s="208">
        <f t="shared" si="348"/>
        <v>410585.24356465257</v>
      </c>
      <c r="E725" s="208">
        <f t="shared" si="348"/>
        <v>410585.24356465257</v>
      </c>
      <c r="F725" s="208">
        <f t="shared" si="348"/>
        <v>410585.24356465257</v>
      </c>
      <c r="G725" s="208">
        <f t="shared" si="348"/>
        <v>410585.24356465257</v>
      </c>
      <c r="H725" s="208">
        <f t="shared" si="348"/>
        <v>410585.24356465257</v>
      </c>
      <c r="I725" s="208">
        <f t="shared" si="348"/>
        <v>410585.24356465257</v>
      </c>
      <c r="J725" s="208">
        <f t="shared" si="348"/>
        <v>410585.24356465257</v>
      </c>
      <c r="K725" s="208">
        <f t="shared" si="348"/>
        <v>410585.24356465257</v>
      </c>
      <c r="L725" s="208">
        <f t="shared" si="348"/>
        <v>410585.24356465257</v>
      </c>
      <c r="M725" s="208">
        <f t="shared" si="348"/>
        <v>410585.24356465257</v>
      </c>
      <c r="N725" s="208">
        <f t="shared" si="348"/>
        <v>410585.24356465257</v>
      </c>
      <c r="O725" s="208">
        <f t="shared" si="348"/>
        <v>410585.24356465257</v>
      </c>
      <c r="P725" s="208">
        <f t="shared" si="348"/>
        <v>410585.24356465257</v>
      </c>
      <c r="Q725" s="208">
        <f t="shared" si="348"/>
        <v>410585.24356465257</v>
      </c>
      <c r="R725" s="208">
        <f t="shared" si="348"/>
        <v>0</v>
      </c>
      <c r="S725" s="208">
        <f t="shared" si="348"/>
        <v>0</v>
      </c>
      <c r="T725" s="208">
        <f t="shared" si="348"/>
        <v>0</v>
      </c>
      <c r="U725" s="208">
        <f t="shared" si="348"/>
        <v>0</v>
      </c>
      <c r="V725" s="208">
        <f t="shared" si="348"/>
        <v>0</v>
      </c>
      <c r="W725" s="208">
        <f t="shared" si="348"/>
        <v>0</v>
      </c>
      <c r="X725" s="208">
        <f t="shared" si="348"/>
        <v>0</v>
      </c>
      <c r="Y725" s="208">
        <f t="shared" si="348"/>
        <v>0</v>
      </c>
      <c r="Z725" s="208">
        <f t="shared" si="348"/>
        <v>0</v>
      </c>
      <c r="AA725" s="208">
        <f t="shared" si="348"/>
        <v>0</v>
      </c>
      <c r="AB725" s="208">
        <f t="shared" si="348"/>
        <v>0</v>
      </c>
      <c r="AC725" s="208">
        <f t="shared" si="348"/>
        <v>0</v>
      </c>
      <c r="AD725" s="208">
        <f t="shared" si="348"/>
        <v>0</v>
      </c>
      <c r="AE725" s="208">
        <f t="shared" si="348"/>
        <v>0</v>
      </c>
      <c r="AF725" s="208">
        <f t="shared" si="348"/>
        <v>0</v>
      </c>
      <c r="AG725" s="208">
        <f t="shared" si="348"/>
        <v>0</v>
      </c>
      <c r="AH725" s="208">
        <f t="shared" si="348"/>
        <v>0</v>
      </c>
      <c r="AI725" s="208">
        <f t="shared" si="348"/>
        <v>0</v>
      </c>
      <c r="AJ725" s="208">
        <f t="shared" si="348"/>
        <v>0</v>
      </c>
      <c r="AK725" s="208">
        <f t="shared" si="348"/>
        <v>0</v>
      </c>
      <c r="AL725" s="208">
        <f t="shared" si="348"/>
        <v>0</v>
      </c>
      <c r="AM725" s="208">
        <f t="shared" si="348"/>
        <v>0</v>
      </c>
      <c r="AN725" s="208">
        <f t="shared" si="348"/>
        <v>0</v>
      </c>
      <c r="AO725" s="208">
        <f t="shared" si="348"/>
        <v>0</v>
      </c>
      <c r="AP725" s="208">
        <f t="shared" si="348"/>
        <v>0</v>
      </c>
    </row>
    <row r="726" spans="1:42">
      <c r="A726" s="37">
        <f>A725+1</f>
        <v>2</v>
      </c>
      <c r="B726" s="295">
        <f t="shared" si="347"/>
        <v>7699902.5639943322</v>
      </c>
      <c r="C726" s="208">
        <f t="shared" ref="C726:AP732" si="349">IF(AND(C$2&gt;MMFrequency2*$A713,C$2&lt;=MMFrequency2*$A714),$B714/(MMFrequency2),0)</f>
        <v>0</v>
      </c>
      <c r="D726" s="208">
        <f t="shared" si="349"/>
        <v>0</v>
      </c>
      <c r="E726" s="208">
        <f t="shared" si="349"/>
        <v>0</v>
      </c>
      <c r="F726" s="208">
        <f t="shared" si="349"/>
        <v>0</v>
      </c>
      <c r="G726" s="208">
        <f t="shared" si="349"/>
        <v>0</v>
      </c>
      <c r="H726" s="208">
        <f t="shared" si="349"/>
        <v>0</v>
      </c>
      <c r="I726" s="208">
        <f t="shared" si="349"/>
        <v>0</v>
      </c>
      <c r="J726" s="208">
        <f t="shared" si="349"/>
        <v>0</v>
      </c>
      <c r="K726" s="208">
        <f t="shared" si="349"/>
        <v>0</v>
      </c>
      <c r="L726" s="208">
        <f t="shared" si="349"/>
        <v>0</v>
      </c>
      <c r="M726" s="208">
        <f t="shared" si="349"/>
        <v>0</v>
      </c>
      <c r="N726" s="208">
        <f t="shared" si="349"/>
        <v>0</v>
      </c>
      <c r="O726" s="208">
        <f t="shared" si="349"/>
        <v>0</v>
      </c>
      <c r="P726" s="208">
        <f t="shared" si="349"/>
        <v>0</v>
      </c>
      <c r="Q726" s="208">
        <f t="shared" si="349"/>
        <v>0</v>
      </c>
      <c r="R726" s="208">
        <f t="shared" si="349"/>
        <v>513326.83759962226</v>
      </c>
      <c r="S726" s="208">
        <f t="shared" si="349"/>
        <v>513326.83759962226</v>
      </c>
      <c r="T726" s="208">
        <f t="shared" si="349"/>
        <v>513326.83759962226</v>
      </c>
      <c r="U726" s="208">
        <f t="shared" si="349"/>
        <v>513326.83759962226</v>
      </c>
      <c r="V726" s="208">
        <f t="shared" si="349"/>
        <v>513326.83759962226</v>
      </c>
      <c r="W726" s="208">
        <f t="shared" si="349"/>
        <v>513326.83759962226</v>
      </c>
      <c r="X726" s="208">
        <f t="shared" si="349"/>
        <v>513326.83759962226</v>
      </c>
      <c r="Y726" s="208">
        <f t="shared" si="349"/>
        <v>513326.83759962226</v>
      </c>
      <c r="Z726" s="208">
        <f t="shared" si="349"/>
        <v>513326.83759962226</v>
      </c>
      <c r="AA726" s="208">
        <f t="shared" si="349"/>
        <v>513326.83759962226</v>
      </c>
      <c r="AB726" s="208">
        <f t="shared" si="349"/>
        <v>513326.83759962226</v>
      </c>
      <c r="AC726" s="208">
        <f t="shared" si="349"/>
        <v>513326.83759962226</v>
      </c>
      <c r="AD726" s="208">
        <f t="shared" si="349"/>
        <v>513326.83759962226</v>
      </c>
      <c r="AE726" s="208">
        <f t="shared" si="349"/>
        <v>513326.83759962226</v>
      </c>
      <c r="AF726" s="208">
        <f t="shared" si="349"/>
        <v>513326.83759962226</v>
      </c>
      <c r="AG726" s="208">
        <f t="shared" si="349"/>
        <v>0</v>
      </c>
      <c r="AH726" s="208">
        <f t="shared" si="349"/>
        <v>0</v>
      </c>
      <c r="AI726" s="208">
        <f t="shared" si="349"/>
        <v>0</v>
      </c>
      <c r="AJ726" s="208">
        <f t="shared" si="349"/>
        <v>0</v>
      </c>
      <c r="AK726" s="208">
        <f t="shared" si="349"/>
        <v>0</v>
      </c>
      <c r="AL726" s="208">
        <f t="shared" si="349"/>
        <v>0</v>
      </c>
      <c r="AM726" s="208">
        <f t="shared" si="349"/>
        <v>0</v>
      </c>
      <c r="AN726" s="208">
        <f t="shared" si="349"/>
        <v>0</v>
      </c>
      <c r="AO726" s="208">
        <f t="shared" si="349"/>
        <v>0</v>
      </c>
      <c r="AP726" s="208">
        <f t="shared" si="349"/>
        <v>0</v>
      </c>
    </row>
    <row r="727" spans="1:42">
      <c r="A727" s="37">
        <f t="shared" ref="A727:A732" si="350">A726+1</f>
        <v>3</v>
      </c>
      <c r="B727" s="295">
        <f t="shared" si="347"/>
        <v>0</v>
      </c>
      <c r="C727" s="208">
        <f t="shared" si="349"/>
        <v>0</v>
      </c>
      <c r="D727" s="208">
        <f t="shared" si="349"/>
        <v>0</v>
      </c>
      <c r="E727" s="208">
        <f t="shared" si="349"/>
        <v>0</v>
      </c>
      <c r="F727" s="208">
        <f t="shared" si="349"/>
        <v>0</v>
      </c>
      <c r="G727" s="208">
        <f t="shared" si="349"/>
        <v>0</v>
      </c>
      <c r="H727" s="208">
        <f t="shared" si="349"/>
        <v>0</v>
      </c>
      <c r="I727" s="208">
        <f t="shared" si="349"/>
        <v>0</v>
      </c>
      <c r="J727" s="208">
        <f t="shared" si="349"/>
        <v>0</v>
      </c>
      <c r="K727" s="208">
        <f t="shared" si="349"/>
        <v>0</v>
      </c>
      <c r="L727" s="208">
        <f t="shared" si="349"/>
        <v>0</v>
      </c>
      <c r="M727" s="208">
        <f t="shared" si="349"/>
        <v>0</v>
      </c>
      <c r="N727" s="208">
        <f t="shared" si="349"/>
        <v>0</v>
      </c>
      <c r="O727" s="208">
        <f t="shared" si="349"/>
        <v>0</v>
      </c>
      <c r="P727" s="208">
        <f t="shared" si="349"/>
        <v>0</v>
      </c>
      <c r="Q727" s="208">
        <f t="shared" si="349"/>
        <v>0</v>
      </c>
      <c r="R727" s="208">
        <f t="shared" si="349"/>
        <v>0</v>
      </c>
      <c r="S727" s="208">
        <f t="shared" si="349"/>
        <v>0</v>
      </c>
      <c r="T727" s="208">
        <f t="shared" si="349"/>
        <v>0</v>
      </c>
      <c r="U727" s="208">
        <f t="shared" si="349"/>
        <v>0</v>
      </c>
      <c r="V727" s="208">
        <f t="shared" si="349"/>
        <v>0</v>
      </c>
      <c r="W727" s="208">
        <f t="shared" si="349"/>
        <v>0</v>
      </c>
      <c r="X727" s="208">
        <f t="shared" si="349"/>
        <v>0</v>
      </c>
      <c r="Y727" s="208">
        <f t="shared" si="349"/>
        <v>0</v>
      </c>
      <c r="Z727" s="208">
        <f t="shared" si="349"/>
        <v>0</v>
      </c>
      <c r="AA727" s="208">
        <f t="shared" si="349"/>
        <v>0</v>
      </c>
      <c r="AB727" s="208">
        <f t="shared" si="349"/>
        <v>0</v>
      </c>
      <c r="AC727" s="208">
        <f t="shared" si="349"/>
        <v>0</v>
      </c>
      <c r="AD727" s="208">
        <f t="shared" si="349"/>
        <v>0</v>
      </c>
      <c r="AE727" s="208">
        <f t="shared" si="349"/>
        <v>0</v>
      </c>
      <c r="AF727" s="208">
        <f t="shared" si="349"/>
        <v>0</v>
      </c>
      <c r="AG727" s="208">
        <f t="shared" si="349"/>
        <v>0</v>
      </c>
      <c r="AH727" s="208">
        <f t="shared" si="349"/>
        <v>0</v>
      </c>
      <c r="AI727" s="208">
        <f t="shared" si="349"/>
        <v>0</v>
      </c>
      <c r="AJ727" s="208">
        <f t="shared" si="349"/>
        <v>0</v>
      </c>
      <c r="AK727" s="208">
        <f t="shared" si="349"/>
        <v>0</v>
      </c>
      <c r="AL727" s="208">
        <f t="shared" si="349"/>
        <v>0</v>
      </c>
      <c r="AM727" s="208">
        <f t="shared" si="349"/>
        <v>0</v>
      </c>
      <c r="AN727" s="208">
        <f t="shared" si="349"/>
        <v>0</v>
      </c>
      <c r="AO727" s="208">
        <f t="shared" si="349"/>
        <v>0</v>
      </c>
      <c r="AP727" s="208">
        <f t="shared" si="349"/>
        <v>0</v>
      </c>
    </row>
    <row r="728" spans="1:42">
      <c r="A728" s="37">
        <f t="shared" si="350"/>
        <v>4</v>
      </c>
      <c r="B728" s="295">
        <f t="shared" si="347"/>
        <v>0</v>
      </c>
      <c r="C728" s="208">
        <f t="shared" si="349"/>
        <v>0</v>
      </c>
      <c r="D728" s="208">
        <f t="shared" si="349"/>
        <v>0</v>
      </c>
      <c r="E728" s="208">
        <f t="shared" si="349"/>
        <v>0</v>
      </c>
      <c r="F728" s="208">
        <f t="shared" si="349"/>
        <v>0</v>
      </c>
      <c r="G728" s="208">
        <f t="shared" si="349"/>
        <v>0</v>
      </c>
      <c r="H728" s="208">
        <f t="shared" si="349"/>
        <v>0</v>
      </c>
      <c r="I728" s="208">
        <f t="shared" si="349"/>
        <v>0</v>
      </c>
      <c r="J728" s="208">
        <f t="shared" si="349"/>
        <v>0</v>
      </c>
      <c r="K728" s="208">
        <f t="shared" si="349"/>
        <v>0</v>
      </c>
      <c r="L728" s="208">
        <f t="shared" si="349"/>
        <v>0</v>
      </c>
      <c r="M728" s="208">
        <f t="shared" si="349"/>
        <v>0</v>
      </c>
      <c r="N728" s="208">
        <f t="shared" si="349"/>
        <v>0</v>
      </c>
      <c r="O728" s="208">
        <f t="shared" si="349"/>
        <v>0</v>
      </c>
      <c r="P728" s="208">
        <f t="shared" si="349"/>
        <v>0</v>
      </c>
      <c r="Q728" s="208">
        <f t="shared" si="349"/>
        <v>0</v>
      </c>
      <c r="R728" s="208">
        <f t="shared" si="349"/>
        <v>0</v>
      </c>
      <c r="S728" s="208">
        <f t="shared" si="349"/>
        <v>0</v>
      </c>
      <c r="T728" s="208">
        <f t="shared" si="349"/>
        <v>0</v>
      </c>
      <c r="U728" s="208">
        <f t="shared" si="349"/>
        <v>0</v>
      </c>
      <c r="V728" s="208">
        <f t="shared" si="349"/>
        <v>0</v>
      </c>
      <c r="W728" s="208">
        <f t="shared" si="349"/>
        <v>0</v>
      </c>
      <c r="X728" s="208">
        <f t="shared" si="349"/>
        <v>0</v>
      </c>
      <c r="Y728" s="208">
        <f t="shared" si="349"/>
        <v>0</v>
      </c>
      <c r="Z728" s="208">
        <f t="shared" si="349"/>
        <v>0</v>
      </c>
      <c r="AA728" s="208">
        <f t="shared" si="349"/>
        <v>0</v>
      </c>
      <c r="AB728" s="208">
        <f t="shared" si="349"/>
        <v>0</v>
      </c>
      <c r="AC728" s="208">
        <f t="shared" si="349"/>
        <v>0</v>
      </c>
      <c r="AD728" s="208">
        <f t="shared" si="349"/>
        <v>0</v>
      </c>
      <c r="AE728" s="208">
        <f t="shared" si="349"/>
        <v>0</v>
      </c>
      <c r="AF728" s="208">
        <f t="shared" si="349"/>
        <v>0</v>
      </c>
      <c r="AG728" s="208">
        <f t="shared" si="349"/>
        <v>0</v>
      </c>
      <c r="AH728" s="208">
        <f t="shared" si="349"/>
        <v>0</v>
      </c>
      <c r="AI728" s="208">
        <f t="shared" si="349"/>
        <v>0</v>
      </c>
      <c r="AJ728" s="208">
        <f t="shared" si="349"/>
        <v>0</v>
      </c>
      <c r="AK728" s="208">
        <f t="shared" si="349"/>
        <v>0</v>
      </c>
      <c r="AL728" s="208">
        <f t="shared" si="349"/>
        <v>0</v>
      </c>
      <c r="AM728" s="208">
        <f t="shared" si="349"/>
        <v>0</v>
      </c>
      <c r="AN728" s="208">
        <f t="shared" si="349"/>
        <v>0</v>
      </c>
      <c r="AO728" s="208">
        <f t="shared" si="349"/>
        <v>0</v>
      </c>
      <c r="AP728" s="208">
        <f t="shared" si="349"/>
        <v>0</v>
      </c>
    </row>
    <row r="729" spans="1:42">
      <c r="A729" s="37">
        <f t="shared" si="350"/>
        <v>5</v>
      </c>
      <c r="B729" s="295">
        <f t="shared" si="347"/>
        <v>0</v>
      </c>
      <c r="C729" s="208">
        <f t="shared" si="349"/>
        <v>0</v>
      </c>
      <c r="D729" s="208">
        <f t="shared" si="349"/>
        <v>0</v>
      </c>
      <c r="E729" s="208">
        <f t="shared" si="349"/>
        <v>0</v>
      </c>
      <c r="F729" s="208">
        <f t="shared" si="349"/>
        <v>0</v>
      </c>
      <c r="G729" s="208">
        <f t="shared" si="349"/>
        <v>0</v>
      </c>
      <c r="H729" s="208">
        <f t="shared" si="349"/>
        <v>0</v>
      </c>
      <c r="I729" s="208">
        <f t="shared" si="349"/>
        <v>0</v>
      </c>
      <c r="J729" s="208">
        <f t="shared" si="349"/>
        <v>0</v>
      </c>
      <c r="K729" s="208">
        <f t="shared" si="349"/>
        <v>0</v>
      </c>
      <c r="L729" s="208">
        <f t="shared" si="349"/>
        <v>0</v>
      </c>
      <c r="M729" s="208">
        <f t="shared" si="349"/>
        <v>0</v>
      </c>
      <c r="N729" s="208">
        <f t="shared" si="349"/>
        <v>0</v>
      </c>
      <c r="O729" s="208">
        <f t="shared" si="349"/>
        <v>0</v>
      </c>
      <c r="P729" s="208">
        <f t="shared" si="349"/>
        <v>0</v>
      </c>
      <c r="Q729" s="208">
        <f t="shared" si="349"/>
        <v>0</v>
      </c>
      <c r="R729" s="208">
        <f t="shared" si="349"/>
        <v>0</v>
      </c>
      <c r="S729" s="208">
        <f t="shared" si="349"/>
        <v>0</v>
      </c>
      <c r="T729" s="208">
        <f t="shared" si="349"/>
        <v>0</v>
      </c>
      <c r="U729" s="208">
        <f t="shared" si="349"/>
        <v>0</v>
      </c>
      <c r="V729" s="208">
        <f t="shared" si="349"/>
        <v>0</v>
      </c>
      <c r="W729" s="208">
        <f t="shared" si="349"/>
        <v>0</v>
      </c>
      <c r="X729" s="208">
        <f t="shared" si="349"/>
        <v>0</v>
      </c>
      <c r="Y729" s="208">
        <f t="shared" si="349"/>
        <v>0</v>
      </c>
      <c r="Z729" s="208">
        <f t="shared" si="349"/>
        <v>0</v>
      </c>
      <c r="AA729" s="208">
        <f t="shared" si="349"/>
        <v>0</v>
      </c>
      <c r="AB729" s="208">
        <f t="shared" si="349"/>
        <v>0</v>
      </c>
      <c r="AC729" s="208">
        <f t="shared" si="349"/>
        <v>0</v>
      </c>
      <c r="AD729" s="208">
        <f t="shared" si="349"/>
        <v>0</v>
      </c>
      <c r="AE729" s="208">
        <f t="shared" si="349"/>
        <v>0</v>
      </c>
      <c r="AF729" s="208">
        <f t="shared" si="349"/>
        <v>0</v>
      </c>
      <c r="AG729" s="208">
        <f t="shared" si="349"/>
        <v>0</v>
      </c>
      <c r="AH729" s="208">
        <f t="shared" si="349"/>
        <v>0</v>
      </c>
      <c r="AI729" s="208">
        <f t="shared" si="349"/>
        <v>0</v>
      </c>
      <c r="AJ729" s="208">
        <f t="shared" si="349"/>
        <v>0</v>
      </c>
      <c r="AK729" s="208">
        <f t="shared" si="349"/>
        <v>0</v>
      </c>
      <c r="AL729" s="208">
        <f t="shared" si="349"/>
        <v>0</v>
      </c>
      <c r="AM729" s="208">
        <f t="shared" si="349"/>
        <v>0</v>
      </c>
      <c r="AN729" s="208">
        <f t="shared" si="349"/>
        <v>0</v>
      </c>
      <c r="AO729" s="208">
        <f t="shared" si="349"/>
        <v>0</v>
      </c>
      <c r="AP729" s="208">
        <f t="shared" si="349"/>
        <v>0</v>
      </c>
    </row>
    <row r="730" spans="1:42">
      <c r="A730" s="37">
        <f t="shared" si="350"/>
        <v>6</v>
      </c>
      <c r="B730" s="295">
        <f t="shared" si="347"/>
        <v>0</v>
      </c>
      <c r="C730" s="208">
        <f t="shared" si="349"/>
        <v>0</v>
      </c>
      <c r="D730" s="208">
        <f t="shared" si="349"/>
        <v>0</v>
      </c>
      <c r="E730" s="208">
        <f t="shared" si="349"/>
        <v>0</v>
      </c>
      <c r="F730" s="208">
        <f t="shared" si="349"/>
        <v>0</v>
      </c>
      <c r="G730" s="208">
        <f t="shared" si="349"/>
        <v>0</v>
      </c>
      <c r="H730" s="208">
        <f t="shared" si="349"/>
        <v>0</v>
      </c>
      <c r="I730" s="208">
        <f t="shared" si="349"/>
        <v>0</v>
      </c>
      <c r="J730" s="208">
        <f t="shared" si="349"/>
        <v>0</v>
      </c>
      <c r="K730" s="208">
        <f t="shared" si="349"/>
        <v>0</v>
      </c>
      <c r="L730" s="208">
        <f t="shared" si="349"/>
        <v>0</v>
      </c>
      <c r="M730" s="208">
        <f t="shared" si="349"/>
        <v>0</v>
      </c>
      <c r="N730" s="208">
        <f t="shared" si="349"/>
        <v>0</v>
      </c>
      <c r="O730" s="208">
        <f t="shared" si="349"/>
        <v>0</v>
      </c>
      <c r="P730" s="208">
        <f t="shared" si="349"/>
        <v>0</v>
      </c>
      <c r="Q730" s="208">
        <f t="shared" si="349"/>
        <v>0</v>
      </c>
      <c r="R730" s="208">
        <f t="shared" si="349"/>
        <v>0</v>
      </c>
      <c r="S730" s="208">
        <f t="shared" si="349"/>
        <v>0</v>
      </c>
      <c r="T730" s="208">
        <f t="shared" si="349"/>
        <v>0</v>
      </c>
      <c r="U730" s="208">
        <f t="shared" si="349"/>
        <v>0</v>
      </c>
      <c r="V730" s="208">
        <f t="shared" si="349"/>
        <v>0</v>
      </c>
      <c r="W730" s="208">
        <f t="shared" si="349"/>
        <v>0</v>
      </c>
      <c r="X730" s="208">
        <f t="shared" si="349"/>
        <v>0</v>
      </c>
      <c r="Y730" s="208">
        <f t="shared" si="349"/>
        <v>0</v>
      </c>
      <c r="Z730" s="208">
        <f t="shared" si="349"/>
        <v>0</v>
      </c>
      <c r="AA730" s="208">
        <f t="shared" si="349"/>
        <v>0</v>
      </c>
      <c r="AB730" s="208">
        <f t="shared" si="349"/>
        <v>0</v>
      </c>
      <c r="AC730" s="208">
        <f t="shared" si="349"/>
        <v>0</v>
      </c>
      <c r="AD730" s="208">
        <f t="shared" si="349"/>
        <v>0</v>
      </c>
      <c r="AE730" s="208">
        <f t="shared" si="349"/>
        <v>0</v>
      </c>
      <c r="AF730" s="208">
        <f t="shared" si="349"/>
        <v>0</v>
      </c>
      <c r="AG730" s="208">
        <f t="shared" si="349"/>
        <v>0</v>
      </c>
      <c r="AH730" s="208">
        <f t="shared" si="349"/>
        <v>0</v>
      </c>
      <c r="AI730" s="208">
        <f t="shared" si="349"/>
        <v>0</v>
      </c>
      <c r="AJ730" s="208">
        <f t="shared" si="349"/>
        <v>0</v>
      </c>
      <c r="AK730" s="208">
        <f t="shared" si="349"/>
        <v>0</v>
      </c>
      <c r="AL730" s="208">
        <f t="shared" si="349"/>
        <v>0</v>
      </c>
      <c r="AM730" s="208">
        <f t="shared" si="349"/>
        <v>0</v>
      </c>
      <c r="AN730" s="208">
        <f t="shared" si="349"/>
        <v>0</v>
      </c>
      <c r="AO730" s="208">
        <f t="shared" si="349"/>
        <v>0</v>
      </c>
      <c r="AP730" s="208">
        <f t="shared" si="349"/>
        <v>0</v>
      </c>
    </row>
    <row r="731" spans="1:42">
      <c r="A731" s="37">
        <f t="shared" si="350"/>
        <v>7</v>
      </c>
      <c r="B731" s="295">
        <f t="shared" si="347"/>
        <v>0</v>
      </c>
      <c r="C731" s="208">
        <f t="shared" si="349"/>
        <v>0</v>
      </c>
      <c r="D731" s="208">
        <f t="shared" si="349"/>
        <v>0</v>
      </c>
      <c r="E731" s="208">
        <f t="shared" si="349"/>
        <v>0</v>
      </c>
      <c r="F731" s="208">
        <f t="shared" si="349"/>
        <v>0</v>
      </c>
      <c r="G731" s="208">
        <f t="shared" si="349"/>
        <v>0</v>
      </c>
      <c r="H731" s="208">
        <f t="shared" si="349"/>
        <v>0</v>
      </c>
      <c r="I731" s="208">
        <f t="shared" si="349"/>
        <v>0</v>
      </c>
      <c r="J731" s="208">
        <f t="shared" si="349"/>
        <v>0</v>
      </c>
      <c r="K731" s="208">
        <f t="shared" si="349"/>
        <v>0</v>
      </c>
      <c r="L731" s="208">
        <f t="shared" si="349"/>
        <v>0</v>
      </c>
      <c r="M731" s="208">
        <f t="shared" si="349"/>
        <v>0</v>
      </c>
      <c r="N731" s="208">
        <f t="shared" si="349"/>
        <v>0</v>
      </c>
      <c r="O731" s="208">
        <f t="shared" si="349"/>
        <v>0</v>
      </c>
      <c r="P731" s="208">
        <f t="shared" si="349"/>
        <v>0</v>
      </c>
      <c r="Q731" s="208">
        <f t="shared" si="349"/>
        <v>0</v>
      </c>
      <c r="R731" s="208">
        <f t="shared" si="349"/>
        <v>0</v>
      </c>
      <c r="S731" s="208">
        <f t="shared" si="349"/>
        <v>0</v>
      </c>
      <c r="T731" s="208">
        <f t="shared" si="349"/>
        <v>0</v>
      </c>
      <c r="U731" s="208">
        <f t="shared" si="349"/>
        <v>0</v>
      </c>
      <c r="V731" s="208">
        <f t="shared" si="349"/>
        <v>0</v>
      </c>
      <c r="W731" s="208">
        <f t="shared" si="349"/>
        <v>0</v>
      </c>
      <c r="X731" s="208">
        <f t="shared" si="349"/>
        <v>0</v>
      </c>
      <c r="Y731" s="208">
        <f t="shared" si="349"/>
        <v>0</v>
      </c>
      <c r="Z731" s="208">
        <f t="shared" si="349"/>
        <v>0</v>
      </c>
      <c r="AA731" s="208">
        <f t="shared" si="349"/>
        <v>0</v>
      </c>
      <c r="AB731" s="208">
        <f t="shared" si="349"/>
        <v>0</v>
      </c>
      <c r="AC731" s="208">
        <f t="shared" si="349"/>
        <v>0</v>
      </c>
      <c r="AD731" s="208">
        <f t="shared" si="349"/>
        <v>0</v>
      </c>
      <c r="AE731" s="208">
        <f t="shared" si="349"/>
        <v>0</v>
      </c>
      <c r="AF731" s="208">
        <f t="shared" si="349"/>
        <v>0</v>
      </c>
      <c r="AG731" s="208">
        <f t="shared" si="349"/>
        <v>0</v>
      </c>
      <c r="AH731" s="208">
        <f t="shared" si="349"/>
        <v>0</v>
      </c>
      <c r="AI731" s="208">
        <f t="shared" si="349"/>
        <v>0</v>
      </c>
      <c r="AJ731" s="208">
        <f t="shared" si="349"/>
        <v>0</v>
      </c>
      <c r="AK731" s="208">
        <f t="shared" si="349"/>
        <v>0</v>
      </c>
      <c r="AL731" s="208">
        <f t="shared" si="349"/>
        <v>0</v>
      </c>
      <c r="AM731" s="208">
        <f t="shared" si="349"/>
        <v>0</v>
      </c>
      <c r="AN731" s="208">
        <f t="shared" si="349"/>
        <v>0</v>
      </c>
      <c r="AO731" s="208">
        <f t="shared" si="349"/>
        <v>0</v>
      </c>
      <c r="AP731" s="208">
        <f t="shared" si="349"/>
        <v>0</v>
      </c>
    </row>
    <row r="732" spans="1:42">
      <c r="A732" s="37">
        <f t="shared" si="350"/>
        <v>8</v>
      </c>
      <c r="B732" s="295">
        <f t="shared" si="347"/>
        <v>0</v>
      </c>
      <c r="C732" s="208">
        <f t="shared" si="349"/>
        <v>0</v>
      </c>
      <c r="D732" s="208">
        <f t="shared" si="349"/>
        <v>0</v>
      </c>
      <c r="E732" s="208">
        <f t="shared" si="349"/>
        <v>0</v>
      </c>
      <c r="F732" s="208">
        <f t="shared" si="349"/>
        <v>0</v>
      </c>
      <c r="G732" s="208">
        <f t="shared" si="349"/>
        <v>0</v>
      </c>
      <c r="H732" s="208">
        <f t="shared" si="349"/>
        <v>0</v>
      </c>
      <c r="I732" s="208">
        <f t="shared" si="349"/>
        <v>0</v>
      </c>
      <c r="J732" s="208">
        <f t="shared" si="349"/>
        <v>0</v>
      </c>
      <c r="K732" s="208">
        <f t="shared" si="349"/>
        <v>0</v>
      </c>
      <c r="L732" s="208">
        <f t="shared" si="349"/>
        <v>0</v>
      </c>
      <c r="M732" s="208">
        <f t="shared" si="349"/>
        <v>0</v>
      </c>
      <c r="N732" s="208">
        <f t="shared" si="349"/>
        <v>0</v>
      </c>
      <c r="O732" s="208">
        <f t="shared" si="349"/>
        <v>0</v>
      </c>
      <c r="P732" s="208">
        <f t="shared" si="349"/>
        <v>0</v>
      </c>
      <c r="Q732" s="208">
        <f t="shared" si="349"/>
        <v>0</v>
      </c>
      <c r="R732" s="208">
        <f t="shared" ref="R732:AP732" si="351">IF(AND(R$2&gt;MMFrequency2*$A719,R$2&lt;=MMFrequency2*$A720),$B720/(MMFrequency2),0)</f>
        <v>0</v>
      </c>
      <c r="S732" s="208">
        <f t="shared" si="351"/>
        <v>0</v>
      </c>
      <c r="T732" s="208">
        <f t="shared" si="351"/>
        <v>0</v>
      </c>
      <c r="U732" s="208">
        <f t="shared" si="351"/>
        <v>0</v>
      </c>
      <c r="V732" s="208">
        <f t="shared" si="351"/>
        <v>0</v>
      </c>
      <c r="W732" s="208">
        <f t="shared" si="351"/>
        <v>0</v>
      </c>
      <c r="X732" s="208">
        <f t="shared" si="351"/>
        <v>0</v>
      </c>
      <c r="Y732" s="208">
        <f t="shared" si="351"/>
        <v>0</v>
      </c>
      <c r="Z732" s="208">
        <f t="shared" si="351"/>
        <v>0</v>
      </c>
      <c r="AA732" s="208">
        <f t="shared" si="351"/>
        <v>0</v>
      </c>
      <c r="AB732" s="208">
        <f t="shared" si="351"/>
        <v>0</v>
      </c>
      <c r="AC732" s="208">
        <f t="shared" si="351"/>
        <v>0</v>
      </c>
      <c r="AD732" s="208">
        <f t="shared" si="351"/>
        <v>0</v>
      </c>
      <c r="AE732" s="208">
        <f t="shared" si="351"/>
        <v>0</v>
      </c>
      <c r="AF732" s="208">
        <f t="shared" si="351"/>
        <v>0</v>
      </c>
      <c r="AG732" s="208">
        <f t="shared" si="351"/>
        <v>0</v>
      </c>
      <c r="AH732" s="208">
        <f t="shared" si="351"/>
        <v>0</v>
      </c>
      <c r="AI732" s="208">
        <f t="shared" si="351"/>
        <v>0</v>
      </c>
      <c r="AJ732" s="208">
        <f t="shared" si="351"/>
        <v>0</v>
      </c>
      <c r="AK732" s="208">
        <f t="shared" si="351"/>
        <v>0</v>
      </c>
      <c r="AL732" s="208">
        <f t="shared" si="351"/>
        <v>0</v>
      </c>
      <c r="AM732" s="208">
        <f t="shared" si="351"/>
        <v>0</v>
      </c>
      <c r="AN732" s="208">
        <f t="shared" si="351"/>
        <v>0</v>
      </c>
      <c r="AO732" s="208">
        <f t="shared" si="351"/>
        <v>0</v>
      </c>
      <c r="AP732" s="208">
        <f t="shared" si="351"/>
        <v>0</v>
      </c>
    </row>
    <row r="733" spans="1:42">
      <c r="A733" s="37">
        <f>A732+1</f>
        <v>9</v>
      </c>
      <c r="B733" s="295">
        <f t="shared" si="347"/>
        <v>0</v>
      </c>
      <c r="C733" s="208">
        <f t="shared" ref="C733:AP734" si="352">IF(AND(C$2&gt;MMFrequency2*$A720,C$2&lt;=MMFrequency2*$A721),$B721/(MMFrequency2),0)</f>
        <v>0</v>
      </c>
      <c r="D733" s="208">
        <f t="shared" si="352"/>
        <v>0</v>
      </c>
      <c r="E733" s="208">
        <f t="shared" si="352"/>
        <v>0</v>
      </c>
      <c r="F733" s="208">
        <f t="shared" si="352"/>
        <v>0</v>
      </c>
      <c r="G733" s="208">
        <f t="shared" si="352"/>
        <v>0</v>
      </c>
      <c r="H733" s="208">
        <f t="shared" si="352"/>
        <v>0</v>
      </c>
      <c r="I733" s="208">
        <f t="shared" si="352"/>
        <v>0</v>
      </c>
      <c r="J733" s="208">
        <f t="shared" si="352"/>
        <v>0</v>
      </c>
      <c r="K733" s="208">
        <f t="shared" si="352"/>
        <v>0</v>
      </c>
      <c r="L733" s="208">
        <f t="shared" si="352"/>
        <v>0</v>
      </c>
      <c r="M733" s="208">
        <f t="shared" si="352"/>
        <v>0</v>
      </c>
      <c r="N733" s="208">
        <f t="shared" si="352"/>
        <v>0</v>
      </c>
      <c r="O733" s="208">
        <f t="shared" si="352"/>
        <v>0</v>
      </c>
      <c r="P733" s="208">
        <f t="shared" si="352"/>
        <v>0</v>
      </c>
      <c r="Q733" s="208">
        <f t="shared" si="352"/>
        <v>0</v>
      </c>
      <c r="R733" s="208">
        <f t="shared" si="352"/>
        <v>0</v>
      </c>
      <c r="S733" s="208">
        <f t="shared" si="352"/>
        <v>0</v>
      </c>
      <c r="T733" s="208">
        <f t="shared" si="352"/>
        <v>0</v>
      </c>
      <c r="U733" s="208">
        <f t="shared" si="352"/>
        <v>0</v>
      </c>
      <c r="V733" s="208">
        <f t="shared" si="352"/>
        <v>0</v>
      </c>
      <c r="W733" s="208">
        <f t="shared" si="352"/>
        <v>0</v>
      </c>
      <c r="X733" s="208">
        <f t="shared" si="352"/>
        <v>0</v>
      </c>
      <c r="Y733" s="208">
        <f t="shared" si="352"/>
        <v>0</v>
      </c>
      <c r="Z733" s="208">
        <f t="shared" si="352"/>
        <v>0</v>
      </c>
      <c r="AA733" s="208">
        <f t="shared" si="352"/>
        <v>0</v>
      </c>
      <c r="AB733" s="208">
        <f t="shared" si="352"/>
        <v>0</v>
      </c>
      <c r="AC733" s="208">
        <f t="shared" si="352"/>
        <v>0</v>
      </c>
      <c r="AD733" s="208">
        <f t="shared" si="352"/>
        <v>0</v>
      </c>
      <c r="AE733" s="208">
        <f t="shared" si="352"/>
        <v>0</v>
      </c>
      <c r="AF733" s="208">
        <f t="shared" si="352"/>
        <v>0</v>
      </c>
      <c r="AG733" s="208">
        <f t="shared" si="352"/>
        <v>0</v>
      </c>
      <c r="AH733" s="208">
        <f t="shared" si="352"/>
        <v>0</v>
      </c>
      <c r="AI733" s="208">
        <f t="shared" si="352"/>
        <v>0</v>
      </c>
      <c r="AJ733" s="208">
        <f t="shared" si="352"/>
        <v>0</v>
      </c>
      <c r="AK733" s="208">
        <f t="shared" si="352"/>
        <v>0</v>
      </c>
      <c r="AL733" s="208">
        <f t="shared" si="352"/>
        <v>0</v>
      </c>
      <c r="AM733" s="208">
        <f t="shared" si="352"/>
        <v>0</v>
      </c>
      <c r="AN733" s="208">
        <f t="shared" si="352"/>
        <v>0</v>
      </c>
      <c r="AO733" s="208">
        <f t="shared" si="352"/>
        <v>0</v>
      </c>
      <c r="AP733" s="208">
        <f t="shared" si="352"/>
        <v>0</v>
      </c>
    </row>
    <row r="734" spans="1:42">
      <c r="A734" s="37">
        <f t="shared" ref="A734" si="353">A733+1</f>
        <v>10</v>
      </c>
      <c r="B734" s="295">
        <f t="shared" si="347"/>
        <v>0</v>
      </c>
      <c r="C734" s="209">
        <f t="shared" si="352"/>
        <v>0</v>
      </c>
      <c r="D734" s="209">
        <f t="shared" si="352"/>
        <v>0</v>
      </c>
      <c r="E734" s="209">
        <f t="shared" si="352"/>
        <v>0</v>
      </c>
      <c r="F734" s="209">
        <f t="shared" si="352"/>
        <v>0</v>
      </c>
      <c r="G734" s="209">
        <f t="shared" si="352"/>
        <v>0</v>
      </c>
      <c r="H734" s="209">
        <f t="shared" si="352"/>
        <v>0</v>
      </c>
      <c r="I734" s="209">
        <f t="shared" si="352"/>
        <v>0</v>
      </c>
      <c r="J734" s="209">
        <f t="shared" si="352"/>
        <v>0</v>
      </c>
      <c r="K734" s="209">
        <f t="shared" si="352"/>
        <v>0</v>
      </c>
      <c r="L734" s="209">
        <f t="shared" si="352"/>
        <v>0</v>
      </c>
      <c r="M734" s="209">
        <f t="shared" si="352"/>
        <v>0</v>
      </c>
      <c r="N734" s="209">
        <f t="shared" si="352"/>
        <v>0</v>
      </c>
      <c r="O734" s="209">
        <f t="shared" si="352"/>
        <v>0</v>
      </c>
      <c r="P734" s="209">
        <f t="shared" si="352"/>
        <v>0</v>
      </c>
      <c r="Q734" s="209">
        <f t="shared" si="352"/>
        <v>0</v>
      </c>
      <c r="R734" s="209">
        <f t="shared" si="352"/>
        <v>0</v>
      </c>
      <c r="S734" s="209">
        <f t="shared" si="352"/>
        <v>0</v>
      </c>
      <c r="T734" s="209">
        <f t="shared" si="352"/>
        <v>0</v>
      </c>
      <c r="U734" s="209">
        <f t="shared" si="352"/>
        <v>0</v>
      </c>
      <c r="V734" s="209">
        <f t="shared" si="352"/>
        <v>0</v>
      </c>
      <c r="W734" s="209">
        <f t="shared" si="352"/>
        <v>0</v>
      </c>
      <c r="X734" s="209">
        <f t="shared" si="352"/>
        <v>0</v>
      </c>
      <c r="Y734" s="209">
        <f t="shared" si="352"/>
        <v>0</v>
      </c>
      <c r="Z734" s="209">
        <f t="shared" si="352"/>
        <v>0</v>
      </c>
      <c r="AA734" s="209">
        <f t="shared" si="352"/>
        <v>0</v>
      </c>
      <c r="AB734" s="209">
        <f t="shared" si="352"/>
        <v>0</v>
      </c>
      <c r="AC734" s="209">
        <f t="shared" si="352"/>
        <v>0</v>
      </c>
      <c r="AD734" s="209">
        <f t="shared" si="352"/>
        <v>0</v>
      </c>
      <c r="AE734" s="209">
        <f t="shared" si="352"/>
        <v>0</v>
      </c>
      <c r="AF734" s="209">
        <f t="shared" si="352"/>
        <v>0</v>
      </c>
      <c r="AG734" s="209">
        <f t="shared" si="352"/>
        <v>0</v>
      </c>
      <c r="AH734" s="209">
        <f t="shared" si="352"/>
        <v>0</v>
      </c>
      <c r="AI734" s="209">
        <f t="shared" si="352"/>
        <v>0</v>
      </c>
      <c r="AJ734" s="209">
        <f t="shared" si="352"/>
        <v>0</v>
      </c>
      <c r="AK734" s="209">
        <f t="shared" si="352"/>
        <v>0</v>
      </c>
      <c r="AL734" s="209">
        <f t="shared" si="352"/>
        <v>0</v>
      </c>
      <c r="AM734" s="209">
        <f t="shared" si="352"/>
        <v>0</v>
      </c>
      <c r="AN734" s="209">
        <f t="shared" si="352"/>
        <v>0</v>
      </c>
      <c r="AO734" s="209">
        <f t="shared" si="352"/>
        <v>0</v>
      </c>
      <c r="AP734" s="209">
        <f t="shared" si="352"/>
        <v>0</v>
      </c>
    </row>
    <row r="735" spans="1:42">
      <c r="A735" s="244" t="s">
        <v>53</v>
      </c>
      <c r="B735" s="208"/>
      <c r="C735" s="164">
        <f>SUM(C725:C734)</f>
        <v>410585.24356465257</v>
      </c>
      <c r="D735" s="164">
        <f t="shared" ref="D735:AP735" si="354">SUM(D725:D734)</f>
        <v>410585.24356465257</v>
      </c>
      <c r="E735" s="164">
        <f t="shared" si="354"/>
        <v>410585.24356465257</v>
      </c>
      <c r="F735" s="164">
        <f t="shared" si="354"/>
        <v>410585.24356465257</v>
      </c>
      <c r="G735" s="164">
        <f t="shared" si="354"/>
        <v>410585.24356465257</v>
      </c>
      <c r="H735" s="164">
        <f t="shared" si="354"/>
        <v>410585.24356465257</v>
      </c>
      <c r="I735" s="164">
        <f t="shared" si="354"/>
        <v>410585.24356465257</v>
      </c>
      <c r="J735" s="164">
        <f t="shared" si="354"/>
        <v>410585.24356465257</v>
      </c>
      <c r="K735" s="164">
        <f t="shared" si="354"/>
        <v>410585.24356465257</v>
      </c>
      <c r="L735" s="164">
        <f t="shared" si="354"/>
        <v>410585.24356465257</v>
      </c>
      <c r="M735" s="164">
        <f t="shared" si="354"/>
        <v>410585.24356465257</v>
      </c>
      <c r="N735" s="164">
        <f t="shared" si="354"/>
        <v>410585.24356465257</v>
      </c>
      <c r="O735" s="164">
        <f t="shared" si="354"/>
        <v>410585.24356465257</v>
      </c>
      <c r="P735" s="164">
        <f t="shared" si="354"/>
        <v>410585.24356465257</v>
      </c>
      <c r="Q735" s="164">
        <f t="shared" si="354"/>
        <v>410585.24356465257</v>
      </c>
      <c r="R735" s="164">
        <f t="shared" si="354"/>
        <v>513326.83759962226</v>
      </c>
      <c r="S735" s="164">
        <f t="shared" si="354"/>
        <v>513326.83759962226</v>
      </c>
      <c r="T735" s="164">
        <f t="shared" si="354"/>
        <v>513326.83759962226</v>
      </c>
      <c r="U735" s="164">
        <f t="shared" si="354"/>
        <v>513326.83759962226</v>
      </c>
      <c r="V735" s="164">
        <f t="shared" si="354"/>
        <v>513326.83759962226</v>
      </c>
      <c r="W735" s="164">
        <f t="shared" si="354"/>
        <v>513326.83759962226</v>
      </c>
      <c r="X735" s="164">
        <f t="shared" si="354"/>
        <v>513326.83759962226</v>
      </c>
      <c r="Y735" s="164">
        <f t="shared" si="354"/>
        <v>513326.83759962226</v>
      </c>
      <c r="Z735" s="164">
        <f t="shared" si="354"/>
        <v>513326.83759962226</v>
      </c>
      <c r="AA735" s="164">
        <f t="shared" si="354"/>
        <v>513326.83759962226</v>
      </c>
      <c r="AB735" s="164">
        <f t="shared" si="354"/>
        <v>513326.83759962226</v>
      </c>
      <c r="AC735" s="164">
        <f t="shared" si="354"/>
        <v>513326.83759962226</v>
      </c>
      <c r="AD735" s="164">
        <f t="shared" si="354"/>
        <v>513326.83759962226</v>
      </c>
      <c r="AE735" s="164">
        <f t="shared" si="354"/>
        <v>513326.83759962226</v>
      </c>
      <c r="AF735" s="164">
        <f t="shared" si="354"/>
        <v>513326.83759962226</v>
      </c>
      <c r="AG735" s="164">
        <f t="shared" si="354"/>
        <v>0</v>
      </c>
      <c r="AH735" s="164">
        <f t="shared" si="354"/>
        <v>0</v>
      </c>
      <c r="AI735" s="164">
        <f t="shared" si="354"/>
        <v>0</v>
      </c>
      <c r="AJ735" s="164">
        <f t="shared" si="354"/>
        <v>0</v>
      </c>
      <c r="AK735" s="164">
        <f t="shared" si="354"/>
        <v>0</v>
      </c>
      <c r="AL735" s="164">
        <f t="shared" si="354"/>
        <v>0</v>
      </c>
      <c r="AM735" s="164">
        <f t="shared" si="354"/>
        <v>0</v>
      </c>
      <c r="AN735" s="164">
        <f t="shared" si="354"/>
        <v>0</v>
      </c>
      <c r="AO735" s="164">
        <f t="shared" si="354"/>
        <v>0</v>
      </c>
      <c r="AP735" s="164">
        <f t="shared" si="354"/>
        <v>0</v>
      </c>
    </row>
    <row r="736" spans="1:42">
      <c r="B736" s="208"/>
      <c r="C736" s="164"/>
      <c r="D736" s="164"/>
      <c r="E736" s="164"/>
      <c r="F736" s="164"/>
      <c r="G736" s="164"/>
      <c r="H736" s="164"/>
      <c r="I736" s="164"/>
      <c r="J736" s="164"/>
      <c r="K736" s="164"/>
      <c r="L736" s="164"/>
      <c r="M736" s="164"/>
      <c r="N736" s="164"/>
      <c r="O736" s="164"/>
      <c r="P736" s="164"/>
      <c r="Q736" s="164"/>
      <c r="R736" s="164"/>
      <c r="S736" s="164"/>
      <c r="T736" s="164"/>
      <c r="U736" s="164"/>
      <c r="V736" s="164"/>
      <c r="W736" s="164"/>
      <c r="X736" s="164"/>
      <c r="Y736" s="164"/>
      <c r="Z736" s="164"/>
      <c r="AA736" s="164"/>
      <c r="AB736" s="164"/>
      <c r="AC736" s="164"/>
      <c r="AD736" s="164"/>
      <c r="AE736" s="164"/>
      <c r="AF736" s="164"/>
      <c r="AG736" s="164"/>
      <c r="AH736" s="164"/>
      <c r="AI736" s="164"/>
      <c r="AJ736" s="164"/>
      <c r="AK736" s="164"/>
      <c r="AL736" s="164"/>
      <c r="AM736" s="164"/>
      <c r="AN736" s="164"/>
      <c r="AO736" s="164"/>
      <c r="AP736" s="164"/>
    </row>
    <row r="737" spans="1:42">
      <c r="A737" s="204" t="s">
        <v>379</v>
      </c>
      <c r="C737" s="164"/>
      <c r="D737" s="164"/>
      <c r="E737" s="164"/>
      <c r="F737" s="164"/>
      <c r="G737" s="164"/>
      <c r="H737" s="164"/>
      <c r="I737" s="164"/>
      <c r="J737" s="164"/>
      <c r="K737" s="164"/>
      <c r="L737" s="164"/>
      <c r="M737" s="164"/>
      <c r="N737" s="164"/>
      <c r="O737" s="164"/>
      <c r="P737" s="164"/>
      <c r="Q737" s="164"/>
      <c r="R737" s="164"/>
      <c r="S737" s="164"/>
      <c r="T737" s="164"/>
      <c r="U737" s="164"/>
      <c r="V737" s="164"/>
      <c r="W737" s="164"/>
      <c r="X737" s="164"/>
      <c r="Y737" s="164"/>
      <c r="Z737" s="164"/>
      <c r="AA737" s="164"/>
      <c r="AB737" s="164"/>
      <c r="AC737" s="164"/>
      <c r="AD737" s="164"/>
      <c r="AE737" s="164"/>
      <c r="AF737" s="164"/>
      <c r="AG737" s="164"/>
      <c r="AH737" s="164"/>
      <c r="AI737" s="164"/>
      <c r="AJ737" s="164"/>
      <c r="AK737" s="164"/>
      <c r="AL737" s="164"/>
      <c r="AM737" s="164"/>
      <c r="AN737" s="164"/>
      <c r="AO737" s="164"/>
      <c r="AP737" s="164"/>
    </row>
    <row r="738" spans="1:42">
      <c r="A738" s="37" t="s">
        <v>100</v>
      </c>
      <c r="B738" s="164">
        <v>0</v>
      </c>
      <c r="C738" s="164">
        <f>B741</f>
        <v>0</v>
      </c>
      <c r="D738" s="164">
        <f t="shared" ref="D738:AP738" si="355">C741</f>
        <v>34340.833333333321</v>
      </c>
      <c r="E738" s="164">
        <f t="shared" si="355"/>
        <v>68681.666666666642</v>
      </c>
      <c r="F738" s="164">
        <f t="shared" si="355"/>
        <v>0</v>
      </c>
      <c r="G738" s="164">
        <f t="shared" si="355"/>
        <v>35909.466796145811</v>
      </c>
      <c r="H738" s="164">
        <f t="shared" si="355"/>
        <v>71818.933592291622</v>
      </c>
      <c r="I738" s="164">
        <f t="shared" si="355"/>
        <v>0</v>
      </c>
      <c r="J738" s="164">
        <f t="shared" si="355"/>
        <v>37549.752886510192</v>
      </c>
      <c r="K738" s="164">
        <f t="shared" si="355"/>
        <v>75099.505773020384</v>
      </c>
      <c r="L738" s="164">
        <f t="shared" si="355"/>
        <v>0</v>
      </c>
      <c r="M738" s="164">
        <f t="shared" si="355"/>
        <v>39264.96458001752</v>
      </c>
      <c r="N738" s="164">
        <f t="shared" si="355"/>
        <v>78529.929160035041</v>
      </c>
      <c r="O738" s="164">
        <f t="shared" si="355"/>
        <v>0</v>
      </c>
      <c r="P738" s="164">
        <f t="shared" si="355"/>
        <v>41058.524356465256</v>
      </c>
      <c r="Q738" s="164">
        <f t="shared" si="355"/>
        <v>82117.048712930511</v>
      </c>
      <c r="R738" s="164">
        <f t="shared" si="355"/>
        <v>0</v>
      </c>
      <c r="S738" s="164">
        <f t="shared" si="355"/>
        <v>42934.011028966495</v>
      </c>
      <c r="T738" s="164">
        <f t="shared" si="355"/>
        <v>85868.022057932991</v>
      </c>
      <c r="U738" s="164">
        <f t="shared" si="355"/>
        <v>0</v>
      </c>
      <c r="V738" s="164">
        <f t="shared" si="355"/>
        <v>44895.166885001738</v>
      </c>
      <c r="W738" s="164">
        <f t="shared" si="355"/>
        <v>89790.333770003475</v>
      </c>
      <c r="X738" s="164">
        <f t="shared" si="355"/>
        <v>0</v>
      </c>
      <c r="Y738" s="164">
        <f t="shared" si="355"/>
        <v>46945.90515366241</v>
      </c>
      <c r="Z738" s="164">
        <f t="shared" si="355"/>
        <v>93891.81030732482</v>
      </c>
      <c r="AA738" s="164">
        <f t="shared" si="355"/>
        <v>0</v>
      </c>
      <c r="AB738" s="164">
        <f t="shared" si="355"/>
        <v>49090.317813985828</v>
      </c>
      <c r="AC738" s="164">
        <f t="shared" si="355"/>
        <v>98180.635627971657</v>
      </c>
      <c r="AD738" s="164">
        <f t="shared" si="355"/>
        <v>0</v>
      </c>
      <c r="AE738" s="164">
        <f t="shared" si="355"/>
        <v>51332.68375996223</v>
      </c>
      <c r="AF738" s="164">
        <f t="shared" si="355"/>
        <v>102665.36751992446</v>
      </c>
      <c r="AG738" s="164">
        <f t="shared" si="355"/>
        <v>0</v>
      </c>
      <c r="AH738" s="164">
        <f t="shared" si="355"/>
        <v>0</v>
      </c>
      <c r="AI738" s="164">
        <f t="shared" si="355"/>
        <v>0</v>
      </c>
      <c r="AJ738" s="164">
        <f t="shared" si="355"/>
        <v>0</v>
      </c>
      <c r="AK738" s="164">
        <f t="shared" si="355"/>
        <v>0</v>
      </c>
      <c r="AL738" s="164">
        <f t="shared" si="355"/>
        <v>0</v>
      </c>
      <c r="AM738" s="164">
        <f t="shared" si="355"/>
        <v>0</v>
      </c>
      <c r="AN738" s="164">
        <f t="shared" si="355"/>
        <v>0</v>
      </c>
      <c r="AO738" s="164">
        <f t="shared" si="355"/>
        <v>0</v>
      </c>
      <c r="AP738" s="164">
        <f t="shared" si="355"/>
        <v>0</v>
      </c>
    </row>
    <row r="739" spans="1:42">
      <c r="A739" s="37" t="s">
        <v>208</v>
      </c>
      <c r="B739" s="164">
        <v>0</v>
      </c>
      <c r="C739" s="164">
        <f>C767</f>
        <v>34340.833333333321</v>
      </c>
      <c r="D739" s="164">
        <f t="shared" ref="D739:AP739" si="356">D767</f>
        <v>34340.833333333321</v>
      </c>
      <c r="E739" s="164">
        <f t="shared" si="356"/>
        <v>34340.833333333321</v>
      </c>
      <c r="F739" s="164">
        <f t="shared" si="356"/>
        <v>35909.466796145811</v>
      </c>
      <c r="G739" s="164">
        <f t="shared" si="356"/>
        <v>35909.466796145811</v>
      </c>
      <c r="H739" s="164">
        <f t="shared" si="356"/>
        <v>35909.466796145811</v>
      </c>
      <c r="I739" s="164">
        <f t="shared" si="356"/>
        <v>37549.752886510192</v>
      </c>
      <c r="J739" s="164">
        <f t="shared" si="356"/>
        <v>37549.752886510192</v>
      </c>
      <c r="K739" s="164">
        <f t="shared" si="356"/>
        <v>37549.752886510192</v>
      </c>
      <c r="L739" s="164">
        <f t="shared" si="356"/>
        <v>39264.96458001752</v>
      </c>
      <c r="M739" s="164">
        <f t="shared" si="356"/>
        <v>39264.96458001752</v>
      </c>
      <c r="N739" s="164">
        <f t="shared" si="356"/>
        <v>39264.96458001752</v>
      </c>
      <c r="O739" s="164">
        <f t="shared" si="356"/>
        <v>41058.524356465256</v>
      </c>
      <c r="P739" s="164">
        <f t="shared" si="356"/>
        <v>41058.524356465256</v>
      </c>
      <c r="Q739" s="164">
        <f t="shared" si="356"/>
        <v>41058.524356465256</v>
      </c>
      <c r="R739" s="164">
        <f t="shared" si="356"/>
        <v>42934.011028966495</v>
      </c>
      <c r="S739" s="164">
        <f t="shared" si="356"/>
        <v>42934.011028966495</v>
      </c>
      <c r="T739" s="164">
        <f t="shared" si="356"/>
        <v>42934.011028966495</v>
      </c>
      <c r="U739" s="164">
        <f t="shared" si="356"/>
        <v>44895.166885001738</v>
      </c>
      <c r="V739" s="164">
        <f t="shared" si="356"/>
        <v>44895.166885001738</v>
      </c>
      <c r="W739" s="164">
        <f t="shared" si="356"/>
        <v>44895.166885001738</v>
      </c>
      <c r="X739" s="164">
        <f t="shared" si="356"/>
        <v>46945.90515366241</v>
      </c>
      <c r="Y739" s="164">
        <f t="shared" si="356"/>
        <v>46945.90515366241</v>
      </c>
      <c r="Z739" s="164">
        <f t="shared" si="356"/>
        <v>46945.90515366241</v>
      </c>
      <c r="AA739" s="164">
        <f t="shared" si="356"/>
        <v>49090.317813985828</v>
      </c>
      <c r="AB739" s="164">
        <f t="shared" si="356"/>
        <v>49090.317813985828</v>
      </c>
      <c r="AC739" s="164">
        <f t="shared" si="356"/>
        <v>49090.317813985828</v>
      </c>
      <c r="AD739" s="164">
        <f t="shared" si="356"/>
        <v>51332.68375996223</v>
      </c>
      <c r="AE739" s="164">
        <f t="shared" si="356"/>
        <v>51332.68375996223</v>
      </c>
      <c r="AF739" s="164">
        <f t="shared" si="356"/>
        <v>51332.68375996223</v>
      </c>
      <c r="AG739" s="164">
        <f t="shared" si="356"/>
        <v>0</v>
      </c>
      <c r="AH739" s="164">
        <f t="shared" si="356"/>
        <v>0</v>
      </c>
      <c r="AI739" s="164">
        <f t="shared" si="356"/>
        <v>0</v>
      </c>
      <c r="AJ739" s="164">
        <f t="shared" si="356"/>
        <v>0</v>
      </c>
      <c r="AK739" s="164">
        <f t="shared" si="356"/>
        <v>0</v>
      </c>
      <c r="AL739" s="164">
        <f t="shared" si="356"/>
        <v>0</v>
      </c>
      <c r="AM739" s="164">
        <f t="shared" si="356"/>
        <v>0</v>
      </c>
      <c r="AN739" s="164">
        <f t="shared" si="356"/>
        <v>0</v>
      </c>
      <c r="AO739" s="164">
        <f t="shared" si="356"/>
        <v>0</v>
      </c>
      <c r="AP739" s="164">
        <f t="shared" si="356"/>
        <v>0</v>
      </c>
    </row>
    <row r="740" spans="1:42">
      <c r="A740" s="37" t="s">
        <v>107</v>
      </c>
      <c r="B740" s="209">
        <v>0</v>
      </c>
      <c r="C740" s="209">
        <f>-C755</f>
        <v>0</v>
      </c>
      <c r="D740" s="209">
        <f t="shared" ref="D740:AP740" si="357">-D755</f>
        <v>0</v>
      </c>
      <c r="E740" s="209">
        <f t="shared" si="357"/>
        <v>-103022.49999999997</v>
      </c>
      <c r="F740" s="209">
        <f t="shared" si="357"/>
        <v>0</v>
      </c>
      <c r="G740" s="209">
        <f t="shared" si="357"/>
        <v>0</v>
      </c>
      <c r="H740" s="209">
        <f t="shared" si="357"/>
        <v>-107728.40038843743</v>
      </c>
      <c r="I740" s="209">
        <f t="shared" si="357"/>
        <v>0</v>
      </c>
      <c r="J740" s="209">
        <f t="shared" si="357"/>
        <v>0</v>
      </c>
      <c r="K740" s="209">
        <f t="shared" si="357"/>
        <v>-112649.25865953058</v>
      </c>
      <c r="L740" s="209">
        <f t="shared" si="357"/>
        <v>0</v>
      </c>
      <c r="M740" s="209">
        <f t="shared" si="357"/>
        <v>0</v>
      </c>
      <c r="N740" s="209">
        <f t="shared" si="357"/>
        <v>-117794.89374005256</v>
      </c>
      <c r="O740" s="209">
        <f t="shared" si="357"/>
        <v>0</v>
      </c>
      <c r="P740" s="209">
        <f t="shared" si="357"/>
        <v>0</v>
      </c>
      <c r="Q740" s="209">
        <f t="shared" si="357"/>
        <v>-123175.57306939577</v>
      </c>
      <c r="R740" s="209">
        <f t="shared" si="357"/>
        <v>0</v>
      </c>
      <c r="S740" s="209">
        <f t="shared" si="357"/>
        <v>0</v>
      </c>
      <c r="T740" s="209">
        <f t="shared" si="357"/>
        <v>-128802.03308689948</v>
      </c>
      <c r="U740" s="209">
        <f t="shared" si="357"/>
        <v>0</v>
      </c>
      <c r="V740" s="209">
        <f t="shared" si="357"/>
        <v>0</v>
      </c>
      <c r="W740" s="209">
        <f t="shared" si="357"/>
        <v>-134685.50065500522</v>
      </c>
      <c r="X740" s="209">
        <f t="shared" si="357"/>
        <v>0</v>
      </c>
      <c r="Y740" s="209">
        <f t="shared" si="357"/>
        <v>0</v>
      </c>
      <c r="Z740" s="209">
        <f t="shared" si="357"/>
        <v>-140837.71546098724</v>
      </c>
      <c r="AA740" s="209">
        <f t="shared" si="357"/>
        <v>0</v>
      </c>
      <c r="AB740" s="209">
        <f t="shared" si="357"/>
        <v>0</v>
      </c>
      <c r="AC740" s="209">
        <f t="shared" si="357"/>
        <v>-147270.95344195748</v>
      </c>
      <c r="AD740" s="209">
        <f t="shared" si="357"/>
        <v>0</v>
      </c>
      <c r="AE740" s="209">
        <f t="shared" si="357"/>
        <v>0</v>
      </c>
      <c r="AF740" s="209">
        <f t="shared" si="357"/>
        <v>-153998.05127988668</v>
      </c>
      <c r="AG740" s="209">
        <f t="shared" si="357"/>
        <v>0</v>
      </c>
      <c r="AH740" s="209">
        <f t="shared" si="357"/>
        <v>0</v>
      </c>
      <c r="AI740" s="209">
        <f t="shared" si="357"/>
        <v>0</v>
      </c>
      <c r="AJ740" s="209">
        <f t="shared" si="357"/>
        <v>0</v>
      </c>
      <c r="AK740" s="209">
        <f t="shared" si="357"/>
        <v>0</v>
      </c>
      <c r="AL740" s="209">
        <f t="shared" si="357"/>
        <v>0</v>
      </c>
      <c r="AM740" s="209">
        <f t="shared" si="357"/>
        <v>0</v>
      </c>
      <c r="AN740" s="209">
        <f t="shared" si="357"/>
        <v>0</v>
      </c>
      <c r="AO740" s="209">
        <f t="shared" si="357"/>
        <v>0</v>
      </c>
      <c r="AP740" s="209">
        <f t="shared" si="357"/>
        <v>0</v>
      </c>
    </row>
    <row r="741" spans="1:42">
      <c r="A741" s="37" t="s">
        <v>103</v>
      </c>
      <c r="B741" s="164">
        <f>SUM(B738:B740)</f>
        <v>0</v>
      </c>
      <c r="C741" s="164">
        <f>SUM(C738:C740)</f>
        <v>34340.833333333321</v>
      </c>
      <c r="D741" s="164">
        <f t="shared" ref="D741:AP741" si="358">SUM(D738:D740)</f>
        <v>68681.666666666642</v>
      </c>
      <c r="E741" s="164">
        <f t="shared" si="358"/>
        <v>0</v>
      </c>
      <c r="F741" s="164">
        <f t="shared" si="358"/>
        <v>35909.466796145811</v>
      </c>
      <c r="G741" s="164">
        <f t="shared" si="358"/>
        <v>71818.933592291622</v>
      </c>
      <c r="H741" s="164">
        <f t="shared" si="358"/>
        <v>0</v>
      </c>
      <c r="I741" s="164">
        <f t="shared" si="358"/>
        <v>37549.752886510192</v>
      </c>
      <c r="J741" s="164">
        <f t="shared" si="358"/>
        <v>75099.505773020384</v>
      </c>
      <c r="K741" s="164">
        <f t="shared" si="358"/>
        <v>0</v>
      </c>
      <c r="L741" s="164">
        <f t="shared" si="358"/>
        <v>39264.96458001752</v>
      </c>
      <c r="M741" s="164">
        <f t="shared" si="358"/>
        <v>78529.929160035041</v>
      </c>
      <c r="N741" s="164">
        <f t="shared" si="358"/>
        <v>0</v>
      </c>
      <c r="O741" s="164">
        <f t="shared" si="358"/>
        <v>41058.524356465256</v>
      </c>
      <c r="P741" s="164">
        <f t="shared" si="358"/>
        <v>82117.048712930511</v>
      </c>
      <c r="Q741" s="164">
        <f t="shared" si="358"/>
        <v>0</v>
      </c>
      <c r="R741" s="164">
        <f t="shared" si="358"/>
        <v>42934.011028966495</v>
      </c>
      <c r="S741" s="164">
        <f t="shared" si="358"/>
        <v>85868.022057932991</v>
      </c>
      <c r="T741" s="164">
        <f t="shared" si="358"/>
        <v>0</v>
      </c>
      <c r="U741" s="164">
        <f t="shared" si="358"/>
        <v>44895.166885001738</v>
      </c>
      <c r="V741" s="164">
        <f t="shared" si="358"/>
        <v>89790.333770003475</v>
      </c>
      <c r="W741" s="164">
        <f t="shared" si="358"/>
        <v>0</v>
      </c>
      <c r="X741" s="164">
        <f t="shared" si="358"/>
        <v>46945.90515366241</v>
      </c>
      <c r="Y741" s="164">
        <f t="shared" si="358"/>
        <v>93891.81030732482</v>
      </c>
      <c r="Z741" s="164">
        <f t="shared" si="358"/>
        <v>0</v>
      </c>
      <c r="AA741" s="164">
        <f t="shared" si="358"/>
        <v>49090.317813985828</v>
      </c>
      <c r="AB741" s="164">
        <f t="shared" si="358"/>
        <v>98180.635627971657</v>
      </c>
      <c r="AC741" s="164">
        <f t="shared" si="358"/>
        <v>0</v>
      </c>
      <c r="AD741" s="164">
        <f t="shared" si="358"/>
        <v>51332.68375996223</v>
      </c>
      <c r="AE741" s="164">
        <f t="shared" si="358"/>
        <v>102665.36751992446</v>
      </c>
      <c r="AF741" s="164">
        <f t="shared" si="358"/>
        <v>0</v>
      </c>
      <c r="AG741" s="164">
        <f t="shared" si="358"/>
        <v>0</v>
      </c>
      <c r="AH741" s="164">
        <f t="shared" si="358"/>
        <v>0</v>
      </c>
      <c r="AI741" s="164">
        <f t="shared" si="358"/>
        <v>0</v>
      </c>
      <c r="AJ741" s="164">
        <f t="shared" si="358"/>
        <v>0</v>
      </c>
      <c r="AK741" s="164">
        <f t="shared" si="358"/>
        <v>0</v>
      </c>
      <c r="AL741" s="164">
        <f t="shared" si="358"/>
        <v>0</v>
      </c>
      <c r="AM741" s="164">
        <f t="shared" si="358"/>
        <v>0</v>
      </c>
      <c r="AN741" s="164">
        <f t="shared" si="358"/>
        <v>0</v>
      </c>
      <c r="AO741" s="164">
        <f t="shared" si="358"/>
        <v>0</v>
      </c>
      <c r="AP741" s="164">
        <f t="shared" si="358"/>
        <v>0</v>
      </c>
    </row>
    <row r="742" spans="1:42">
      <c r="B742" s="164"/>
      <c r="C742" s="164"/>
      <c r="D742" s="164"/>
      <c r="E742" s="164"/>
      <c r="F742" s="164"/>
      <c r="G742" s="208"/>
      <c r="H742" s="208"/>
      <c r="I742" s="208"/>
      <c r="J742" s="208"/>
      <c r="K742" s="208"/>
      <c r="L742" s="208"/>
      <c r="M742" s="208"/>
      <c r="N742" s="208"/>
      <c r="O742" s="208"/>
      <c r="P742" s="208"/>
      <c r="Q742" s="208"/>
      <c r="R742" s="208"/>
      <c r="S742" s="208"/>
      <c r="T742" s="208"/>
      <c r="U742" s="208"/>
      <c r="V742" s="208"/>
      <c r="W742" s="208"/>
      <c r="X742" s="208"/>
      <c r="Y742" s="208"/>
      <c r="Z742" s="208"/>
      <c r="AA742" s="208"/>
      <c r="AB742" s="208"/>
      <c r="AC742" s="208"/>
      <c r="AD742" s="208"/>
      <c r="AE742" s="208"/>
      <c r="AF742" s="208"/>
      <c r="AG742" s="208"/>
      <c r="AH742" s="208"/>
      <c r="AI742" s="208"/>
      <c r="AJ742" s="208"/>
      <c r="AK742" s="208"/>
      <c r="AL742" s="208"/>
      <c r="AM742" s="208"/>
      <c r="AN742" s="208"/>
      <c r="AO742" s="208"/>
      <c r="AP742" s="208"/>
    </row>
    <row r="743" spans="1:42">
      <c r="A743" s="37" t="s">
        <v>206</v>
      </c>
      <c r="B743" s="164"/>
      <c r="C743" s="164"/>
      <c r="D743" s="164"/>
      <c r="E743" s="164"/>
      <c r="F743" s="164"/>
      <c r="G743" s="208"/>
      <c r="H743" s="208"/>
      <c r="I743" s="208"/>
      <c r="J743" s="208"/>
      <c r="K743" s="208"/>
      <c r="L743" s="208"/>
      <c r="M743" s="208"/>
      <c r="N743" s="208"/>
      <c r="O743" s="208"/>
      <c r="P743" s="208"/>
      <c r="Q743" s="208"/>
      <c r="R743" s="208"/>
      <c r="S743" s="208"/>
      <c r="T743" s="208"/>
      <c r="U743" s="208"/>
      <c r="V743" s="208"/>
      <c r="W743" s="208"/>
      <c r="X743" s="208"/>
      <c r="Y743" s="208"/>
      <c r="Z743" s="208"/>
      <c r="AA743" s="208"/>
      <c r="AB743" s="208"/>
      <c r="AC743" s="208"/>
      <c r="AD743" s="208"/>
      <c r="AE743" s="208"/>
      <c r="AF743" s="208"/>
      <c r="AG743" s="208"/>
      <c r="AH743" s="208"/>
      <c r="AI743" s="208"/>
      <c r="AJ743" s="208"/>
      <c r="AK743" s="208"/>
      <c r="AL743" s="208"/>
      <c r="AM743" s="208"/>
      <c r="AN743" s="208"/>
      <c r="AO743" s="208"/>
      <c r="AP743" s="208"/>
    </row>
    <row r="744" spans="1:42">
      <c r="A744" s="37" t="s">
        <v>207</v>
      </c>
      <c r="B744" s="164"/>
      <c r="C744" s="164"/>
      <c r="D744" s="164"/>
      <c r="E744" s="164"/>
      <c r="F744" s="164"/>
      <c r="G744" s="208"/>
      <c r="H744" s="208"/>
      <c r="I744" s="208"/>
      <c r="J744" s="208"/>
      <c r="K744" s="208"/>
      <c r="L744" s="208"/>
      <c r="M744" s="208"/>
      <c r="N744" s="208"/>
      <c r="O744" s="208"/>
      <c r="P744" s="208"/>
      <c r="Q744" s="208"/>
      <c r="R744" s="208"/>
      <c r="S744" s="208"/>
      <c r="T744" s="208"/>
      <c r="U744" s="208"/>
      <c r="V744" s="208"/>
      <c r="W744" s="208"/>
      <c r="X744" s="208"/>
      <c r="Y744" s="208"/>
      <c r="Z744" s="208"/>
      <c r="AA744" s="208"/>
      <c r="AB744" s="208"/>
      <c r="AC744" s="208"/>
      <c r="AD744" s="208"/>
      <c r="AE744" s="208"/>
      <c r="AF744" s="208"/>
      <c r="AG744" s="208"/>
      <c r="AH744" s="208"/>
      <c r="AI744" s="208"/>
      <c r="AJ744" s="208"/>
      <c r="AK744" s="208"/>
      <c r="AL744" s="208"/>
      <c r="AM744" s="208"/>
      <c r="AN744" s="208"/>
      <c r="AO744" s="208"/>
      <c r="AP744" s="208"/>
    </row>
    <row r="745" spans="1:42">
      <c r="A745" s="37">
        <v>1</v>
      </c>
      <c r="B745" s="295">
        <f t="shared" ref="B745:B754" si="359">SUM(C745:AP745)</f>
        <v>103022.49999999997</v>
      </c>
      <c r="C745" s="208">
        <f t="shared" ref="C745:AP751" si="360">IF(C$2&gt;AnalysisPeriod,0,IF(C$2=MMFrequency3*$A745,MMCost3*CapacityDC*1000*(1+Inflation)^B$2,0))</f>
        <v>0</v>
      </c>
      <c r="D745" s="208">
        <f t="shared" si="360"/>
        <v>0</v>
      </c>
      <c r="E745" s="208">
        <f t="shared" si="360"/>
        <v>103022.49999999997</v>
      </c>
      <c r="F745" s="208">
        <f t="shared" si="360"/>
        <v>0</v>
      </c>
      <c r="G745" s="208">
        <f t="shared" si="360"/>
        <v>0</v>
      </c>
      <c r="H745" s="208">
        <f t="shared" si="360"/>
        <v>0</v>
      </c>
      <c r="I745" s="208">
        <f t="shared" si="360"/>
        <v>0</v>
      </c>
      <c r="J745" s="208">
        <f t="shared" si="360"/>
        <v>0</v>
      </c>
      <c r="K745" s="208">
        <f t="shared" si="360"/>
        <v>0</v>
      </c>
      <c r="L745" s="208">
        <f t="shared" si="360"/>
        <v>0</v>
      </c>
      <c r="M745" s="208">
        <f t="shared" si="360"/>
        <v>0</v>
      </c>
      <c r="N745" s="208">
        <f t="shared" si="360"/>
        <v>0</v>
      </c>
      <c r="O745" s="208">
        <f t="shared" si="360"/>
        <v>0</v>
      </c>
      <c r="P745" s="208">
        <f t="shared" si="360"/>
        <v>0</v>
      </c>
      <c r="Q745" s="208">
        <f t="shared" si="360"/>
        <v>0</v>
      </c>
      <c r="R745" s="208">
        <f t="shared" si="360"/>
        <v>0</v>
      </c>
      <c r="S745" s="208">
        <f t="shared" si="360"/>
        <v>0</v>
      </c>
      <c r="T745" s="208">
        <f t="shared" si="360"/>
        <v>0</v>
      </c>
      <c r="U745" s="208">
        <f t="shared" si="360"/>
        <v>0</v>
      </c>
      <c r="V745" s="208">
        <f t="shared" si="360"/>
        <v>0</v>
      </c>
      <c r="W745" s="208">
        <f t="shared" si="360"/>
        <v>0</v>
      </c>
      <c r="X745" s="208">
        <f t="shared" si="360"/>
        <v>0</v>
      </c>
      <c r="Y745" s="208">
        <f t="shared" si="360"/>
        <v>0</v>
      </c>
      <c r="Z745" s="208">
        <f t="shared" si="360"/>
        <v>0</v>
      </c>
      <c r="AA745" s="208">
        <f t="shared" si="360"/>
        <v>0</v>
      </c>
      <c r="AB745" s="208">
        <f t="shared" si="360"/>
        <v>0</v>
      </c>
      <c r="AC745" s="208">
        <f t="shared" si="360"/>
        <v>0</v>
      </c>
      <c r="AD745" s="208">
        <f t="shared" si="360"/>
        <v>0</v>
      </c>
      <c r="AE745" s="208">
        <f t="shared" si="360"/>
        <v>0</v>
      </c>
      <c r="AF745" s="208">
        <f t="shared" si="360"/>
        <v>0</v>
      </c>
      <c r="AG745" s="208">
        <f t="shared" si="360"/>
        <v>0</v>
      </c>
      <c r="AH745" s="208">
        <f t="shared" si="360"/>
        <v>0</v>
      </c>
      <c r="AI745" s="208">
        <f t="shared" si="360"/>
        <v>0</v>
      </c>
      <c r="AJ745" s="208">
        <f t="shared" si="360"/>
        <v>0</v>
      </c>
      <c r="AK745" s="208">
        <f t="shared" si="360"/>
        <v>0</v>
      </c>
      <c r="AL745" s="208">
        <f t="shared" si="360"/>
        <v>0</v>
      </c>
      <c r="AM745" s="208">
        <f t="shared" si="360"/>
        <v>0</v>
      </c>
      <c r="AN745" s="208">
        <f t="shared" si="360"/>
        <v>0</v>
      </c>
      <c r="AO745" s="208">
        <f t="shared" si="360"/>
        <v>0</v>
      </c>
      <c r="AP745" s="208">
        <f t="shared" si="360"/>
        <v>0</v>
      </c>
    </row>
    <row r="746" spans="1:42">
      <c r="A746" s="37">
        <f>A745+1</f>
        <v>2</v>
      </c>
      <c r="B746" s="295">
        <f t="shared" si="359"/>
        <v>107728.40038843743</v>
      </c>
      <c r="C746" s="208">
        <f t="shared" si="360"/>
        <v>0</v>
      </c>
      <c r="D746" s="208">
        <f t="shared" si="360"/>
        <v>0</v>
      </c>
      <c r="E746" s="208">
        <f t="shared" si="360"/>
        <v>0</v>
      </c>
      <c r="F746" s="208">
        <f t="shared" si="360"/>
        <v>0</v>
      </c>
      <c r="G746" s="208">
        <f t="shared" si="360"/>
        <v>0</v>
      </c>
      <c r="H746" s="208">
        <f t="shared" si="360"/>
        <v>107728.40038843743</v>
      </c>
      <c r="I746" s="208">
        <f t="shared" si="360"/>
        <v>0</v>
      </c>
      <c r="J746" s="208">
        <f t="shared" si="360"/>
        <v>0</v>
      </c>
      <c r="K746" s="208">
        <f t="shared" si="360"/>
        <v>0</v>
      </c>
      <c r="L746" s="208">
        <f t="shared" si="360"/>
        <v>0</v>
      </c>
      <c r="M746" s="208">
        <f t="shared" si="360"/>
        <v>0</v>
      </c>
      <c r="N746" s="208">
        <f t="shared" si="360"/>
        <v>0</v>
      </c>
      <c r="O746" s="208">
        <f t="shared" si="360"/>
        <v>0</v>
      </c>
      <c r="P746" s="208">
        <f t="shared" si="360"/>
        <v>0</v>
      </c>
      <c r="Q746" s="208">
        <f t="shared" si="360"/>
        <v>0</v>
      </c>
      <c r="R746" s="208">
        <f t="shared" si="360"/>
        <v>0</v>
      </c>
      <c r="S746" s="208">
        <f t="shared" si="360"/>
        <v>0</v>
      </c>
      <c r="T746" s="208">
        <f t="shared" si="360"/>
        <v>0</v>
      </c>
      <c r="U746" s="208">
        <f t="shared" si="360"/>
        <v>0</v>
      </c>
      <c r="V746" s="208">
        <f t="shared" si="360"/>
        <v>0</v>
      </c>
      <c r="W746" s="208">
        <f t="shared" si="360"/>
        <v>0</v>
      </c>
      <c r="X746" s="208">
        <f t="shared" si="360"/>
        <v>0</v>
      </c>
      <c r="Y746" s="208">
        <f t="shared" si="360"/>
        <v>0</v>
      </c>
      <c r="Z746" s="208">
        <f t="shared" si="360"/>
        <v>0</v>
      </c>
      <c r="AA746" s="208">
        <f t="shared" si="360"/>
        <v>0</v>
      </c>
      <c r="AB746" s="208">
        <f t="shared" si="360"/>
        <v>0</v>
      </c>
      <c r="AC746" s="208">
        <f t="shared" si="360"/>
        <v>0</v>
      </c>
      <c r="AD746" s="208">
        <f t="shared" si="360"/>
        <v>0</v>
      </c>
      <c r="AE746" s="208">
        <f t="shared" si="360"/>
        <v>0</v>
      </c>
      <c r="AF746" s="208">
        <f t="shared" si="360"/>
        <v>0</v>
      </c>
      <c r="AG746" s="208">
        <f t="shared" si="360"/>
        <v>0</v>
      </c>
      <c r="AH746" s="208">
        <f t="shared" si="360"/>
        <v>0</v>
      </c>
      <c r="AI746" s="208">
        <f t="shared" si="360"/>
        <v>0</v>
      </c>
      <c r="AJ746" s="208">
        <f t="shared" si="360"/>
        <v>0</v>
      </c>
      <c r="AK746" s="208">
        <f t="shared" si="360"/>
        <v>0</v>
      </c>
      <c r="AL746" s="208">
        <f t="shared" si="360"/>
        <v>0</v>
      </c>
      <c r="AM746" s="208">
        <f t="shared" si="360"/>
        <v>0</v>
      </c>
      <c r="AN746" s="208">
        <f t="shared" si="360"/>
        <v>0</v>
      </c>
      <c r="AO746" s="208">
        <f t="shared" si="360"/>
        <v>0</v>
      </c>
      <c r="AP746" s="208">
        <f t="shared" si="360"/>
        <v>0</v>
      </c>
    </row>
    <row r="747" spans="1:42">
      <c r="A747" s="37">
        <f t="shared" ref="A747:A754" si="361">A746+1</f>
        <v>3</v>
      </c>
      <c r="B747" s="295">
        <f t="shared" si="359"/>
        <v>112649.25865953058</v>
      </c>
      <c r="C747" s="208">
        <f t="shared" si="360"/>
        <v>0</v>
      </c>
      <c r="D747" s="208">
        <f t="shared" si="360"/>
        <v>0</v>
      </c>
      <c r="E747" s="208">
        <f t="shared" si="360"/>
        <v>0</v>
      </c>
      <c r="F747" s="208">
        <f t="shared" si="360"/>
        <v>0</v>
      </c>
      <c r="G747" s="208">
        <f t="shared" si="360"/>
        <v>0</v>
      </c>
      <c r="H747" s="208">
        <f t="shared" si="360"/>
        <v>0</v>
      </c>
      <c r="I747" s="208">
        <f t="shared" si="360"/>
        <v>0</v>
      </c>
      <c r="J747" s="208">
        <f t="shared" si="360"/>
        <v>0</v>
      </c>
      <c r="K747" s="208">
        <f t="shared" si="360"/>
        <v>112649.25865953058</v>
      </c>
      <c r="L747" s="208">
        <f t="shared" si="360"/>
        <v>0</v>
      </c>
      <c r="M747" s="208">
        <f t="shared" si="360"/>
        <v>0</v>
      </c>
      <c r="N747" s="208">
        <f t="shared" si="360"/>
        <v>0</v>
      </c>
      <c r="O747" s="208">
        <f t="shared" si="360"/>
        <v>0</v>
      </c>
      <c r="P747" s="208">
        <f t="shared" si="360"/>
        <v>0</v>
      </c>
      <c r="Q747" s="208">
        <f t="shared" si="360"/>
        <v>0</v>
      </c>
      <c r="R747" s="208">
        <f t="shared" si="360"/>
        <v>0</v>
      </c>
      <c r="S747" s="208">
        <f t="shared" si="360"/>
        <v>0</v>
      </c>
      <c r="T747" s="208">
        <f t="shared" si="360"/>
        <v>0</v>
      </c>
      <c r="U747" s="208">
        <f t="shared" si="360"/>
        <v>0</v>
      </c>
      <c r="V747" s="208">
        <f t="shared" si="360"/>
        <v>0</v>
      </c>
      <c r="W747" s="208">
        <f t="shared" si="360"/>
        <v>0</v>
      </c>
      <c r="X747" s="208">
        <f t="shared" si="360"/>
        <v>0</v>
      </c>
      <c r="Y747" s="208">
        <f t="shared" si="360"/>
        <v>0</v>
      </c>
      <c r="Z747" s="208">
        <f t="shared" si="360"/>
        <v>0</v>
      </c>
      <c r="AA747" s="208">
        <f t="shared" si="360"/>
        <v>0</v>
      </c>
      <c r="AB747" s="208">
        <f t="shared" si="360"/>
        <v>0</v>
      </c>
      <c r="AC747" s="208">
        <f t="shared" si="360"/>
        <v>0</v>
      </c>
      <c r="AD747" s="208">
        <f t="shared" si="360"/>
        <v>0</v>
      </c>
      <c r="AE747" s="208">
        <f t="shared" si="360"/>
        <v>0</v>
      </c>
      <c r="AF747" s="208">
        <f t="shared" si="360"/>
        <v>0</v>
      </c>
      <c r="AG747" s="208">
        <f t="shared" si="360"/>
        <v>0</v>
      </c>
      <c r="AH747" s="208">
        <f t="shared" si="360"/>
        <v>0</v>
      </c>
      <c r="AI747" s="208">
        <f t="shared" si="360"/>
        <v>0</v>
      </c>
      <c r="AJ747" s="208">
        <f t="shared" si="360"/>
        <v>0</v>
      </c>
      <c r="AK747" s="208">
        <f t="shared" si="360"/>
        <v>0</v>
      </c>
      <c r="AL747" s="208">
        <f t="shared" si="360"/>
        <v>0</v>
      </c>
      <c r="AM747" s="208">
        <f t="shared" si="360"/>
        <v>0</v>
      </c>
      <c r="AN747" s="208">
        <f t="shared" si="360"/>
        <v>0</v>
      </c>
      <c r="AO747" s="208">
        <f t="shared" si="360"/>
        <v>0</v>
      </c>
      <c r="AP747" s="208">
        <f t="shared" si="360"/>
        <v>0</v>
      </c>
    </row>
    <row r="748" spans="1:42">
      <c r="A748" s="37">
        <f t="shared" si="361"/>
        <v>4</v>
      </c>
      <c r="B748" s="295">
        <f t="shared" si="359"/>
        <v>117794.89374005256</v>
      </c>
      <c r="C748" s="208">
        <f t="shared" si="360"/>
        <v>0</v>
      </c>
      <c r="D748" s="208">
        <f t="shared" si="360"/>
        <v>0</v>
      </c>
      <c r="E748" s="208">
        <f t="shared" si="360"/>
        <v>0</v>
      </c>
      <c r="F748" s="208">
        <f t="shared" si="360"/>
        <v>0</v>
      </c>
      <c r="G748" s="208">
        <f t="shared" si="360"/>
        <v>0</v>
      </c>
      <c r="H748" s="208">
        <f t="shared" si="360"/>
        <v>0</v>
      </c>
      <c r="I748" s="208">
        <f t="shared" si="360"/>
        <v>0</v>
      </c>
      <c r="J748" s="208">
        <f t="shared" si="360"/>
        <v>0</v>
      </c>
      <c r="K748" s="208">
        <f t="shared" si="360"/>
        <v>0</v>
      </c>
      <c r="L748" s="208">
        <f t="shared" si="360"/>
        <v>0</v>
      </c>
      <c r="M748" s="208">
        <f t="shared" si="360"/>
        <v>0</v>
      </c>
      <c r="N748" s="208">
        <f t="shared" si="360"/>
        <v>117794.89374005256</v>
      </c>
      <c r="O748" s="208">
        <f t="shared" si="360"/>
        <v>0</v>
      </c>
      <c r="P748" s="208">
        <f t="shared" si="360"/>
        <v>0</v>
      </c>
      <c r="Q748" s="208">
        <f t="shared" si="360"/>
        <v>0</v>
      </c>
      <c r="R748" s="208">
        <f t="shared" si="360"/>
        <v>0</v>
      </c>
      <c r="S748" s="208">
        <f t="shared" si="360"/>
        <v>0</v>
      </c>
      <c r="T748" s="208">
        <f t="shared" si="360"/>
        <v>0</v>
      </c>
      <c r="U748" s="208">
        <f t="shared" si="360"/>
        <v>0</v>
      </c>
      <c r="V748" s="208">
        <f t="shared" si="360"/>
        <v>0</v>
      </c>
      <c r="W748" s="208">
        <f t="shared" si="360"/>
        <v>0</v>
      </c>
      <c r="X748" s="208">
        <f t="shared" si="360"/>
        <v>0</v>
      </c>
      <c r="Y748" s="208">
        <f t="shared" si="360"/>
        <v>0</v>
      </c>
      <c r="Z748" s="208">
        <f t="shared" si="360"/>
        <v>0</v>
      </c>
      <c r="AA748" s="208">
        <f t="shared" si="360"/>
        <v>0</v>
      </c>
      <c r="AB748" s="208">
        <f t="shared" si="360"/>
        <v>0</v>
      </c>
      <c r="AC748" s="208">
        <f t="shared" si="360"/>
        <v>0</v>
      </c>
      <c r="AD748" s="208">
        <f t="shared" si="360"/>
        <v>0</v>
      </c>
      <c r="AE748" s="208">
        <f t="shared" si="360"/>
        <v>0</v>
      </c>
      <c r="AF748" s="208">
        <f t="shared" si="360"/>
        <v>0</v>
      </c>
      <c r="AG748" s="208">
        <f t="shared" si="360"/>
        <v>0</v>
      </c>
      <c r="AH748" s="208">
        <f t="shared" si="360"/>
        <v>0</v>
      </c>
      <c r="AI748" s="208">
        <f t="shared" si="360"/>
        <v>0</v>
      </c>
      <c r="AJ748" s="208">
        <f t="shared" si="360"/>
        <v>0</v>
      </c>
      <c r="AK748" s="208">
        <f t="shared" si="360"/>
        <v>0</v>
      </c>
      <c r="AL748" s="208">
        <f t="shared" si="360"/>
        <v>0</v>
      </c>
      <c r="AM748" s="208">
        <f t="shared" si="360"/>
        <v>0</v>
      </c>
      <c r="AN748" s="208">
        <f t="shared" si="360"/>
        <v>0</v>
      </c>
      <c r="AO748" s="208">
        <f t="shared" si="360"/>
        <v>0</v>
      </c>
      <c r="AP748" s="208">
        <f t="shared" si="360"/>
        <v>0</v>
      </c>
    </row>
    <row r="749" spans="1:42">
      <c r="A749" s="37">
        <f t="shared" si="361"/>
        <v>5</v>
      </c>
      <c r="B749" s="295">
        <f t="shared" si="359"/>
        <v>123175.57306939577</v>
      </c>
      <c r="C749" s="208">
        <f t="shared" si="360"/>
        <v>0</v>
      </c>
      <c r="D749" s="208">
        <f t="shared" si="360"/>
        <v>0</v>
      </c>
      <c r="E749" s="208">
        <f t="shared" si="360"/>
        <v>0</v>
      </c>
      <c r="F749" s="208">
        <f t="shared" si="360"/>
        <v>0</v>
      </c>
      <c r="G749" s="208">
        <f t="shared" si="360"/>
        <v>0</v>
      </c>
      <c r="H749" s="208">
        <f t="shared" si="360"/>
        <v>0</v>
      </c>
      <c r="I749" s="208">
        <f t="shared" si="360"/>
        <v>0</v>
      </c>
      <c r="J749" s="208">
        <f t="shared" si="360"/>
        <v>0</v>
      </c>
      <c r="K749" s="208">
        <f t="shared" si="360"/>
        <v>0</v>
      </c>
      <c r="L749" s="208">
        <f t="shared" si="360"/>
        <v>0</v>
      </c>
      <c r="M749" s="208">
        <f t="shared" si="360"/>
        <v>0</v>
      </c>
      <c r="N749" s="208">
        <f t="shared" si="360"/>
        <v>0</v>
      </c>
      <c r="O749" s="208">
        <f t="shared" si="360"/>
        <v>0</v>
      </c>
      <c r="P749" s="208">
        <f t="shared" si="360"/>
        <v>0</v>
      </c>
      <c r="Q749" s="208">
        <f t="shared" si="360"/>
        <v>123175.57306939577</v>
      </c>
      <c r="R749" s="208">
        <f t="shared" si="360"/>
        <v>0</v>
      </c>
      <c r="S749" s="208">
        <f t="shared" si="360"/>
        <v>0</v>
      </c>
      <c r="T749" s="208">
        <f t="shared" si="360"/>
        <v>0</v>
      </c>
      <c r="U749" s="208">
        <f t="shared" si="360"/>
        <v>0</v>
      </c>
      <c r="V749" s="208">
        <f t="shared" si="360"/>
        <v>0</v>
      </c>
      <c r="W749" s="208">
        <f t="shared" si="360"/>
        <v>0</v>
      </c>
      <c r="X749" s="208">
        <f t="shared" si="360"/>
        <v>0</v>
      </c>
      <c r="Y749" s="208">
        <f t="shared" si="360"/>
        <v>0</v>
      </c>
      <c r="Z749" s="208">
        <f t="shared" si="360"/>
        <v>0</v>
      </c>
      <c r="AA749" s="208">
        <f t="shared" si="360"/>
        <v>0</v>
      </c>
      <c r="AB749" s="208">
        <f t="shared" si="360"/>
        <v>0</v>
      </c>
      <c r="AC749" s="208">
        <f t="shared" si="360"/>
        <v>0</v>
      </c>
      <c r="AD749" s="208">
        <f t="shared" si="360"/>
        <v>0</v>
      </c>
      <c r="AE749" s="208">
        <f t="shared" si="360"/>
        <v>0</v>
      </c>
      <c r="AF749" s="208">
        <f t="shared" si="360"/>
        <v>0</v>
      </c>
      <c r="AG749" s="208">
        <f t="shared" si="360"/>
        <v>0</v>
      </c>
      <c r="AH749" s="208">
        <f t="shared" si="360"/>
        <v>0</v>
      </c>
      <c r="AI749" s="208">
        <f t="shared" si="360"/>
        <v>0</v>
      </c>
      <c r="AJ749" s="208">
        <f t="shared" si="360"/>
        <v>0</v>
      </c>
      <c r="AK749" s="208">
        <f t="shared" si="360"/>
        <v>0</v>
      </c>
      <c r="AL749" s="208">
        <f t="shared" si="360"/>
        <v>0</v>
      </c>
      <c r="AM749" s="208">
        <f t="shared" si="360"/>
        <v>0</v>
      </c>
      <c r="AN749" s="208">
        <f t="shared" si="360"/>
        <v>0</v>
      </c>
      <c r="AO749" s="208">
        <f t="shared" si="360"/>
        <v>0</v>
      </c>
      <c r="AP749" s="208">
        <f t="shared" si="360"/>
        <v>0</v>
      </c>
    </row>
    <row r="750" spans="1:42">
      <c r="A750" s="37">
        <f t="shared" si="361"/>
        <v>6</v>
      </c>
      <c r="B750" s="295">
        <f t="shared" si="359"/>
        <v>128802.03308689948</v>
      </c>
      <c r="C750" s="208">
        <f t="shared" si="360"/>
        <v>0</v>
      </c>
      <c r="D750" s="208">
        <f t="shared" si="360"/>
        <v>0</v>
      </c>
      <c r="E750" s="208">
        <f t="shared" si="360"/>
        <v>0</v>
      </c>
      <c r="F750" s="208">
        <f t="shared" si="360"/>
        <v>0</v>
      </c>
      <c r="G750" s="208">
        <f t="shared" si="360"/>
        <v>0</v>
      </c>
      <c r="H750" s="208">
        <f t="shared" si="360"/>
        <v>0</v>
      </c>
      <c r="I750" s="208">
        <f t="shared" si="360"/>
        <v>0</v>
      </c>
      <c r="J750" s="208">
        <f t="shared" si="360"/>
        <v>0</v>
      </c>
      <c r="K750" s="208">
        <f t="shared" si="360"/>
        <v>0</v>
      </c>
      <c r="L750" s="208">
        <f t="shared" si="360"/>
        <v>0</v>
      </c>
      <c r="M750" s="208">
        <f t="shared" si="360"/>
        <v>0</v>
      </c>
      <c r="N750" s="208">
        <f t="shared" si="360"/>
        <v>0</v>
      </c>
      <c r="O750" s="208">
        <f t="shared" si="360"/>
        <v>0</v>
      </c>
      <c r="P750" s="208">
        <f t="shared" si="360"/>
        <v>0</v>
      </c>
      <c r="Q750" s="208">
        <f t="shared" si="360"/>
        <v>0</v>
      </c>
      <c r="R750" s="208">
        <f t="shared" si="360"/>
        <v>0</v>
      </c>
      <c r="S750" s="208">
        <f t="shared" si="360"/>
        <v>0</v>
      </c>
      <c r="T750" s="208">
        <f t="shared" si="360"/>
        <v>128802.03308689948</v>
      </c>
      <c r="U750" s="208">
        <f t="shared" si="360"/>
        <v>0</v>
      </c>
      <c r="V750" s="208">
        <f t="shared" si="360"/>
        <v>0</v>
      </c>
      <c r="W750" s="208">
        <f t="shared" si="360"/>
        <v>0</v>
      </c>
      <c r="X750" s="208">
        <f t="shared" si="360"/>
        <v>0</v>
      </c>
      <c r="Y750" s="208">
        <f t="shared" si="360"/>
        <v>0</v>
      </c>
      <c r="Z750" s="208">
        <f t="shared" si="360"/>
        <v>0</v>
      </c>
      <c r="AA750" s="208">
        <f t="shared" si="360"/>
        <v>0</v>
      </c>
      <c r="AB750" s="208">
        <f t="shared" si="360"/>
        <v>0</v>
      </c>
      <c r="AC750" s="208">
        <f t="shared" si="360"/>
        <v>0</v>
      </c>
      <c r="AD750" s="208">
        <f t="shared" si="360"/>
        <v>0</v>
      </c>
      <c r="AE750" s="208">
        <f t="shared" si="360"/>
        <v>0</v>
      </c>
      <c r="AF750" s="208">
        <f t="shared" si="360"/>
        <v>0</v>
      </c>
      <c r="AG750" s="208">
        <f t="shared" si="360"/>
        <v>0</v>
      </c>
      <c r="AH750" s="208">
        <f t="shared" si="360"/>
        <v>0</v>
      </c>
      <c r="AI750" s="208">
        <f t="shared" si="360"/>
        <v>0</v>
      </c>
      <c r="AJ750" s="208">
        <f t="shared" si="360"/>
        <v>0</v>
      </c>
      <c r="AK750" s="208">
        <f t="shared" si="360"/>
        <v>0</v>
      </c>
      <c r="AL750" s="208">
        <f t="shared" si="360"/>
        <v>0</v>
      </c>
      <c r="AM750" s="208">
        <f t="shared" si="360"/>
        <v>0</v>
      </c>
      <c r="AN750" s="208">
        <f t="shared" si="360"/>
        <v>0</v>
      </c>
      <c r="AO750" s="208">
        <f t="shared" si="360"/>
        <v>0</v>
      </c>
      <c r="AP750" s="208">
        <f t="shared" si="360"/>
        <v>0</v>
      </c>
    </row>
    <row r="751" spans="1:42">
      <c r="A751" s="37">
        <f t="shared" si="361"/>
        <v>7</v>
      </c>
      <c r="B751" s="295">
        <f t="shared" si="359"/>
        <v>134685.50065500522</v>
      </c>
      <c r="C751" s="208">
        <f t="shared" si="360"/>
        <v>0</v>
      </c>
      <c r="D751" s="208">
        <f t="shared" si="360"/>
        <v>0</v>
      </c>
      <c r="E751" s="208">
        <f t="shared" si="360"/>
        <v>0</v>
      </c>
      <c r="F751" s="208">
        <f t="shared" si="360"/>
        <v>0</v>
      </c>
      <c r="G751" s="208">
        <f t="shared" si="360"/>
        <v>0</v>
      </c>
      <c r="H751" s="208">
        <f t="shared" si="360"/>
        <v>0</v>
      </c>
      <c r="I751" s="208">
        <f t="shared" si="360"/>
        <v>0</v>
      </c>
      <c r="J751" s="208">
        <f t="shared" si="360"/>
        <v>0</v>
      </c>
      <c r="K751" s="208">
        <f t="shared" si="360"/>
        <v>0</v>
      </c>
      <c r="L751" s="208">
        <f t="shared" si="360"/>
        <v>0</v>
      </c>
      <c r="M751" s="208">
        <f t="shared" si="360"/>
        <v>0</v>
      </c>
      <c r="N751" s="208">
        <f t="shared" si="360"/>
        <v>0</v>
      </c>
      <c r="O751" s="208">
        <f t="shared" si="360"/>
        <v>0</v>
      </c>
      <c r="P751" s="208">
        <f t="shared" si="360"/>
        <v>0</v>
      </c>
      <c r="Q751" s="208">
        <f t="shared" si="360"/>
        <v>0</v>
      </c>
      <c r="R751" s="208">
        <f t="shared" ref="R751:AP751" si="362">IF(R$2&gt;AnalysisPeriod,0,IF(R$2=MMFrequency3*$A751,MMCost3*CapacityDC*1000*(1+Inflation)^Q$2,0))</f>
        <v>0</v>
      </c>
      <c r="S751" s="208">
        <f t="shared" si="362"/>
        <v>0</v>
      </c>
      <c r="T751" s="208">
        <f t="shared" si="362"/>
        <v>0</v>
      </c>
      <c r="U751" s="208">
        <f t="shared" si="362"/>
        <v>0</v>
      </c>
      <c r="V751" s="208">
        <f t="shared" si="362"/>
        <v>0</v>
      </c>
      <c r="W751" s="208">
        <f t="shared" si="362"/>
        <v>134685.50065500522</v>
      </c>
      <c r="X751" s="208">
        <f t="shared" si="362"/>
        <v>0</v>
      </c>
      <c r="Y751" s="208">
        <f t="shared" si="362"/>
        <v>0</v>
      </c>
      <c r="Z751" s="208">
        <f t="shared" si="362"/>
        <v>0</v>
      </c>
      <c r="AA751" s="208">
        <f t="shared" si="362"/>
        <v>0</v>
      </c>
      <c r="AB751" s="208">
        <f t="shared" si="362"/>
        <v>0</v>
      </c>
      <c r="AC751" s="208">
        <f t="shared" si="362"/>
        <v>0</v>
      </c>
      <c r="AD751" s="208">
        <f t="shared" si="362"/>
        <v>0</v>
      </c>
      <c r="AE751" s="208">
        <f t="shared" si="362"/>
        <v>0</v>
      </c>
      <c r="AF751" s="208">
        <f t="shared" si="362"/>
        <v>0</v>
      </c>
      <c r="AG751" s="208">
        <f t="shared" si="362"/>
        <v>0</v>
      </c>
      <c r="AH751" s="208">
        <f t="shared" si="362"/>
        <v>0</v>
      </c>
      <c r="AI751" s="208">
        <f t="shared" si="362"/>
        <v>0</v>
      </c>
      <c r="AJ751" s="208">
        <f t="shared" si="362"/>
        <v>0</v>
      </c>
      <c r="AK751" s="208">
        <f t="shared" si="362"/>
        <v>0</v>
      </c>
      <c r="AL751" s="208">
        <f t="shared" si="362"/>
        <v>0</v>
      </c>
      <c r="AM751" s="208">
        <f t="shared" si="362"/>
        <v>0</v>
      </c>
      <c r="AN751" s="208">
        <f t="shared" si="362"/>
        <v>0</v>
      </c>
      <c r="AO751" s="208">
        <f t="shared" si="362"/>
        <v>0</v>
      </c>
      <c r="AP751" s="208">
        <f t="shared" si="362"/>
        <v>0</v>
      </c>
    </row>
    <row r="752" spans="1:42">
      <c r="A752" s="37">
        <f t="shared" si="361"/>
        <v>8</v>
      </c>
      <c r="B752" s="295">
        <f t="shared" si="359"/>
        <v>140837.71546098724</v>
      </c>
      <c r="C752" s="208">
        <f t="shared" ref="C752:AP754" si="363">IF(C$2&gt;AnalysisPeriod,0,IF(C$2=MMFrequency3*$A752,MMCost3*CapacityDC*1000*(1+Inflation)^B$2,0))</f>
        <v>0</v>
      </c>
      <c r="D752" s="208">
        <f t="shared" si="363"/>
        <v>0</v>
      </c>
      <c r="E752" s="208">
        <f t="shared" si="363"/>
        <v>0</v>
      </c>
      <c r="F752" s="208">
        <f t="shared" si="363"/>
        <v>0</v>
      </c>
      <c r="G752" s="208">
        <f t="shared" si="363"/>
        <v>0</v>
      </c>
      <c r="H752" s="208">
        <f t="shared" si="363"/>
        <v>0</v>
      </c>
      <c r="I752" s="208">
        <f t="shared" si="363"/>
        <v>0</v>
      </c>
      <c r="J752" s="208">
        <f t="shared" si="363"/>
        <v>0</v>
      </c>
      <c r="K752" s="208">
        <f t="shared" si="363"/>
        <v>0</v>
      </c>
      <c r="L752" s="208">
        <f t="shared" si="363"/>
        <v>0</v>
      </c>
      <c r="M752" s="208">
        <f t="shared" si="363"/>
        <v>0</v>
      </c>
      <c r="N752" s="208">
        <f t="shared" si="363"/>
        <v>0</v>
      </c>
      <c r="O752" s="208">
        <f t="shared" si="363"/>
        <v>0</v>
      </c>
      <c r="P752" s="208">
        <f t="shared" si="363"/>
        <v>0</v>
      </c>
      <c r="Q752" s="208">
        <f t="shared" si="363"/>
        <v>0</v>
      </c>
      <c r="R752" s="208">
        <f t="shared" si="363"/>
        <v>0</v>
      </c>
      <c r="S752" s="208">
        <f t="shared" si="363"/>
        <v>0</v>
      </c>
      <c r="T752" s="208">
        <f t="shared" si="363"/>
        <v>0</v>
      </c>
      <c r="U752" s="208">
        <f t="shared" si="363"/>
        <v>0</v>
      </c>
      <c r="V752" s="208">
        <f t="shared" si="363"/>
        <v>0</v>
      </c>
      <c r="W752" s="208">
        <f t="shared" si="363"/>
        <v>0</v>
      </c>
      <c r="X752" s="208">
        <f t="shared" si="363"/>
        <v>0</v>
      </c>
      <c r="Y752" s="208">
        <f t="shared" si="363"/>
        <v>0</v>
      </c>
      <c r="Z752" s="208">
        <f t="shared" si="363"/>
        <v>140837.71546098724</v>
      </c>
      <c r="AA752" s="208">
        <f t="shared" si="363"/>
        <v>0</v>
      </c>
      <c r="AB752" s="208">
        <f t="shared" si="363"/>
        <v>0</v>
      </c>
      <c r="AC752" s="208">
        <f t="shared" si="363"/>
        <v>0</v>
      </c>
      <c r="AD752" s="208">
        <f t="shared" si="363"/>
        <v>0</v>
      </c>
      <c r="AE752" s="208">
        <f t="shared" si="363"/>
        <v>0</v>
      </c>
      <c r="AF752" s="208">
        <f t="shared" si="363"/>
        <v>0</v>
      </c>
      <c r="AG752" s="208">
        <f t="shared" si="363"/>
        <v>0</v>
      </c>
      <c r="AH752" s="208">
        <f t="shared" si="363"/>
        <v>0</v>
      </c>
      <c r="AI752" s="208">
        <f t="shared" si="363"/>
        <v>0</v>
      </c>
      <c r="AJ752" s="208">
        <f t="shared" si="363"/>
        <v>0</v>
      </c>
      <c r="AK752" s="208">
        <f t="shared" si="363"/>
        <v>0</v>
      </c>
      <c r="AL752" s="208">
        <f t="shared" si="363"/>
        <v>0</v>
      </c>
      <c r="AM752" s="208">
        <f t="shared" si="363"/>
        <v>0</v>
      </c>
      <c r="AN752" s="208">
        <f t="shared" si="363"/>
        <v>0</v>
      </c>
      <c r="AO752" s="208">
        <f t="shared" si="363"/>
        <v>0</v>
      </c>
      <c r="AP752" s="208">
        <f t="shared" si="363"/>
        <v>0</v>
      </c>
    </row>
    <row r="753" spans="1:42">
      <c r="A753" s="37">
        <f>A752+1</f>
        <v>9</v>
      </c>
      <c r="B753" s="295">
        <f t="shared" si="359"/>
        <v>147270.95344195748</v>
      </c>
      <c r="C753" s="208">
        <f t="shared" si="363"/>
        <v>0</v>
      </c>
      <c r="D753" s="208">
        <f t="shared" si="363"/>
        <v>0</v>
      </c>
      <c r="E753" s="208">
        <f t="shared" si="363"/>
        <v>0</v>
      </c>
      <c r="F753" s="208">
        <f t="shared" si="363"/>
        <v>0</v>
      </c>
      <c r="G753" s="208">
        <f t="shared" si="363"/>
        <v>0</v>
      </c>
      <c r="H753" s="208">
        <f t="shared" si="363"/>
        <v>0</v>
      </c>
      <c r="I753" s="208">
        <f t="shared" si="363"/>
        <v>0</v>
      </c>
      <c r="J753" s="208">
        <f t="shared" si="363"/>
        <v>0</v>
      </c>
      <c r="K753" s="208">
        <f t="shared" si="363"/>
        <v>0</v>
      </c>
      <c r="L753" s="208">
        <f t="shared" si="363"/>
        <v>0</v>
      </c>
      <c r="M753" s="208">
        <f t="shared" si="363"/>
        <v>0</v>
      </c>
      <c r="N753" s="208">
        <f t="shared" si="363"/>
        <v>0</v>
      </c>
      <c r="O753" s="208">
        <f t="shared" si="363"/>
        <v>0</v>
      </c>
      <c r="P753" s="208">
        <f t="shared" si="363"/>
        <v>0</v>
      </c>
      <c r="Q753" s="208">
        <f t="shared" si="363"/>
        <v>0</v>
      </c>
      <c r="R753" s="208">
        <f t="shared" si="363"/>
        <v>0</v>
      </c>
      <c r="S753" s="208">
        <f t="shared" si="363"/>
        <v>0</v>
      </c>
      <c r="T753" s="208">
        <f t="shared" si="363"/>
        <v>0</v>
      </c>
      <c r="U753" s="208">
        <f t="shared" si="363"/>
        <v>0</v>
      </c>
      <c r="V753" s="208">
        <f t="shared" si="363"/>
        <v>0</v>
      </c>
      <c r="W753" s="208">
        <f t="shared" si="363"/>
        <v>0</v>
      </c>
      <c r="X753" s="208">
        <f t="shared" si="363"/>
        <v>0</v>
      </c>
      <c r="Y753" s="208">
        <f t="shared" si="363"/>
        <v>0</v>
      </c>
      <c r="Z753" s="208">
        <f t="shared" si="363"/>
        <v>0</v>
      </c>
      <c r="AA753" s="208">
        <f t="shared" si="363"/>
        <v>0</v>
      </c>
      <c r="AB753" s="208">
        <f t="shared" si="363"/>
        <v>0</v>
      </c>
      <c r="AC753" s="208">
        <f t="shared" si="363"/>
        <v>147270.95344195748</v>
      </c>
      <c r="AD753" s="208">
        <f t="shared" si="363"/>
        <v>0</v>
      </c>
      <c r="AE753" s="208">
        <f t="shared" si="363"/>
        <v>0</v>
      </c>
      <c r="AF753" s="208">
        <f t="shared" si="363"/>
        <v>0</v>
      </c>
      <c r="AG753" s="208">
        <f t="shared" si="363"/>
        <v>0</v>
      </c>
      <c r="AH753" s="208">
        <f t="shared" si="363"/>
        <v>0</v>
      </c>
      <c r="AI753" s="208">
        <f t="shared" si="363"/>
        <v>0</v>
      </c>
      <c r="AJ753" s="208">
        <f t="shared" si="363"/>
        <v>0</v>
      </c>
      <c r="AK753" s="208">
        <f t="shared" si="363"/>
        <v>0</v>
      </c>
      <c r="AL753" s="208">
        <f t="shared" si="363"/>
        <v>0</v>
      </c>
      <c r="AM753" s="208">
        <f t="shared" si="363"/>
        <v>0</v>
      </c>
      <c r="AN753" s="208">
        <f t="shared" si="363"/>
        <v>0</v>
      </c>
      <c r="AO753" s="208">
        <f t="shared" si="363"/>
        <v>0</v>
      </c>
      <c r="AP753" s="208">
        <f t="shared" si="363"/>
        <v>0</v>
      </c>
    </row>
    <row r="754" spans="1:42">
      <c r="A754" s="37">
        <f t="shared" si="361"/>
        <v>10</v>
      </c>
      <c r="B754" s="295">
        <f t="shared" si="359"/>
        <v>153998.05127988668</v>
      </c>
      <c r="C754" s="209">
        <f t="shared" si="363"/>
        <v>0</v>
      </c>
      <c r="D754" s="209">
        <f t="shared" si="363"/>
        <v>0</v>
      </c>
      <c r="E754" s="209">
        <f t="shared" si="363"/>
        <v>0</v>
      </c>
      <c r="F754" s="209">
        <f t="shared" si="363"/>
        <v>0</v>
      </c>
      <c r="G754" s="209">
        <f t="shared" si="363"/>
        <v>0</v>
      </c>
      <c r="H754" s="209">
        <f t="shared" si="363"/>
        <v>0</v>
      </c>
      <c r="I754" s="209">
        <f t="shared" si="363"/>
        <v>0</v>
      </c>
      <c r="J754" s="209">
        <f t="shared" si="363"/>
        <v>0</v>
      </c>
      <c r="K754" s="209">
        <f t="shared" si="363"/>
        <v>0</v>
      </c>
      <c r="L754" s="209">
        <f t="shared" si="363"/>
        <v>0</v>
      </c>
      <c r="M754" s="209">
        <f t="shared" si="363"/>
        <v>0</v>
      </c>
      <c r="N754" s="209">
        <f t="shared" si="363"/>
        <v>0</v>
      </c>
      <c r="O754" s="209">
        <f t="shared" si="363"/>
        <v>0</v>
      </c>
      <c r="P754" s="209">
        <f t="shared" si="363"/>
        <v>0</v>
      </c>
      <c r="Q754" s="209">
        <f t="shared" si="363"/>
        <v>0</v>
      </c>
      <c r="R754" s="209">
        <f t="shared" si="363"/>
        <v>0</v>
      </c>
      <c r="S754" s="209">
        <f t="shared" si="363"/>
        <v>0</v>
      </c>
      <c r="T754" s="209">
        <f t="shared" si="363"/>
        <v>0</v>
      </c>
      <c r="U754" s="209">
        <f t="shared" si="363"/>
        <v>0</v>
      </c>
      <c r="V754" s="209">
        <f t="shared" si="363"/>
        <v>0</v>
      </c>
      <c r="W754" s="209">
        <f t="shared" si="363"/>
        <v>0</v>
      </c>
      <c r="X754" s="209">
        <f t="shared" si="363"/>
        <v>0</v>
      </c>
      <c r="Y754" s="209">
        <f t="shared" si="363"/>
        <v>0</v>
      </c>
      <c r="Z754" s="209">
        <f t="shared" si="363"/>
        <v>0</v>
      </c>
      <c r="AA754" s="209">
        <f t="shared" si="363"/>
        <v>0</v>
      </c>
      <c r="AB754" s="209">
        <f t="shared" si="363"/>
        <v>0</v>
      </c>
      <c r="AC754" s="209">
        <f t="shared" si="363"/>
        <v>0</v>
      </c>
      <c r="AD754" s="209">
        <f t="shared" si="363"/>
        <v>0</v>
      </c>
      <c r="AE754" s="209">
        <f t="shared" si="363"/>
        <v>0</v>
      </c>
      <c r="AF754" s="209">
        <f t="shared" si="363"/>
        <v>153998.05127988668</v>
      </c>
      <c r="AG754" s="209">
        <f t="shared" si="363"/>
        <v>0</v>
      </c>
      <c r="AH754" s="209">
        <f t="shared" si="363"/>
        <v>0</v>
      </c>
      <c r="AI754" s="209">
        <f t="shared" si="363"/>
        <v>0</v>
      </c>
      <c r="AJ754" s="209">
        <f t="shared" si="363"/>
        <v>0</v>
      </c>
      <c r="AK754" s="209">
        <f t="shared" si="363"/>
        <v>0</v>
      </c>
      <c r="AL754" s="209">
        <f t="shared" si="363"/>
        <v>0</v>
      </c>
      <c r="AM754" s="209">
        <f t="shared" si="363"/>
        <v>0</v>
      </c>
      <c r="AN754" s="209">
        <f t="shared" si="363"/>
        <v>0</v>
      </c>
      <c r="AO754" s="209">
        <f t="shared" si="363"/>
        <v>0</v>
      </c>
      <c r="AP754" s="209">
        <f t="shared" si="363"/>
        <v>0</v>
      </c>
    </row>
    <row r="755" spans="1:42">
      <c r="A755" s="244" t="s">
        <v>53</v>
      </c>
      <c r="B755" s="208"/>
      <c r="C755" s="164">
        <f>SUM(C745:C754)</f>
        <v>0</v>
      </c>
      <c r="D755" s="164">
        <f t="shared" ref="D755:AP755" si="364">SUM(D745:D754)</f>
        <v>0</v>
      </c>
      <c r="E755" s="164">
        <f t="shared" si="364"/>
        <v>103022.49999999997</v>
      </c>
      <c r="F755" s="164">
        <f t="shared" si="364"/>
        <v>0</v>
      </c>
      <c r="G755" s="164">
        <f t="shared" si="364"/>
        <v>0</v>
      </c>
      <c r="H755" s="164">
        <f t="shared" si="364"/>
        <v>107728.40038843743</v>
      </c>
      <c r="I755" s="164">
        <f t="shared" si="364"/>
        <v>0</v>
      </c>
      <c r="J755" s="164">
        <f t="shared" si="364"/>
        <v>0</v>
      </c>
      <c r="K755" s="164">
        <f t="shared" si="364"/>
        <v>112649.25865953058</v>
      </c>
      <c r="L755" s="164">
        <f t="shared" si="364"/>
        <v>0</v>
      </c>
      <c r="M755" s="164">
        <f t="shared" si="364"/>
        <v>0</v>
      </c>
      <c r="N755" s="164">
        <f t="shared" si="364"/>
        <v>117794.89374005256</v>
      </c>
      <c r="O755" s="164">
        <f t="shared" si="364"/>
        <v>0</v>
      </c>
      <c r="P755" s="164">
        <f t="shared" si="364"/>
        <v>0</v>
      </c>
      <c r="Q755" s="164">
        <f t="shared" si="364"/>
        <v>123175.57306939577</v>
      </c>
      <c r="R755" s="164">
        <f t="shared" si="364"/>
        <v>0</v>
      </c>
      <c r="S755" s="164">
        <f t="shared" si="364"/>
        <v>0</v>
      </c>
      <c r="T755" s="164">
        <f t="shared" si="364"/>
        <v>128802.03308689948</v>
      </c>
      <c r="U755" s="164">
        <f t="shared" si="364"/>
        <v>0</v>
      </c>
      <c r="V755" s="164">
        <f t="shared" si="364"/>
        <v>0</v>
      </c>
      <c r="W755" s="164">
        <f t="shared" si="364"/>
        <v>134685.50065500522</v>
      </c>
      <c r="X755" s="164">
        <f t="shared" si="364"/>
        <v>0</v>
      </c>
      <c r="Y755" s="164">
        <f t="shared" si="364"/>
        <v>0</v>
      </c>
      <c r="Z755" s="164">
        <f t="shared" si="364"/>
        <v>140837.71546098724</v>
      </c>
      <c r="AA755" s="164">
        <f t="shared" si="364"/>
        <v>0</v>
      </c>
      <c r="AB755" s="164">
        <f t="shared" si="364"/>
        <v>0</v>
      </c>
      <c r="AC755" s="164">
        <f t="shared" si="364"/>
        <v>147270.95344195748</v>
      </c>
      <c r="AD755" s="164">
        <f t="shared" si="364"/>
        <v>0</v>
      </c>
      <c r="AE755" s="164">
        <f t="shared" si="364"/>
        <v>0</v>
      </c>
      <c r="AF755" s="164">
        <f t="shared" si="364"/>
        <v>153998.05127988668</v>
      </c>
      <c r="AG755" s="164">
        <f t="shared" si="364"/>
        <v>0</v>
      </c>
      <c r="AH755" s="164">
        <f t="shared" si="364"/>
        <v>0</v>
      </c>
      <c r="AI755" s="164">
        <f t="shared" si="364"/>
        <v>0</v>
      </c>
      <c r="AJ755" s="164">
        <f t="shared" si="364"/>
        <v>0</v>
      </c>
      <c r="AK755" s="164">
        <f t="shared" si="364"/>
        <v>0</v>
      </c>
      <c r="AL755" s="164">
        <f t="shared" si="364"/>
        <v>0</v>
      </c>
      <c r="AM755" s="164">
        <f t="shared" si="364"/>
        <v>0</v>
      </c>
      <c r="AN755" s="164">
        <f t="shared" si="364"/>
        <v>0</v>
      </c>
      <c r="AO755" s="164">
        <f t="shared" si="364"/>
        <v>0</v>
      </c>
      <c r="AP755" s="164">
        <f t="shared" si="364"/>
        <v>0</v>
      </c>
    </row>
    <row r="756" spans="1:42">
      <c r="A756" s="37" t="s">
        <v>209</v>
      </c>
      <c r="B756" s="164"/>
      <c r="C756" s="164"/>
      <c r="D756" s="164"/>
      <c r="E756" s="164"/>
      <c r="F756" s="164"/>
      <c r="G756" s="208"/>
      <c r="H756" s="208"/>
      <c r="I756" s="208"/>
      <c r="J756" s="208"/>
      <c r="K756" s="208"/>
      <c r="L756" s="208"/>
      <c r="M756" s="208"/>
      <c r="N756" s="208"/>
      <c r="O756" s="208"/>
      <c r="P756" s="208"/>
      <c r="Q756" s="208"/>
      <c r="R756" s="208"/>
      <c r="S756" s="208"/>
      <c r="T756" s="208"/>
      <c r="U756" s="208"/>
      <c r="V756" s="208"/>
      <c r="W756" s="208"/>
      <c r="X756" s="208"/>
      <c r="Y756" s="208"/>
      <c r="Z756" s="208"/>
      <c r="AA756" s="208"/>
      <c r="AB756" s="208"/>
      <c r="AC756" s="208"/>
      <c r="AD756" s="208"/>
      <c r="AE756" s="208"/>
      <c r="AF756" s="208"/>
      <c r="AG756" s="208"/>
      <c r="AH756" s="208"/>
      <c r="AI756" s="208"/>
      <c r="AJ756" s="208"/>
      <c r="AK756" s="208"/>
      <c r="AL756" s="208"/>
      <c r="AM756" s="208"/>
      <c r="AN756" s="208"/>
      <c r="AO756" s="208"/>
      <c r="AP756" s="208"/>
    </row>
    <row r="757" spans="1:42">
      <c r="A757" s="37">
        <v>1</v>
      </c>
      <c r="B757" s="295">
        <f t="shared" ref="B757:B766" si="365">SUM(C757:AP757)</f>
        <v>103022.49999999997</v>
      </c>
      <c r="C757" s="208">
        <f t="shared" ref="C757:AP757" si="366">IF(C$2&lt;=MMFrequency3*$A$745,$B$745/(MMFrequency3),0)</f>
        <v>34340.833333333321</v>
      </c>
      <c r="D757" s="208">
        <f t="shared" si="366"/>
        <v>34340.833333333321</v>
      </c>
      <c r="E757" s="208">
        <f t="shared" si="366"/>
        <v>34340.833333333321</v>
      </c>
      <c r="F757" s="208">
        <f t="shared" si="366"/>
        <v>0</v>
      </c>
      <c r="G757" s="208">
        <f t="shared" si="366"/>
        <v>0</v>
      </c>
      <c r="H757" s="208">
        <f t="shared" si="366"/>
        <v>0</v>
      </c>
      <c r="I757" s="208">
        <f t="shared" si="366"/>
        <v>0</v>
      </c>
      <c r="J757" s="208">
        <f t="shared" si="366"/>
        <v>0</v>
      </c>
      <c r="K757" s="208">
        <f t="shared" si="366"/>
        <v>0</v>
      </c>
      <c r="L757" s="208">
        <f t="shared" si="366"/>
        <v>0</v>
      </c>
      <c r="M757" s="208">
        <f t="shared" si="366"/>
        <v>0</v>
      </c>
      <c r="N757" s="208">
        <f t="shared" si="366"/>
        <v>0</v>
      </c>
      <c r="O757" s="208">
        <f t="shared" si="366"/>
        <v>0</v>
      </c>
      <c r="P757" s="208">
        <f t="shared" si="366"/>
        <v>0</v>
      </c>
      <c r="Q757" s="208">
        <f t="shared" si="366"/>
        <v>0</v>
      </c>
      <c r="R757" s="208">
        <f t="shared" si="366"/>
        <v>0</v>
      </c>
      <c r="S757" s="208">
        <f t="shared" si="366"/>
        <v>0</v>
      </c>
      <c r="T757" s="208">
        <f t="shared" si="366"/>
        <v>0</v>
      </c>
      <c r="U757" s="208">
        <f t="shared" si="366"/>
        <v>0</v>
      </c>
      <c r="V757" s="208">
        <f t="shared" si="366"/>
        <v>0</v>
      </c>
      <c r="W757" s="208">
        <f t="shared" si="366"/>
        <v>0</v>
      </c>
      <c r="X757" s="208">
        <f t="shared" si="366"/>
        <v>0</v>
      </c>
      <c r="Y757" s="208">
        <f t="shared" si="366"/>
        <v>0</v>
      </c>
      <c r="Z757" s="208">
        <f t="shared" si="366"/>
        <v>0</v>
      </c>
      <c r="AA757" s="208">
        <f t="shared" si="366"/>
        <v>0</v>
      </c>
      <c r="AB757" s="208">
        <f t="shared" si="366"/>
        <v>0</v>
      </c>
      <c r="AC757" s="208">
        <f t="shared" si="366"/>
        <v>0</v>
      </c>
      <c r="AD757" s="208">
        <f t="shared" si="366"/>
        <v>0</v>
      </c>
      <c r="AE757" s="208">
        <f t="shared" si="366"/>
        <v>0</v>
      </c>
      <c r="AF757" s="208">
        <f t="shared" si="366"/>
        <v>0</v>
      </c>
      <c r="AG757" s="208">
        <f t="shared" si="366"/>
        <v>0</v>
      </c>
      <c r="AH757" s="208">
        <f t="shared" si="366"/>
        <v>0</v>
      </c>
      <c r="AI757" s="208">
        <f t="shared" si="366"/>
        <v>0</v>
      </c>
      <c r="AJ757" s="208">
        <f t="shared" si="366"/>
        <v>0</v>
      </c>
      <c r="AK757" s="208">
        <f t="shared" si="366"/>
        <v>0</v>
      </c>
      <c r="AL757" s="208">
        <f t="shared" si="366"/>
        <v>0</v>
      </c>
      <c r="AM757" s="208">
        <f t="shared" si="366"/>
        <v>0</v>
      </c>
      <c r="AN757" s="208">
        <f t="shared" si="366"/>
        <v>0</v>
      </c>
      <c r="AO757" s="208">
        <f t="shared" si="366"/>
        <v>0</v>
      </c>
      <c r="AP757" s="208">
        <f t="shared" si="366"/>
        <v>0</v>
      </c>
    </row>
    <row r="758" spans="1:42">
      <c r="A758" s="37">
        <f>A757+1</f>
        <v>2</v>
      </c>
      <c r="B758" s="295">
        <f t="shared" si="365"/>
        <v>107728.40038843744</v>
      </c>
      <c r="C758" s="208">
        <f t="shared" ref="C758:AP764" si="367">IF(AND(C$2&gt;MMFrequency3*$A745,C$2&lt;=MMFrequency3*$A746),$B746/(MMFrequency3),0)</f>
        <v>0</v>
      </c>
      <c r="D758" s="208">
        <f t="shared" si="367"/>
        <v>0</v>
      </c>
      <c r="E758" s="208">
        <f t="shared" si="367"/>
        <v>0</v>
      </c>
      <c r="F758" s="208">
        <f t="shared" si="367"/>
        <v>35909.466796145811</v>
      </c>
      <c r="G758" s="208">
        <f t="shared" si="367"/>
        <v>35909.466796145811</v>
      </c>
      <c r="H758" s="208">
        <f t="shared" si="367"/>
        <v>35909.466796145811</v>
      </c>
      <c r="I758" s="208">
        <f t="shared" si="367"/>
        <v>0</v>
      </c>
      <c r="J758" s="208">
        <f t="shared" si="367"/>
        <v>0</v>
      </c>
      <c r="K758" s="208">
        <f t="shared" si="367"/>
        <v>0</v>
      </c>
      <c r="L758" s="208">
        <f t="shared" si="367"/>
        <v>0</v>
      </c>
      <c r="M758" s="208">
        <f t="shared" si="367"/>
        <v>0</v>
      </c>
      <c r="N758" s="208">
        <f t="shared" si="367"/>
        <v>0</v>
      </c>
      <c r="O758" s="208">
        <f t="shared" si="367"/>
        <v>0</v>
      </c>
      <c r="P758" s="208">
        <f t="shared" si="367"/>
        <v>0</v>
      </c>
      <c r="Q758" s="208">
        <f t="shared" si="367"/>
        <v>0</v>
      </c>
      <c r="R758" s="208">
        <f t="shared" si="367"/>
        <v>0</v>
      </c>
      <c r="S758" s="208">
        <f t="shared" si="367"/>
        <v>0</v>
      </c>
      <c r="T758" s="208">
        <f t="shared" si="367"/>
        <v>0</v>
      </c>
      <c r="U758" s="208">
        <f t="shared" si="367"/>
        <v>0</v>
      </c>
      <c r="V758" s="208">
        <f t="shared" si="367"/>
        <v>0</v>
      </c>
      <c r="W758" s="208">
        <f t="shared" si="367"/>
        <v>0</v>
      </c>
      <c r="X758" s="208">
        <f t="shared" si="367"/>
        <v>0</v>
      </c>
      <c r="Y758" s="208">
        <f t="shared" si="367"/>
        <v>0</v>
      </c>
      <c r="Z758" s="208">
        <f t="shared" si="367"/>
        <v>0</v>
      </c>
      <c r="AA758" s="208">
        <f t="shared" si="367"/>
        <v>0</v>
      </c>
      <c r="AB758" s="208">
        <f t="shared" si="367"/>
        <v>0</v>
      </c>
      <c r="AC758" s="208">
        <f t="shared" si="367"/>
        <v>0</v>
      </c>
      <c r="AD758" s="208">
        <f t="shared" si="367"/>
        <v>0</v>
      </c>
      <c r="AE758" s="208">
        <f t="shared" si="367"/>
        <v>0</v>
      </c>
      <c r="AF758" s="208">
        <f t="shared" si="367"/>
        <v>0</v>
      </c>
      <c r="AG758" s="208">
        <f t="shared" si="367"/>
        <v>0</v>
      </c>
      <c r="AH758" s="208">
        <f t="shared" si="367"/>
        <v>0</v>
      </c>
      <c r="AI758" s="208">
        <f t="shared" si="367"/>
        <v>0</v>
      </c>
      <c r="AJ758" s="208">
        <f t="shared" si="367"/>
        <v>0</v>
      </c>
      <c r="AK758" s="208">
        <f t="shared" si="367"/>
        <v>0</v>
      </c>
      <c r="AL758" s="208">
        <f t="shared" si="367"/>
        <v>0</v>
      </c>
      <c r="AM758" s="208">
        <f t="shared" si="367"/>
        <v>0</v>
      </c>
      <c r="AN758" s="208">
        <f t="shared" si="367"/>
        <v>0</v>
      </c>
      <c r="AO758" s="208">
        <f t="shared" si="367"/>
        <v>0</v>
      </c>
      <c r="AP758" s="208">
        <f t="shared" si="367"/>
        <v>0</v>
      </c>
    </row>
    <row r="759" spans="1:42">
      <c r="A759" s="37">
        <f t="shared" ref="A759:A764" si="368">A758+1</f>
        <v>3</v>
      </c>
      <c r="B759" s="295">
        <f t="shared" si="365"/>
        <v>112649.25865953058</v>
      </c>
      <c r="C759" s="208">
        <f t="shared" si="367"/>
        <v>0</v>
      </c>
      <c r="D759" s="208">
        <f t="shared" si="367"/>
        <v>0</v>
      </c>
      <c r="E759" s="208">
        <f t="shared" si="367"/>
        <v>0</v>
      </c>
      <c r="F759" s="208">
        <f t="shared" si="367"/>
        <v>0</v>
      </c>
      <c r="G759" s="208">
        <f t="shared" si="367"/>
        <v>0</v>
      </c>
      <c r="H759" s="208">
        <f t="shared" si="367"/>
        <v>0</v>
      </c>
      <c r="I759" s="208">
        <f t="shared" si="367"/>
        <v>37549.752886510192</v>
      </c>
      <c r="J759" s="208">
        <f t="shared" si="367"/>
        <v>37549.752886510192</v>
      </c>
      <c r="K759" s="208">
        <f t="shared" si="367"/>
        <v>37549.752886510192</v>
      </c>
      <c r="L759" s="208">
        <f t="shared" si="367"/>
        <v>0</v>
      </c>
      <c r="M759" s="208">
        <f t="shared" si="367"/>
        <v>0</v>
      </c>
      <c r="N759" s="208">
        <f t="shared" si="367"/>
        <v>0</v>
      </c>
      <c r="O759" s="208">
        <f t="shared" si="367"/>
        <v>0</v>
      </c>
      <c r="P759" s="208">
        <f t="shared" si="367"/>
        <v>0</v>
      </c>
      <c r="Q759" s="208">
        <f t="shared" si="367"/>
        <v>0</v>
      </c>
      <c r="R759" s="208">
        <f t="shared" si="367"/>
        <v>0</v>
      </c>
      <c r="S759" s="208">
        <f t="shared" si="367"/>
        <v>0</v>
      </c>
      <c r="T759" s="208">
        <f t="shared" si="367"/>
        <v>0</v>
      </c>
      <c r="U759" s="208">
        <f t="shared" si="367"/>
        <v>0</v>
      </c>
      <c r="V759" s="208">
        <f t="shared" si="367"/>
        <v>0</v>
      </c>
      <c r="W759" s="208">
        <f t="shared" si="367"/>
        <v>0</v>
      </c>
      <c r="X759" s="208">
        <f t="shared" si="367"/>
        <v>0</v>
      </c>
      <c r="Y759" s="208">
        <f t="shared" si="367"/>
        <v>0</v>
      </c>
      <c r="Z759" s="208">
        <f t="shared" si="367"/>
        <v>0</v>
      </c>
      <c r="AA759" s="208">
        <f t="shared" si="367"/>
        <v>0</v>
      </c>
      <c r="AB759" s="208">
        <f t="shared" si="367"/>
        <v>0</v>
      </c>
      <c r="AC759" s="208">
        <f t="shared" si="367"/>
        <v>0</v>
      </c>
      <c r="AD759" s="208">
        <f t="shared" si="367"/>
        <v>0</v>
      </c>
      <c r="AE759" s="208">
        <f t="shared" si="367"/>
        <v>0</v>
      </c>
      <c r="AF759" s="208">
        <f t="shared" si="367"/>
        <v>0</v>
      </c>
      <c r="AG759" s="208">
        <f t="shared" si="367"/>
        <v>0</v>
      </c>
      <c r="AH759" s="208">
        <f t="shared" si="367"/>
        <v>0</v>
      </c>
      <c r="AI759" s="208">
        <f t="shared" si="367"/>
        <v>0</v>
      </c>
      <c r="AJ759" s="208">
        <f t="shared" si="367"/>
        <v>0</v>
      </c>
      <c r="AK759" s="208">
        <f t="shared" si="367"/>
        <v>0</v>
      </c>
      <c r="AL759" s="208">
        <f t="shared" si="367"/>
        <v>0</v>
      </c>
      <c r="AM759" s="208">
        <f t="shared" si="367"/>
        <v>0</v>
      </c>
      <c r="AN759" s="208">
        <f t="shared" si="367"/>
        <v>0</v>
      </c>
      <c r="AO759" s="208">
        <f t="shared" si="367"/>
        <v>0</v>
      </c>
      <c r="AP759" s="208">
        <f t="shared" si="367"/>
        <v>0</v>
      </c>
    </row>
    <row r="760" spans="1:42">
      <c r="A760" s="37">
        <f t="shared" si="368"/>
        <v>4</v>
      </c>
      <c r="B760" s="295">
        <f t="shared" si="365"/>
        <v>117794.89374005256</v>
      </c>
      <c r="C760" s="208">
        <f t="shared" si="367"/>
        <v>0</v>
      </c>
      <c r="D760" s="208">
        <f t="shared" si="367"/>
        <v>0</v>
      </c>
      <c r="E760" s="208">
        <f t="shared" si="367"/>
        <v>0</v>
      </c>
      <c r="F760" s="208">
        <f t="shared" si="367"/>
        <v>0</v>
      </c>
      <c r="G760" s="208">
        <f t="shared" si="367"/>
        <v>0</v>
      </c>
      <c r="H760" s="208">
        <f t="shared" si="367"/>
        <v>0</v>
      </c>
      <c r="I760" s="208">
        <f t="shared" si="367"/>
        <v>0</v>
      </c>
      <c r="J760" s="208">
        <f t="shared" si="367"/>
        <v>0</v>
      </c>
      <c r="K760" s="208">
        <f t="shared" si="367"/>
        <v>0</v>
      </c>
      <c r="L760" s="208">
        <f t="shared" si="367"/>
        <v>39264.96458001752</v>
      </c>
      <c r="M760" s="208">
        <f t="shared" si="367"/>
        <v>39264.96458001752</v>
      </c>
      <c r="N760" s="208">
        <f t="shared" si="367"/>
        <v>39264.96458001752</v>
      </c>
      <c r="O760" s="208">
        <f t="shared" si="367"/>
        <v>0</v>
      </c>
      <c r="P760" s="208">
        <f t="shared" si="367"/>
        <v>0</v>
      </c>
      <c r="Q760" s="208">
        <f t="shared" si="367"/>
        <v>0</v>
      </c>
      <c r="R760" s="208">
        <f t="shared" si="367"/>
        <v>0</v>
      </c>
      <c r="S760" s="208">
        <f t="shared" si="367"/>
        <v>0</v>
      </c>
      <c r="T760" s="208">
        <f t="shared" si="367"/>
        <v>0</v>
      </c>
      <c r="U760" s="208">
        <f t="shared" si="367"/>
        <v>0</v>
      </c>
      <c r="V760" s="208">
        <f t="shared" si="367"/>
        <v>0</v>
      </c>
      <c r="W760" s="208">
        <f t="shared" si="367"/>
        <v>0</v>
      </c>
      <c r="X760" s="208">
        <f t="shared" si="367"/>
        <v>0</v>
      </c>
      <c r="Y760" s="208">
        <f t="shared" si="367"/>
        <v>0</v>
      </c>
      <c r="Z760" s="208">
        <f t="shared" si="367"/>
        <v>0</v>
      </c>
      <c r="AA760" s="208">
        <f t="shared" si="367"/>
        <v>0</v>
      </c>
      <c r="AB760" s="208">
        <f t="shared" si="367"/>
        <v>0</v>
      </c>
      <c r="AC760" s="208">
        <f t="shared" si="367"/>
        <v>0</v>
      </c>
      <c r="AD760" s="208">
        <f t="shared" si="367"/>
        <v>0</v>
      </c>
      <c r="AE760" s="208">
        <f t="shared" si="367"/>
        <v>0</v>
      </c>
      <c r="AF760" s="208">
        <f t="shared" si="367"/>
        <v>0</v>
      </c>
      <c r="AG760" s="208">
        <f t="shared" si="367"/>
        <v>0</v>
      </c>
      <c r="AH760" s="208">
        <f t="shared" si="367"/>
        <v>0</v>
      </c>
      <c r="AI760" s="208">
        <f t="shared" si="367"/>
        <v>0</v>
      </c>
      <c r="AJ760" s="208">
        <f t="shared" si="367"/>
        <v>0</v>
      </c>
      <c r="AK760" s="208">
        <f t="shared" si="367"/>
        <v>0</v>
      </c>
      <c r="AL760" s="208">
        <f t="shared" si="367"/>
        <v>0</v>
      </c>
      <c r="AM760" s="208">
        <f t="shared" si="367"/>
        <v>0</v>
      </c>
      <c r="AN760" s="208">
        <f t="shared" si="367"/>
        <v>0</v>
      </c>
      <c r="AO760" s="208">
        <f t="shared" si="367"/>
        <v>0</v>
      </c>
      <c r="AP760" s="208">
        <f t="shared" si="367"/>
        <v>0</v>
      </c>
    </row>
    <row r="761" spans="1:42">
      <c r="A761" s="37">
        <f t="shared" si="368"/>
        <v>5</v>
      </c>
      <c r="B761" s="295">
        <f t="shared" si="365"/>
        <v>123175.57306939576</v>
      </c>
      <c r="C761" s="208">
        <f t="shared" si="367"/>
        <v>0</v>
      </c>
      <c r="D761" s="208">
        <f t="shared" si="367"/>
        <v>0</v>
      </c>
      <c r="E761" s="208">
        <f t="shared" si="367"/>
        <v>0</v>
      </c>
      <c r="F761" s="208">
        <f t="shared" si="367"/>
        <v>0</v>
      </c>
      <c r="G761" s="208">
        <f t="shared" si="367"/>
        <v>0</v>
      </c>
      <c r="H761" s="208">
        <f t="shared" si="367"/>
        <v>0</v>
      </c>
      <c r="I761" s="208">
        <f t="shared" si="367"/>
        <v>0</v>
      </c>
      <c r="J761" s="208">
        <f t="shared" si="367"/>
        <v>0</v>
      </c>
      <c r="K761" s="208">
        <f t="shared" si="367"/>
        <v>0</v>
      </c>
      <c r="L761" s="208">
        <f t="shared" si="367"/>
        <v>0</v>
      </c>
      <c r="M761" s="208">
        <f t="shared" si="367"/>
        <v>0</v>
      </c>
      <c r="N761" s="208">
        <f t="shared" si="367"/>
        <v>0</v>
      </c>
      <c r="O761" s="208">
        <f t="shared" si="367"/>
        <v>41058.524356465256</v>
      </c>
      <c r="P761" s="208">
        <f t="shared" si="367"/>
        <v>41058.524356465256</v>
      </c>
      <c r="Q761" s="208">
        <f t="shared" si="367"/>
        <v>41058.524356465256</v>
      </c>
      <c r="R761" s="208">
        <f t="shared" si="367"/>
        <v>0</v>
      </c>
      <c r="S761" s="208">
        <f t="shared" si="367"/>
        <v>0</v>
      </c>
      <c r="T761" s="208">
        <f t="shared" si="367"/>
        <v>0</v>
      </c>
      <c r="U761" s="208">
        <f t="shared" si="367"/>
        <v>0</v>
      </c>
      <c r="V761" s="208">
        <f t="shared" si="367"/>
        <v>0</v>
      </c>
      <c r="W761" s="208">
        <f t="shared" si="367"/>
        <v>0</v>
      </c>
      <c r="X761" s="208">
        <f t="shared" si="367"/>
        <v>0</v>
      </c>
      <c r="Y761" s="208">
        <f t="shared" si="367"/>
        <v>0</v>
      </c>
      <c r="Z761" s="208">
        <f t="shared" si="367"/>
        <v>0</v>
      </c>
      <c r="AA761" s="208">
        <f t="shared" si="367"/>
        <v>0</v>
      </c>
      <c r="AB761" s="208">
        <f t="shared" si="367"/>
        <v>0</v>
      </c>
      <c r="AC761" s="208">
        <f t="shared" si="367"/>
        <v>0</v>
      </c>
      <c r="AD761" s="208">
        <f t="shared" si="367"/>
        <v>0</v>
      </c>
      <c r="AE761" s="208">
        <f t="shared" si="367"/>
        <v>0</v>
      </c>
      <c r="AF761" s="208">
        <f t="shared" si="367"/>
        <v>0</v>
      </c>
      <c r="AG761" s="208">
        <f t="shared" si="367"/>
        <v>0</v>
      </c>
      <c r="AH761" s="208">
        <f t="shared" si="367"/>
        <v>0</v>
      </c>
      <c r="AI761" s="208">
        <f t="shared" si="367"/>
        <v>0</v>
      </c>
      <c r="AJ761" s="208">
        <f t="shared" si="367"/>
        <v>0</v>
      </c>
      <c r="AK761" s="208">
        <f t="shared" si="367"/>
        <v>0</v>
      </c>
      <c r="AL761" s="208">
        <f t="shared" si="367"/>
        <v>0</v>
      </c>
      <c r="AM761" s="208">
        <f t="shared" si="367"/>
        <v>0</v>
      </c>
      <c r="AN761" s="208">
        <f t="shared" si="367"/>
        <v>0</v>
      </c>
      <c r="AO761" s="208">
        <f t="shared" si="367"/>
        <v>0</v>
      </c>
      <c r="AP761" s="208">
        <f t="shared" si="367"/>
        <v>0</v>
      </c>
    </row>
    <row r="762" spans="1:42">
      <c r="A762" s="37">
        <f t="shared" si="368"/>
        <v>6</v>
      </c>
      <c r="B762" s="295">
        <f t="shared" si="365"/>
        <v>128802.03308689949</v>
      </c>
      <c r="C762" s="208">
        <f t="shared" si="367"/>
        <v>0</v>
      </c>
      <c r="D762" s="208">
        <f t="shared" si="367"/>
        <v>0</v>
      </c>
      <c r="E762" s="208">
        <f t="shared" si="367"/>
        <v>0</v>
      </c>
      <c r="F762" s="208">
        <f t="shared" si="367"/>
        <v>0</v>
      </c>
      <c r="G762" s="208">
        <f t="shared" si="367"/>
        <v>0</v>
      </c>
      <c r="H762" s="208">
        <f t="shared" si="367"/>
        <v>0</v>
      </c>
      <c r="I762" s="208">
        <f t="shared" si="367"/>
        <v>0</v>
      </c>
      <c r="J762" s="208">
        <f t="shared" si="367"/>
        <v>0</v>
      </c>
      <c r="K762" s="208">
        <f t="shared" si="367"/>
        <v>0</v>
      </c>
      <c r="L762" s="208">
        <f t="shared" si="367"/>
        <v>0</v>
      </c>
      <c r="M762" s="208">
        <f t="shared" si="367"/>
        <v>0</v>
      </c>
      <c r="N762" s="208">
        <f t="shared" si="367"/>
        <v>0</v>
      </c>
      <c r="O762" s="208">
        <f t="shared" si="367"/>
        <v>0</v>
      </c>
      <c r="P762" s="208">
        <f t="shared" si="367"/>
        <v>0</v>
      </c>
      <c r="Q762" s="208">
        <f t="shared" si="367"/>
        <v>0</v>
      </c>
      <c r="R762" s="208">
        <f t="shared" si="367"/>
        <v>42934.011028966495</v>
      </c>
      <c r="S762" s="208">
        <f t="shared" si="367"/>
        <v>42934.011028966495</v>
      </c>
      <c r="T762" s="208">
        <f t="shared" si="367"/>
        <v>42934.011028966495</v>
      </c>
      <c r="U762" s="208">
        <f t="shared" si="367"/>
        <v>0</v>
      </c>
      <c r="V762" s="208">
        <f t="shared" si="367"/>
        <v>0</v>
      </c>
      <c r="W762" s="208">
        <f t="shared" si="367"/>
        <v>0</v>
      </c>
      <c r="X762" s="208">
        <f t="shared" si="367"/>
        <v>0</v>
      </c>
      <c r="Y762" s="208">
        <f t="shared" si="367"/>
        <v>0</v>
      </c>
      <c r="Z762" s="208">
        <f t="shared" si="367"/>
        <v>0</v>
      </c>
      <c r="AA762" s="208">
        <f t="shared" si="367"/>
        <v>0</v>
      </c>
      <c r="AB762" s="208">
        <f t="shared" si="367"/>
        <v>0</v>
      </c>
      <c r="AC762" s="208">
        <f t="shared" si="367"/>
        <v>0</v>
      </c>
      <c r="AD762" s="208">
        <f t="shared" si="367"/>
        <v>0</v>
      </c>
      <c r="AE762" s="208">
        <f t="shared" si="367"/>
        <v>0</v>
      </c>
      <c r="AF762" s="208">
        <f t="shared" si="367"/>
        <v>0</v>
      </c>
      <c r="AG762" s="208">
        <f t="shared" si="367"/>
        <v>0</v>
      </c>
      <c r="AH762" s="208">
        <f t="shared" si="367"/>
        <v>0</v>
      </c>
      <c r="AI762" s="208">
        <f t="shared" si="367"/>
        <v>0</v>
      </c>
      <c r="AJ762" s="208">
        <f t="shared" si="367"/>
        <v>0</v>
      </c>
      <c r="AK762" s="208">
        <f t="shared" si="367"/>
        <v>0</v>
      </c>
      <c r="AL762" s="208">
        <f t="shared" si="367"/>
        <v>0</v>
      </c>
      <c r="AM762" s="208">
        <f t="shared" si="367"/>
        <v>0</v>
      </c>
      <c r="AN762" s="208">
        <f t="shared" si="367"/>
        <v>0</v>
      </c>
      <c r="AO762" s="208">
        <f t="shared" si="367"/>
        <v>0</v>
      </c>
      <c r="AP762" s="208">
        <f t="shared" si="367"/>
        <v>0</v>
      </c>
    </row>
    <row r="763" spans="1:42">
      <c r="A763" s="37">
        <f t="shared" si="368"/>
        <v>7</v>
      </c>
      <c r="B763" s="295">
        <f t="shared" si="365"/>
        <v>134685.50065500522</v>
      </c>
      <c r="C763" s="208">
        <f t="shared" si="367"/>
        <v>0</v>
      </c>
      <c r="D763" s="208">
        <f t="shared" si="367"/>
        <v>0</v>
      </c>
      <c r="E763" s="208">
        <f t="shared" si="367"/>
        <v>0</v>
      </c>
      <c r="F763" s="208">
        <f t="shared" si="367"/>
        <v>0</v>
      </c>
      <c r="G763" s="208">
        <f t="shared" si="367"/>
        <v>0</v>
      </c>
      <c r="H763" s="208">
        <f t="shared" si="367"/>
        <v>0</v>
      </c>
      <c r="I763" s="208">
        <f t="shared" si="367"/>
        <v>0</v>
      </c>
      <c r="J763" s="208">
        <f t="shared" si="367"/>
        <v>0</v>
      </c>
      <c r="K763" s="208">
        <f t="shared" si="367"/>
        <v>0</v>
      </c>
      <c r="L763" s="208">
        <f t="shared" si="367"/>
        <v>0</v>
      </c>
      <c r="M763" s="208">
        <f t="shared" si="367"/>
        <v>0</v>
      </c>
      <c r="N763" s="208">
        <f t="shared" si="367"/>
        <v>0</v>
      </c>
      <c r="O763" s="208">
        <f t="shared" si="367"/>
        <v>0</v>
      </c>
      <c r="P763" s="208">
        <f t="shared" si="367"/>
        <v>0</v>
      </c>
      <c r="Q763" s="208">
        <f t="shared" si="367"/>
        <v>0</v>
      </c>
      <c r="R763" s="208">
        <f t="shared" si="367"/>
        <v>0</v>
      </c>
      <c r="S763" s="208">
        <f t="shared" si="367"/>
        <v>0</v>
      </c>
      <c r="T763" s="208">
        <f t="shared" si="367"/>
        <v>0</v>
      </c>
      <c r="U763" s="208">
        <f t="shared" si="367"/>
        <v>44895.166885001738</v>
      </c>
      <c r="V763" s="208">
        <f t="shared" si="367"/>
        <v>44895.166885001738</v>
      </c>
      <c r="W763" s="208">
        <f t="shared" si="367"/>
        <v>44895.166885001738</v>
      </c>
      <c r="X763" s="208">
        <f t="shared" si="367"/>
        <v>0</v>
      </c>
      <c r="Y763" s="208">
        <f t="shared" si="367"/>
        <v>0</v>
      </c>
      <c r="Z763" s="208">
        <f t="shared" si="367"/>
        <v>0</v>
      </c>
      <c r="AA763" s="208">
        <f t="shared" si="367"/>
        <v>0</v>
      </c>
      <c r="AB763" s="208">
        <f t="shared" si="367"/>
        <v>0</v>
      </c>
      <c r="AC763" s="208">
        <f t="shared" si="367"/>
        <v>0</v>
      </c>
      <c r="AD763" s="208">
        <f t="shared" si="367"/>
        <v>0</v>
      </c>
      <c r="AE763" s="208">
        <f t="shared" si="367"/>
        <v>0</v>
      </c>
      <c r="AF763" s="208">
        <f t="shared" si="367"/>
        <v>0</v>
      </c>
      <c r="AG763" s="208">
        <f t="shared" si="367"/>
        <v>0</v>
      </c>
      <c r="AH763" s="208">
        <f t="shared" si="367"/>
        <v>0</v>
      </c>
      <c r="AI763" s="208">
        <f t="shared" si="367"/>
        <v>0</v>
      </c>
      <c r="AJ763" s="208">
        <f t="shared" si="367"/>
        <v>0</v>
      </c>
      <c r="AK763" s="208">
        <f t="shared" si="367"/>
        <v>0</v>
      </c>
      <c r="AL763" s="208">
        <f t="shared" si="367"/>
        <v>0</v>
      </c>
      <c r="AM763" s="208">
        <f t="shared" si="367"/>
        <v>0</v>
      </c>
      <c r="AN763" s="208">
        <f t="shared" si="367"/>
        <v>0</v>
      </c>
      <c r="AO763" s="208">
        <f t="shared" si="367"/>
        <v>0</v>
      </c>
      <c r="AP763" s="208">
        <f t="shared" si="367"/>
        <v>0</v>
      </c>
    </row>
    <row r="764" spans="1:42">
      <c r="A764" s="37">
        <f t="shared" si="368"/>
        <v>8</v>
      </c>
      <c r="B764" s="295">
        <f t="shared" si="365"/>
        <v>140837.71546098724</v>
      </c>
      <c r="C764" s="208">
        <f t="shared" si="367"/>
        <v>0</v>
      </c>
      <c r="D764" s="208">
        <f t="shared" si="367"/>
        <v>0</v>
      </c>
      <c r="E764" s="208">
        <f t="shared" si="367"/>
        <v>0</v>
      </c>
      <c r="F764" s="208">
        <f t="shared" si="367"/>
        <v>0</v>
      </c>
      <c r="G764" s="208">
        <f t="shared" si="367"/>
        <v>0</v>
      </c>
      <c r="H764" s="208">
        <f t="shared" si="367"/>
        <v>0</v>
      </c>
      <c r="I764" s="208">
        <f t="shared" si="367"/>
        <v>0</v>
      </c>
      <c r="J764" s="208">
        <f t="shared" si="367"/>
        <v>0</v>
      </c>
      <c r="K764" s="208">
        <f t="shared" si="367"/>
        <v>0</v>
      </c>
      <c r="L764" s="208">
        <f t="shared" si="367"/>
        <v>0</v>
      </c>
      <c r="M764" s="208">
        <f t="shared" si="367"/>
        <v>0</v>
      </c>
      <c r="N764" s="208">
        <f t="shared" si="367"/>
        <v>0</v>
      </c>
      <c r="O764" s="208">
        <f t="shared" si="367"/>
        <v>0</v>
      </c>
      <c r="P764" s="208">
        <f t="shared" si="367"/>
        <v>0</v>
      </c>
      <c r="Q764" s="208">
        <f t="shared" si="367"/>
        <v>0</v>
      </c>
      <c r="R764" s="208">
        <f t="shared" ref="R764:AP764" si="369">IF(AND(R$2&gt;MMFrequency3*$A751,R$2&lt;=MMFrequency3*$A752),$B752/(MMFrequency3),0)</f>
        <v>0</v>
      </c>
      <c r="S764" s="208">
        <f t="shared" si="369"/>
        <v>0</v>
      </c>
      <c r="T764" s="208">
        <f t="shared" si="369"/>
        <v>0</v>
      </c>
      <c r="U764" s="208">
        <f t="shared" si="369"/>
        <v>0</v>
      </c>
      <c r="V764" s="208">
        <f t="shared" si="369"/>
        <v>0</v>
      </c>
      <c r="W764" s="208">
        <f t="shared" si="369"/>
        <v>0</v>
      </c>
      <c r="X764" s="208">
        <f t="shared" si="369"/>
        <v>46945.90515366241</v>
      </c>
      <c r="Y764" s="208">
        <f t="shared" si="369"/>
        <v>46945.90515366241</v>
      </c>
      <c r="Z764" s="208">
        <f t="shared" si="369"/>
        <v>46945.90515366241</v>
      </c>
      <c r="AA764" s="208">
        <f t="shared" si="369"/>
        <v>0</v>
      </c>
      <c r="AB764" s="208">
        <f t="shared" si="369"/>
        <v>0</v>
      </c>
      <c r="AC764" s="208">
        <f t="shared" si="369"/>
        <v>0</v>
      </c>
      <c r="AD764" s="208">
        <f t="shared" si="369"/>
        <v>0</v>
      </c>
      <c r="AE764" s="208">
        <f t="shared" si="369"/>
        <v>0</v>
      </c>
      <c r="AF764" s="208">
        <f t="shared" si="369"/>
        <v>0</v>
      </c>
      <c r="AG764" s="208">
        <f t="shared" si="369"/>
        <v>0</v>
      </c>
      <c r="AH764" s="208">
        <f t="shared" si="369"/>
        <v>0</v>
      </c>
      <c r="AI764" s="208">
        <f t="shared" si="369"/>
        <v>0</v>
      </c>
      <c r="AJ764" s="208">
        <f t="shared" si="369"/>
        <v>0</v>
      </c>
      <c r="AK764" s="208">
        <f t="shared" si="369"/>
        <v>0</v>
      </c>
      <c r="AL764" s="208">
        <f t="shared" si="369"/>
        <v>0</v>
      </c>
      <c r="AM764" s="208">
        <f t="shared" si="369"/>
        <v>0</v>
      </c>
      <c r="AN764" s="208">
        <f t="shared" si="369"/>
        <v>0</v>
      </c>
      <c r="AO764" s="208">
        <f t="shared" si="369"/>
        <v>0</v>
      </c>
      <c r="AP764" s="208">
        <f t="shared" si="369"/>
        <v>0</v>
      </c>
    </row>
    <row r="765" spans="1:42">
      <c r="A765" s="37">
        <f>A764+1</f>
        <v>9</v>
      </c>
      <c r="B765" s="295">
        <f t="shared" si="365"/>
        <v>147270.95344195748</v>
      </c>
      <c r="C765" s="208">
        <f t="shared" ref="C765:AP766" si="370">IF(AND(C$2&gt;MMFrequency3*$A752,C$2&lt;=MMFrequency3*$A753),$B753/(MMFrequency3),0)</f>
        <v>0</v>
      </c>
      <c r="D765" s="208">
        <f t="shared" si="370"/>
        <v>0</v>
      </c>
      <c r="E765" s="208">
        <f t="shared" si="370"/>
        <v>0</v>
      </c>
      <c r="F765" s="208">
        <f t="shared" si="370"/>
        <v>0</v>
      </c>
      <c r="G765" s="208">
        <f t="shared" si="370"/>
        <v>0</v>
      </c>
      <c r="H765" s="208">
        <f t="shared" si="370"/>
        <v>0</v>
      </c>
      <c r="I765" s="208">
        <f t="shared" si="370"/>
        <v>0</v>
      </c>
      <c r="J765" s="208">
        <f t="shared" si="370"/>
        <v>0</v>
      </c>
      <c r="K765" s="208">
        <f t="shared" si="370"/>
        <v>0</v>
      </c>
      <c r="L765" s="208">
        <f t="shared" si="370"/>
        <v>0</v>
      </c>
      <c r="M765" s="208">
        <f t="shared" si="370"/>
        <v>0</v>
      </c>
      <c r="N765" s="208">
        <f t="shared" si="370"/>
        <v>0</v>
      </c>
      <c r="O765" s="208">
        <f t="shared" si="370"/>
        <v>0</v>
      </c>
      <c r="P765" s="208">
        <f t="shared" si="370"/>
        <v>0</v>
      </c>
      <c r="Q765" s="208">
        <f t="shared" si="370"/>
        <v>0</v>
      </c>
      <c r="R765" s="208">
        <f t="shared" si="370"/>
        <v>0</v>
      </c>
      <c r="S765" s="208">
        <f t="shared" si="370"/>
        <v>0</v>
      </c>
      <c r="T765" s="208">
        <f t="shared" si="370"/>
        <v>0</v>
      </c>
      <c r="U765" s="208">
        <f t="shared" si="370"/>
        <v>0</v>
      </c>
      <c r="V765" s="208">
        <f t="shared" si="370"/>
        <v>0</v>
      </c>
      <c r="W765" s="208">
        <f t="shared" si="370"/>
        <v>0</v>
      </c>
      <c r="X765" s="208">
        <f t="shared" si="370"/>
        <v>0</v>
      </c>
      <c r="Y765" s="208">
        <f t="shared" si="370"/>
        <v>0</v>
      </c>
      <c r="Z765" s="208">
        <f t="shared" si="370"/>
        <v>0</v>
      </c>
      <c r="AA765" s="208">
        <f t="shared" si="370"/>
        <v>49090.317813985828</v>
      </c>
      <c r="AB765" s="208">
        <f t="shared" si="370"/>
        <v>49090.317813985828</v>
      </c>
      <c r="AC765" s="208">
        <f t="shared" si="370"/>
        <v>49090.317813985828</v>
      </c>
      <c r="AD765" s="208">
        <f t="shared" si="370"/>
        <v>0</v>
      </c>
      <c r="AE765" s="208">
        <f t="shared" si="370"/>
        <v>0</v>
      </c>
      <c r="AF765" s="208">
        <f t="shared" si="370"/>
        <v>0</v>
      </c>
      <c r="AG765" s="208">
        <f t="shared" si="370"/>
        <v>0</v>
      </c>
      <c r="AH765" s="208">
        <f t="shared" si="370"/>
        <v>0</v>
      </c>
      <c r="AI765" s="208">
        <f t="shared" si="370"/>
        <v>0</v>
      </c>
      <c r="AJ765" s="208">
        <f t="shared" si="370"/>
        <v>0</v>
      </c>
      <c r="AK765" s="208">
        <f t="shared" si="370"/>
        <v>0</v>
      </c>
      <c r="AL765" s="208">
        <f t="shared" si="370"/>
        <v>0</v>
      </c>
      <c r="AM765" s="208">
        <f t="shared" si="370"/>
        <v>0</v>
      </c>
      <c r="AN765" s="208">
        <f t="shared" si="370"/>
        <v>0</v>
      </c>
      <c r="AO765" s="208">
        <f t="shared" si="370"/>
        <v>0</v>
      </c>
      <c r="AP765" s="208">
        <f t="shared" si="370"/>
        <v>0</v>
      </c>
    </row>
    <row r="766" spans="1:42">
      <c r="A766" s="37">
        <f t="shared" ref="A766" si="371">A765+1</f>
        <v>10</v>
      </c>
      <c r="B766" s="295">
        <f t="shared" si="365"/>
        <v>153998.05127988668</v>
      </c>
      <c r="C766" s="209">
        <f t="shared" si="370"/>
        <v>0</v>
      </c>
      <c r="D766" s="209">
        <f t="shared" si="370"/>
        <v>0</v>
      </c>
      <c r="E766" s="209">
        <f t="shared" si="370"/>
        <v>0</v>
      </c>
      <c r="F766" s="209">
        <f t="shared" si="370"/>
        <v>0</v>
      </c>
      <c r="G766" s="209">
        <f t="shared" si="370"/>
        <v>0</v>
      </c>
      <c r="H766" s="209">
        <f t="shared" si="370"/>
        <v>0</v>
      </c>
      <c r="I766" s="209">
        <f t="shared" si="370"/>
        <v>0</v>
      </c>
      <c r="J766" s="209">
        <f t="shared" si="370"/>
        <v>0</v>
      </c>
      <c r="K766" s="209">
        <f t="shared" si="370"/>
        <v>0</v>
      </c>
      <c r="L766" s="209">
        <f t="shared" si="370"/>
        <v>0</v>
      </c>
      <c r="M766" s="209">
        <f t="shared" si="370"/>
        <v>0</v>
      </c>
      <c r="N766" s="209">
        <f t="shared" si="370"/>
        <v>0</v>
      </c>
      <c r="O766" s="209">
        <f t="shared" si="370"/>
        <v>0</v>
      </c>
      <c r="P766" s="209">
        <f t="shared" si="370"/>
        <v>0</v>
      </c>
      <c r="Q766" s="209">
        <f t="shared" si="370"/>
        <v>0</v>
      </c>
      <c r="R766" s="209">
        <f t="shared" si="370"/>
        <v>0</v>
      </c>
      <c r="S766" s="209">
        <f t="shared" si="370"/>
        <v>0</v>
      </c>
      <c r="T766" s="209">
        <f t="shared" si="370"/>
        <v>0</v>
      </c>
      <c r="U766" s="209">
        <f t="shared" si="370"/>
        <v>0</v>
      </c>
      <c r="V766" s="209">
        <f t="shared" si="370"/>
        <v>0</v>
      </c>
      <c r="W766" s="209">
        <f t="shared" si="370"/>
        <v>0</v>
      </c>
      <c r="X766" s="209">
        <f t="shared" si="370"/>
        <v>0</v>
      </c>
      <c r="Y766" s="209">
        <f t="shared" si="370"/>
        <v>0</v>
      </c>
      <c r="Z766" s="209">
        <f t="shared" si="370"/>
        <v>0</v>
      </c>
      <c r="AA766" s="209">
        <f t="shared" si="370"/>
        <v>0</v>
      </c>
      <c r="AB766" s="209">
        <f t="shared" si="370"/>
        <v>0</v>
      </c>
      <c r="AC766" s="209">
        <f t="shared" si="370"/>
        <v>0</v>
      </c>
      <c r="AD766" s="209">
        <f t="shared" si="370"/>
        <v>51332.68375996223</v>
      </c>
      <c r="AE766" s="209">
        <f t="shared" si="370"/>
        <v>51332.68375996223</v>
      </c>
      <c r="AF766" s="209">
        <f t="shared" si="370"/>
        <v>51332.68375996223</v>
      </c>
      <c r="AG766" s="209">
        <f t="shared" si="370"/>
        <v>0</v>
      </c>
      <c r="AH766" s="209">
        <f t="shared" si="370"/>
        <v>0</v>
      </c>
      <c r="AI766" s="209">
        <f t="shared" si="370"/>
        <v>0</v>
      </c>
      <c r="AJ766" s="209">
        <f t="shared" si="370"/>
        <v>0</v>
      </c>
      <c r="AK766" s="209">
        <f t="shared" si="370"/>
        <v>0</v>
      </c>
      <c r="AL766" s="209">
        <f t="shared" si="370"/>
        <v>0</v>
      </c>
      <c r="AM766" s="209">
        <f t="shared" si="370"/>
        <v>0</v>
      </c>
      <c r="AN766" s="209">
        <f t="shared" si="370"/>
        <v>0</v>
      </c>
      <c r="AO766" s="209">
        <f t="shared" si="370"/>
        <v>0</v>
      </c>
      <c r="AP766" s="209">
        <f t="shared" si="370"/>
        <v>0</v>
      </c>
    </row>
    <row r="767" spans="1:42">
      <c r="A767" s="244" t="s">
        <v>53</v>
      </c>
      <c r="B767" s="208"/>
      <c r="C767" s="164">
        <f>SUM(C757:C766)</f>
        <v>34340.833333333321</v>
      </c>
      <c r="D767" s="164">
        <f t="shared" ref="D767:AP767" si="372">SUM(D757:D766)</f>
        <v>34340.833333333321</v>
      </c>
      <c r="E767" s="164">
        <f t="shared" si="372"/>
        <v>34340.833333333321</v>
      </c>
      <c r="F767" s="164">
        <f t="shared" si="372"/>
        <v>35909.466796145811</v>
      </c>
      <c r="G767" s="164">
        <f t="shared" si="372"/>
        <v>35909.466796145811</v>
      </c>
      <c r="H767" s="164">
        <f t="shared" si="372"/>
        <v>35909.466796145811</v>
      </c>
      <c r="I767" s="164">
        <f t="shared" si="372"/>
        <v>37549.752886510192</v>
      </c>
      <c r="J767" s="164">
        <f t="shared" si="372"/>
        <v>37549.752886510192</v>
      </c>
      <c r="K767" s="164">
        <f t="shared" si="372"/>
        <v>37549.752886510192</v>
      </c>
      <c r="L767" s="164">
        <f t="shared" si="372"/>
        <v>39264.96458001752</v>
      </c>
      <c r="M767" s="164">
        <f t="shared" si="372"/>
        <v>39264.96458001752</v>
      </c>
      <c r="N767" s="164">
        <f t="shared" si="372"/>
        <v>39264.96458001752</v>
      </c>
      <c r="O767" s="164">
        <f t="shared" si="372"/>
        <v>41058.524356465256</v>
      </c>
      <c r="P767" s="164">
        <f t="shared" si="372"/>
        <v>41058.524356465256</v>
      </c>
      <c r="Q767" s="164">
        <f t="shared" si="372"/>
        <v>41058.524356465256</v>
      </c>
      <c r="R767" s="164">
        <f t="shared" si="372"/>
        <v>42934.011028966495</v>
      </c>
      <c r="S767" s="164">
        <f t="shared" si="372"/>
        <v>42934.011028966495</v>
      </c>
      <c r="T767" s="164">
        <f t="shared" si="372"/>
        <v>42934.011028966495</v>
      </c>
      <c r="U767" s="164">
        <f t="shared" si="372"/>
        <v>44895.166885001738</v>
      </c>
      <c r="V767" s="164">
        <f t="shared" si="372"/>
        <v>44895.166885001738</v>
      </c>
      <c r="W767" s="164">
        <f t="shared" si="372"/>
        <v>44895.166885001738</v>
      </c>
      <c r="X767" s="164">
        <f t="shared" si="372"/>
        <v>46945.90515366241</v>
      </c>
      <c r="Y767" s="164">
        <f t="shared" si="372"/>
        <v>46945.90515366241</v>
      </c>
      <c r="Z767" s="164">
        <f t="shared" si="372"/>
        <v>46945.90515366241</v>
      </c>
      <c r="AA767" s="164">
        <f t="shared" si="372"/>
        <v>49090.317813985828</v>
      </c>
      <c r="AB767" s="164">
        <f t="shared" si="372"/>
        <v>49090.317813985828</v>
      </c>
      <c r="AC767" s="164">
        <f t="shared" si="372"/>
        <v>49090.317813985828</v>
      </c>
      <c r="AD767" s="164">
        <f t="shared" si="372"/>
        <v>51332.68375996223</v>
      </c>
      <c r="AE767" s="164">
        <f t="shared" si="372"/>
        <v>51332.68375996223</v>
      </c>
      <c r="AF767" s="164">
        <f t="shared" si="372"/>
        <v>51332.68375996223</v>
      </c>
      <c r="AG767" s="164">
        <f t="shared" si="372"/>
        <v>0</v>
      </c>
      <c r="AH767" s="164">
        <f t="shared" si="372"/>
        <v>0</v>
      </c>
      <c r="AI767" s="164">
        <f t="shared" si="372"/>
        <v>0</v>
      </c>
      <c r="AJ767" s="164">
        <f t="shared" si="372"/>
        <v>0</v>
      </c>
      <c r="AK767" s="164">
        <f t="shared" si="372"/>
        <v>0</v>
      </c>
      <c r="AL767" s="164">
        <f t="shared" si="372"/>
        <v>0</v>
      </c>
      <c r="AM767" s="164">
        <f t="shared" si="372"/>
        <v>0</v>
      </c>
      <c r="AN767" s="164">
        <f t="shared" si="372"/>
        <v>0</v>
      </c>
      <c r="AO767" s="164">
        <f t="shared" si="372"/>
        <v>0</v>
      </c>
      <c r="AP767" s="164">
        <f t="shared" si="372"/>
        <v>0</v>
      </c>
    </row>
    <row r="768" spans="1:42">
      <c r="B768" s="208"/>
      <c r="C768" s="164"/>
      <c r="D768" s="164"/>
      <c r="E768" s="164"/>
      <c r="F768" s="164"/>
      <c r="G768" s="164"/>
      <c r="H768" s="164"/>
      <c r="I768" s="164"/>
      <c r="J768" s="164"/>
      <c r="K768" s="164"/>
      <c r="L768" s="164"/>
      <c r="M768" s="164"/>
      <c r="N768" s="164"/>
      <c r="O768" s="164"/>
      <c r="P768" s="164"/>
      <c r="Q768" s="164"/>
      <c r="R768" s="164"/>
      <c r="S768" s="164"/>
      <c r="T768" s="164"/>
      <c r="U768" s="164"/>
      <c r="V768" s="164"/>
      <c r="W768" s="164"/>
      <c r="X768" s="164"/>
      <c r="Y768" s="164"/>
      <c r="Z768" s="164"/>
      <c r="AA768" s="164"/>
      <c r="AB768" s="164"/>
      <c r="AC768" s="164"/>
      <c r="AD768" s="164"/>
      <c r="AE768" s="164"/>
      <c r="AF768" s="164"/>
      <c r="AG768" s="164"/>
      <c r="AH768" s="164"/>
      <c r="AI768" s="164"/>
      <c r="AJ768" s="164"/>
      <c r="AK768" s="164"/>
      <c r="AL768" s="164"/>
      <c r="AM768" s="164"/>
      <c r="AN768" s="164"/>
      <c r="AO768" s="164"/>
      <c r="AP768" s="164"/>
    </row>
    <row r="769" spans="1:42">
      <c r="A769" s="37" t="s">
        <v>210</v>
      </c>
      <c r="B769" s="208"/>
      <c r="C769" s="164"/>
      <c r="D769" s="164"/>
      <c r="E769" s="164"/>
      <c r="F769" s="164"/>
      <c r="G769" s="164"/>
      <c r="H769" s="164"/>
      <c r="I769" s="164"/>
      <c r="J769" s="164"/>
      <c r="K769" s="164"/>
      <c r="L769" s="164"/>
      <c r="M769" s="164"/>
      <c r="N769" s="164"/>
      <c r="O769" s="164"/>
      <c r="P769" s="164"/>
      <c r="Q769" s="164"/>
      <c r="R769" s="164"/>
      <c r="S769" s="164"/>
      <c r="T769" s="164"/>
      <c r="U769" s="164"/>
      <c r="V769" s="164"/>
      <c r="W769" s="164"/>
      <c r="X769" s="164"/>
      <c r="Y769" s="164"/>
      <c r="Z769" s="164"/>
      <c r="AA769" s="164"/>
      <c r="AB769" s="164"/>
      <c r="AC769" s="164"/>
      <c r="AD769" s="164"/>
      <c r="AE769" s="164"/>
      <c r="AF769" s="164"/>
      <c r="AG769" s="164"/>
      <c r="AH769" s="164"/>
      <c r="AI769" s="164"/>
      <c r="AJ769" s="164"/>
      <c r="AK769" s="164"/>
      <c r="AL769" s="164"/>
      <c r="AM769" s="164"/>
      <c r="AN769" s="164"/>
      <c r="AO769" s="164"/>
      <c r="AP769" s="164"/>
    </row>
    <row r="770" spans="1:42">
      <c r="A770" s="206" t="s">
        <v>211</v>
      </c>
      <c r="B770" s="164">
        <f>B671+B677+B709+B741</f>
        <v>150000</v>
      </c>
      <c r="C770" s="164">
        <f t="shared" ref="C770:AP770" si="373">C671+C677+C709+C741</f>
        <v>840332.10552309535</v>
      </c>
      <c r="D770" s="164">
        <f t="shared" si="373"/>
        <v>1530664.2110461907</v>
      </c>
      <c r="E770" s="164">
        <f t="shared" si="373"/>
        <v>2117973.8165692864</v>
      </c>
      <c r="F770" s="164">
        <f t="shared" si="373"/>
        <v>2809874.5555551937</v>
      </c>
      <c r="G770" s="164">
        <f t="shared" si="373"/>
        <v>3501775.2945411019</v>
      </c>
      <c r="H770" s="164">
        <f t="shared" si="373"/>
        <v>4085947.6331385728</v>
      </c>
      <c r="I770" s="164">
        <f t="shared" si="373"/>
        <v>4779488.6582148457</v>
      </c>
      <c r="J770" s="164">
        <f t="shared" si="373"/>
        <v>5473029.6832911167</v>
      </c>
      <c r="K770" s="164">
        <f t="shared" si="373"/>
        <v>6053921.4497078592</v>
      </c>
      <c r="L770" s="164">
        <f t="shared" si="373"/>
        <v>6749177.6864776388</v>
      </c>
      <c r="M770" s="164">
        <f t="shared" si="373"/>
        <v>7444433.9232474184</v>
      </c>
      <c r="N770" s="164">
        <f t="shared" si="373"/>
        <v>5077022.9227758311</v>
      </c>
      <c r="O770" s="164">
        <f t="shared" si="373"/>
        <v>5822078.5979073383</v>
      </c>
      <c r="P770" s="164">
        <f t="shared" si="373"/>
        <v>6567134.2730388464</v>
      </c>
      <c r="Q770" s="164">
        <f t="shared" si="373"/>
        <v>1030235.7216311703</v>
      </c>
      <c r="R770" s="164">
        <f t="shared" si="373"/>
        <v>1879908.4774701491</v>
      </c>
      <c r="S770" s="164">
        <f t="shared" si="373"/>
        <v>2729581.2333091279</v>
      </c>
      <c r="T770" s="164">
        <f t="shared" si="373"/>
        <v>3450451.9560612072</v>
      </c>
      <c r="U770" s="164">
        <f t="shared" si="373"/>
        <v>4302085.8677562214</v>
      </c>
      <c r="V770" s="164">
        <f t="shared" si="373"/>
        <v>5153719.7794512352</v>
      </c>
      <c r="W770" s="164">
        <f t="shared" si="373"/>
        <v>5870668.1904912442</v>
      </c>
      <c r="X770" s="164">
        <f t="shared" si="373"/>
        <v>6724352.8404549183</v>
      </c>
      <c r="Y770" s="164">
        <f t="shared" si="373"/>
        <v>7578037.4904185934</v>
      </c>
      <c r="Z770" s="164">
        <f t="shared" si="373"/>
        <v>4769941.5383965997</v>
      </c>
      <c r="AA770" s="164">
        <f t="shared" si="373"/>
        <v>5332358.6938102078</v>
      </c>
      <c r="AB770" s="164">
        <f t="shared" si="373"/>
        <v>5894775.8492238158</v>
      </c>
      <c r="AC770" s="164">
        <f t="shared" si="373"/>
        <v>6309922.051195466</v>
      </c>
      <c r="AD770" s="164">
        <f t="shared" si="373"/>
        <v>6874581.5725550503</v>
      </c>
      <c r="AE770" s="164">
        <f t="shared" si="373"/>
        <v>7439241.0939146345</v>
      </c>
      <c r="AF770" s="164">
        <f t="shared" si="373"/>
        <v>0</v>
      </c>
      <c r="AG770" s="164">
        <f t="shared" si="373"/>
        <v>0</v>
      </c>
      <c r="AH770" s="164">
        <f t="shared" si="373"/>
        <v>0</v>
      </c>
      <c r="AI770" s="164">
        <f t="shared" si="373"/>
        <v>0</v>
      </c>
      <c r="AJ770" s="164">
        <f t="shared" si="373"/>
        <v>0</v>
      </c>
      <c r="AK770" s="164">
        <f t="shared" si="373"/>
        <v>0</v>
      </c>
      <c r="AL770" s="164">
        <f t="shared" si="373"/>
        <v>0</v>
      </c>
      <c r="AM770" s="164">
        <f t="shared" si="373"/>
        <v>0</v>
      </c>
      <c r="AN770" s="164">
        <f t="shared" si="373"/>
        <v>0</v>
      </c>
      <c r="AO770" s="164">
        <f t="shared" si="373"/>
        <v>0</v>
      </c>
      <c r="AP770" s="164">
        <f t="shared" si="373"/>
        <v>0</v>
      </c>
    </row>
    <row r="771" spans="1:42">
      <c r="A771" s="206" t="s">
        <v>210</v>
      </c>
      <c r="B771" s="208"/>
      <c r="C771" s="164">
        <f t="shared" ref="C771:AP771" si="374">IF(C$2&lt;=AnalysisPeriod,B770*InterestOnReserves,0)</f>
        <v>2625.0000000000005</v>
      </c>
      <c r="D771" s="164">
        <f t="shared" si="374"/>
        <v>14705.811846654169</v>
      </c>
      <c r="E771" s="164">
        <f t="shared" si="374"/>
        <v>26786.623693308338</v>
      </c>
      <c r="F771" s="164">
        <f t="shared" si="374"/>
        <v>37064.541789962517</v>
      </c>
      <c r="G771" s="164">
        <f t="shared" si="374"/>
        <v>49172.804722215893</v>
      </c>
      <c r="H771" s="164">
        <f t="shared" si="374"/>
        <v>61281.067654469291</v>
      </c>
      <c r="I771" s="164">
        <f t="shared" si="374"/>
        <v>71504.083579925034</v>
      </c>
      <c r="J771" s="164">
        <f t="shared" si="374"/>
        <v>83641.051518759807</v>
      </c>
      <c r="K771" s="164">
        <f t="shared" si="374"/>
        <v>95778.01945759455</v>
      </c>
      <c r="L771" s="164">
        <f t="shared" si="374"/>
        <v>105943.62536988755</v>
      </c>
      <c r="M771" s="164">
        <f t="shared" si="374"/>
        <v>118110.60951335869</v>
      </c>
      <c r="N771" s="164">
        <f t="shared" si="374"/>
        <v>130277.59365682983</v>
      </c>
      <c r="O771" s="164">
        <f t="shared" si="374"/>
        <v>88847.901148577046</v>
      </c>
      <c r="P771" s="164">
        <f t="shared" si="374"/>
        <v>101886.37546337843</v>
      </c>
      <c r="Q771" s="164">
        <f t="shared" si="374"/>
        <v>114924.84977817982</v>
      </c>
      <c r="R771" s="164">
        <f t="shared" si="374"/>
        <v>18029.125128545482</v>
      </c>
      <c r="S771" s="164">
        <f t="shared" si="374"/>
        <v>32898.398355727615</v>
      </c>
      <c r="T771" s="164">
        <f t="shared" si="374"/>
        <v>47767.671582909745</v>
      </c>
      <c r="U771" s="164">
        <f t="shared" si="374"/>
        <v>60382.909231071135</v>
      </c>
      <c r="V771" s="164">
        <f t="shared" si="374"/>
        <v>75286.502685733882</v>
      </c>
      <c r="W771" s="164">
        <f t="shared" si="374"/>
        <v>90190.096140396621</v>
      </c>
      <c r="X771" s="164">
        <f t="shared" si="374"/>
        <v>102736.69333359678</v>
      </c>
      <c r="Y771" s="164">
        <f t="shared" si="374"/>
        <v>117676.17470796108</v>
      </c>
      <c r="Z771" s="164">
        <f t="shared" si="374"/>
        <v>132615.65608232541</v>
      </c>
      <c r="AA771" s="164">
        <f t="shared" si="374"/>
        <v>83473.976921940499</v>
      </c>
      <c r="AB771" s="164">
        <f t="shared" si="374"/>
        <v>93316.277141678642</v>
      </c>
      <c r="AC771" s="164">
        <f t="shared" si="374"/>
        <v>103158.57736141678</v>
      </c>
      <c r="AD771" s="164">
        <f t="shared" si="374"/>
        <v>110423.63589592067</v>
      </c>
      <c r="AE771" s="164">
        <f t="shared" si="374"/>
        <v>120305.1775197134</v>
      </c>
      <c r="AF771" s="164">
        <f t="shared" si="374"/>
        <v>130186.71914350611</v>
      </c>
      <c r="AG771" s="164">
        <f t="shared" si="374"/>
        <v>0</v>
      </c>
      <c r="AH771" s="164">
        <f t="shared" si="374"/>
        <v>0</v>
      </c>
      <c r="AI771" s="164">
        <f t="shared" si="374"/>
        <v>0</v>
      </c>
      <c r="AJ771" s="164">
        <f t="shared" si="374"/>
        <v>0</v>
      </c>
      <c r="AK771" s="164">
        <f t="shared" si="374"/>
        <v>0</v>
      </c>
      <c r="AL771" s="164">
        <f t="shared" si="374"/>
        <v>0</v>
      </c>
      <c r="AM771" s="164">
        <f t="shared" si="374"/>
        <v>0</v>
      </c>
      <c r="AN771" s="164">
        <f t="shared" si="374"/>
        <v>0</v>
      </c>
      <c r="AO771" s="164">
        <f t="shared" si="374"/>
        <v>0</v>
      </c>
      <c r="AP771" s="164">
        <f t="shared" si="374"/>
        <v>0</v>
      </c>
    </row>
  </sheetData>
  <conditionalFormatting sqref="B576 B611">
    <cfRule type="containsText" dxfId="3" priority="1" operator="containsText" text="Check">
      <formula>NOT(ISERROR(SEARCH("Check",B576)))</formula>
    </cfRule>
  </conditionalFormatting>
  <pageMargins left="0.5" right="0.5" top="0.5" bottom="0.75" header="0.3" footer="0.3"/>
  <pageSetup scale="75" pageOrder="overThenDown" orientation="landscape" horizontalDpi="0" verticalDpi="0" r:id="rId1"/>
  <headerFooter>
    <oddFooter>&amp;L&amp;F&amp;RPage &amp;P of &amp;N</oddFooter>
  </headerFooter>
  <legacyDrawing r:id="rId2"/>
</worksheet>
</file>

<file path=xl/worksheets/sheet3.xml><?xml version="1.0" encoding="utf-8"?>
<worksheet xmlns="http://schemas.openxmlformats.org/spreadsheetml/2006/main" xmlns:r="http://schemas.openxmlformats.org/officeDocument/2006/relationships">
  <sheetPr codeName="Sheet10"/>
  <dimension ref="C2:AG306"/>
  <sheetViews>
    <sheetView workbookViewId="0">
      <pane xSplit="3" ySplit="4" topLeftCell="F95" activePane="bottomRight" state="frozen"/>
      <selection pane="topRight" activeCell="D1" sqref="D1"/>
      <selection pane="bottomLeft" activeCell="A5" sqref="A5"/>
      <selection pane="bottomRight" activeCell="D5" sqref="D5"/>
    </sheetView>
  </sheetViews>
  <sheetFormatPr defaultRowHeight="15"/>
  <cols>
    <col min="3" max="3" width="11.28515625" bestFit="1" customWidth="1"/>
    <col min="4" max="4" width="19" style="352" bestFit="1" customWidth="1"/>
    <col min="5" max="5" width="20.85546875" bestFit="1" customWidth="1"/>
    <col min="6" max="6" width="23" bestFit="1" customWidth="1"/>
    <col min="7" max="7" width="25.7109375" bestFit="1" customWidth="1"/>
    <col min="8" max="8" width="28.28515625" bestFit="1" customWidth="1"/>
    <col min="9" max="9" width="29.28515625" bestFit="1" customWidth="1"/>
    <col min="10" max="10" width="32.7109375" bestFit="1" customWidth="1"/>
    <col min="11" max="11" width="34.85546875" bestFit="1" customWidth="1"/>
    <col min="12" max="12" width="37.42578125" bestFit="1" customWidth="1"/>
    <col min="13" max="13" width="40.42578125" bestFit="1" customWidth="1"/>
    <col min="14" max="14" width="43.140625" bestFit="1" customWidth="1"/>
    <col min="33" max="33" width="10.5703125" bestFit="1" customWidth="1"/>
  </cols>
  <sheetData>
    <row r="2" spans="3:33">
      <c r="C2">
        <v>0</v>
      </c>
      <c r="D2" s="352">
        <v>1</v>
      </c>
      <c r="E2">
        <v>2</v>
      </c>
      <c r="F2">
        <v>3</v>
      </c>
      <c r="G2">
        <v>4</v>
      </c>
      <c r="H2">
        <v>5</v>
      </c>
      <c r="I2">
        <v>6</v>
      </c>
      <c r="J2">
        <v>7</v>
      </c>
      <c r="K2">
        <v>8</v>
      </c>
      <c r="L2">
        <v>9</v>
      </c>
      <c r="M2">
        <v>10</v>
      </c>
      <c r="N2">
        <v>11</v>
      </c>
      <c r="O2">
        <v>12</v>
      </c>
      <c r="P2">
        <v>13</v>
      </c>
      <c r="Q2">
        <v>14</v>
      </c>
      <c r="R2">
        <v>15</v>
      </c>
      <c r="S2">
        <v>16</v>
      </c>
      <c r="T2">
        <v>17</v>
      </c>
      <c r="U2">
        <v>18</v>
      </c>
      <c r="V2">
        <v>19</v>
      </c>
      <c r="W2">
        <v>20</v>
      </c>
      <c r="X2">
        <v>21</v>
      </c>
      <c r="Y2">
        <v>22</v>
      </c>
      <c r="Z2">
        <v>23</v>
      </c>
      <c r="AA2">
        <v>24</v>
      </c>
      <c r="AB2">
        <v>25</v>
      </c>
      <c r="AC2">
        <v>26</v>
      </c>
      <c r="AD2">
        <v>27</v>
      </c>
      <c r="AE2">
        <v>28</v>
      </c>
      <c r="AF2">
        <v>29</v>
      </c>
      <c r="AG2">
        <v>30</v>
      </c>
    </row>
    <row r="3" spans="3:33">
      <c r="C3" s="350">
        <f>'Leveraged Partnership Flip'!B149</f>
        <v>-9467748.6156450175</v>
      </c>
      <c r="D3" s="352">
        <f>'Leveraged Partnership Flip'!C149</f>
        <v>-832723.43389640073</v>
      </c>
      <c r="E3" s="350">
        <f>'Leveraged Partnership Flip'!D149</f>
        <v>4555471.574706207</v>
      </c>
      <c r="F3" s="350">
        <f>'Leveraged Partnership Flip'!E149</f>
        <v>2787945.2038043365</v>
      </c>
      <c r="G3" s="350">
        <f>'Leveraged Partnership Flip'!F149</f>
        <v>1702358.0655886615</v>
      </c>
      <c r="H3" s="350">
        <f>'Leveraged Partnership Flip'!G149</f>
        <v>1642985.1319149691</v>
      </c>
      <c r="I3" s="350">
        <f>'Leveraged Partnership Flip'!H149</f>
        <v>807862.28598958487</v>
      </c>
      <c r="J3" s="350">
        <f>'Leveraged Partnership Flip'!I149</f>
        <v>-36731.299963907572</v>
      </c>
      <c r="K3" s="350">
        <f>'Leveraged Partnership Flip'!J149</f>
        <v>-118849.22776763933</v>
      </c>
      <c r="L3" s="350">
        <f>'Leveraged Partnership Flip'!K149</f>
        <v>-198419.05542820389</v>
      </c>
      <c r="M3" s="350">
        <f>'Leveraged Partnership Flip'!L149</f>
        <v>1483492.9598533013</v>
      </c>
      <c r="N3" s="350">
        <f>'Leveraged Partnership Flip'!M149</f>
        <v>3160174.46522843</v>
      </c>
      <c r="O3" s="350">
        <f>'Leveraged Partnership Flip'!N149</f>
        <v>3457016.2687822245</v>
      </c>
      <c r="P3" s="350">
        <f>'Leveraged Partnership Flip'!O149</f>
        <v>548988.7820590355</v>
      </c>
      <c r="Q3" s="350">
        <f>'Leveraged Partnership Flip'!P149</f>
        <v>537106.14458564832</v>
      </c>
      <c r="R3" s="350">
        <f>'Leveraged Partnership Flip'!Q149</f>
        <v>607142.4796880011</v>
      </c>
      <c r="S3" s="350">
        <f>'Leveraged Partnership Flip'!R149</f>
        <v>632656.01278681844</v>
      </c>
      <c r="T3" s="350">
        <f>'Leveraged Partnership Flip'!S149</f>
        <v>583946.59744731314</v>
      </c>
      <c r="U3" s="350">
        <f>'Leveraged Partnership Flip'!T149</f>
        <v>559178.87939515547</v>
      </c>
      <c r="V3" s="350">
        <f>'Leveraged Partnership Flip'!U149</f>
        <v>571568.27631266951</v>
      </c>
      <c r="W3" s="350">
        <f>'Leveraged Partnership Flip'!V149</f>
        <v>561810.93126403878</v>
      </c>
      <c r="X3" s="350">
        <f>'Leveraged Partnership Flip'!W149</f>
        <v>552198.63290616777</v>
      </c>
      <c r="Y3" s="350">
        <f>'Leveraged Partnership Flip'!X149</f>
        <v>561764.35833556193</v>
      </c>
      <c r="Z3" s="350">
        <f>'Leveraged Partnership Flip'!Y149</f>
        <v>571565.97724567261</v>
      </c>
      <c r="AA3" s="350">
        <f>'Leveraged Partnership Flip'!Z149</f>
        <v>624283.73365463316</v>
      </c>
      <c r="AB3" s="350">
        <f>'Leveraged Partnership Flip'!AA149</f>
        <v>699007.89597380802</v>
      </c>
      <c r="AC3" s="350">
        <f>'Leveraged Partnership Flip'!AB149</f>
        <v>682626.6322505381</v>
      </c>
      <c r="AD3" s="350">
        <f>'Leveraged Partnership Flip'!AC149</f>
        <v>678945.06915758387</v>
      </c>
      <c r="AE3" s="350">
        <f>'Leveraged Partnership Flip'!AD149</f>
        <v>690878.44580897922</v>
      </c>
      <c r="AF3" s="350">
        <f>'Leveraged Partnership Flip'!AE149</f>
        <v>689222.94886464858</v>
      </c>
      <c r="AG3" s="350">
        <f>'Leveraged Partnership Flip'!AF149</f>
        <v>1172189.3202305776</v>
      </c>
    </row>
    <row r="5" spans="3:33">
      <c r="C5" t="s">
        <v>509</v>
      </c>
    </row>
    <row r="6" spans="3:33">
      <c r="C6">
        <v>-0.99</v>
      </c>
      <c r="D6" s="351">
        <f t="shared" ref="D6:D69" si="0">NPV(C6,C$3:D$3)</f>
        <v>-9274009200.5284939</v>
      </c>
      <c r="E6" s="351">
        <f t="shared" ref="E6:E69" si="1">NPV(C6,C$3:E$3)</f>
        <v>4546197565505.666</v>
      </c>
      <c r="F6" s="351">
        <f>NPV(C6,C$3:F$3)</f>
        <v>283340717945938.31</v>
      </c>
      <c r="G6" s="351">
        <f>NPV(C6,C$3:G$3)</f>
        <v>1.7306921373832476E+16</v>
      </c>
      <c r="H6" s="351">
        <f>NPV(C6,C$3:H$3)</f>
        <v>1.6602920532887926E+18</v>
      </c>
      <c r="I6" s="351">
        <f>NPV(C6,C$3:I$3)</f>
        <v>8.2446520652246761E+19</v>
      </c>
      <c r="J6" s="351">
        <f>NPV(C6,C$3:J$3)</f>
        <v>-2.8486647898682629E+20</v>
      </c>
      <c r="K6" s="351">
        <f>NPV(C6,C$3:K$3)</f>
        <v>-1.191340942466252E+23</v>
      </c>
      <c r="L6" s="351">
        <f>NPV(C6,C$3:L$3)</f>
        <v>-1.9961039637066838E+25</v>
      </c>
      <c r="M6" s="351">
        <f>NPV(C6,C$3:M$3)</f>
        <v>1.4814968558895798E+28</v>
      </c>
      <c r="N6" s="351">
        <f>NPV(C6,C$3:N$3)</f>
        <v>3.1749894337872915E+30</v>
      </c>
    </row>
    <row r="7" spans="3:33">
      <c r="C7">
        <v>-0.98</v>
      </c>
      <c r="D7" s="351">
        <f t="shared" si="0"/>
        <v>-2555196015.5232487</v>
      </c>
      <c r="E7" s="351">
        <f t="shared" si="1"/>
        <v>566878750822.7511</v>
      </c>
      <c r="F7" s="351">
        <f t="shared" ref="F7:F70" si="2">NPV(C7,C$3:F$3)</f>
        <v>17991536274599.793</v>
      </c>
      <c r="G7" s="351">
        <f t="shared" ref="G7:G70" si="3">NPV(C7,C$3:G$3)</f>
        <v>549978431771054.12</v>
      </c>
      <c r="H7" s="351">
        <f t="shared" ref="H7:H70" si="4">NPV(C7,C$3:H$3)</f>
        <v>2.6221621117942304E+16</v>
      </c>
      <c r="I7" s="351">
        <f t="shared" ref="I7:I70" si="5">NPV(C7,C$3:I$3)</f>
        <v>6.5736403204730138E+17</v>
      </c>
      <c r="J7" s="351">
        <f t="shared" ref="J7:J70" si="6">NPV(C7,C$3:J$3)</f>
        <v>-7.7745237279282765E+17</v>
      </c>
      <c r="K7" s="351">
        <f t="shared" ref="K7:K70" si="7">NPV(C7,C$3:K$3)</f>
        <v>-2.329048503564615E+20</v>
      </c>
      <c r="L7" s="351">
        <f t="shared" ref="L7:L70" si="8">NPV(C7,C$3:L$3)</f>
        <v>-1.9609765732016825E+22</v>
      </c>
      <c r="M7" s="351">
        <f t="shared" ref="M7:M70" si="9">NPV(C7,C$3:M$3)</f>
        <v>7.2240082023016079E+24</v>
      </c>
      <c r="N7" s="351">
        <f t="shared" ref="N7:N70" si="10">NPV(C7,C$3:N$3)</f>
        <v>7.7875097725220296E+26</v>
      </c>
    </row>
    <row r="8" spans="3:33">
      <c r="C8">
        <v>-0.97</v>
      </c>
      <c r="D8" s="351">
        <f t="shared" si="0"/>
        <v>-1240839880.4063885</v>
      </c>
      <c r="E8" s="351">
        <f t="shared" si="1"/>
        <v>167480329553.15637</v>
      </c>
      <c r="F8" s="351">
        <f t="shared" si="2"/>
        <v>3609387988570.8433</v>
      </c>
      <c r="G8" s="351">
        <f t="shared" si="3"/>
        <v>73665275461354.953</v>
      </c>
      <c r="H8" s="351">
        <f t="shared" si="4"/>
        <v>2327417171092302</v>
      </c>
      <c r="I8" s="351">
        <f t="shared" si="5"/>
        <v>3.9266707797044744E+16</v>
      </c>
      <c r="J8" s="351">
        <f t="shared" si="6"/>
        <v>-1.6717593321545886E+16</v>
      </c>
      <c r="K8" s="351">
        <f t="shared" si="7"/>
        <v>-6.0548839179488061E+18</v>
      </c>
      <c r="L8" s="351">
        <f t="shared" si="8"/>
        <v>-3.4207929657218872E+20</v>
      </c>
      <c r="M8" s="351">
        <f t="shared" si="9"/>
        <v>8.3401532497773002E+22</v>
      </c>
      <c r="N8" s="351">
        <f t="shared" si="10"/>
        <v>6.0298273167868965E+24</v>
      </c>
    </row>
    <row r="9" spans="3:33">
      <c r="C9">
        <v>-0.96</v>
      </c>
      <c r="D9" s="351">
        <f t="shared" si="0"/>
        <v>-757145861.57637477</v>
      </c>
      <c r="E9" s="351">
        <f t="shared" si="1"/>
        <v>70422097493.207916</v>
      </c>
      <c r="F9" s="351">
        <f t="shared" si="2"/>
        <v>1159463192729.2729</v>
      </c>
      <c r="G9" s="351">
        <f t="shared" si="3"/>
        <v>17784053676993.473</v>
      </c>
      <c r="H9" s="351">
        <f t="shared" si="4"/>
        <v>418903470648419.31</v>
      </c>
      <c r="I9" s="351">
        <f t="shared" si="5"/>
        <v>5349703556034037</v>
      </c>
      <c r="J9" s="351">
        <f t="shared" si="6"/>
        <v>-255048025372716.97</v>
      </c>
      <c r="K9" s="351">
        <f t="shared" si="7"/>
        <v>-4.536288722122256E+17</v>
      </c>
      <c r="L9" s="351">
        <f t="shared" si="8"/>
        <v>-1.9376344576958673E+19</v>
      </c>
      <c r="M9" s="351">
        <f t="shared" si="9"/>
        <v>3.5175464913769595E+21</v>
      </c>
      <c r="N9" s="351">
        <f t="shared" si="10"/>
        <v>1.9187862291957551E+23</v>
      </c>
    </row>
    <row r="10" spans="3:33">
      <c r="C10">
        <v>-0.95</v>
      </c>
      <c r="D10" s="351">
        <f t="shared" si="0"/>
        <v>-522444345.8714599</v>
      </c>
      <c r="E10" s="351">
        <f t="shared" si="1"/>
        <v>35921328251.778107</v>
      </c>
      <c r="F10" s="351">
        <f t="shared" si="2"/>
        <v>481992560860.4704</v>
      </c>
      <c r="G10" s="351">
        <f t="shared" si="3"/>
        <v>5929538370744.1631</v>
      </c>
      <c r="H10" s="351">
        <f t="shared" si="4"/>
        <v>111080586813301.59</v>
      </c>
      <c r="I10" s="351">
        <f t="shared" si="5"/>
        <v>1145144312879963.7</v>
      </c>
      <c r="J10" s="351">
        <f t="shared" si="6"/>
        <v>204823033803936.53</v>
      </c>
      <c r="K10" s="351">
        <f t="shared" si="7"/>
        <v>-6.0645981583226904E+16</v>
      </c>
      <c r="L10" s="351">
        <f t="shared" si="8"/>
        <v>-2.0924571091680166E+18</v>
      </c>
      <c r="M10" s="351">
        <f t="shared" si="9"/>
        <v>3.0172690106878512E+20</v>
      </c>
      <c r="N10" s="351">
        <f t="shared" si="10"/>
        <v>1.3245801510644297E+22</v>
      </c>
    </row>
    <row r="11" spans="3:33">
      <c r="C11">
        <v>-0.94</v>
      </c>
      <c r="D11" s="351">
        <f t="shared" si="0"/>
        <v>-389107875.23197216</v>
      </c>
      <c r="E11" s="351">
        <f t="shared" si="1"/>
        <v>20701038303.963371</v>
      </c>
      <c r="F11" s="351">
        <f t="shared" si="2"/>
        <v>235820266992.56882</v>
      </c>
      <c r="G11" s="351">
        <f t="shared" si="3"/>
        <v>2425066750517.0723</v>
      </c>
      <c r="H11" s="351">
        <f t="shared" si="4"/>
        <v>37639940119750.617</v>
      </c>
      <c r="I11" s="351">
        <f t="shared" si="5"/>
        <v>326228148135004</v>
      </c>
      <c r="J11" s="351">
        <f t="shared" si="6"/>
        <v>107539471890509.37</v>
      </c>
      <c r="K11" s="351">
        <f t="shared" si="7"/>
        <v>-1.1685754130897108E+16</v>
      </c>
      <c r="L11" s="351">
        <f t="shared" si="8"/>
        <v>-3.3983459461355328E+17</v>
      </c>
      <c r="M11" s="351">
        <f t="shared" si="9"/>
        <v>4.0550600851844063E+19</v>
      </c>
      <c r="N11" s="351">
        <f t="shared" si="10"/>
        <v>1.4923147083443059E+21</v>
      </c>
    </row>
    <row r="12" spans="3:33">
      <c r="C12">
        <v>-0.93</v>
      </c>
      <c r="D12" s="351">
        <f t="shared" si="0"/>
        <v>-305197109.59011292</v>
      </c>
      <c r="E12" s="351">
        <f t="shared" si="1"/>
        <v>12976061125.704979</v>
      </c>
      <c r="F12" s="351">
        <f t="shared" si="2"/>
        <v>129092062950.12581</v>
      </c>
      <c r="G12" s="351">
        <f t="shared" si="3"/>
        <v>1141978399350.8325</v>
      </c>
      <c r="H12" s="351">
        <f t="shared" si="4"/>
        <v>15107121595765.387</v>
      </c>
      <c r="I12" s="351">
        <f t="shared" si="5"/>
        <v>113203066311413.34</v>
      </c>
      <c r="J12" s="351">
        <f t="shared" si="6"/>
        <v>49486556471944.875</v>
      </c>
      <c r="K12" s="351">
        <f t="shared" si="7"/>
        <v>-2895708101533225.5</v>
      </c>
      <c r="L12" s="351">
        <f t="shared" si="8"/>
        <v>-7.3138696161773952E+16</v>
      </c>
      <c r="M12" s="351">
        <f t="shared" si="9"/>
        <v>7.4293793631578368E+18</v>
      </c>
      <c r="N12" s="351">
        <f t="shared" si="10"/>
        <v>2.3574445001642348E+20</v>
      </c>
    </row>
    <row r="13" spans="3:33">
      <c r="C13">
        <v>-0.92</v>
      </c>
      <c r="D13" s="351">
        <f t="shared" si="0"/>
        <v>-248459894.24187553</v>
      </c>
      <c r="E13" s="351">
        <f t="shared" si="1"/>
        <v>8648945525.1061993</v>
      </c>
      <c r="F13" s="351">
        <f t="shared" si="2"/>
        <v>76714013977.360641</v>
      </c>
      <c r="G13" s="351">
        <f t="shared" si="3"/>
        <v>596232466610.62036</v>
      </c>
      <c r="H13" s="351">
        <f t="shared" si="4"/>
        <v>6863723356789.2012</v>
      </c>
      <c r="I13" s="351">
        <f t="shared" si="5"/>
        <v>45385599023864.719</v>
      </c>
      <c r="J13" s="351">
        <f t="shared" si="6"/>
        <v>23492038158994.344</v>
      </c>
      <c r="K13" s="351">
        <f t="shared" si="7"/>
        <v>-862003712205963.75</v>
      </c>
      <c r="L13" s="351">
        <f t="shared" si="8"/>
        <v>-1.9341218267622672E+16</v>
      </c>
      <c r="M13" s="351">
        <f t="shared" si="9"/>
        <v>1.7076718852255283E+18</v>
      </c>
      <c r="N13" s="351">
        <f t="shared" si="10"/>
        <v>4.7694262810079461E+19</v>
      </c>
    </row>
    <row r="14" spans="3:33">
      <c r="C14">
        <v>-0.91</v>
      </c>
      <c r="D14" s="351">
        <f t="shared" si="0"/>
        <v>-208002569.04993248</v>
      </c>
      <c r="E14" s="351">
        <f t="shared" si="1"/>
        <v>6040929632.1931572</v>
      </c>
      <c r="F14" s="351">
        <f t="shared" si="2"/>
        <v>48533616780.559875</v>
      </c>
      <c r="G14" s="351">
        <f t="shared" si="3"/>
        <v>336829450001.89545</v>
      </c>
      <c r="H14" s="351">
        <f t="shared" si="4"/>
        <v>3428395836326.9487</v>
      </c>
      <c r="I14" s="351">
        <f t="shared" si="5"/>
        <v>20318789355281.113</v>
      </c>
      <c r="J14" s="351">
        <f t="shared" si="6"/>
        <v>11785897857248.621</v>
      </c>
      <c r="K14" s="351">
        <f t="shared" si="7"/>
        <v>-294984732871163.06</v>
      </c>
      <c r="L14" s="351">
        <f t="shared" si="8"/>
        <v>-5985587666946999</v>
      </c>
      <c r="M14" s="351">
        <f t="shared" si="9"/>
        <v>4.6674955204383731E+17</v>
      </c>
      <c r="N14" s="351">
        <f t="shared" si="10"/>
        <v>1.1655998752405139E+19</v>
      </c>
    </row>
    <row r="15" spans="3:33">
      <c r="C15">
        <v>-0.9</v>
      </c>
      <c r="D15" s="351">
        <f t="shared" si="0"/>
        <v>-177949829.5460903</v>
      </c>
      <c r="E15" s="351">
        <f t="shared" si="1"/>
        <v>4377521745.16012</v>
      </c>
      <c r="F15" s="351">
        <f t="shared" si="2"/>
        <v>32256973783.20351</v>
      </c>
      <c r="G15" s="351">
        <f t="shared" si="3"/>
        <v>202492780342.06982</v>
      </c>
      <c r="H15" s="351">
        <f t="shared" si="4"/>
        <v>1845477912257.041</v>
      </c>
      <c r="I15" s="351">
        <f t="shared" si="5"/>
        <v>9924100772152.9023</v>
      </c>
      <c r="J15" s="351">
        <f t="shared" si="6"/>
        <v>6250970775762.1387</v>
      </c>
      <c r="K15" s="351">
        <f t="shared" si="7"/>
        <v>-112598256991877.45</v>
      </c>
      <c r="L15" s="351">
        <f t="shared" si="8"/>
        <v>-2096788811273920.7</v>
      </c>
      <c r="M15" s="351">
        <f t="shared" si="9"/>
        <v>1.4625250717405658E+17</v>
      </c>
      <c r="N15" s="351">
        <f t="shared" si="10"/>
        <v>3.306426972402495E+18</v>
      </c>
    </row>
    <row r="16" spans="3:33">
      <c r="C16">
        <v>-0.89</v>
      </c>
      <c r="D16" s="351">
        <f t="shared" si="0"/>
        <v>-154890560.46424404</v>
      </c>
      <c r="E16" s="351">
        <f t="shared" si="1"/>
        <v>3267702658.6989479</v>
      </c>
      <c r="F16" s="351">
        <f t="shared" si="2"/>
        <v>22309743528.887718</v>
      </c>
      <c r="G16" s="351">
        <f t="shared" si="3"/>
        <v>128012785769.46135</v>
      </c>
      <c r="H16" s="351">
        <f t="shared" si="4"/>
        <v>1055435060201.4286</v>
      </c>
      <c r="I16" s="351">
        <f t="shared" si="5"/>
        <v>5201045964881.1562</v>
      </c>
      <c r="J16" s="351">
        <f t="shared" si="6"/>
        <v>3487503713095.1147</v>
      </c>
      <c r="K16" s="351">
        <f t="shared" si="7"/>
        <v>-46916170728569.789</v>
      </c>
      <c r="L16" s="351">
        <f t="shared" si="8"/>
        <v>-811907523881474</v>
      </c>
      <c r="M16" s="351">
        <f t="shared" si="9"/>
        <v>5.118361571133624E+16</v>
      </c>
      <c r="N16" s="351">
        <f t="shared" si="10"/>
        <v>1.0581125896744621E+18</v>
      </c>
    </row>
    <row r="17" spans="3:14">
      <c r="C17">
        <v>-0.88</v>
      </c>
      <c r="D17" s="351">
        <f t="shared" si="0"/>
        <v>-136725921.37318078</v>
      </c>
      <c r="E17" s="351">
        <f t="shared" si="1"/>
        <v>2499542351.0262451</v>
      </c>
      <c r="F17" s="351">
        <f t="shared" si="2"/>
        <v>15944494144.064135</v>
      </c>
      <c r="G17" s="351">
        <f t="shared" si="3"/>
        <v>84358446754.205185</v>
      </c>
      <c r="H17" s="351">
        <f t="shared" si="4"/>
        <v>634590843148.4823</v>
      </c>
      <c r="I17" s="351">
        <f t="shared" si="5"/>
        <v>2889186218267.6636</v>
      </c>
      <c r="J17" s="351">
        <f t="shared" si="6"/>
        <v>2034933576687.6003</v>
      </c>
      <c r="K17" s="351">
        <f t="shared" si="7"/>
        <v>-20998842991257.152</v>
      </c>
      <c r="L17" s="351">
        <f t="shared" si="8"/>
        <v>-341456695025104</v>
      </c>
      <c r="M17" s="351">
        <f t="shared" si="9"/>
        <v>1.9624576237815728E+16</v>
      </c>
      <c r="N17" s="351">
        <f t="shared" si="10"/>
        <v>3.7405917279359648E+17</v>
      </c>
    </row>
    <row r="18" spans="3:14">
      <c r="C18">
        <v>-0.87</v>
      </c>
      <c r="D18" s="351">
        <f t="shared" si="0"/>
        <v>-122102411.47516289</v>
      </c>
      <c r="E18" s="351">
        <f t="shared" si="1"/>
        <v>1951393981.1994872</v>
      </c>
      <c r="F18" s="351">
        <f t="shared" si="2"/>
        <v>11712765094.971191</v>
      </c>
      <c r="G18" s="351">
        <f t="shared" si="3"/>
        <v>57562217295.488327</v>
      </c>
      <c r="H18" s="351">
        <f t="shared" si="4"/>
        <v>397949651709.1908</v>
      </c>
      <c r="I18" s="351">
        <f t="shared" si="5"/>
        <v>1685410016692.1345</v>
      </c>
      <c r="J18" s="351">
        <f t="shared" si="6"/>
        <v>1235122942559.6458</v>
      </c>
      <c r="K18" s="351">
        <f t="shared" si="7"/>
        <v>-9972311146242.3203</v>
      </c>
      <c r="L18" s="351">
        <f t="shared" si="8"/>
        <v>-153901823769619.44</v>
      </c>
      <c r="M18" s="351">
        <f t="shared" si="9"/>
        <v>8123777812435270</v>
      </c>
      <c r="N18" s="351">
        <f t="shared" si="10"/>
        <v>1.4376473064675571E+17</v>
      </c>
    </row>
    <row r="19" spans="3:14">
      <c r="C19">
        <v>-0.86</v>
      </c>
      <c r="D19" s="351">
        <f t="shared" si="0"/>
        <v>-110112665.31054607</v>
      </c>
      <c r="E19" s="351">
        <f t="shared" si="1"/>
        <v>1550044614.1013365</v>
      </c>
      <c r="F19" s="351">
        <f t="shared" si="2"/>
        <v>8807294728.127615</v>
      </c>
      <c r="G19" s="351">
        <f t="shared" si="3"/>
        <v>40459992740.649567</v>
      </c>
      <c r="H19" s="351">
        <f t="shared" si="4"/>
        <v>258665355184.62592</v>
      </c>
      <c r="I19" s="351">
        <f t="shared" si="5"/>
        <v>1025039923275.6216</v>
      </c>
      <c r="J19" s="351">
        <f t="shared" si="6"/>
        <v>776147306715.19946</v>
      </c>
      <c r="K19" s="351">
        <f t="shared" si="7"/>
        <v>-4976186009701.1094</v>
      </c>
      <c r="L19" s="351">
        <f t="shared" si="8"/>
        <v>-73572854037279.422</v>
      </c>
      <c r="M19" s="351">
        <f t="shared" si="9"/>
        <v>3589766042114842.5</v>
      </c>
      <c r="N19" s="351">
        <f t="shared" si="10"/>
        <v>5.9330750088321744E+16</v>
      </c>
    </row>
    <row r="20" spans="3:14">
      <c r="C20">
        <v>-0.85</v>
      </c>
      <c r="D20" s="351">
        <f t="shared" si="0"/>
        <v>-100128254.49969569</v>
      </c>
      <c r="E20" s="351">
        <f t="shared" si="1"/>
        <v>1249641100.9688096</v>
      </c>
      <c r="F20" s="351">
        <f t="shared" si="2"/>
        <v>6756693355.3971252</v>
      </c>
      <c r="G20" s="351">
        <f t="shared" si="3"/>
        <v>29174577346.688126</v>
      </c>
      <c r="H20" s="351">
        <f t="shared" si="4"/>
        <v>173414698667.06937</v>
      </c>
      <c r="I20" s="351">
        <f t="shared" si="5"/>
        <v>646237618679.26306</v>
      </c>
      <c r="J20" s="351">
        <f t="shared" si="6"/>
        <v>502917807815.67029</v>
      </c>
      <c r="K20" s="351">
        <f t="shared" si="7"/>
        <v>-2588623350393.5078</v>
      </c>
      <c r="L20" s="351">
        <f t="shared" si="8"/>
        <v>-36997523206187.93</v>
      </c>
      <c r="M20" s="351">
        <f t="shared" si="9"/>
        <v>1678071646342015.7</v>
      </c>
      <c r="N20" s="351">
        <f t="shared" si="10"/>
        <v>2.6034631658790484E+16</v>
      </c>
    </row>
    <row r="21" spans="3:14">
      <c r="C21">
        <v>-0.84</v>
      </c>
      <c r="D21" s="351">
        <f t="shared" si="0"/>
        <v>-91701687.984359488</v>
      </c>
      <c r="E21" s="351">
        <f t="shared" si="1"/>
        <v>1020473989.4341475</v>
      </c>
      <c r="F21" s="351">
        <f t="shared" si="2"/>
        <v>5274540767.7000389</v>
      </c>
      <c r="G21" s="351">
        <f t="shared" si="3"/>
        <v>21509492412.489349</v>
      </c>
      <c r="H21" s="351">
        <f t="shared" si="4"/>
        <v>119439037571.52927</v>
      </c>
      <c r="I21" s="351">
        <f t="shared" si="5"/>
        <v>420391191220.5553</v>
      </c>
      <c r="J21" s="351">
        <f t="shared" si="6"/>
        <v>334869469092.15588</v>
      </c>
      <c r="K21" s="351">
        <f t="shared" si="7"/>
        <v>-1394614418339.3921</v>
      </c>
      <c r="L21" s="351">
        <f t="shared" si="8"/>
        <v>-19440722382613.398</v>
      </c>
      <c r="M21" s="351">
        <f t="shared" si="9"/>
        <v>823827394557395.25</v>
      </c>
      <c r="N21" s="351">
        <f t="shared" si="10"/>
        <v>1.2051022444570468E+16</v>
      </c>
    </row>
    <row r="22" spans="3:14">
      <c r="C22">
        <v>-0.83</v>
      </c>
      <c r="D22" s="351">
        <f t="shared" si="0"/>
        <v>-84506598.565953389</v>
      </c>
      <c r="E22" s="351">
        <f t="shared" si="1"/>
        <v>842721485.02985442</v>
      </c>
      <c r="F22" s="351">
        <f t="shared" si="2"/>
        <v>4180738515.2430153</v>
      </c>
      <c r="G22" s="351">
        <f t="shared" si="3"/>
        <v>16170383004.713854</v>
      </c>
      <c r="H22" s="351">
        <f t="shared" si="4"/>
        <v>84237930814.311707</v>
      </c>
      <c r="I22" s="351">
        <f t="shared" si="5"/>
        <v>281114886155.43884</v>
      </c>
      <c r="J22" s="351">
        <f t="shared" si="6"/>
        <v>228459242270.77713</v>
      </c>
      <c r="K22" s="351">
        <f t="shared" si="7"/>
        <v>-773744619357.90881</v>
      </c>
      <c r="L22" s="351">
        <f t="shared" si="8"/>
        <v>-10615989448769.932</v>
      </c>
      <c r="M22" s="351">
        <f t="shared" si="9"/>
        <v>422243910259462.87</v>
      </c>
      <c r="N22" s="351">
        <f t="shared" si="10"/>
        <v>5846297891196318</v>
      </c>
    </row>
    <row r="23" spans="3:14">
      <c r="C23">
        <v>-0.82</v>
      </c>
      <c r="D23" s="351">
        <f t="shared" si="0"/>
        <v>-78299943.972608119</v>
      </c>
      <c r="E23" s="351">
        <f t="shared" si="1"/>
        <v>702816581.18277657</v>
      </c>
      <c r="F23" s="351">
        <f t="shared" si="2"/>
        <v>3358609527.9556899</v>
      </c>
      <c r="G23" s="351">
        <f t="shared" si="3"/>
        <v>12367854316.122398</v>
      </c>
      <c r="H23" s="351">
        <f t="shared" si="4"/>
        <v>60673579102.45118</v>
      </c>
      <c r="I23" s="351">
        <f t="shared" si="5"/>
        <v>192629778469.28003</v>
      </c>
      <c r="J23" s="351">
        <f t="shared" si="6"/>
        <v>159298171055.09076</v>
      </c>
      <c r="K23" s="351">
        <f t="shared" si="7"/>
        <v>-439863217086.33514</v>
      </c>
      <c r="L23" s="351">
        <f t="shared" si="8"/>
        <v>-5997092644894.7344</v>
      </c>
      <c r="M23" s="351">
        <f t="shared" si="9"/>
        <v>224830612292010.19</v>
      </c>
      <c r="N23" s="351">
        <f t="shared" si="10"/>
        <v>2956580905348949</v>
      </c>
    </row>
    <row r="24" spans="3:14">
      <c r="C24">
        <v>-0.81</v>
      </c>
      <c r="D24" s="351">
        <f t="shared" si="0"/>
        <v>-72897387.004680187</v>
      </c>
      <c r="E24" s="351">
        <f t="shared" si="1"/>
        <v>591262341.04696155</v>
      </c>
      <c r="F24" s="351">
        <f t="shared" si="2"/>
        <v>2730553171.9984884</v>
      </c>
      <c r="G24" s="351">
        <f t="shared" si="3"/>
        <v>9605714728.9017601</v>
      </c>
      <c r="H24" s="351">
        <f t="shared" si="4"/>
        <v>44528753621.827827</v>
      </c>
      <c r="I24" s="351">
        <f t="shared" si="5"/>
        <v>134906628963.69344</v>
      </c>
      <c r="J24" s="351">
        <f t="shared" si="6"/>
        <v>113279070673.8136</v>
      </c>
      <c r="K24" s="351">
        <f t="shared" si="7"/>
        <v>-255031306776.75845</v>
      </c>
      <c r="L24" s="351">
        <f t="shared" si="8"/>
        <v>-3491320837586.207</v>
      </c>
      <c r="M24" s="351">
        <f t="shared" si="9"/>
        <v>123857778896965.62</v>
      </c>
      <c r="N24" s="351">
        <f t="shared" si="10"/>
        <v>1551659325800998.7</v>
      </c>
    </row>
    <row r="25" spans="3:14">
      <c r="C25">
        <v>-0.8</v>
      </c>
      <c r="D25" s="351">
        <f t="shared" si="0"/>
        <v>-68156828.925635129</v>
      </c>
      <c r="E25" s="351">
        <f t="shared" si="1"/>
        <v>501277117.91264111</v>
      </c>
      <c r="F25" s="351">
        <f t="shared" si="2"/>
        <v>2243742870.2903533</v>
      </c>
      <c r="G25" s="351">
        <f t="shared" si="3"/>
        <v>7563611825.2549257</v>
      </c>
      <c r="H25" s="351">
        <f t="shared" si="4"/>
        <v>33235254511.42635</v>
      </c>
      <c r="I25" s="351">
        <f t="shared" si="5"/>
        <v>96349495604.362778</v>
      </c>
      <c r="J25" s="351">
        <f t="shared" si="6"/>
        <v>82001331555.961365</v>
      </c>
      <c r="K25" s="351">
        <f t="shared" si="7"/>
        <v>-150126066427.70969</v>
      </c>
      <c r="L25" s="351">
        <f t="shared" si="8"/>
        <v>-2087812154593.7676</v>
      </c>
      <c r="M25" s="351">
        <f t="shared" si="9"/>
        <v>70348367525743.383</v>
      </c>
      <c r="N25" s="351">
        <f t="shared" si="10"/>
        <v>841875336575655.12</v>
      </c>
    </row>
    <row r="26" spans="3:14">
      <c r="C26">
        <v>-0.79</v>
      </c>
      <c r="D26" s="351">
        <f t="shared" si="0"/>
        <v>-63967134.766028456</v>
      </c>
      <c r="E26" s="351">
        <f t="shared" si="1"/>
        <v>427931318.39304823</v>
      </c>
      <c r="F26" s="351">
        <f t="shared" si="2"/>
        <v>1861462205.1142902</v>
      </c>
      <c r="G26" s="351">
        <f t="shared" si="3"/>
        <v>6029718733.512248</v>
      </c>
      <c r="H26" s="351">
        <f t="shared" si="4"/>
        <v>25186293762.887432</v>
      </c>
      <c r="I26" s="351">
        <f t="shared" si="5"/>
        <v>70040406572.968643</v>
      </c>
      <c r="J26" s="351">
        <f t="shared" si="6"/>
        <v>60329004372.16568</v>
      </c>
      <c r="K26" s="351">
        <f t="shared" si="7"/>
        <v>-89302386066.545731</v>
      </c>
      <c r="L26" s="351">
        <f t="shared" si="8"/>
        <v>-1278873556793.2366</v>
      </c>
      <c r="M26" s="351">
        <f t="shared" si="9"/>
        <v>41073060482843.719</v>
      </c>
      <c r="N26" s="351">
        <f t="shared" si="10"/>
        <v>470688145982954.25</v>
      </c>
    </row>
    <row r="27" spans="3:14">
      <c r="C27">
        <v>-0.78</v>
      </c>
      <c r="D27" s="351">
        <f t="shared" si="0"/>
        <v>-60240250.60616333</v>
      </c>
      <c r="E27" s="351">
        <f t="shared" si="1"/>
        <v>367583901.78923565</v>
      </c>
      <c r="F27" s="351">
        <f t="shared" si="2"/>
        <v>1557711456.1760337</v>
      </c>
      <c r="G27" s="351">
        <f t="shared" si="3"/>
        <v>4860931526.1939592</v>
      </c>
      <c r="H27" s="351">
        <f t="shared" si="4"/>
        <v>19351904564.193447</v>
      </c>
      <c r="I27" s="351">
        <f t="shared" si="5"/>
        <v>51739489757.003822</v>
      </c>
      <c r="J27" s="351">
        <f t="shared" si="6"/>
        <v>45045965335.9646</v>
      </c>
      <c r="K27" s="351">
        <f t="shared" si="7"/>
        <v>-53398711307.912163</v>
      </c>
      <c r="L27" s="351">
        <f t="shared" si="8"/>
        <v>-800460579621.29517</v>
      </c>
      <c r="M27" s="351">
        <f t="shared" si="9"/>
        <v>24587978500074.855</v>
      </c>
      <c r="N27" s="351">
        <f t="shared" si="10"/>
        <v>270420247534041.12</v>
      </c>
    </row>
    <row r="28" spans="3:14">
      <c r="C28">
        <v>-0.77</v>
      </c>
      <c r="D28" s="351">
        <f t="shared" si="0"/>
        <v>-56905588.194607854</v>
      </c>
      <c r="E28" s="351">
        <f t="shared" si="1"/>
        <v>317506475.14937246</v>
      </c>
      <c r="F28" s="351">
        <f t="shared" si="2"/>
        <v>1313766924.4060352</v>
      </c>
      <c r="G28" s="351">
        <f t="shared" si="3"/>
        <v>3958682003.650044</v>
      </c>
      <c r="H28" s="351">
        <f t="shared" si="4"/>
        <v>15057241569.263014</v>
      </c>
      <c r="I28" s="351">
        <f t="shared" si="5"/>
        <v>38784222542.73391</v>
      </c>
      <c r="J28" s="351">
        <f t="shared" si="6"/>
        <v>34093782263.875683</v>
      </c>
      <c r="K28" s="351">
        <f t="shared" si="7"/>
        <v>-31891311787.565376</v>
      </c>
      <c r="L28" s="351">
        <f t="shared" si="8"/>
        <v>-510857678047.31921</v>
      </c>
      <c r="M28" s="351">
        <f t="shared" si="9"/>
        <v>15058808223582.916</v>
      </c>
      <c r="N28" s="351">
        <f t="shared" si="10"/>
        <v>159262715300857.69</v>
      </c>
    </row>
    <row r="29" spans="3:14">
      <c r="C29">
        <v>-0.76</v>
      </c>
      <c r="D29" s="351">
        <f t="shared" si="0"/>
        <v>-53905956.625888981</v>
      </c>
      <c r="E29" s="351">
        <f t="shared" si="1"/>
        <v>275627577.42403919</v>
      </c>
      <c r="F29" s="351">
        <f t="shared" si="2"/>
        <v>1115937064.4889073</v>
      </c>
      <c r="G29" s="351">
        <f t="shared" si="3"/>
        <v>3253873083.5558147</v>
      </c>
      <c r="H29" s="351">
        <f t="shared" si="4"/>
        <v>11851254277.216394</v>
      </c>
      <c r="I29" s="351">
        <f t="shared" si="5"/>
        <v>29465280645.334999</v>
      </c>
      <c r="J29" s="351">
        <f t="shared" si="6"/>
        <v>26128356264.162876</v>
      </c>
      <c r="K29" s="351">
        <f t="shared" si="7"/>
        <v>-18859488595.104225</v>
      </c>
      <c r="L29" s="351">
        <f t="shared" si="8"/>
        <v>-331806609721.90778</v>
      </c>
      <c r="M29" s="351">
        <f t="shared" si="9"/>
        <v>9417232908266.7812</v>
      </c>
      <c r="N29" s="351">
        <f t="shared" si="10"/>
        <v>95949116833017.937</v>
      </c>
    </row>
    <row r="30" spans="3:14">
      <c r="C30">
        <v>-0.75</v>
      </c>
      <c r="D30" s="351">
        <f t="shared" si="0"/>
        <v>-51194569.404922485</v>
      </c>
      <c r="E30" s="351">
        <f t="shared" si="1"/>
        <v>240355611.37627476</v>
      </c>
      <c r="F30" s="351">
        <f t="shared" si="2"/>
        <v>954069583.55018497</v>
      </c>
      <c r="G30" s="351">
        <f t="shared" si="3"/>
        <v>2697284242.7129745</v>
      </c>
      <c r="H30" s="351">
        <f t="shared" si="4"/>
        <v>9426951343.0366879</v>
      </c>
      <c r="I30" s="351">
        <f t="shared" si="5"/>
        <v>22662967036.690048</v>
      </c>
      <c r="J30" s="351">
        <f t="shared" si="6"/>
        <v>20255744562.255402</v>
      </c>
      <c r="K30" s="351">
        <f t="shared" si="7"/>
        <v>-10899867401.664642</v>
      </c>
      <c r="L30" s="351">
        <f t="shared" si="8"/>
        <v>-218957326866.34897</v>
      </c>
      <c r="M30" s="351">
        <f t="shared" si="9"/>
        <v>6003263128618.1924</v>
      </c>
      <c r="N30" s="351">
        <f t="shared" si="10"/>
        <v>59022192729440.055</v>
      </c>
    </row>
    <row r="31" spans="3:14">
      <c r="C31">
        <v>-0.74</v>
      </c>
      <c r="D31" s="351">
        <f t="shared" si="0"/>
        <v>-48732811.745031141</v>
      </c>
      <c r="E31" s="351">
        <f t="shared" si="1"/>
        <v>210454237.3393001</v>
      </c>
      <c r="F31" s="351">
        <f t="shared" si="2"/>
        <v>820539931.95003164</v>
      </c>
      <c r="G31" s="351">
        <f t="shared" si="3"/>
        <v>2253335313.2161922</v>
      </c>
      <c r="H31" s="351">
        <f t="shared" si="4"/>
        <v>7571888975.9302921</v>
      </c>
      <c r="I31" s="351">
        <f t="shared" si="5"/>
        <v>17630173077.359543</v>
      </c>
      <c r="J31" s="351">
        <f t="shared" si="6"/>
        <v>15871239194.029509</v>
      </c>
      <c r="K31" s="351">
        <f t="shared" si="7"/>
        <v>-6018280510.6618309</v>
      </c>
      <c r="L31" s="351">
        <f t="shared" si="8"/>
        <v>-146574445181.92856</v>
      </c>
      <c r="M31" s="351">
        <f t="shared" si="9"/>
        <v>3895261314683.7402</v>
      </c>
      <c r="N31" s="351">
        <f t="shared" si="10"/>
        <v>37010728315250.258</v>
      </c>
    </row>
    <row r="32" spans="3:14">
      <c r="C32">
        <v>-0.73</v>
      </c>
      <c r="D32" s="351">
        <f t="shared" si="0"/>
        <v>-46488553.636770308</v>
      </c>
      <c r="E32" s="351">
        <f t="shared" si="1"/>
        <v>184953379.74260306</v>
      </c>
      <c r="F32" s="351">
        <f t="shared" si="2"/>
        <v>709554455.64836419</v>
      </c>
      <c r="G32" s="351">
        <f t="shared" si="3"/>
        <v>1895957061.4974794</v>
      </c>
      <c r="H32" s="351">
        <f t="shared" si="4"/>
        <v>6136788867.1559792</v>
      </c>
      <c r="I32" s="351">
        <f t="shared" si="5"/>
        <v>13859876895.941584</v>
      </c>
      <c r="J32" s="351">
        <f t="shared" si="6"/>
        <v>12559329494.930691</v>
      </c>
      <c r="K32" s="351">
        <f t="shared" si="7"/>
        <v>-3026233210.3688364</v>
      </c>
      <c r="L32" s="351">
        <f t="shared" si="8"/>
        <v>-99397093581.85376</v>
      </c>
      <c r="M32" s="351">
        <f t="shared" si="9"/>
        <v>2569206606795.6987</v>
      </c>
      <c r="N32" s="351">
        <f t="shared" si="10"/>
        <v>23623753019965.27</v>
      </c>
    </row>
    <row r="33" spans="3:14">
      <c r="C33">
        <v>-0.72</v>
      </c>
      <c r="D33" s="351">
        <f t="shared" si="0"/>
        <v>-44434860.284145482</v>
      </c>
      <c r="E33" s="351">
        <f t="shared" si="1"/>
        <v>163084799.64233986</v>
      </c>
      <c r="F33" s="351">
        <f t="shared" si="2"/>
        <v>616662931.76898229</v>
      </c>
      <c r="G33" s="351">
        <f t="shared" si="3"/>
        <v>1605809744.6602933</v>
      </c>
      <c r="H33" s="351">
        <f t="shared" si="4"/>
        <v>5015268532.8474245</v>
      </c>
      <c r="I33" s="351">
        <f t="shared" si="5"/>
        <v>11002569846.058327</v>
      </c>
      <c r="J33" s="351">
        <f t="shared" si="6"/>
        <v>10030333062.619177</v>
      </c>
      <c r="K33" s="351">
        <f t="shared" si="7"/>
        <v>-1204692946.0064256</v>
      </c>
      <c r="L33" s="351">
        <f t="shared" si="8"/>
        <v>-68193626566.688354</v>
      </c>
      <c r="M33" s="351">
        <f t="shared" si="9"/>
        <v>1720546068820.0901</v>
      </c>
      <c r="N33" s="351">
        <f t="shared" si="10"/>
        <v>15329184751976.072</v>
      </c>
    </row>
    <row r="34" spans="3:14">
      <c r="C34">
        <v>-0.71</v>
      </c>
      <c r="D34" s="351">
        <f t="shared" si="0"/>
        <v>-42548995.629410885</v>
      </c>
      <c r="E34" s="351">
        <f t="shared" si="1"/>
        <v>144234864.91043106</v>
      </c>
      <c r="F34" s="351">
        <f t="shared" si="2"/>
        <v>538412738.17499423</v>
      </c>
      <c r="G34" s="351">
        <f t="shared" si="3"/>
        <v>1368379926.0632303</v>
      </c>
      <c r="H34" s="351">
        <f t="shared" si="4"/>
        <v>4130519663.8812232</v>
      </c>
      <c r="I34" s="351">
        <f t="shared" si="5"/>
        <v>8813812874.3263779</v>
      </c>
      <c r="J34" s="351">
        <f t="shared" si="6"/>
        <v>8079548739.4474907</v>
      </c>
      <c r="K34" s="351">
        <f t="shared" si="7"/>
        <v>-112912270.13575125</v>
      </c>
      <c r="L34" s="351">
        <f t="shared" si="8"/>
        <v>-47276126905.577789</v>
      </c>
      <c r="M34" s="351">
        <f t="shared" si="9"/>
        <v>1168650902654.4661</v>
      </c>
      <c r="N34" s="351">
        <f t="shared" si="10"/>
        <v>10100370591125.58</v>
      </c>
    </row>
    <row r="35" spans="3:14">
      <c r="C35">
        <v>-0.7</v>
      </c>
      <c r="D35" s="351">
        <f t="shared" si="0"/>
        <v>-40811644.65099895</v>
      </c>
      <c r="E35" s="351">
        <f t="shared" si="1"/>
        <v>127909524.78256419</v>
      </c>
      <c r="F35" s="351">
        <f t="shared" si="2"/>
        <v>472100290.68433398</v>
      </c>
      <c r="G35" s="351">
        <f t="shared" si="3"/>
        <v>1172659165.4121776</v>
      </c>
      <c r="H35" s="351">
        <f t="shared" si="4"/>
        <v>3426411061.0431347</v>
      </c>
      <c r="I35" s="351">
        <f t="shared" si="5"/>
        <v>7120340123.6383982</v>
      </c>
      <c r="J35" s="351">
        <f t="shared" si="6"/>
        <v>6560497112.4524889</v>
      </c>
      <c r="K35" s="351">
        <f t="shared" si="7"/>
        <v>522330787.82518697</v>
      </c>
      <c r="L35" s="351">
        <f t="shared" si="8"/>
        <v>-33080110477.599049</v>
      </c>
      <c r="M35" s="351">
        <f t="shared" si="9"/>
        <v>804356007465.85974</v>
      </c>
      <c r="N35" s="351">
        <f t="shared" si="10"/>
        <v>6750781791755.0361</v>
      </c>
    </row>
    <row r="36" spans="3:14">
      <c r="C36">
        <v>-0.69</v>
      </c>
      <c r="D36" s="351">
        <f t="shared" si="0"/>
        <v>-39206300.777797662</v>
      </c>
      <c r="E36" s="351">
        <f t="shared" si="1"/>
        <v>113708055.05806568</v>
      </c>
      <c r="F36" s="351">
        <f t="shared" si="2"/>
        <v>415590221.65788686</v>
      </c>
      <c r="G36" s="351">
        <f t="shared" si="3"/>
        <v>1010214234.6398506</v>
      </c>
      <c r="H36" s="351">
        <f t="shared" si="4"/>
        <v>2861457409.2751651</v>
      </c>
      <c r="I36" s="351">
        <f t="shared" si="5"/>
        <v>5797791567.6006994</v>
      </c>
      <c r="J36" s="351">
        <f t="shared" si="6"/>
        <v>5367123424.1750689</v>
      </c>
      <c r="K36" s="351">
        <f t="shared" si="7"/>
        <v>872005186.65245867</v>
      </c>
      <c r="L36" s="351">
        <f t="shared" si="8"/>
        <v>-23336414481.134258</v>
      </c>
      <c r="M36" s="351">
        <f t="shared" si="9"/>
        <v>560521077607.73853</v>
      </c>
      <c r="N36" s="351">
        <f t="shared" si="10"/>
        <v>4572611695915.7656</v>
      </c>
    </row>
    <row r="37" spans="3:14">
      <c r="C37">
        <v>-0.68</v>
      </c>
      <c r="D37" s="351">
        <f t="shared" si="0"/>
        <v>-37718779.208035223</v>
      </c>
      <c r="E37" s="351">
        <f t="shared" si="1"/>
        <v>101303180.46927829</v>
      </c>
      <c r="F37" s="351">
        <f t="shared" si="2"/>
        <v>367182354.11089689</v>
      </c>
      <c r="G37" s="351">
        <f t="shared" si="3"/>
        <v>874524593.01056373</v>
      </c>
      <c r="H37" s="351">
        <f t="shared" si="4"/>
        <v>2404673736.1205654</v>
      </c>
      <c r="I37" s="351">
        <f t="shared" si="5"/>
        <v>4755862436.5035868</v>
      </c>
      <c r="J37" s="351">
        <f t="shared" si="6"/>
        <v>4421793209.4395256</v>
      </c>
      <c r="K37" s="351">
        <f t="shared" si="7"/>
        <v>1043894991.7997727</v>
      </c>
      <c r="L37" s="351">
        <f t="shared" si="8"/>
        <v>-16579257317.061623</v>
      </c>
      <c r="M37" s="351">
        <f t="shared" si="9"/>
        <v>395172752907.55353</v>
      </c>
      <c r="N37" s="351">
        <f t="shared" si="10"/>
        <v>3136187169414.6631</v>
      </c>
    </row>
    <row r="38" spans="3:14">
      <c r="C38">
        <v>-0.67</v>
      </c>
      <c r="D38" s="351">
        <f t="shared" si="0"/>
        <v>-36336827.15389584</v>
      </c>
      <c r="E38" s="351">
        <f t="shared" si="1"/>
        <v>90425884.66696313</v>
      </c>
      <c r="F38" s="351">
        <f t="shared" si="2"/>
        <v>325512808.99028134</v>
      </c>
      <c r="G38" s="351">
        <f t="shared" si="3"/>
        <v>760504752.36712754</v>
      </c>
      <c r="H38" s="351">
        <f t="shared" si="4"/>
        <v>2032688942.2600868</v>
      </c>
      <c r="I38" s="351">
        <f t="shared" si="5"/>
        <v>3928258628.8991942</v>
      </c>
      <c r="J38" s="351">
        <f t="shared" si="6"/>
        <v>3667087732.4221263</v>
      </c>
      <c r="K38" s="351">
        <f t="shared" si="7"/>
        <v>1106315774.8107412</v>
      </c>
      <c r="L38" s="351">
        <f t="shared" si="8"/>
        <v>-11848879963.523592</v>
      </c>
      <c r="M38" s="351">
        <f t="shared" si="9"/>
        <v>281667370581.03949</v>
      </c>
      <c r="N38" s="351">
        <f t="shared" si="10"/>
        <v>2176381880683.0559</v>
      </c>
    </row>
    <row r="39" spans="3:14">
      <c r="C39">
        <v>-0.66</v>
      </c>
      <c r="D39" s="351">
        <f t="shared" si="0"/>
        <v>-35049809.370378092</v>
      </c>
      <c r="E39" s="351">
        <f t="shared" si="1"/>
        <v>80853701.079098001</v>
      </c>
      <c r="F39" s="351">
        <f t="shared" si="2"/>
        <v>289479765.46742082</v>
      </c>
      <c r="G39" s="351">
        <f t="shared" si="3"/>
        <v>664156155.76338506</v>
      </c>
      <c r="H39" s="351">
        <f t="shared" si="4"/>
        <v>1727711590.2883532</v>
      </c>
      <c r="I39" s="351">
        <f t="shared" si="5"/>
        <v>3265812803.8909116</v>
      </c>
      <c r="J39" s="351">
        <f t="shared" si="6"/>
        <v>3060126694.9664512</v>
      </c>
      <c r="K39" s="351">
        <f t="shared" si="7"/>
        <v>1102697277.7229183</v>
      </c>
      <c r="L39" s="351">
        <f t="shared" si="8"/>
        <v>-8508869938.4997892</v>
      </c>
      <c r="M39" s="351">
        <f t="shared" si="9"/>
        <v>202848502965.91147</v>
      </c>
      <c r="N39" s="351">
        <f t="shared" si="10"/>
        <v>1527080431905.5781</v>
      </c>
    </row>
    <row r="40" spans="3:14">
      <c r="C40">
        <v>-0.65</v>
      </c>
      <c r="D40" s="351">
        <f t="shared" si="0"/>
        <v>-33848452.647935972</v>
      </c>
      <c r="E40" s="351">
        <f t="shared" si="1"/>
        <v>72401613.234424561</v>
      </c>
      <c r="F40" s="351">
        <f t="shared" si="2"/>
        <v>258187216.15349746</v>
      </c>
      <c r="G40" s="351">
        <f t="shared" si="3"/>
        <v>582310843.80172253</v>
      </c>
      <c r="H40" s="351">
        <f t="shared" si="4"/>
        <v>1476080008.3722508</v>
      </c>
      <c r="I40" s="351">
        <f t="shared" si="5"/>
        <v>2731708100.7325392</v>
      </c>
      <c r="J40" s="351">
        <f t="shared" si="6"/>
        <v>2568593835.5435009</v>
      </c>
      <c r="K40" s="351">
        <f t="shared" si="7"/>
        <v>1060654170.6448618</v>
      </c>
      <c r="L40" s="351">
        <f t="shared" si="8"/>
        <v>-6132227806.7237425</v>
      </c>
      <c r="M40" s="351">
        <f t="shared" si="9"/>
        <v>147519342048.14081</v>
      </c>
      <c r="N40" s="351">
        <f t="shared" si="10"/>
        <v>1082697871443.9098</v>
      </c>
    </row>
    <row r="41" spans="3:14">
      <c r="C41">
        <v>-0.64</v>
      </c>
      <c r="D41" s="351">
        <f t="shared" si="0"/>
        <v>-32724636.848214559</v>
      </c>
      <c r="E41" s="351">
        <f t="shared" si="1"/>
        <v>64914928.796208613</v>
      </c>
      <c r="F41" s="351">
        <f t="shared" si="2"/>
        <v>230901987.96951589</v>
      </c>
      <c r="G41" s="351">
        <f t="shared" si="3"/>
        <v>512440887.59972602</v>
      </c>
      <c r="H41" s="351">
        <f t="shared" si="4"/>
        <v>1267217837.3861144</v>
      </c>
      <c r="I41" s="351">
        <f t="shared" si="5"/>
        <v>2298125644.939467</v>
      </c>
      <c r="J41" s="351">
        <f t="shared" si="6"/>
        <v>2167924053.4777899</v>
      </c>
      <c r="K41" s="351">
        <f t="shared" si="7"/>
        <v>997686967.26406431</v>
      </c>
      <c r="L41" s="351">
        <f t="shared" si="8"/>
        <v>-4429294895.8300934</v>
      </c>
      <c r="M41" s="351">
        <f t="shared" si="9"/>
        <v>108279545405.39339</v>
      </c>
      <c r="N41" s="351">
        <f t="shared" si="10"/>
        <v>775210769296.25012</v>
      </c>
    </row>
    <row r="42" spans="3:14">
      <c r="C42">
        <v>-0.63</v>
      </c>
      <c r="D42" s="351">
        <f t="shared" si="0"/>
        <v>-31671222.948758636</v>
      </c>
      <c r="E42" s="351">
        <f t="shared" si="1"/>
        <v>58263658.987280838</v>
      </c>
      <c r="F42" s="351">
        <f t="shared" si="2"/>
        <v>207020633.64443871</v>
      </c>
      <c r="G42" s="351">
        <f t="shared" si="3"/>
        <v>452515430.77415276</v>
      </c>
      <c r="H42" s="351">
        <f t="shared" si="4"/>
        <v>1092874093.3937294</v>
      </c>
      <c r="I42" s="351">
        <f t="shared" si="5"/>
        <v>1943865678.5045624</v>
      </c>
      <c r="J42" s="351">
        <f t="shared" si="6"/>
        <v>1839291970.8266306</v>
      </c>
      <c r="K42" s="351">
        <f t="shared" si="7"/>
        <v>924797997.79241145</v>
      </c>
      <c r="L42" s="351">
        <f t="shared" si="8"/>
        <v>-3201552712.9560618</v>
      </c>
      <c r="M42" s="351">
        <f t="shared" si="9"/>
        <v>80179336994.089386</v>
      </c>
      <c r="N42" s="351">
        <f t="shared" si="10"/>
        <v>560233644305.59595</v>
      </c>
    </row>
    <row r="43" spans="3:14">
      <c r="C43">
        <v>-0.62</v>
      </c>
      <c r="D43" s="351">
        <f t="shared" si="0"/>
        <v>-30681910.719124012</v>
      </c>
      <c r="E43" s="351">
        <f t="shared" si="1"/>
        <v>52338055.287331134</v>
      </c>
      <c r="F43" s="351">
        <f t="shared" si="2"/>
        <v>186043732.22180143</v>
      </c>
      <c r="G43" s="351">
        <f t="shared" si="3"/>
        <v>400892530.87502843</v>
      </c>
      <c r="H43" s="351">
        <f t="shared" si="4"/>
        <v>946565013.5769974</v>
      </c>
      <c r="I43" s="351">
        <f t="shared" si="5"/>
        <v>1652642164.6853211</v>
      </c>
      <c r="J43" s="351">
        <f t="shared" si="6"/>
        <v>1568159515.115478</v>
      </c>
      <c r="K43" s="351">
        <f t="shared" si="7"/>
        <v>848803309.15733147</v>
      </c>
      <c r="L43" s="351">
        <f t="shared" si="8"/>
        <v>-2311635685.7737622</v>
      </c>
      <c r="M43" s="351">
        <f t="shared" si="9"/>
        <v>59870541918.987694</v>
      </c>
      <c r="N43" s="351">
        <f t="shared" si="10"/>
        <v>408454903956.10406</v>
      </c>
    </row>
    <row r="44" spans="3:14">
      <c r="C44">
        <v>-0.61</v>
      </c>
      <c r="D44" s="351">
        <f t="shared" si="0"/>
        <v>-29751120.276120696</v>
      </c>
      <c r="E44" s="351">
        <f t="shared" si="1"/>
        <v>47045042.415533014</v>
      </c>
      <c r="F44" s="351">
        <f t="shared" si="2"/>
        <v>167555796.90654171</v>
      </c>
      <c r="G44" s="351">
        <f t="shared" si="3"/>
        <v>356236670.15969872</v>
      </c>
      <c r="H44" s="351">
        <f t="shared" si="4"/>
        <v>823160448.50496972</v>
      </c>
      <c r="I44" s="351">
        <f t="shared" si="5"/>
        <v>1411848315.4381862</v>
      </c>
      <c r="J44" s="351">
        <f t="shared" si="6"/>
        <v>1343217455.1832724</v>
      </c>
      <c r="K44" s="351">
        <f t="shared" si="7"/>
        <v>773820813.98010373</v>
      </c>
      <c r="L44" s="351">
        <f t="shared" si="8"/>
        <v>-1663638120.5213645</v>
      </c>
      <c r="M44" s="351">
        <f t="shared" si="9"/>
        <v>45064105709.207016</v>
      </c>
      <c r="N44" s="351">
        <f t="shared" si="10"/>
        <v>300296488672.35913</v>
      </c>
    </row>
    <row r="45" spans="3:14">
      <c r="C45">
        <v>-0.6</v>
      </c>
      <c r="D45" s="351">
        <f t="shared" si="0"/>
        <v>-28873893.000965048</v>
      </c>
      <c r="E45" s="351">
        <f t="shared" si="1"/>
        <v>42305350.35381943</v>
      </c>
      <c r="F45" s="351">
        <f t="shared" si="2"/>
        <v>151209459.87742627</v>
      </c>
      <c r="G45" s="351">
        <f t="shared" si="3"/>
        <v>317455364.72006893</v>
      </c>
      <c r="H45" s="351">
        <f t="shared" si="4"/>
        <v>718574781.69149661</v>
      </c>
      <c r="I45" s="351">
        <f t="shared" si="5"/>
        <v>1211654790.2300613</v>
      </c>
      <c r="J45" s="351">
        <f t="shared" si="6"/>
        <v>1155607274.4159935</v>
      </c>
      <c r="K45" s="351">
        <f t="shared" si="7"/>
        <v>702233450.22913718</v>
      </c>
      <c r="L45" s="351">
        <f t="shared" si="8"/>
        <v>-1190038120.2455237</v>
      </c>
      <c r="M45" s="351">
        <f t="shared" si="9"/>
        <v>34179190239.293995</v>
      </c>
      <c r="N45" s="351">
        <f t="shared" si="10"/>
        <v>222540266667.49451</v>
      </c>
    </row>
    <row r="46" spans="3:14">
      <c r="C46">
        <v>-0.59</v>
      </c>
      <c r="D46" s="351">
        <f t="shared" si="0"/>
        <v>-28045808.246941447</v>
      </c>
      <c r="E46" s="351">
        <f t="shared" si="1"/>
        <v>38051195.202024847</v>
      </c>
      <c r="F46" s="351">
        <f t="shared" si="2"/>
        <v>136712943.44627959</v>
      </c>
      <c r="G46" s="351">
        <f t="shared" si="3"/>
        <v>283650099.23897308</v>
      </c>
      <c r="H46" s="351">
        <f t="shared" si="4"/>
        <v>629534115.36934006</v>
      </c>
      <c r="I46" s="351">
        <f t="shared" si="5"/>
        <v>1044345184.6674699</v>
      </c>
      <c r="J46" s="351">
        <f t="shared" si="6"/>
        <v>998344378.26048112</v>
      </c>
      <c r="K46" s="351">
        <f t="shared" si="7"/>
        <v>635315098.75045216</v>
      </c>
      <c r="L46" s="351">
        <f t="shared" si="8"/>
        <v>-842924427.73538339</v>
      </c>
      <c r="M46" s="351">
        <f t="shared" si="9"/>
        <v>26113548415.917801</v>
      </c>
      <c r="N46" s="351">
        <f t="shared" si="10"/>
        <v>166170535307.57526</v>
      </c>
    </row>
    <row r="47" spans="3:14">
      <c r="C47">
        <v>-0.57999999999999996</v>
      </c>
      <c r="D47" s="351">
        <f t="shared" si="0"/>
        <v>-27262912.995846417</v>
      </c>
      <c r="E47" s="351">
        <f t="shared" si="1"/>
        <v>34224393.649038129</v>
      </c>
      <c r="F47" s="351">
        <f t="shared" si="2"/>
        <v>123820074.06911565</v>
      </c>
      <c r="G47" s="351">
        <f t="shared" si="3"/>
        <v>254078090.58155167</v>
      </c>
      <c r="H47" s="351">
        <f t="shared" si="4"/>
        <v>553399575.41553855</v>
      </c>
      <c r="I47" s="351">
        <f t="shared" si="5"/>
        <v>903822331.74429739</v>
      </c>
      <c r="J47" s="351">
        <f t="shared" si="6"/>
        <v>865887166.89741087</v>
      </c>
      <c r="K47" s="351">
        <f t="shared" si="7"/>
        <v>573638357.44680333</v>
      </c>
      <c r="L47" s="351">
        <f t="shared" si="8"/>
        <v>-588052238.96597779</v>
      </c>
      <c r="M47" s="351">
        <f t="shared" si="9"/>
        <v>20091603053.825447</v>
      </c>
      <c r="N47" s="351">
        <f t="shared" si="10"/>
        <v>124978098537.25055</v>
      </c>
    </row>
    <row r="48" spans="3:14">
      <c r="C48">
        <v>-0.56999999999999995</v>
      </c>
      <c r="D48" s="351">
        <f t="shared" si="0"/>
        <v>-26521662.188338332</v>
      </c>
      <c r="E48" s="351">
        <f t="shared" si="1"/>
        <v>30774822.079791587</v>
      </c>
      <c r="F48" s="351">
        <f t="shared" si="2"/>
        <v>112322276.98589274</v>
      </c>
      <c r="G48" s="351">
        <f t="shared" si="3"/>
        <v>228122297.09689143</v>
      </c>
      <c r="H48" s="351">
        <f t="shared" si="4"/>
        <v>488032243.60358322</v>
      </c>
      <c r="I48" s="351">
        <f t="shared" si="5"/>
        <v>785238635.28497303</v>
      </c>
      <c r="J48" s="351">
        <f t="shared" si="6"/>
        <v>753812667.99187446</v>
      </c>
      <c r="K48" s="351">
        <f t="shared" si="7"/>
        <v>517340374.23962545</v>
      </c>
      <c r="L48" s="351">
        <f t="shared" si="8"/>
        <v>-400778302.45215571</v>
      </c>
      <c r="M48" s="351">
        <f t="shared" si="9"/>
        <v>15562882021.972515</v>
      </c>
      <c r="N48" s="351">
        <f t="shared" si="10"/>
        <v>94647057780.796417</v>
      </c>
    </row>
    <row r="49" spans="3:14">
      <c r="C49">
        <v>-0.56000000000000005</v>
      </c>
      <c r="D49" s="351">
        <f t="shared" si="0"/>
        <v>-25818867.896591991</v>
      </c>
      <c r="E49" s="351">
        <f t="shared" si="1"/>
        <v>27659151.152832881</v>
      </c>
      <c r="F49" s="351">
        <f t="shared" si="2"/>
        <v>102042123.30200776</v>
      </c>
      <c r="G49" s="351">
        <f t="shared" si="3"/>
        <v>205267750.49006796</v>
      </c>
      <c r="H49" s="351">
        <f t="shared" si="4"/>
        <v>431689204.20881003</v>
      </c>
      <c r="I49" s="351">
        <f t="shared" si="5"/>
        <v>684717213.52764106</v>
      </c>
      <c r="J49" s="351">
        <f t="shared" si="6"/>
        <v>658570633.7579565</v>
      </c>
      <c r="K49" s="351">
        <f t="shared" si="7"/>
        <v>466295874.68788475</v>
      </c>
      <c r="L49" s="351">
        <f t="shared" si="8"/>
        <v>-263256731.08690336</v>
      </c>
      <c r="M49" s="351">
        <f t="shared" si="9"/>
        <v>12133442038.29598</v>
      </c>
      <c r="N49" s="351">
        <f t="shared" si="10"/>
        <v>72151085845.416656</v>
      </c>
    </row>
    <row r="50" spans="3:14">
      <c r="C50">
        <v>-0.55000000000000004</v>
      </c>
      <c r="D50" s="351">
        <f t="shared" si="0"/>
        <v>-25151655.856477331</v>
      </c>
      <c r="E50" s="351">
        <f t="shared" si="1"/>
        <v>24839801.75346734</v>
      </c>
      <c r="F50" s="351">
        <f t="shared" si="2"/>
        <v>92828101.190854028</v>
      </c>
      <c r="G50" s="351">
        <f t="shared" si="3"/>
        <v>185082767.82168132</v>
      </c>
      <c r="H50" s="351">
        <f t="shared" si="4"/>
        <v>382943016.54648441</v>
      </c>
      <c r="I50" s="351">
        <f t="shared" si="5"/>
        <v>599140053.58909726</v>
      </c>
      <c r="J50" s="351">
        <f t="shared" si="6"/>
        <v>577295851.3541342</v>
      </c>
      <c r="K50" s="351">
        <f t="shared" si="7"/>
        <v>420229288.4211877</v>
      </c>
      <c r="L50" s="351">
        <f t="shared" si="8"/>
        <v>-162488452.02817661</v>
      </c>
      <c r="M50" s="351">
        <f t="shared" si="9"/>
        <v>9519127209.2486629</v>
      </c>
      <c r="N50" s="351">
        <f t="shared" si="10"/>
        <v>55350291933.928429</v>
      </c>
    </row>
    <row r="51" spans="3:14">
      <c r="C51">
        <v>-0.54</v>
      </c>
      <c r="D51" s="351">
        <f t="shared" si="0"/>
        <v>-24517428.152613938</v>
      </c>
      <c r="E51" s="351">
        <f t="shared" si="1"/>
        <v>22284079.765383597</v>
      </c>
      <c r="F51" s="351">
        <f t="shared" si="2"/>
        <v>84550357.843925014</v>
      </c>
      <c r="G51" s="351">
        <f t="shared" si="3"/>
        <v>167203954.07030031</v>
      </c>
      <c r="H51" s="351">
        <f t="shared" si="4"/>
        <v>340618947.28300297</v>
      </c>
      <c r="I51" s="351">
        <f t="shared" si="5"/>
        <v>525985986.13824433</v>
      </c>
      <c r="J51" s="351">
        <f t="shared" si="6"/>
        <v>507663953.79895443</v>
      </c>
      <c r="K51" s="351">
        <f t="shared" si="7"/>
        <v>378786816.97973359</v>
      </c>
      <c r="L51" s="351">
        <f t="shared" si="8"/>
        <v>-88953775.070807278</v>
      </c>
      <c r="M51" s="351">
        <f t="shared" si="9"/>
        <v>7513422153.4595804</v>
      </c>
      <c r="N51" s="351">
        <f t="shared" si="10"/>
        <v>42719454154.74736</v>
      </c>
    </row>
    <row r="52" spans="3:14">
      <c r="C52">
        <v>-0.53</v>
      </c>
      <c r="D52" s="351">
        <f t="shared" si="0"/>
        <v>-23913831.069486462</v>
      </c>
      <c r="E52" s="351">
        <f t="shared" si="1"/>
        <v>19963455.993170246</v>
      </c>
      <c r="F52" s="351">
        <f t="shared" si="2"/>
        <v>77097215.429582939</v>
      </c>
      <c r="G52" s="351">
        <f t="shared" si="3"/>
        <v>151324166.68772227</v>
      </c>
      <c r="H52" s="351">
        <f t="shared" si="4"/>
        <v>303745755.99346173</v>
      </c>
      <c r="I52" s="351">
        <f t="shared" si="5"/>
        <v>463205964.84679723</v>
      </c>
      <c r="J52" s="351">
        <f t="shared" si="6"/>
        <v>447779961.00010252</v>
      </c>
      <c r="K52" s="351">
        <f t="shared" si="7"/>
        <v>341582130.96681583</v>
      </c>
      <c r="L52" s="351">
        <f t="shared" si="8"/>
        <v>-35646631.170523673</v>
      </c>
      <c r="M52" s="351">
        <f t="shared" si="9"/>
        <v>5965151985.6891441</v>
      </c>
      <c r="N52" s="351">
        <f t="shared" si="10"/>
        <v>33163139141.643166</v>
      </c>
    </row>
    <row r="53" spans="3:14">
      <c r="C53">
        <v>-0.52</v>
      </c>
      <c r="D53" s="351">
        <f t="shared" si="0"/>
        <v>-23338727.297769137</v>
      </c>
      <c r="E53" s="351">
        <f t="shared" si="1"/>
        <v>17852964.458471887</v>
      </c>
      <c r="F53" s="351">
        <f t="shared" si="2"/>
        <v>70372307.400026143</v>
      </c>
      <c r="G53" s="351">
        <f t="shared" si="3"/>
        <v>137182807.99586701</v>
      </c>
      <c r="H53" s="351">
        <f t="shared" si="4"/>
        <v>271516889.14681357</v>
      </c>
      <c r="I53" s="351">
        <f t="shared" si="5"/>
        <v>409126470.14774019</v>
      </c>
      <c r="J53" s="351">
        <f t="shared" si="6"/>
        <v>396091609.28378659</v>
      </c>
      <c r="K53" s="351">
        <f t="shared" si="7"/>
        <v>308224724.7930305</v>
      </c>
      <c r="L53" s="351">
        <f t="shared" si="8"/>
        <v>2612301.8176364405</v>
      </c>
      <c r="M53" s="351">
        <f t="shared" si="9"/>
        <v>4762885503.9605513</v>
      </c>
      <c r="N53" s="351">
        <f t="shared" si="10"/>
        <v>25888833727.776752</v>
      </c>
    </row>
    <row r="54" spans="3:14">
      <c r="C54">
        <v>-0.51</v>
      </c>
      <c r="D54" s="351">
        <f t="shared" si="0"/>
        <v>-22790171.826582506</v>
      </c>
      <c r="E54" s="351">
        <f t="shared" si="1"/>
        <v>15930697.664073661</v>
      </c>
      <c r="F54" s="351">
        <f t="shared" si="2"/>
        <v>64292214.458917692</v>
      </c>
      <c r="G54" s="351">
        <f t="shared" si="3"/>
        <v>124557957.0900061</v>
      </c>
      <c r="H54" s="351">
        <f t="shared" si="4"/>
        <v>243259715.68051261</v>
      </c>
      <c r="I54" s="351">
        <f t="shared" si="5"/>
        <v>362374254.58819258</v>
      </c>
      <c r="J54" s="351">
        <f t="shared" si="6"/>
        <v>351321573.00569421</v>
      </c>
      <c r="K54" s="351">
        <f t="shared" si="7"/>
        <v>278336903.80362874</v>
      </c>
      <c r="L54" s="351">
        <f t="shared" si="8"/>
        <v>29667371.485629953</v>
      </c>
      <c r="M54" s="351">
        <f t="shared" si="9"/>
        <v>3823940667.9347215</v>
      </c>
      <c r="N54" s="351">
        <f t="shared" si="10"/>
        <v>20319160175.898449</v>
      </c>
    </row>
    <row r="55" spans="3:14">
      <c r="C55">
        <v>-0.5</v>
      </c>
      <c r="D55" s="351">
        <f t="shared" si="0"/>
        <v>-22266390.966875639</v>
      </c>
      <c r="E55" s="351">
        <f t="shared" si="1"/>
        <v>14177381.630774017</v>
      </c>
      <c r="F55" s="351">
        <f t="shared" si="2"/>
        <v>58784504.891643405</v>
      </c>
      <c r="G55" s="351">
        <f t="shared" si="3"/>
        <v>113259962.99048057</v>
      </c>
      <c r="H55" s="351">
        <f t="shared" si="4"/>
        <v>218411011.43303859</v>
      </c>
      <c r="I55" s="351">
        <f t="shared" si="5"/>
        <v>321817384.03970546</v>
      </c>
      <c r="J55" s="351">
        <f t="shared" si="6"/>
        <v>312414171.24894512</v>
      </c>
      <c r="K55" s="351">
        <f t="shared" si="7"/>
        <v>251563366.63191378</v>
      </c>
      <c r="L55" s="351">
        <f t="shared" si="8"/>
        <v>48382253.873432994</v>
      </c>
      <c r="M55" s="351">
        <f t="shared" si="9"/>
        <v>3086575835.6529942</v>
      </c>
      <c r="N55" s="351">
        <f t="shared" si="10"/>
        <v>16030650445.228643</v>
      </c>
    </row>
    <row r="56" spans="3:14">
      <c r="C56">
        <v>-0.49</v>
      </c>
      <c r="D56" s="351">
        <f t="shared" si="0"/>
        <v>-21765764.04411903</v>
      </c>
      <c r="E56" s="351">
        <f t="shared" si="1"/>
        <v>12576016.829799803</v>
      </c>
      <c r="F56" s="351">
        <f t="shared" si="2"/>
        <v>53786103.622554913</v>
      </c>
      <c r="G56" s="351">
        <f t="shared" si="3"/>
        <v>103126204.40227036</v>
      </c>
      <c r="H56" s="351">
        <f t="shared" si="4"/>
        <v>196497326.22613585</v>
      </c>
      <c r="I56" s="351">
        <f t="shared" si="5"/>
        <v>286518796.43241268</v>
      </c>
      <c r="J56" s="351">
        <f t="shared" si="6"/>
        <v>278493244.85724699</v>
      </c>
      <c r="K56" s="351">
        <f t="shared" si="7"/>
        <v>227576013.66135779</v>
      </c>
      <c r="L56" s="351">
        <f t="shared" si="8"/>
        <v>60896733.243195884</v>
      </c>
      <c r="M56" s="351">
        <f t="shared" si="9"/>
        <v>2504403536.6789513</v>
      </c>
      <c r="N56" s="351">
        <f t="shared" si="10"/>
        <v>12710718030.549143</v>
      </c>
    </row>
    <row r="57" spans="3:14">
      <c r="C57">
        <v>-0.48</v>
      </c>
      <c r="D57" s="351">
        <f t="shared" si="0"/>
        <v>-21286807.374377992</v>
      </c>
      <c r="E57" s="351">
        <f t="shared" si="1"/>
        <v>11111573.761163415</v>
      </c>
      <c r="F57" s="351">
        <f t="shared" si="2"/>
        <v>49241929.674334131</v>
      </c>
      <c r="G57" s="351">
        <f t="shared" si="3"/>
        <v>94016785.338901654</v>
      </c>
      <c r="H57" s="351">
        <f t="shared" si="4"/>
        <v>177119186.31880948</v>
      </c>
      <c r="I57" s="351">
        <f t="shared" si="5"/>
        <v>255699530.86122549</v>
      </c>
      <c r="J57" s="351">
        <f t="shared" si="6"/>
        <v>248828695.37946752</v>
      </c>
      <c r="K57" s="351">
        <f t="shared" si="7"/>
        <v>206075727.20624226</v>
      </c>
      <c r="L57" s="351">
        <f t="shared" si="8"/>
        <v>68813847.644458339</v>
      </c>
      <c r="M57" s="351">
        <f t="shared" si="9"/>
        <v>2042366464.7663667</v>
      </c>
      <c r="N57" s="351">
        <f t="shared" si="10"/>
        <v>10127197275.451551</v>
      </c>
    </row>
    <row r="58" spans="3:14">
      <c r="C58">
        <v>-0.47</v>
      </c>
      <c r="D58" s="351">
        <f t="shared" si="0"/>
        <v>-20828160.200029403</v>
      </c>
      <c r="E58" s="351">
        <f t="shared" si="1"/>
        <v>9770734.0194014441</v>
      </c>
      <c r="F58" s="351">
        <f t="shared" si="2"/>
        <v>45103753.68961338</v>
      </c>
      <c r="G58" s="351">
        <f t="shared" si="3"/>
        <v>85810984.974591881</v>
      </c>
      <c r="H58" s="351">
        <f t="shared" si="4"/>
        <v>159938324.91245618</v>
      </c>
      <c r="I58" s="351">
        <f t="shared" si="5"/>
        <v>228709468.60840183</v>
      </c>
      <c r="J58" s="351">
        <f t="shared" si="6"/>
        <v>222809776.5731191</v>
      </c>
      <c r="K58" s="351">
        <f t="shared" si="7"/>
        <v>186792278.81573251</v>
      </c>
      <c r="L58" s="351">
        <f t="shared" si="8"/>
        <v>73337006.683595225</v>
      </c>
      <c r="M58" s="351">
        <f t="shared" si="9"/>
        <v>1673819485.2899547</v>
      </c>
      <c r="N58" s="351">
        <f t="shared" si="10"/>
        <v>8106628006.1039772</v>
      </c>
    </row>
    <row r="59" spans="3:14">
      <c r="C59">
        <v>-0.46</v>
      </c>
      <c r="D59" s="351">
        <f t="shared" si="0"/>
        <v>-20388572.312567592</v>
      </c>
      <c r="E59" s="351">
        <f t="shared" si="1"/>
        <v>8541669.3598540798</v>
      </c>
      <c r="F59" s="351">
        <f t="shared" si="2"/>
        <v>41329236.603964143</v>
      </c>
      <c r="G59" s="351">
        <f t="shared" si="3"/>
        <v>78404318.03674899</v>
      </c>
      <c r="H59" s="351">
        <f t="shared" si="4"/>
        <v>144667315.00016305</v>
      </c>
      <c r="I59" s="351">
        <f t="shared" si="5"/>
        <v>205003940.22505057</v>
      </c>
      <c r="J59" s="351">
        <f t="shared" si="6"/>
        <v>199923676.93985176</v>
      </c>
      <c r="K59" s="351">
        <f t="shared" si="7"/>
        <v>169483124.78106362</v>
      </c>
      <c r="L59" s="351">
        <f t="shared" si="8"/>
        <v>75370956.449535355</v>
      </c>
      <c r="M59" s="351">
        <f t="shared" si="9"/>
        <v>1378400107.0245121</v>
      </c>
      <c r="N59" s="351">
        <f t="shared" si="10"/>
        <v>6518670227.4272394</v>
      </c>
    </row>
    <row r="60" spans="3:14">
      <c r="C60">
        <v>-0.45</v>
      </c>
      <c r="D60" s="351">
        <f t="shared" si="0"/>
        <v>-19966893.13223524</v>
      </c>
      <c r="E60" s="351">
        <f t="shared" si="1"/>
        <v>7413852.6210702816</v>
      </c>
      <c r="F60" s="351">
        <f t="shared" si="2"/>
        <v>37881118.01337228</v>
      </c>
      <c r="G60" s="351">
        <f t="shared" si="3"/>
        <v>71706091.530355811</v>
      </c>
      <c r="H60" s="351">
        <f t="shared" si="4"/>
        <v>131061117.09400162</v>
      </c>
      <c r="I60" s="351">
        <f t="shared" si="5"/>
        <v>184124936.67390206</v>
      </c>
      <c r="J60" s="351">
        <f t="shared" si="6"/>
        <v>179738268.50932983</v>
      </c>
      <c r="K60" s="351">
        <f t="shared" si="7"/>
        <v>153931587.19519743</v>
      </c>
      <c r="L60" s="351">
        <f t="shared" si="8"/>
        <v>75596472.632340223</v>
      </c>
      <c r="M60" s="351">
        <f t="shared" si="9"/>
        <v>1140464788.4895966</v>
      </c>
      <c r="N60" s="351">
        <f t="shared" si="10"/>
        <v>5264845865.8425493</v>
      </c>
    </row>
    <row r="61" spans="3:14">
      <c r="C61">
        <v>-0.44</v>
      </c>
      <c r="D61" s="351">
        <f t="shared" si="0"/>
        <v>-19562062.049290847</v>
      </c>
      <c r="E61" s="351">
        <f t="shared" si="1"/>
        <v>6377895.4415198173</v>
      </c>
      <c r="F61" s="351">
        <f t="shared" si="2"/>
        <v>34726528.699434973</v>
      </c>
      <c r="G61" s="351">
        <f t="shared" si="3"/>
        <v>65637366.602288447</v>
      </c>
      <c r="H61" s="351">
        <f t="shared" si="4"/>
        <v>118910160.16771236</v>
      </c>
      <c r="I61" s="351">
        <f t="shared" si="5"/>
        <v>165685951.67717254</v>
      </c>
      <c r="J61" s="351">
        <f t="shared" si="6"/>
        <v>161888151.74186334</v>
      </c>
      <c r="K61" s="351">
        <f t="shared" si="7"/>
        <v>139944741.56876647</v>
      </c>
      <c r="L61" s="351">
        <f t="shared" si="8"/>
        <v>74525861.079819262</v>
      </c>
      <c r="M61" s="351">
        <f t="shared" si="9"/>
        <v>947933915.46789467</v>
      </c>
      <c r="N61" s="351">
        <f t="shared" si="10"/>
        <v>4270355468.9727726</v>
      </c>
    </row>
    <row r="62" spans="3:14">
      <c r="C62">
        <v>-0.42999999999999899</v>
      </c>
      <c r="D62" s="351">
        <f t="shared" si="0"/>
        <v>-19173099.860923514</v>
      </c>
      <c r="E62" s="351">
        <f t="shared" si="1"/>
        <v>5425408.5854334468</v>
      </c>
      <c r="F62" s="351">
        <f t="shared" si="2"/>
        <v>31836406.49841506</v>
      </c>
      <c r="G62" s="351">
        <f t="shared" si="3"/>
        <v>60129252.411596976</v>
      </c>
      <c r="H62" s="351">
        <f t="shared" si="4"/>
        <v>108034655.55689968</v>
      </c>
      <c r="I62" s="351">
        <f t="shared" si="5"/>
        <v>149359701.43795335</v>
      </c>
      <c r="J62" s="351">
        <f t="shared" si="6"/>
        <v>146063320.0494639</v>
      </c>
      <c r="K62" s="351">
        <f t="shared" si="7"/>
        <v>127351214.30081958</v>
      </c>
      <c r="L62" s="351">
        <f t="shared" si="8"/>
        <v>72544366.923058957</v>
      </c>
      <c r="M62" s="351">
        <f t="shared" si="9"/>
        <v>791433762.36610425</v>
      </c>
      <c r="N62" s="351">
        <f t="shared" si="10"/>
        <v>3478094270.1251984</v>
      </c>
    </row>
    <row r="63" spans="3:14">
      <c r="C63">
        <v>-0.41999999999999899</v>
      </c>
      <c r="D63" s="351">
        <f t="shared" si="0"/>
        <v>-18799101.162219081</v>
      </c>
      <c r="E63" s="351">
        <f t="shared" si="1"/>
        <v>4548881.4052610584</v>
      </c>
      <c r="F63" s="351">
        <f t="shared" si="2"/>
        <v>29184998.48429611</v>
      </c>
      <c r="G63" s="351">
        <f t="shared" si="3"/>
        <v>55121473.105803289</v>
      </c>
      <c r="H63" s="351">
        <f t="shared" si="4"/>
        <v>98279906.509209037</v>
      </c>
      <c r="I63" s="351">
        <f t="shared" si="5"/>
        <v>134868134.7158114</v>
      </c>
      <c r="J63" s="351">
        <f t="shared" si="6"/>
        <v>131999915.43894078</v>
      </c>
      <c r="K63" s="351">
        <f t="shared" si="7"/>
        <v>115999015.02959873</v>
      </c>
      <c r="L63" s="351">
        <f t="shared" si="8"/>
        <v>69941188.237175584</v>
      </c>
      <c r="M63" s="351">
        <f t="shared" si="9"/>
        <v>663655558.13953066</v>
      </c>
      <c r="N63" s="351">
        <f t="shared" si="10"/>
        <v>2844251185.2076325</v>
      </c>
    </row>
    <row r="64" spans="3:14">
      <c r="C64">
        <v>-0.40999999999999898</v>
      </c>
      <c r="D64" s="351">
        <f t="shared" si="0"/>
        <v>-18439227.570028581</v>
      </c>
      <c r="E64" s="351">
        <f t="shared" si="1"/>
        <v>3741577.5498044314</v>
      </c>
      <c r="F64" s="351">
        <f t="shared" si="2"/>
        <v>26749435.480292089</v>
      </c>
      <c r="G64" s="351">
        <f t="shared" si="3"/>
        <v>50561160.273669794</v>
      </c>
      <c r="H64" s="351">
        <f t="shared" si="4"/>
        <v>89512424.994463921</v>
      </c>
      <c r="I64" s="351">
        <f t="shared" si="5"/>
        <v>121974273.94830936</v>
      </c>
      <c r="J64" s="351">
        <f t="shared" si="6"/>
        <v>119472660.48428831</v>
      </c>
      <c r="K64" s="351">
        <f t="shared" si="7"/>
        <v>105753477.16069636</v>
      </c>
      <c r="L64" s="351">
        <f t="shared" si="8"/>
        <v>66932786.164584644</v>
      </c>
      <c r="M64" s="351">
        <f t="shared" si="9"/>
        <v>558874173.52309299</v>
      </c>
      <c r="N64" s="351">
        <f t="shared" si="10"/>
        <v>2335053945.8359785</v>
      </c>
    </row>
    <row r="65" spans="3:14">
      <c r="C65">
        <v>-0.39999999999999902</v>
      </c>
      <c r="D65" s="351">
        <f t="shared" si="0"/>
        <v>-18092701.675787218</v>
      </c>
      <c r="E65" s="351">
        <f t="shared" si="1"/>
        <v>2997444.5034080818</v>
      </c>
      <c r="F65" s="351">
        <f t="shared" si="2"/>
        <v>24509367.372268561</v>
      </c>
      <c r="G65" s="351">
        <f t="shared" si="3"/>
        <v>46401832.207513511</v>
      </c>
      <c r="H65" s="351">
        <f t="shared" si="4"/>
        <v>81616705.576746896</v>
      </c>
      <c r="I65" s="351">
        <f t="shared" si="5"/>
        <v>110475526.3782721</v>
      </c>
      <c r="J65" s="351">
        <f t="shared" si="6"/>
        <v>108288639.61582716</v>
      </c>
      <c r="K65" s="351">
        <f t="shared" si="7"/>
        <v>96495346.013039634</v>
      </c>
      <c r="L65" s="351">
        <f t="shared" si="8"/>
        <v>63680461.964774251</v>
      </c>
      <c r="M65" s="351">
        <f t="shared" si="9"/>
        <v>472584816.42934704</v>
      </c>
      <c r="N65" s="351">
        <f t="shared" si="10"/>
        <v>1924348923.9217958</v>
      </c>
    </row>
    <row r="66" spans="3:14">
      <c r="C66">
        <v>-0.38999999999999901</v>
      </c>
      <c r="D66" s="351">
        <f t="shared" si="0"/>
        <v>-17758801.637838885</v>
      </c>
      <c r="E66" s="351">
        <f t="shared" si="1"/>
        <v>2311034.9330907711</v>
      </c>
      <c r="F66" s="351">
        <f t="shared" si="2"/>
        <v>22446649.691373192</v>
      </c>
      <c r="G66" s="351">
        <f t="shared" si="3"/>
        <v>42602528.465327799</v>
      </c>
      <c r="H66" s="351">
        <f t="shared" si="4"/>
        <v>74492536.103910938</v>
      </c>
      <c r="I66" s="351">
        <f t="shared" si="5"/>
        <v>100198180.12702812</v>
      </c>
      <c r="J66" s="351">
        <f t="shared" si="6"/>
        <v>98282170.800642759</v>
      </c>
      <c r="K66" s="351">
        <f t="shared" si="7"/>
        <v>88119032.18204236</v>
      </c>
      <c r="L66" s="351">
        <f t="shared" si="8"/>
        <v>60303650.241025575</v>
      </c>
      <c r="M66" s="351">
        <f t="shared" si="9"/>
        <v>401227437.68309212</v>
      </c>
      <c r="N66" s="351">
        <f t="shared" si="10"/>
        <v>1591792241.2672319</v>
      </c>
    </row>
    <row r="67" spans="3:14">
      <c r="C67">
        <v>-0.37999999999999901</v>
      </c>
      <c r="D67" s="351">
        <f t="shared" si="0"/>
        <v>-17436856.336098593</v>
      </c>
      <c r="E67" s="351">
        <f t="shared" si="1"/>
        <v>1677438.1433842406</v>
      </c>
      <c r="F67" s="351">
        <f t="shared" si="2"/>
        <v>20545073.555872954</v>
      </c>
      <c r="G67" s="351">
        <f t="shared" si="3"/>
        <v>39127073.961559191</v>
      </c>
      <c r="H67" s="351">
        <f t="shared" si="4"/>
        <v>68052748.565235719</v>
      </c>
      <c r="I67" s="351">
        <f t="shared" si="5"/>
        <v>90992859.177153721</v>
      </c>
      <c r="J67" s="351">
        <f t="shared" si="6"/>
        <v>89310561.741897374</v>
      </c>
      <c r="K67" s="351">
        <f t="shared" si="7"/>
        <v>80531033.934236154</v>
      </c>
      <c r="L67" s="351">
        <f t="shared" si="8"/>
        <v>56889999.102413543</v>
      </c>
      <c r="M67" s="351">
        <f t="shared" si="9"/>
        <v>341976665.16142887</v>
      </c>
      <c r="N67" s="351">
        <f t="shared" si="10"/>
        <v>1321490976.2717698</v>
      </c>
    </row>
    <row r="68" spans="3:14">
      <c r="C68">
        <v>-0.369999999999999</v>
      </c>
      <c r="D68" s="351">
        <f t="shared" si="0"/>
        <v>-17126241.022304736</v>
      </c>
      <c r="E68" s="351">
        <f t="shared" si="1"/>
        <v>1092220.205809121</v>
      </c>
      <c r="F68" s="351">
        <f t="shared" si="2"/>
        <v>18790132.387552723</v>
      </c>
      <c r="G68" s="351">
        <f t="shared" si="3"/>
        <v>35943451.434457757</v>
      </c>
      <c r="H68" s="351">
        <f t="shared" si="4"/>
        <v>62221332.133188874</v>
      </c>
      <c r="I68" s="351">
        <f t="shared" si="5"/>
        <v>82730757.286403641</v>
      </c>
      <c r="J68" s="351">
        <f t="shared" si="6"/>
        <v>81250586.245281428</v>
      </c>
      <c r="K68" s="351">
        <f t="shared" si="7"/>
        <v>73648524.037350267</v>
      </c>
      <c r="L68" s="351">
        <f t="shared" si="8"/>
        <v>53503031.806716889</v>
      </c>
      <c r="M68" s="351">
        <f t="shared" si="9"/>
        <v>292580939.07941216</v>
      </c>
      <c r="N68" s="351">
        <f t="shared" si="10"/>
        <v>1100977516.4983571</v>
      </c>
    </row>
    <row r="69" spans="3:14">
      <c r="C69">
        <v>-0.35999999999999899</v>
      </c>
      <c r="D69" s="351">
        <f t="shared" si="0"/>
        <v>-16826373.407981444</v>
      </c>
      <c r="E69" s="351">
        <f t="shared" si="1"/>
        <v>551371.55168265372</v>
      </c>
      <c r="F69" s="351">
        <f t="shared" si="2"/>
        <v>17168819.904283699</v>
      </c>
      <c r="G69" s="351">
        <f t="shared" si="3"/>
        <v>33023264.869898144</v>
      </c>
      <c r="H69" s="351">
        <f t="shared" si="4"/>
        <v>56931845.230991676</v>
      </c>
      <c r="I69" s="351">
        <f t="shared" si="5"/>
        <v>75300506.952733815</v>
      </c>
      <c r="J69" s="351">
        <f t="shared" si="6"/>
        <v>73995549.03451483</v>
      </c>
      <c r="K69" s="351">
        <f t="shared" si="7"/>
        <v>67398091.578187287</v>
      </c>
      <c r="L69" s="351">
        <f t="shared" si="8"/>
        <v>50187981.901565135</v>
      </c>
      <c r="M69" s="351">
        <f t="shared" si="9"/>
        <v>251238768.1440492</v>
      </c>
      <c r="N69" s="351">
        <f t="shared" si="10"/>
        <v>920431740.92409134</v>
      </c>
    </row>
    <row r="70" spans="3:14">
      <c r="C70">
        <v>-0.34999999999999898</v>
      </c>
      <c r="D70" s="351">
        <f t="shared" ref="D70:D133" si="11">NPV(C70,C$3:D$3)</f>
        <v>-16536710.139800357</v>
      </c>
      <c r="E70" s="351">
        <f t="shared" ref="E70:E133" si="12">NPV(C70,C$3:E$3)</f>
        <v>51261.001596768809</v>
      </c>
      <c r="F70" s="351">
        <f t="shared" si="2"/>
        <v>15669454.783631397</v>
      </c>
      <c r="G70" s="351">
        <f t="shared" si="3"/>
        <v>30341279.487796769</v>
      </c>
      <c r="H70" s="351">
        <f t="shared" si="4"/>
        <v>52126075.290273532</v>
      </c>
      <c r="I70" s="351">
        <f t="shared" si="5"/>
        <v>68605567.962055027</v>
      </c>
      <c r="J70" s="351">
        <f t="shared" si="6"/>
        <v>67452833.052275881</v>
      </c>
      <c r="K70" s="351">
        <f t="shared" si="7"/>
        <v>61714626.79880935</v>
      </c>
      <c r="L70" s="351">
        <f t="shared" si="8"/>
        <v>46976244.706175752</v>
      </c>
      <c r="M70" s="351">
        <f t="shared" si="9"/>
        <v>216503123.65564904</v>
      </c>
      <c r="N70" s="351">
        <f t="shared" si="10"/>
        <v>772088466.46501553</v>
      </c>
    </row>
    <row r="71" spans="3:14">
      <c r="C71">
        <v>-0.33999999999999903</v>
      </c>
      <c r="D71" s="351">
        <f t="shared" si="11"/>
        <v>-16256743.618508035</v>
      </c>
      <c r="E71" s="351">
        <f t="shared" si="12"/>
        <v>-411404.64090074657</v>
      </c>
      <c r="F71" s="351">
        <f t="shared" ref="F71:F134" si="13">NPV(C71,C$3:F$3)</f>
        <v>14281528.129306538</v>
      </c>
      <c r="G71" s="351">
        <f t="shared" ref="G71:G134" si="14">NPV(C71,C$3:G$3)</f>
        <v>27875026.359832864</v>
      </c>
      <c r="H71" s="351">
        <f t="shared" ref="H71:H134" si="15">NPV(C71,C$3:H$3)</f>
        <v>47752904.326910146</v>
      </c>
      <c r="I71" s="351">
        <f t="shared" ref="I71:I134" si="16">NPV(C71,C$3:I$3)</f>
        <v>62562042.503777996</v>
      </c>
      <c r="J71" s="351">
        <f t="shared" ref="J71:J134" si="17">NPV(C71,C$3:J$3)</f>
        <v>61541843.689414471</v>
      </c>
      <c r="K71" s="351">
        <f t="shared" ref="K71:K134" si="18">NPV(C71,C$3:K$3)</f>
        <v>56540335.959704809</v>
      </c>
      <c r="L71" s="351">
        <f t="shared" ref="L71:L134" si="19">NPV(C71,C$3:L$3)</f>
        <v>43888777.621487901</v>
      </c>
      <c r="M71" s="351">
        <f t="shared" ref="M71:M134" si="20">NPV(C71,C$3:M$3)</f>
        <v>187207259.33269766</v>
      </c>
      <c r="N71" s="351">
        <f t="shared" ref="N71:N134" si="21">NPV(C71,C$3:N$3)</f>
        <v>649784044.02556336</v>
      </c>
    </row>
    <row r="72" spans="3:14">
      <c r="C72">
        <v>-0.32999999999999902</v>
      </c>
      <c r="D72" s="351">
        <f t="shared" si="11"/>
        <v>-15985999.123142237</v>
      </c>
      <c r="E72" s="351">
        <f t="shared" si="12"/>
        <v>-839616.17475368734</v>
      </c>
      <c r="F72" s="351">
        <f t="shared" si="13"/>
        <v>12995570.48212917</v>
      </c>
      <c r="G72" s="351">
        <f t="shared" si="14"/>
        <v>25604461.737927794</v>
      </c>
      <c r="H72" s="351">
        <f t="shared" si="15"/>
        <v>43767346.066827536</v>
      </c>
      <c r="I72" s="351">
        <f t="shared" si="16"/>
        <v>57096841.65411216</v>
      </c>
      <c r="J72" s="351">
        <f t="shared" si="17"/>
        <v>56192280.616776615</v>
      </c>
      <c r="K72" s="351">
        <f t="shared" si="18"/>
        <v>51823873.158610128</v>
      </c>
      <c r="L72" s="351">
        <f t="shared" si="19"/>
        <v>40938699.780444846</v>
      </c>
      <c r="M72" s="351">
        <f t="shared" si="20"/>
        <v>162406917.70235708</v>
      </c>
      <c r="N72" s="351">
        <f t="shared" si="21"/>
        <v>548607947.22069442</v>
      </c>
    </row>
    <row r="73" spans="3:14">
      <c r="C73">
        <v>-0.31999999999999901</v>
      </c>
      <c r="D73" s="351">
        <f t="shared" si="11"/>
        <v>-15724032.20703936</v>
      </c>
      <c r="E73" s="351">
        <f t="shared" si="12"/>
        <v>-1236093.4008549196</v>
      </c>
      <c r="F73" s="351">
        <f t="shared" si="13"/>
        <v>11803035.623415172</v>
      </c>
      <c r="G73" s="351">
        <f t="shared" si="14"/>
        <v>23511672.820163961</v>
      </c>
      <c r="H73" s="351">
        <f t="shared" si="15"/>
        <v>40129726.484616436</v>
      </c>
      <c r="I73" s="351">
        <f t="shared" si="16"/>
        <v>52146142.215886295</v>
      </c>
      <c r="J73" s="351">
        <f t="shared" si="17"/>
        <v>51342680.852900125</v>
      </c>
      <c r="K73" s="351">
        <f t="shared" si="18"/>
        <v>47519576.5223464</v>
      </c>
      <c r="L73" s="351">
        <f t="shared" si="19"/>
        <v>38133280.412754066</v>
      </c>
      <c r="M73" s="351">
        <f t="shared" si="20"/>
        <v>141335122.65123433</v>
      </c>
      <c r="N73" s="351">
        <f t="shared" si="21"/>
        <v>464633933.42751396</v>
      </c>
    </row>
    <row r="74" spans="3:14">
      <c r="C74">
        <v>-0.309999999999999</v>
      </c>
      <c r="D74" s="351">
        <f t="shared" si="11"/>
        <v>-15470426.336255934</v>
      </c>
      <c r="E74" s="351">
        <f t="shared" si="12"/>
        <v>-1603312.879071547</v>
      </c>
      <c r="F74" s="351">
        <f t="shared" si="13"/>
        <v>10696198.840146434</v>
      </c>
      <c r="G74" s="351">
        <f t="shared" si="14"/>
        <v>21580623.034566134</v>
      </c>
      <c r="H74" s="351">
        <f t="shared" si="15"/>
        <v>36804984.578616701</v>
      </c>
      <c r="I74" s="351">
        <f t="shared" si="16"/>
        <v>47654084.24641306</v>
      </c>
      <c r="J74" s="351">
        <f t="shared" si="17"/>
        <v>46939187.084569104</v>
      </c>
      <c r="K74" s="351">
        <f t="shared" si="18"/>
        <v>43586796.999143101</v>
      </c>
      <c r="L74" s="351">
        <f t="shared" si="19"/>
        <v>35475459.529249519</v>
      </c>
      <c r="M74" s="351">
        <f t="shared" si="20"/>
        <v>123366679.25992495</v>
      </c>
      <c r="N74" s="351">
        <f t="shared" si="21"/>
        <v>394711771.33462751</v>
      </c>
    </row>
    <row r="75" spans="3:14">
      <c r="C75">
        <v>-0.29999999999999899</v>
      </c>
      <c r="D75" s="351">
        <f t="shared" si="11"/>
        <v>-15224790.744587552</v>
      </c>
      <c r="E75" s="351">
        <f t="shared" si="12"/>
        <v>-1943532.5092925474</v>
      </c>
      <c r="F75" s="351">
        <f t="shared" si="13"/>
        <v>9668067.673149433</v>
      </c>
      <c r="G75" s="351">
        <f t="shared" si="14"/>
        <v>19796931.037156384</v>
      </c>
      <c r="H75" s="351">
        <f t="shared" si="15"/>
        <v>33762074.233570747</v>
      </c>
      <c r="I75" s="351">
        <f t="shared" si="16"/>
        <v>43571668.705135398</v>
      </c>
      <c r="J75" s="351">
        <f t="shared" si="17"/>
        <v>42934503.606740721</v>
      </c>
      <c r="K75" s="351">
        <f t="shared" si="18"/>
        <v>39989308.94873561</v>
      </c>
      <c r="L75" s="351">
        <f t="shared" si="19"/>
        <v>32965010.142711692</v>
      </c>
      <c r="M75" s="351">
        <f t="shared" si="20"/>
        <v>107990190.73590596</v>
      </c>
      <c r="N75" s="351">
        <f t="shared" si="21"/>
        <v>336305261.38916552</v>
      </c>
    </row>
    <row r="76" spans="3:14">
      <c r="C76">
        <v>-0.28999999999999898</v>
      </c>
      <c r="D76" s="351">
        <f t="shared" si="11"/>
        <v>-14986758.48245259</v>
      </c>
      <c r="E76" s="351">
        <f t="shared" si="12"/>
        <v>-2258813.3376926202</v>
      </c>
      <c r="F76" s="351">
        <f t="shared" si="13"/>
        <v>8712303.4640818052</v>
      </c>
      <c r="G76" s="351">
        <f t="shared" si="14"/>
        <v>18147678.543448023</v>
      </c>
      <c r="H76" s="351">
        <f t="shared" si="15"/>
        <v>30973451.302298352</v>
      </c>
      <c r="I76" s="351">
        <f t="shared" si="16"/>
        <v>39855821.979328461</v>
      </c>
      <c r="J76" s="351">
        <f t="shared" si="17"/>
        <v>39287008.985103764</v>
      </c>
      <c r="K76" s="351">
        <f t="shared" si="18"/>
        <v>36694792.7532693</v>
      </c>
      <c r="L76" s="351">
        <f t="shared" si="19"/>
        <v>30599425.315504316</v>
      </c>
      <c r="M76" s="351">
        <f t="shared" si="20"/>
        <v>94785919.237610161</v>
      </c>
      <c r="N76" s="351">
        <f t="shared" si="21"/>
        <v>287365782.91783667</v>
      </c>
    </row>
    <row r="77" spans="3:14">
      <c r="C77">
        <v>-0.27999999999999903</v>
      </c>
      <c r="D77" s="351">
        <f t="shared" si="11"/>
        <v>-14755984.639584878</v>
      </c>
      <c r="E77" s="351">
        <f t="shared" si="12"/>
        <v>-2551038.9340320337</v>
      </c>
      <c r="F77" s="351">
        <f t="shared" si="13"/>
        <v>7823152.2642996134</v>
      </c>
      <c r="G77" s="351">
        <f t="shared" si="14"/>
        <v>16621242.877743619</v>
      </c>
      <c r="H77" s="351">
        <f t="shared" si="15"/>
        <v>28414632.718155842</v>
      </c>
      <c r="I77" s="351">
        <f t="shared" si="16"/>
        <v>36468599.964666329</v>
      </c>
      <c r="J77" s="351">
        <f t="shared" si="17"/>
        <v>35959999.998019159</v>
      </c>
      <c r="K77" s="351">
        <f t="shared" si="18"/>
        <v>33674380.689008005</v>
      </c>
      <c r="L77" s="351">
        <f t="shared" si="19"/>
        <v>28374593.713330191</v>
      </c>
      <c r="M77" s="351">
        <f t="shared" si="20"/>
        <v>83408207.141661122</v>
      </c>
      <c r="N77" s="351">
        <f t="shared" si="21"/>
        <v>246233212.97438708</v>
      </c>
    </row>
    <row r="78" spans="3:14">
      <c r="C78">
        <v>-0.26999999999999902</v>
      </c>
      <c r="D78" s="351">
        <f t="shared" si="11"/>
        <v>-14532144.723807942</v>
      </c>
      <c r="E78" s="351">
        <f t="shared" si="12"/>
        <v>-2821932.6387160611</v>
      </c>
      <c r="F78" s="351">
        <f t="shared" si="13"/>
        <v>6995383.8767833365</v>
      </c>
      <c r="G78" s="351">
        <f t="shared" si="14"/>
        <v>15207150.760941541</v>
      </c>
      <c r="H78" s="351">
        <f t="shared" si="15"/>
        <v>26063816.646802545</v>
      </c>
      <c r="I78" s="351">
        <f t="shared" si="16"/>
        <v>33376509.174306389</v>
      </c>
      <c r="J78" s="351">
        <f t="shared" si="17"/>
        <v>32921045.843472019</v>
      </c>
      <c r="K78" s="351">
        <f t="shared" si="18"/>
        <v>30902258.268464349</v>
      </c>
      <c r="L78" s="351">
        <f t="shared" si="19"/>
        <v>26285312.464183208</v>
      </c>
      <c r="M78" s="351">
        <f t="shared" si="20"/>
        <v>73571470.387463599</v>
      </c>
      <c r="N78" s="351">
        <f t="shared" si="21"/>
        <v>211558014.59579587</v>
      </c>
    </row>
    <row r="79" spans="3:14">
      <c r="C79">
        <v>-0.25999999999999901</v>
      </c>
      <c r="D79" s="351">
        <f t="shared" si="11"/>
        <v>-14314933.180193027</v>
      </c>
      <c r="E79" s="351">
        <f t="shared" si="12"/>
        <v>-3073072.9381881389</v>
      </c>
      <c r="F79" s="351">
        <f t="shared" si="13"/>
        <v>6224237.977884179</v>
      </c>
      <c r="G79" s="351">
        <f t="shared" si="14"/>
        <v>13895950.388187693</v>
      </c>
      <c r="H79" s="351">
        <f t="shared" si="15"/>
        <v>23901554.491618499</v>
      </c>
      <c r="I79" s="351">
        <f t="shared" si="16"/>
        <v>30549926.25029682</v>
      </c>
      <c r="J79" s="351">
        <f t="shared" si="17"/>
        <v>30141435.204679906</v>
      </c>
      <c r="K79" s="351">
        <f t="shared" si="18"/>
        <v>28355314.163597468</v>
      </c>
      <c r="L79" s="351">
        <f t="shared" si="19"/>
        <v>24325674.797632217</v>
      </c>
      <c r="M79" s="351">
        <f t="shared" si="20"/>
        <v>65038999.849899895</v>
      </c>
      <c r="N79" s="351">
        <f t="shared" si="21"/>
        <v>182239758.47087127</v>
      </c>
    </row>
    <row r="80" spans="3:14">
      <c r="C80">
        <v>-0.249999999999999</v>
      </c>
      <c r="D80" s="351">
        <f t="shared" si="11"/>
        <v>-14104062.036675828</v>
      </c>
      <c r="E80" s="351">
        <f t="shared" si="12"/>
        <v>-3305907.1929278243</v>
      </c>
      <c r="F80" s="351">
        <f t="shared" si="13"/>
        <v>5505376.4141574381</v>
      </c>
      <c r="G80" s="351">
        <f t="shared" si="14"/>
        <v>12679099.291370515</v>
      </c>
      <c r="H80" s="351">
        <f t="shared" si="15"/>
        <v>21910467.055874847</v>
      </c>
      <c r="I80" s="351">
        <f t="shared" si="16"/>
        <v>27962600.432030875</v>
      </c>
      <c r="J80" s="351">
        <f t="shared" si="17"/>
        <v>27595701.716220077</v>
      </c>
      <c r="K80" s="351">
        <f t="shared" si="18"/>
        <v>26012832.643216997</v>
      </c>
      <c r="L80" s="351">
        <f t="shared" si="19"/>
        <v>22489361.297983691</v>
      </c>
      <c r="M80" s="351">
        <f t="shared" si="20"/>
        <v>57613977.890330434</v>
      </c>
      <c r="N80" s="351">
        <f t="shared" si="21"/>
        <v>157378447.70131797</v>
      </c>
    </row>
    <row r="81" spans="3:14">
      <c r="C81">
        <v>-0.23999999999999899</v>
      </c>
      <c r="D81" s="351">
        <f t="shared" si="11"/>
        <v>-13899259.663757967</v>
      </c>
      <c r="E81" s="351">
        <f t="shared" si="12"/>
        <v>-3521763.9129511155</v>
      </c>
      <c r="F81" s="351">
        <f t="shared" si="13"/>
        <v>4834840.8954532333</v>
      </c>
      <c r="G81" s="351">
        <f t="shared" si="14"/>
        <v>11548865.853366535</v>
      </c>
      <c r="H81" s="351">
        <f t="shared" si="15"/>
        <v>20074998.395584732</v>
      </c>
      <c r="I81" s="351">
        <f t="shared" si="16"/>
        <v>25591226.138618462</v>
      </c>
      <c r="J81" s="351">
        <f t="shared" si="17"/>
        <v>25261215.788736265</v>
      </c>
      <c r="K81" s="351">
        <f t="shared" si="18"/>
        <v>23856223.198974278</v>
      </c>
      <c r="L81" s="351">
        <f t="shared" si="19"/>
        <v>20769856.992986921</v>
      </c>
      <c r="M81" s="351">
        <f t="shared" si="20"/>
        <v>51132248.401561409</v>
      </c>
      <c r="N81" s="351">
        <f t="shared" si="21"/>
        <v>136235852.41452789</v>
      </c>
    </row>
    <row r="82" spans="3:14">
      <c r="C82">
        <v>-0.22999999999999901</v>
      </c>
      <c r="D82" s="351">
        <f t="shared" si="11"/>
        <v>-13700269.637279563</v>
      </c>
      <c r="E82" s="351">
        <f t="shared" si="12"/>
        <v>-3721863.75050645</v>
      </c>
      <c r="F82" s="351">
        <f t="shared" si="13"/>
        <v>4209015.4124209387</v>
      </c>
      <c r="G82" s="351">
        <f t="shared" si="14"/>
        <v>10498242.653485546</v>
      </c>
      <c r="H82" s="351">
        <f t="shared" si="15"/>
        <v>18381201.917329345</v>
      </c>
      <c r="I82" s="351">
        <f t="shared" si="16"/>
        <v>23415074.956963811</v>
      </c>
      <c r="J82" s="351">
        <f t="shared" si="17"/>
        <v>23117832.736150634</v>
      </c>
      <c r="K82" s="351">
        <f t="shared" si="18"/>
        <v>21868782.696047299</v>
      </c>
      <c r="L82" s="351">
        <f t="shared" si="19"/>
        <v>19160611.428436901</v>
      </c>
      <c r="M82" s="351">
        <f t="shared" si="20"/>
        <v>45456479.533841312</v>
      </c>
      <c r="N82" s="351">
        <f t="shared" si="21"/>
        <v>118204697.19168746</v>
      </c>
    </row>
    <row r="83" spans="3:14">
      <c r="C83">
        <v>-0.219999999999999</v>
      </c>
      <c r="D83" s="351">
        <f t="shared" si="11"/>
        <v>-13506849.694443626</v>
      </c>
      <c r="E83" s="351">
        <f t="shared" si="12"/>
        <v>-3907329.3579869494</v>
      </c>
      <c r="F83" s="351">
        <f t="shared" si="13"/>
        <v>3624592.7977010547</v>
      </c>
      <c r="G83" s="351">
        <f t="shared" si="14"/>
        <v>9520870.0868621729</v>
      </c>
      <c r="H83" s="351">
        <f t="shared" si="15"/>
        <v>16816554.123506974</v>
      </c>
      <c r="I83" s="351">
        <f t="shared" si="16"/>
        <v>21415678.083922684</v>
      </c>
      <c r="J83" s="351">
        <f t="shared" si="17"/>
        <v>21147588.786051933</v>
      </c>
      <c r="K83" s="351">
        <f t="shared" si="18"/>
        <v>20035485.971202005</v>
      </c>
      <c r="L83" s="351">
        <f t="shared" si="19"/>
        <v>17655154.980477948</v>
      </c>
      <c r="M83" s="351">
        <f t="shared" si="20"/>
        <v>40471436.147337183</v>
      </c>
      <c r="N83" s="351">
        <f t="shared" si="21"/>
        <v>102784029.64419952</v>
      </c>
    </row>
    <row r="84" spans="3:14">
      <c r="C84">
        <v>-0.20999999999999899</v>
      </c>
      <c r="D84" s="351">
        <f t="shared" si="11"/>
        <v>-13318770.774324551</v>
      </c>
      <c r="E84" s="351">
        <f t="shared" si="12"/>
        <v>-4079194.2404069719</v>
      </c>
      <c r="F84" s="351">
        <f t="shared" si="13"/>
        <v>3078544.9278487288</v>
      </c>
      <c r="G84" s="351">
        <f t="shared" si="14"/>
        <v>8610968.922878176</v>
      </c>
      <c r="H84" s="351">
        <f t="shared" si="15"/>
        <v>15369792.114283133</v>
      </c>
      <c r="I84" s="351">
        <f t="shared" si="16"/>
        <v>19576551.720214587</v>
      </c>
      <c r="J84" s="351">
        <f t="shared" si="17"/>
        <v>19334437.90659716</v>
      </c>
      <c r="K84" s="351">
        <f t="shared" si="18"/>
        <v>18342801.318087533</v>
      </c>
      <c r="L84" s="351">
        <f t="shared" si="19"/>
        <v>16247181.654099528</v>
      </c>
      <c r="M84" s="351">
        <f t="shared" si="20"/>
        <v>36080139.346718006</v>
      </c>
      <c r="N84" s="351">
        <f t="shared" si="21"/>
        <v>89559470.13476415</v>
      </c>
    </row>
    <row r="85" spans="3:14">
      <c r="C85">
        <v>-0.19999999999999901</v>
      </c>
      <c r="D85" s="351">
        <f t="shared" si="11"/>
        <v>-13135816.135019382</v>
      </c>
      <c r="E85" s="351">
        <f t="shared" si="12"/>
        <v>-4238410.7156713512</v>
      </c>
      <c r="F85" s="351">
        <f t="shared" si="13"/>
        <v>2568096.1295540472</v>
      </c>
      <c r="G85" s="351">
        <f t="shared" si="14"/>
        <v>7763280.6558866026</v>
      </c>
      <c r="H85" s="351">
        <f t="shared" si="15"/>
        <v>14030771.54606512</v>
      </c>
      <c r="I85" s="351">
        <f t="shared" si="16"/>
        <v>17882959.112772629</v>
      </c>
      <c r="J85" s="351">
        <f t="shared" si="17"/>
        <v>17664023.504123926</v>
      </c>
      <c r="K85" s="351">
        <f t="shared" si="18"/>
        <v>16778527.753758982</v>
      </c>
      <c r="L85" s="351">
        <f t="shared" si="19"/>
        <v>14930606.298217341</v>
      </c>
      <c r="M85" s="351">
        <f t="shared" si="20"/>
        <v>32200737.333148539</v>
      </c>
      <c r="N85" s="351">
        <f t="shared" si="21"/>
        <v>78187328.258001566</v>
      </c>
    </row>
    <row r="86" spans="3:14">
      <c r="C86">
        <v>-0.189999999999999</v>
      </c>
      <c r="D86" s="351">
        <f t="shared" si="11"/>
        <v>-12957780.540418921</v>
      </c>
      <c r="E86" s="351">
        <f t="shared" si="12"/>
        <v>-4385857.0819236394</v>
      </c>
      <c r="F86" s="351">
        <f t="shared" si="13"/>
        <v>2090699.4107400479</v>
      </c>
      <c r="G86" s="351">
        <f t="shared" si="14"/>
        <v>6973014.6611479018</v>
      </c>
      <c r="H86" s="351">
        <f t="shared" si="15"/>
        <v>12790342.240926323</v>
      </c>
      <c r="I86" s="351">
        <f t="shared" si="16"/>
        <v>16321703.93675876</v>
      </c>
      <c r="J86" s="351">
        <f t="shared" si="17"/>
        <v>16123479.976842456</v>
      </c>
      <c r="K86" s="351">
        <f t="shared" si="18"/>
        <v>15331651.357968332</v>
      </c>
      <c r="L86" s="351">
        <f t="shared" si="19"/>
        <v>13699602.375403279</v>
      </c>
      <c r="M86" s="351">
        <f t="shared" si="20"/>
        <v>28763948.372668371</v>
      </c>
      <c r="N86" s="351">
        <f t="shared" si="21"/>
        <v>68381791.958634242</v>
      </c>
    </row>
    <row r="87" spans="3:14">
      <c r="C87">
        <v>-0.17999999999999899</v>
      </c>
      <c r="D87" s="351">
        <f t="shared" si="11"/>
        <v>-12784469.510299383</v>
      </c>
      <c r="E87" s="351">
        <f t="shared" si="12"/>
        <v>-4522344.079178622</v>
      </c>
      <c r="F87" s="351">
        <f t="shared" si="13"/>
        <v>1644015.1860872742</v>
      </c>
      <c r="G87" s="351">
        <f t="shared" si="14"/>
        <v>6235801.3046089206</v>
      </c>
      <c r="H87" s="351">
        <f t="shared" si="15"/>
        <v>11640239.05664587</v>
      </c>
      <c r="I87" s="351">
        <f t="shared" si="16"/>
        <v>14880950.535537485</v>
      </c>
      <c r="J87" s="351">
        <f t="shared" si="17"/>
        <v>14701259.885510188</v>
      </c>
      <c r="K87" s="351">
        <f t="shared" si="18"/>
        <v>13992218.32396717</v>
      </c>
      <c r="L87" s="351">
        <f t="shared" si="19"/>
        <v>12548625.036383361</v>
      </c>
      <c r="M87" s="351">
        <f t="shared" si="20"/>
        <v>25710965.292073239</v>
      </c>
      <c r="N87" s="351">
        <f t="shared" si="21"/>
        <v>59904565.607418865</v>
      </c>
    </row>
    <row r="88" spans="3:14">
      <c r="C88">
        <v>-0.16999999999999901</v>
      </c>
      <c r="D88" s="351">
        <f t="shared" si="11"/>
        <v>-12615698.628076285</v>
      </c>
      <c r="E88" s="351">
        <f t="shared" si="12"/>
        <v>-4648620.7219570652</v>
      </c>
      <c r="F88" s="351">
        <f t="shared" si="13"/>
        <v>1225892.2086717344</v>
      </c>
      <c r="G88" s="351">
        <f t="shared" si="14"/>
        <v>5547650.2707873983</v>
      </c>
      <c r="H88" s="351">
        <f t="shared" si="15"/>
        <v>10572985.976453239</v>
      </c>
      <c r="I88" s="351">
        <f t="shared" si="16"/>
        <v>13550067.226405161</v>
      </c>
      <c r="J88" s="351">
        <f t="shared" si="17"/>
        <v>13386983.149482235</v>
      </c>
      <c r="K88" s="351">
        <f t="shared" si="18"/>
        <v>12751222.662274458</v>
      </c>
      <c r="L88" s="351">
        <f t="shared" si="19"/>
        <v>11472423.173189489</v>
      </c>
      <c r="M88" s="351">
        <f t="shared" si="20"/>
        <v>22991733.375586219</v>
      </c>
      <c r="N88" s="351">
        <f t="shared" si="21"/>
        <v>52556465.683911987</v>
      </c>
    </row>
    <row r="89" spans="3:14">
      <c r="C89">
        <v>-0.159999999999999</v>
      </c>
      <c r="D89" s="351">
        <f t="shared" si="11"/>
        <v>-12451292.901131241</v>
      </c>
      <c r="E89" s="351">
        <f t="shared" si="12"/>
        <v>-4765379.570520699</v>
      </c>
      <c r="F89" s="351">
        <f t="shared" si="13"/>
        <v>834350.45573412173</v>
      </c>
      <c r="G89" s="351">
        <f t="shared" si="14"/>
        <v>4904913.4717477253</v>
      </c>
      <c r="H89" s="351">
        <f t="shared" si="15"/>
        <v>9581811.6722787395</v>
      </c>
      <c r="I89" s="351">
        <f t="shared" si="16"/>
        <v>12319489.456097146</v>
      </c>
      <c r="J89" s="351">
        <f t="shared" si="17"/>
        <v>12171305.218413997</v>
      </c>
      <c r="K89" s="351">
        <f t="shared" si="18"/>
        <v>11600506.762455786</v>
      </c>
      <c r="L89" s="351">
        <f t="shared" si="19"/>
        <v>10466043.289396441</v>
      </c>
      <c r="M89" s="351">
        <f t="shared" si="20"/>
        <v>20563531.22532963</v>
      </c>
      <c r="N89" s="351">
        <f t="shared" si="21"/>
        <v>46170585.786712371</v>
      </c>
    </row>
    <row r="90" spans="3:14">
      <c r="C90">
        <v>-0.149999999999999</v>
      </c>
      <c r="D90" s="351">
        <f t="shared" si="11"/>
        <v>-12291086.16912755</v>
      </c>
      <c r="E90" s="351">
        <f t="shared" si="12"/>
        <v>-4873261.5003611073</v>
      </c>
      <c r="F90" s="351">
        <f t="shared" si="13"/>
        <v>467565.74797993031</v>
      </c>
      <c r="G90" s="351">
        <f t="shared" si="14"/>
        <v>4304251.9846105808</v>
      </c>
      <c r="H90" s="351">
        <f t="shared" si="15"/>
        <v>8660575.044424817</v>
      </c>
      <c r="I90" s="351">
        <f t="shared" si="16"/>
        <v>11180600.072791228</v>
      </c>
      <c r="J90" s="351">
        <f t="shared" si="17"/>
        <v>11045801.624446496</v>
      </c>
      <c r="K90" s="351">
        <f t="shared" si="18"/>
        <v>10532673.247292612</v>
      </c>
      <c r="L90" s="351">
        <f t="shared" si="19"/>
        <v>9524827.3767608311</v>
      </c>
      <c r="M90" s="351">
        <f t="shared" si="20"/>
        <v>18389798.122785345</v>
      </c>
      <c r="N90" s="351">
        <f t="shared" si="21"/>
        <v>40606723.228702448</v>
      </c>
    </row>
    <row r="91" spans="3:14">
      <c r="C91">
        <v>-0.13999999999999899</v>
      </c>
      <c r="D91" s="351">
        <f t="shared" si="11"/>
        <v>-12134920.556180509</v>
      </c>
      <c r="E91" s="351">
        <f t="shared" si="12"/>
        <v>-4972860.0226642918</v>
      </c>
      <c r="F91" s="351">
        <f t="shared" si="13"/>
        <v>123855.90896700863</v>
      </c>
      <c r="G91" s="351">
        <f t="shared" si="14"/>
        <v>3742606.5374356993</v>
      </c>
      <c r="H91" s="351">
        <f t="shared" si="15"/>
        <v>7803699.4516027328</v>
      </c>
      <c r="I91" s="351">
        <f t="shared" si="16"/>
        <v>10125624.386613576</v>
      </c>
      <c r="J91" s="351">
        <f t="shared" si="17"/>
        <v>10002866.70187491</v>
      </c>
      <c r="K91" s="351">
        <f t="shared" si="18"/>
        <v>9541006.7531400528</v>
      </c>
      <c r="L91" s="351">
        <f t="shared" si="19"/>
        <v>8644406.4829332437</v>
      </c>
      <c r="M91" s="351">
        <f t="shared" si="20"/>
        <v>16439162.50071864</v>
      </c>
      <c r="N91" s="351">
        <f t="shared" si="21"/>
        <v>35746822.598087519</v>
      </c>
    </row>
    <row r="92" spans="3:14">
      <c r="C92">
        <v>-0.12999999999999901</v>
      </c>
      <c r="D92" s="351">
        <f t="shared" si="11"/>
        <v>-11982645.963149102</v>
      </c>
      <c r="E92" s="351">
        <f t="shared" si="12"/>
        <v>-5064725.202414236</v>
      </c>
      <c r="F92" s="351">
        <f t="shared" si="13"/>
        <v>-198331.70532088212</v>
      </c>
      <c r="G92" s="351">
        <f t="shared" si="14"/>
        <v>3217171.1254948876</v>
      </c>
      <c r="H92" s="351">
        <f t="shared" si="15"/>
        <v>7006114.5244221529</v>
      </c>
      <c r="I92" s="351">
        <f t="shared" si="16"/>
        <v>9147538.0317130182</v>
      </c>
      <c r="J92" s="351">
        <f t="shared" si="17"/>
        <v>9035624.5833242238</v>
      </c>
      <c r="K92" s="351">
        <f t="shared" si="18"/>
        <v>8619404.4436309263</v>
      </c>
      <c r="L92" s="351">
        <f t="shared" si="19"/>
        <v>7820691.2624518797</v>
      </c>
      <c r="M92" s="351">
        <f t="shared" si="20"/>
        <v>14684634.933866188</v>
      </c>
      <c r="N92" s="351">
        <f t="shared" si="21"/>
        <v>31491241.289926413</v>
      </c>
    </row>
    <row r="93" spans="3:14">
      <c r="C93">
        <v>-0.119999999999999</v>
      </c>
      <c r="D93" s="351">
        <f t="shared" si="11"/>
        <v>-11834119.596673559</v>
      </c>
      <c r="E93" s="351">
        <f t="shared" si="12"/>
        <v>-5149367.2154954756</v>
      </c>
      <c r="F93" s="351">
        <f t="shared" si="13"/>
        <v>-500431.45617206884</v>
      </c>
      <c r="G93" s="351">
        <f t="shared" si="14"/>
        <v>2725369.393454792</v>
      </c>
      <c r="H93" s="351">
        <f t="shared" si="15"/>
        <v>6263204.6078101089</v>
      </c>
      <c r="I93" s="351">
        <f t="shared" si="16"/>
        <v>8239985.9306134591</v>
      </c>
      <c r="J93" s="351">
        <f t="shared" si="17"/>
        <v>8137850.8533881307</v>
      </c>
      <c r="K93" s="351">
        <f t="shared" si="18"/>
        <v>7762314.2145794006</v>
      </c>
      <c r="L93" s="351">
        <f t="shared" si="19"/>
        <v>7049860.4980024686</v>
      </c>
      <c r="M93" s="351">
        <f t="shared" si="20"/>
        <v>13102936.068990123</v>
      </c>
      <c r="N93" s="351">
        <f t="shared" si="21"/>
        <v>27755681.139087722</v>
      </c>
    </row>
    <row r="94" spans="3:14">
      <c r="C94">
        <v>-0.109999999999999</v>
      </c>
      <c r="D94" s="351">
        <f t="shared" si="11"/>
        <v>-11689205.531903112</v>
      </c>
      <c r="E94" s="351">
        <f t="shared" si="12"/>
        <v>-5227259.581505022</v>
      </c>
      <c r="F94" s="351">
        <f t="shared" si="13"/>
        <v>-783769.58279056137</v>
      </c>
      <c r="G94" s="351">
        <f t="shared" si="14"/>
        <v>2264833.4651112873</v>
      </c>
      <c r="H94" s="351">
        <f t="shared" si="15"/>
        <v>5570763.0077263825</v>
      </c>
      <c r="I94" s="351">
        <f t="shared" si="16"/>
        <v>7397210.9046702273</v>
      </c>
      <c r="J94" s="351">
        <f t="shared" si="17"/>
        <v>7303903.4708059067</v>
      </c>
      <c r="K94" s="351">
        <f t="shared" si="18"/>
        <v>6964679.6789471861</v>
      </c>
      <c r="L94" s="351">
        <f t="shared" si="19"/>
        <v>6328348.3416320905</v>
      </c>
      <c r="M94" s="351">
        <f t="shared" si="20"/>
        <v>11673935.519153977</v>
      </c>
      <c r="N94" s="351">
        <f t="shared" si="21"/>
        <v>24468661.223520771</v>
      </c>
    </row>
    <row r="95" spans="3:14">
      <c r="C95">
        <v>-9.9999999999999006E-2</v>
      </c>
      <c r="D95" s="351">
        <f t="shared" si="11"/>
        <v>-11547774.306144327</v>
      </c>
      <c r="E95" s="351">
        <f t="shared" si="12"/>
        <v>-5298842.1049012663</v>
      </c>
      <c r="F95" s="351">
        <f t="shared" si="13"/>
        <v>-1049573.390064619</v>
      </c>
      <c r="G95" s="351">
        <f t="shared" si="14"/>
        <v>1833384.9421487153</v>
      </c>
      <c r="H95" s="351">
        <f t="shared" si="15"/>
        <v>4924951.3284737412</v>
      </c>
      <c r="I95" s="351">
        <f t="shared" si="16"/>
        <v>6613990.6803691406</v>
      </c>
      <c r="J95" s="351">
        <f t="shared" si="17"/>
        <v>6528661.7653888166</v>
      </c>
      <c r="K95" s="351">
        <f t="shared" si="18"/>
        <v>6221891.1346604088</v>
      </c>
      <c r="L95" s="351">
        <f t="shared" si="19"/>
        <v>5652830.8412528336</v>
      </c>
      <c r="M95" s="351">
        <f t="shared" si="20"/>
        <v>10380182.238360601</v>
      </c>
      <c r="N95" s="351">
        <f t="shared" si="21"/>
        <v>21569431.438721705</v>
      </c>
    </row>
    <row r="96" spans="3:14">
      <c r="C96">
        <v>-8.9999999999998997E-2</v>
      </c>
      <c r="D96" s="351">
        <f t="shared" si="11"/>
        <v>-11409702.540916985</v>
      </c>
      <c r="E96" s="351">
        <f t="shared" si="12"/>
        <v>-5364523.5535273543</v>
      </c>
      <c r="F96" s="351">
        <f t="shared" si="13"/>
        <v>-1298979.5661172504</v>
      </c>
      <c r="G96" s="351">
        <f t="shared" si="14"/>
        <v>1429017.8278565044</v>
      </c>
      <c r="H96" s="351">
        <f t="shared" si="15"/>
        <v>4322263.2818229655</v>
      </c>
      <c r="I96" s="351">
        <f t="shared" si="16"/>
        <v>5885582.2159684002</v>
      </c>
      <c r="J96" s="351">
        <f t="shared" si="17"/>
        <v>5807472.4817152172</v>
      </c>
      <c r="K96" s="351">
        <f t="shared" si="18"/>
        <v>5529741.8171725944</v>
      </c>
      <c r="L96" s="351">
        <f t="shared" si="19"/>
        <v>5020212.1747246087</v>
      </c>
      <c r="M96" s="351">
        <f t="shared" si="20"/>
        <v>9206510.5017506704</v>
      </c>
      <c r="N96" s="351">
        <f t="shared" si="21"/>
        <v>19006245.950092424</v>
      </c>
    </row>
    <row r="97" spans="3:14">
      <c r="C97">
        <v>-7.9999999999999002E-2</v>
      </c>
      <c r="D97" s="351">
        <f t="shared" si="11"/>
        <v>-11274872.590134459</v>
      </c>
      <c r="E97" s="351">
        <f t="shared" si="12"/>
        <v>-5424684.1003847877</v>
      </c>
      <c r="F97" s="351">
        <f t="shared" si="13"/>
        <v>-1533041.7204759673</v>
      </c>
      <c r="G97" s="351">
        <f t="shared" si="14"/>
        <v>1049883.1615982444</v>
      </c>
      <c r="H97" s="351">
        <f t="shared" si="15"/>
        <v>3759492.4305467037</v>
      </c>
      <c r="I97" s="351">
        <f t="shared" si="16"/>
        <v>5207672.4216032652</v>
      </c>
      <c r="J97" s="351">
        <f t="shared" si="17"/>
        <v>5136101.982777915</v>
      </c>
      <c r="K97" s="351">
        <f t="shared" si="18"/>
        <v>4884388.8249278776</v>
      </c>
      <c r="L97" s="351">
        <f t="shared" si="19"/>
        <v>4427610.9030035269</v>
      </c>
      <c r="M97" s="351">
        <f t="shared" si="20"/>
        <v>8139708.5243562041</v>
      </c>
      <c r="N97" s="351">
        <f t="shared" si="21"/>
        <v>16734931.180920478</v>
      </c>
    </row>
    <row r="98" spans="3:14">
      <c r="C98">
        <v>-6.9999999999998994E-2</v>
      </c>
      <c r="D98" s="351">
        <f t="shared" si="11"/>
        <v>-11143172.212332357</v>
      </c>
      <c r="E98" s="351">
        <f t="shared" si="12"/>
        <v>-5479677.551744842</v>
      </c>
      <c r="F98" s="351">
        <f t="shared" si="13"/>
        <v>-1752737.2233520022</v>
      </c>
      <c r="G98" s="351">
        <f t="shared" si="14"/>
        <v>694275.1757507174</v>
      </c>
      <c r="H98" s="351">
        <f t="shared" si="15"/>
        <v>3233703.3988444125</v>
      </c>
      <c r="I98" s="351">
        <f t="shared" si="16"/>
        <v>4576334.4726100797</v>
      </c>
      <c r="J98" s="351">
        <f t="shared" si="17"/>
        <v>4510693.8471832192</v>
      </c>
      <c r="K98" s="351">
        <f t="shared" si="18"/>
        <v>4282318.1809980562</v>
      </c>
      <c r="L98" s="351">
        <f t="shared" si="19"/>
        <v>3872346.468220761</v>
      </c>
      <c r="M98" s="351">
        <f t="shared" si="20"/>
        <v>7168239.1002657078</v>
      </c>
      <c r="N98" s="351">
        <f t="shared" si="21"/>
        <v>14717695.424312929</v>
      </c>
    </row>
    <row r="99" spans="3:14">
      <c r="C99">
        <v>-5.9999999999999103E-2</v>
      </c>
      <c r="D99" s="351">
        <f t="shared" si="11"/>
        <v>-11014494.265055122</v>
      </c>
      <c r="E99" s="351">
        <f t="shared" si="12"/>
        <v>-5529833.382223051</v>
      </c>
      <c r="F99" s="351">
        <f t="shared" si="13"/>
        <v>-1958973.4174472736</v>
      </c>
      <c r="G99" s="351">
        <f t="shared" si="14"/>
        <v>360618.80936956772</v>
      </c>
      <c r="H99" s="351">
        <f t="shared" si="15"/>
        <v>2742206.142271732</v>
      </c>
      <c r="I99" s="351">
        <f t="shared" si="16"/>
        <v>3987989.0239384058</v>
      </c>
      <c r="J99" s="351">
        <f t="shared" si="17"/>
        <v>3927731.1964122555</v>
      </c>
      <c r="K99" s="351">
        <f t="shared" si="18"/>
        <v>3720313.5596284941</v>
      </c>
      <c r="L99" s="351">
        <f t="shared" si="19"/>
        <v>3351926.0966037526</v>
      </c>
      <c r="M99" s="351">
        <f t="shared" si="20"/>
        <v>6282003.5462422268</v>
      </c>
      <c r="N99" s="351">
        <f t="shared" si="21"/>
        <v>12922137.12923873</v>
      </c>
    </row>
    <row r="100" spans="3:14">
      <c r="C100">
        <v>-4.9999999999998997E-2</v>
      </c>
      <c r="D100" s="351">
        <f t="shared" si="11"/>
        <v>-10888736.419677734</v>
      </c>
      <c r="E100" s="351">
        <f t="shared" si="12"/>
        <v>-5575458.595264622</v>
      </c>
      <c r="F100" s="351">
        <f t="shared" si="13"/>
        <v>-2152593.2657421967</v>
      </c>
      <c r="G100" s="351">
        <f t="shared" si="14"/>
        <v>47458.432466836697</v>
      </c>
      <c r="H100" s="351">
        <f t="shared" si="15"/>
        <v>2282532.9216140877</v>
      </c>
      <c r="I100" s="351">
        <f t="shared" si="16"/>
        <v>3439369.7259899573</v>
      </c>
      <c r="J100" s="351">
        <f t="shared" si="17"/>
        <v>3384003.1767678652</v>
      </c>
      <c r="K100" s="351">
        <f t="shared" si="18"/>
        <v>3195428.2635131744</v>
      </c>
      <c r="L100" s="351">
        <f t="shared" si="19"/>
        <v>2864032.2155582914</v>
      </c>
      <c r="M100" s="351">
        <f t="shared" si="20"/>
        <v>5472141.7781218756</v>
      </c>
      <c r="N100" s="351">
        <f t="shared" si="21"/>
        <v>11320416.914240705</v>
      </c>
    </row>
    <row r="101" spans="3:14">
      <c r="C101">
        <v>-3.9999999999999002E-2</v>
      </c>
      <c r="D101" s="351">
        <f t="shared" si="11"/>
        <v>-10765800.895090718</v>
      </c>
      <c r="E101" s="351">
        <f t="shared" si="12"/>
        <v>-5616839.4255606057</v>
      </c>
      <c r="F101" s="351">
        <f t="shared" si="13"/>
        <v>-2334380.4917134787</v>
      </c>
      <c r="G101" s="351">
        <f t="shared" si="14"/>
        <v>-246552.34809346244</v>
      </c>
      <c r="H101" s="351">
        <f t="shared" si="15"/>
        <v>1852417.6698900647</v>
      </c>
      <c r="I101" s="351">
        <f t="shared" si="16"/>
        <v>2927492.5214597965</v>
      </c>
      <c r="J101" s="351">
        <f t="shared" si="17"/>
        <v>2876575.0962099782</v>
      </c>
      <c r="K101" s="351">
        <f t="shared" si="18"/>
        <v>2704960.0874389717</v>
      </c>
      <c r="L101" s="351">
        <f t="shared" si="19"/>
        <v>2406510.4556270665</v>
      </c>
      <c r="M101" s="351">
        <f t="shared" si="20"/>
        <v>4730862.6051108846</v>
      </c>
      <c r="N101" s="351">
        <f t="shared" si="21"/>
        <v>9888564.8081909493</v>
      </c>
    </row>
    <row r="102" spans="3:14">
      <c r="C102">
        <v>-2.9999999999999E-2</v>
      </c>
      <c r="D102" s="351">
        <f t="shared" si="11"/>
        <v>-10645594.208812898</v>
      </c>
      <c r="E102" s="351">
        <f t="shared" si="12"/>
        <v>-5654242.8982052729</v>
      </c>
      <c r="F102" s="351">
        <f t="shared" si="13"/>
        <v>-2505064.2622641032</v>
      </c>
      <c r="G102" s="351">
        <f t="shared" si="14"/>
        <v>-522659.91511951439</v>
      </c>
      <c r="H102" s="351">
        <f t="shared" si="15"/>
        <v>1449777.4803665469</v>
      </c>
      <c r="I102" s="351">
        <f t="shared" si="16"/>
        <v>2449628.2707733861</v>
      </c>
      <c r="J102" s="351">
        <f t="shared" si="17"/>
        <v>2402761.7812247402</v>
      </c>
      <c r="K102" s="351">
        <f t="shared" si="18"/>
        <v>2246428.7474521212</v>
      </c>
      <c r="L102" s="351">
        <f t="shared" si="19"/>
        <v>1977358.2787875209</v>
      </c>
      <c r="M102" s="351">
        <f t="shared" si="20"/>
        <v>4051299.3523668377</v>
      </c>
      <c r="N102" s="351">
        <f t="shared" si="21"/>
        <v>8605899.4213141557</v>
      </c>
    </row>
    <row r="103" spans="3:14">
      <c r="C103">
        <v>-1.9999999999999001E-2</v>
      </c>
      <c r="D103" s="351">
        <f t="shared" si="11"/>
        <v>-10528026.944219602</v>
      </c>
      <c r="E103" s="351">
        <f t="shared" si="12"/>
        <v>-5687918.2578875972</v>
      </c>
      <c r="F103" s="351">
        <f t="shared" si="13"/>
        <v>-2665323.4582098573</v>
      </c>
      <c r="G103" s="351">
        <f t="shared" si="14"/>
        <v>-782019.00098835374</v>
      </c>
      <c r="H103" s="351">
        <f t="shared" si="15"/>
        <v>1072695.9769882988</v>
      </c>
      <c r="I103" s="351">
        <f t="shared" si="16"/>
        <v>2003278.3122045421</v>
      </c>
      <c r="J103" s="351">
        <f t="shared" si="17"/>
        <v>1960103.7747729083</v>
      </c>
      <c r="K103" s="351">
        <f t="shared" si="18"/>
        <v>1817555.5927376254</v>
      </c>
      <c r="L103" s="351">
        <f t="shared" si="19"/>
        <v>1574714.2525833321</v>
      </c>
      <c r="M103" s="351">
        <f t="shared" si="20"/>
        <v>3427386.7606150941</v>
      </c>
      <c r="N103" s="351">
        <f t="shared" si="21"/>
        <v>7454539.9608015008</v>
      </c>
    </row>
    <row r="104" spans="3:14">
      <c r="C104">
        <v>-9.9999999999990097E-3</v>
      </c>
      <c r="D104" s="351">
        <f t="shared" si="11"/>
        <v>-10413013.532685397</v>
      </c>
      <c r="E104" s="351">
        <f t="shared" si="12"/>
        <v>-5718098.2800610075</v>
      </c>
      <c r="F104" s="351">
        <f t="shared" si="13"/>
        <v>-2815790.5723657343</v>
      </c>
      <c r="G104" s="351">
        <f t="shared" si="14"/>
        <v>-1025700.270403414</v>
      </c>
      <c r="H104" s="351">
        <f t="shared" si="15"/>
        <v>719408.35770762933</v>
      </c>
      <c r="I104" s="351">
        <f t="shared" si="16"/>
        <v>1586152.6131438857</v>
      </c>
      <c r="J104" s="351">
        <f t="shared" si="17"/>
        <v>1546346.0445602757</v>
      </c>
      <c r="K104" s="351">
        <f t="shared" si="18"/>
        <v>1416245.3506817329</v>
      </c>
      <c r="L104" s="351">
        <f t="shared" si="19"/>
        <v>1196847.9732776415</v>
      </c>
      <c r="M104" s="351">
        <f t="shared" si="20"/>
        <v>2853755.7986687538</v>
      </c>
      <c r="N104" s="351">
        <f t="shared" si="21"/>
        <v>6418995.4209447745</v>
      </c>
    </row>
    <row r="105" spans="3:14">
      <c r="C105">
        <v>0</v>
      </c>
      <c r="D105" s="351">
        <f t="shared" si="11"/>
        <v>-10300472.049541418</v>
      </c>
      <c r="E105" s="351">
        <f t="shared" si="12"/>
        <v>-5745000.4748352105</v>
      </c>
      <c r="F105" s="351">
        <f t="shared" si="13"/>
        <v>-2957055.271030874</v>
      </c>
      <c r="G105" s="351">
        <f t="shared" si="14"/>
        <v>-1254697.2054422125</v>
      </c>
      <c r="H105" s="351">
        <f t="shared" si="15"/>
        <v>388287.92647275655</v>
      </c>
      <c r="I105" s="351">
        <f t="shared" si="16"/>
        <v>1196150.2124623414</v>
      </c>
      <c r="J105" s="351">
        <f t="shared" si="17"/>
        <v>1159418.9124984338</v>
      </c>
      <c r="K105" s="351">
        <f t="shared" si="18"/>
        <v>1040569.6847307945</v>
      </c>
      <c r="L105" s="351">
        <f t="shared" si="19"/>
        <v>842150.62930259062</v>
      </c>
      <c r="M105" s="351">
        <f t="shared" si="20"/>
        <v>2325643.5891558919</v>
      </c>
      <c r="N105" s="351">
        <f t="shared" si="21"/>
        <v>5485818.0543843219</v>
      </c>
    </row>
    <row r="106" spans="3:14">
      <c r="C106">
        <v>0.01</v>
      </c>
      <c r="D106" s="351">
        <f t="shared" si="11"/>
        <v>-10190324.022838809</v>
      </c>
      <c r="E106" s="351">
        <f t="shared" si="12"/>
        <v>-5768828.1932645319</v>
      </c>
      <c r="F106" s="351">
        <f t="shared" si="13"/>
        <v>-3089667.6509134248</v>
      </c>
      <c r="G106" s="351">
        <f t="shared" si="14"/>
        <v>-1469932.3634852145</v>
      </c>
      <c r="H106" s="351">
        <f t="shared" si="15"/>
        <v>77833.951628786541</v>
      </c>
      <c r="I106" s="351">
        <f t="shared" si="16"/>
        <v>831341.69148825167</v>
      </c>
      <c r="J106" s="351">
        <f t="shared" si="17"/>
        <v>797420.95223161776</v>
      </c>
      <c r="K106" s="351">
        <f t="shared" si="18"/>
        <v>688752.37020350504</v>
      </c>
      <c r="L106" s="351">
        <f t="shared" si="19"/>
        <v>509126.18776184809</v>
      </c>
      <c r="M106" s="351">
        <f t="shared" si="20"/>
        <v>1838816.1124490513</v>
      </c>
      <c r="N106" s="351">
        <f t="shared" si="21"/>
        <v>4643310.4933187431</v>
      </c>
    </row>
    <row r="107" spans="3:14">
      <c r="C107">
        <v>0.02</v>
      </c>
      <c r="D107" s="351">
        <f t="shared" si="11"/>
        <v>-10082494.253993001</v>
      </c>
      <c r="E107" s="351">
        <f t="shared" si="12"/>
        <v>-5789771.6447531469</v>
      </c>
      <c r="F107" s="351">
        <f t="shared" si="13"/>
        <v>-3214141.2202059529</v>
      </c>
      <c r="G107" s="351">
        <f t="shared" si="14"/>
        <v>-1672263.0708398456</v>
      </c>
      <c r="H107" s="351">
        <f t="shared" si="15"/>
        <v>-213339.29234194732</v>
      </c>
      <c r="I107" s="351">
        <f t="shared" si="16"/>
        <v>489953.44364459033</v>
      </c>
      <c r="J107" s="351">
        <f t="shared" si="17"/>
        <v>458603.63280409953</v>
      </c>
      <c r="K107" s="351">
        <f t="shared" si="18"/>
        <v>359155.91562462837</v>
      </c>
      <c r="L107" s="351">
        <f t="shared" si="19"/>
        <v>196383.18084126714</v>
      </c>
      <c r="M107" s="351">
        <f t="shared" si="20"/>
        <v>1389501.7372063822</v>
      </c>
      <c r="N107" s="351">
        <f t="shared" si="21"/>
        <v>3881277.7366864095</v>
      </c>
    </row>
    <row r="108" spans="3:14">
      <c r="C108">
        <v>0.03</v>
      </c>
      <c r="D108" s="351">
        <f t="shared" si="11"/>
        <v>-9976910.6494587306</v>
      </c>
      <c r="E108" s="351">
        <f t="shared" si="12"/>
        <v>-5808008.833445942</v>
      </c>
      <c r="F108" s="351">
        <f t="shared" si="13"/>
        <v>-3330955.6295671239</v>
      </c>
      <c r="G108" s="351">
        <f t="shared" si="14"/>
        <v>-1862486.6080231119</v>
      </c>
      <c r="H108" s="351">
        <f t="shared" si="15"/>
        <v>-486512.42607900832</v>
      </c>
      <c r="I108" s="351">
        <f t="shared" si="16"/>
        <v>170353.54099355984</v>
      </c>
      <c r="J108" s="351">
        <f t="shared" si="17"/>
        <v>141357.51361369609</v>
      </c>
      <c r="K108" s="351">
        <f t="shared" si="18"/>
        <v>50269.476826458536</v>
      </c>
      <c r="L108" s="351">
        <f t="shared" si="19"/>
        <v>-97372.934917223945</v>
      </c>
      <c r="M108" s="351">
        <f t="shared" si="20"/>
        <v>974333.94296527409</v>
      </c>
      <c r="N108" s="351">
        <f t="shared" si="21"/>
        <v>3190816.7307760827</v>
      </c>
    </row>
    <row r="109" spans="3:14">
      <c r="C109">
        <v>0.04</v>
      </c>
      <c r="D109" s="351">
        <f t="shared" si="11"/>
        <v>-9873504.0626546033</v>
      </c>
      <c r="E109" s="351">
        <f t="shared" si="12"/>
        <v>-5823706.4207119262</v>
      </c>
      <c r="F109" s="351">
        <f t="shared" si="13"/>
        <v>-3440559.1761387563</v>
      </c>
      <c r="G109" s="351">
        <f t="shared" si="14"/>
        <v>-2041344.9366210215</v>
      </c>
      <c r="H109" s="351">
        <f t="shared" si="15"/>
        <v>-742869.92130996182</v>
      </c>
      <c r="I109" s="351">
        <f t="shared" si="16"/>
        <v>-128960.97957233679</v>
      </c>
      <c r="J109" s="351">
        <f t="shared" si="17"/>
        <v>-155800.18067295378</v>
      </c>
      <c r="K109" s="351">
        <f t="shared" si="18"/>
        <v>-239302.07163628438</v>
      </c>
      <c r="L109" s="351">
        <f t="shared" si="19"/>
        <v>-373346.87589583895</v>
      </c>
      <c r="M109" s="351">
        <f t="shared" si="20"/>
        <v>590301.8629332179</v>
      </c>
      <c r="N109" s="351">
        <f t="shared" si="21"/>
        <v>2564137.5100731552</v>
      </c>
    </row>
    <row r="110" spans="3:14">
      <c r="C110">
        <v>0.05</v>
      </c>
      <c r="D110" s="351">
        <f t="shared" si="11"/>
        <v>-9772208.1454182938</v>
      </c>
      <c r="E110" s="351">
        <f t="shared" si="12"/>
        <v>-5837020.5201456835</v>
      </c>
      <c r="F110" s="351">
        <f t="shared" si="13"/>
        <v>-3543371.1013916987</v>
      </c>
      <c r="G110" s="351">
        <f t="shared" si="14"/>
        <v>-2209529.0123043535</v>
      </c>
      <c r="H110" s="351">
        <f t="shared" si="15"/>
        <v>-983508.21042434336</v>
      </c>
      <c r="I110" s="351">
        <f t="shared" si="16"/>
        <v>-409375.56645530462</v>
      </c>
      <c r="J110" s="351">
        <f t="shared" si="17"/>
        <v>-434236.75608936016</v>
      </c>
      <c r="K110" s="351">
        <f t="shared" si="18"/>
        <v>-510848.02799398021</v>
      </c>
      <c r="L110" s="351">
        <f t="shared" si="19"/>
        <v>-632660.11587639316</v>
      </c>
      <c r="M110" s="351">
        <f t="shared" si="20"/>
        <v>234707.49325536966</v>
      </c>
      <c r="N110" s="351">
        <f t="shared" si="21"/>
        <v>1994410.8834638176</v>
      </c>
    </row>
    <row r="111" spans="3:14">
      <c r="C111">
        <v>6.0000000000000102E-2</v>
      </c>
      <c r="D111" s="351">
        <f t="shared" si="11"/>
        <v>-9672959.2083304729</v>
      </c>
      <c r="E111" s="351">
        <f t="shared" si="12"/>
        <v>-5848097.4309016177</v>
      </c>
      <c r="F111" s="351">
        <f t="shared" si="13"/>
        <v>-3639783.7015133714</v>
      </c>
      <c r="G111" s="351">
        <f t="shared" si="14"/>
        <v>-2367682.723857793</v>
      </c>
      <c r="H111" s="351">
        <f t="shared" si="15"/>
        <v>-1209443.0373286637</v>
      </c>
      <c r="I111" s="351">
        <f t="shared" si="16"/>
        <v>-672168.47720408812</v>
      </c>
      <c r="J111" s="351">
        <f t="shared" si="17"/>
        <v>-695214.14921691129</v>
      </c>
      <c r="K111" s="351">
        <f t="shared" si="18"/>
        <v>-765560.82452430693</v>
      </c>
      <c r="L111" s="351">
        <f t="shared" si="19"/>
        <v>-876356.98871584737</v>
      </c>
      <c r="M111" s="351">
        <f t="shared" si="20"/>
        <v>-94871.40345883595</v>
      </c>
      <c r="N111" s="351">
        <f t="shared" si="21"/>
        <v>1475638.4893180251</v>
      </c>
    </row>
    <row r="112" spans="3:14">
      <c r="C112">
        <v>7.0000000000000104E-2</v>
      </c>
      <c r="D112" s="351">
        <f t="shared" si="11"/>
        <v>-9575696.0892973784</v>
      </c>
      <c r="E112" s="351">
        <f t="shared" si="12"/>
        <v>-5857074.3146280767</v>
      </c>
      <c r="F112" s="351">
        <f t="shared" si="13"/>
        <v>-3730164.2671948862</v>
      </c>
      <c r="G112" s="351">
        <f t="shared" si="14"/>
        <v>-2516406.4938976183</v>
      </c>
      <c r="H112" s="351">
        <f t="shared" si="15"/>
        <v>-1421616.1273999321</v>
      </c>
      <c r="I112" s="351">
        <f t="shared" si="16"/>
        <v>-918520.09732162266</v>
      </c>
      <c r="J112" s="351">
        <f t="shared" si="17"/>
        <v>-939898.04832312628</v>
      </c>
      <c r="K112" s="351">
        <f t="shared" si="18"/>
        <v>-1004544.1535860141</v>
      </c>
      <c r="L112" s="351">
        <f t="shared" si="19"/>
        <v>-1105410.3399589807</v>
      </c>
      <c r="M112" s="351">
        <f t="shared" si="20"/>
        <v>-400613.52124097821</v>
      </c>
      <c r="N112" s="351">
        <f t="shared" si="21"/>
        <v>1002541.7346076389</v>
      </c>
    </row>
    <row r="113" spans="3:14">
      <c r="C113">
        <v>8.0000000000000099E-2</v>
      </c>
      <c r="D113" s="351">
        <f t="shared" si="11"/>
        <v>-9480360.0298294052</v>
      </c>
      <c r="E113" s="351">
        <f t="shared" si="12"/>
        <v>-5864079.8207766963</v>
      </c>
      <c r="F113" s="351">
        <f t="shared" si="13"/>
        <v>-3814856.8680198165</v>
      </c>
      <c r="G113" s="351">
        <f t="shared" si="14"/>
        <v>-2656260.5732452897</v>
      </c>
      <c r="H113" s="351">
        <f t="shared" si="15"/>
        <v>-1620901.2456919453</v>
      </c>
      <c r="I113" s="351">
        <f t="shared" si="16"/>
        <v>-1149521.3611225113</v>
      </c>
      <c r="J113" s="351">
        <f t="shared" si="17"/>
        <v>-1169366.1395803192</v>
      </c>
      <c r="K113" s="351">
        <f t="shared" si="18"/>
        <v>-1228820.3430154524</v>
      </c>
      <c r="L113" s="351">
        <f t="shared" si="19"/>
        <v>-1320726.7574017104</v>
      </c>
      <c r="M113" s="351">
        <f t="shared" si="20"/>
        <v>-684482.05497252243</v>
      </c>
      <c r="N113" s="351">
        <f t="shared" si="21"/>
        <v>570466.70489142451</v>
      </c>
    </row>
    <row r="114" spans="3:14">
      <c r="C114">
        <v>9.0000000000000094E-2</v>
      </c>
      <c r="D114" s="351">
        <f t="shared" si="11"/>
        <v>-9386894.5584963132</v>
      </c>
      <c r="E114" s="351">
        <f t="shared" si="12"/>
        <v>-5869234.6646204181</v>
      </c>
      <c r="F114" s="351">
        <f t="shared" si="13"/>
        <v>-3894183.9951771284</v>
      </c>
      <c r="G114" s="351">
        <f t="shared" si="14"/>
        <v>-2787768.0576329203</v>
      </c>
      <c r="H114" s="351">
        <f t="shared" si="15"/>
        <v>-1808109.7049236861</v>
      </c>
      <c r="I114" s="351">
        <f t="shared" si="16"/>
        <v>-1366181.3693699776</v>
      </c>
      <c r="J114" s="351">
        <f t="shared" si="17"/>
        <v>-1384615.5702304083</v>
      </c>
      <c r="K114" s="351">
        <f t="shared" si="18"/>
        <v>-1439337.0562686895</v>
      </c>
      <c r="L114" s="351">
        <f t="shared" si="19"/>
        <v>-1523151.4095755976</v>
      </c>
      <c r="M114" s="351">
        <f t="shared" si="20"/>
        <v>-948249.15435017855</v>
      </c>
      <c r="N114" s="351">
        <f t="shared" si="21"/>
        <v>175302.60542449774</v>
      </c>
    </row>
    <row r="115" spans="3:14">
      <c r="C115">
        <v>0.1</v>
      </c>
      <c r="D115" s="351">
        <f t="shared" si="11"/>
        <v>-9295245.3810792714</v>
      </c>
      <c r="E115" s="351">
        <f t="shared" si="12"/>
        <v>-5872652.1619160809</v>
      </c>
      <c r="F115" s="351">
        <f t="shared" si="13"/>
        <v>-3968448.0748972055</v>
      </c>
      <c r="G115" s="351">
        <f t="shared" si="14"/>
        <v>-2911417.6524914703</v>
      </c>
      <c r="H115" s="351">
        <f t="shared" si="15"/>
        <v>-1983995.3780595046</v>
      </c>
      <c r="I115" s="351">
        <f t="shared" si="16"/>
        <v>-1569434.2875915323</v>
      </c>
      <c r="J115" s="351">
        <f t="shared" si="17"/>
        <v>-1586569.7101093929</v>
      </c>
      <c r="K115" s="351">
        <f t="shared" si="18"/>
        <v>-1636973.3845510578</v>
      </c>
      <c r="L115" s="351">
        <f t="shared" si="19"/>
        <v>-1713472.519866348</v>
      </c>
      <c r="M115" s="351">
        <f t="shared" si="20"/>
        <v>-1193517.287514172</v>
      </c>
      <c r="N115" s="351">
        <f t="shared" si="21"/>
        <v>-186588.31355104878</v>
      </c>
    </row>
    <row r="116" spans="3:14">
      <c r="C116">
        <v>0.11</v>
      </c>
      <c r="D116" s="351">
        <f t="shared" si="11"/>
        <v>-9205360.2769761942</v>
      </c>
      <c r="E116" s="351">
        <f t="shared" si="12"/>
        <v>-5874438.7237895494</v>
      </c>
      <c r="F116" s="351">
        <f t="shared" si="13"/>
        <v>-4037932.8638246381</v>
      </c>
      <c r="G116" s="351">
        <f t="shared" si="14"/>
        <v>-3027666.2089698478</v>
      </c>
      <c r="H116" s="351">
        <f t="shared" si="15"/>
        <v>-2149259.2643613759</v>
      </c>
      <c r="I116" s="351">
        <f t="shared" si="16"/>
        <v>-1760145.5994730208</v>
      </c>
      <c r="J116" s="351">
        <f t="shared" si="17"/>
        <v>-1776084.2837708308</v>
      </c>
      <c r="K116" s="351">
        <f t="shared" si="18"/>
        <v>-1822545.3909716753</v>
      </c>
      <c r="L116" s="351">
        <f t="shared" si="19"/>
        <v>-1892425.5025865794</v>
      </c>
      <c r="M116" s="351">
        <f t="shared" si="20"/>
        <v>-1421737.9396752946</v>
      </c>
      <c r="N116" s="351">
        <f t="shared" si="21"/>
        <v>-518431.06777134654</v>
      </c>
    </row>
    <row r="117" spans="3:14">
      <c r="C117">
        <v>0.12</v>
      </c>
      <c r="D117" s="351">
        <f t="shared" si="11"/>
        <v>-9117189.0014499519</v>
      </c>
      <c r="E117" s="351">
        <f t="shared" si="12"/>
        <v>-5874694.3150986182</v>
      </c>
      <c r="F117" s="351">
        <f t="shared" si="13"/>
        <v>-4102904.7364789206</v>
      </c>
      <c r="G117" s="351">
        <f t="shared" si="14"/>
        <v>-3136941.0520147495</v>
      </c>
      <c r="H117" s="351">
        <f t="shared" si="15"/>
        <v>-2304553.652555001</v>
      </c>
      <c r="I117" s="351">
        <f t="shared" si="16"/>
        <v>-1939117.7813873433</v>
      </c>
      <c r="J117" s="351">
        <f t="shared" si="17"/>
        <v>-1953952.9373846448</v>
      </c>
      <c r="K117" s="351">
        <f t="shared" si="18"/>
        <v>-1996811.1603789744</v>
      </c>
      <c r="L117" s="351">
        <f t="shared" si="19"/>
        <v>-2060696.7858564619</v>
      </c>
      <c r="M117" s="351">
        <f t="shared" si="20"/>
        <v>-1634228.0092997844</v>
      </c>
      <c r="N117" s="351">
        <f t="shared" si="21"/>
        <v>-823089.93471363257</v>
      </c>
    </row>
    <row r="118" spans="3:14">
      <c r="C118">
        <v>0.13</v>
      </c>
      <c r="D118" s="351">
        <f t="shared" si="11"/>
        <v>-9030683.1933395509</v>
      </c>
      <c r="E118" s="351">
        <f t="shared" si="12"/>
        <v>-5873512.8792379834</v>
      </c>
      <c r="F118" s="351">
        <f t="shared" si="13"/>
        <v>-4163613.8740008865</v>
      </c>
      <c r="G118" s="351">
        <f t="shared" si="14"/>
        <v>-3239642.1192738395</v>
      </c>
      <c r="H118" s="351">
        <f t="shared" si="15"/>
        <v>-2450485.9201178979</v>
      </c>
      <c r="I118" s="351">
        <f t="shared" si="16"/>
        <v>-2107095.4567769351</v>
      </c>
      <c r="J118" s="351">
        <f t="shared" si="17"/>
        <v>-2120912.2974922373</v>
      </c>
      <c r="K118" s="351">
        <f t="shared" si="18"/>
        <v>-2160475.4028753089</v>
      </c>
      <c r="L118" s="351">
        <f t="shared" si="19"/>
        <v>-2218927.3446506499</v>
      </c>
      <c r="M118" s="351">
        <f t="shared" si="20"/>
        <v>-1832184.2114648791</v>
      </c>
      <c r="N118" s="351">
        <f t="shared" si="21"/>
        <v>-1103113.3558755571</v>
      </c>
    </row>
    <row r="119" spans="3:14">
      <c r="C119">
        <v>0.14000000000000001</v>
      </c>
      <c r="D119" s="351">
        <f t="shared" si="11"/>
        <v>-8945796.2878822088</v>
      </c>
      <c r="E119" s="351">
        <f t="shared" si="12"/>
        <v>-5870982.7320875758</v>
      </c>
      <c r="F119" s="351">
        <f t="shared" si="13"/>
        <v>-4220295.3625262147</v>
      </c>
      <c r="G119" s="351">
        <f t="shared" si="14"/>
        <v>-3336143.9277392728</v>
      </c>
      <c r="H119" s="351">
        <f t="shared" si="15"/>
        <v>-2587622.003593911</v>
      </c>
      <c r="I119" s="351">
        <f t="shared" si="16"/>
        <v>-2264770.0826481758</v>
      </c>
      <c r="J119" s="351">
        <f t="shared" si="17"/>
        <v>-2277646.5724469628</v>
      </c>
      <c r="K119" s="351">
        <f t="shared" si="18"/>
        <v>-2314193.6539872843</v>
      </c>
      <c r="L119" s="351">
        <f t="shared" si="19"/>
        <v>-2367715.9658796298</v>
      </c>
      <c r="M119" s="351">
        <f t="shared" si="20"/>
        <v>-2016695.7532609492</v>
      </c>
      <c r="N119" s="351">
        <f t="shared" si="21"/>
        <v>-1360772.7777338144</v>
      </c>
    </row>
    <row r="120" spans="3:14">
      <c r="C120">
        <v>0.15</v>
      </c>
      <c r="D120" s="351">
        <f t="shared" si="11"/>
        <v>-8862483.4343199786</v>
      </c>
      <c r="E120" s="351">
        <f t="shared" si="12"/>
        <v>-5867186.9275681367</v>
      </c>
      <c r="F120" s="351">
        <f t="shared" si="13"/>
        <v>-4273170.2087574759</v>
      </c>
      <c r="G120" s="351">
        <f t="shared" si="14"/>
        <v>-3426797.3833993934</v>
      </c>
      <c r="H120" s="351">
        <f t="shared" si="15"/>
        <v>-2716489.5712001631</v>
      </c>
      <c r="I120" s="351">
        <f t="shared" si="16"/>
        <v>-2412784.2147397357</v>
      </c>
      <c r="J120" s="351">
        <f t="shared" si="17"/>
        <v>-2424791.7418536129</v>
      </c>
      <c r="K120" s="351">
        <f t="shared" si="18"/>
        <v>-2458576.1100079506</v>
      </c>
      <c r="L120" s="351">
        <f t="shared" si="19"/>
        <v>-2507622.2659129496</v>
      </c>
      <c r="M120" s="351">
        <f t="shared" si="20"/>
        <v>-2188755.5082475622</v>
      </c>
      <c r="N120" s="351">
        <f t="shared" si="21"/>
        <v>-1598096.304859045</v>
      </c>
    </row>
    <row r="121" spans="3:14">
      <c r="C121">
        <v>0.16</v>
      </c>
      <c r="D121" s="351">
        <f t="shared" si="11"/>
        <v>-8780701.4179879781</v>
      </c>
      <c r="E121" s="351">
        <f t="shared" si="12"/>
        <v>-5862203.5970529448</v>
      </c>
      <c r="F121" s="351">
        <f t="shared" si="13"/>
        <v>-4322446.2796132434</v>
      </c>
      <c r="G121" s="351">
        <f t="shared" si="14"/>
        <v>-3511931.4476911374</v>
      </c>
      <c r="H121" s="351">
        <f t="shared" si="15"/>
        <v>-2837580.9257629155</v>
      </c>
      <c r="I121" s="351">
        <f t="shared" si="16"/>
        <v>-2551735.3928988311</v>
      </c>
      <c r="J121" s="351">
        <f t="shared" si="17"/>
        <v>-2562939.3744491069</v>
      </c>
      <c r="K121" s="351">
        <f t="shared" si="18"/>
        <v>-2594191.1330611035</v>
      </c>
      <c r="L121" s="351">
        <f t="shared" si="19"/>
        <v>-2639169.4795380803</v>
      </c>
      <c r="M121" s="351">
        <f t="shared" si="20"/>
        <v>-2349269.8848591908</v>
      </c>
      <c r="N121" s="351">
        <f t="shared" si="21"/>
        <v>-1816897.9055945065</v>
      </c>
    </row>
    <row r="122" spans="3:14">
      <c r="C122">
        <v>0.17</v>
      </c>
      <c r="D122" s="351">
        <f t="shared" si="11"/>
        <v>-8700408.5866031647</v>
      </c>
      <c r="E122" s="351">
        <f t="shared" si="12"/>
        <v>-5856106.264690063</v>
      </c>
      <c r="F122" s="351">
        <f t="shared" si="13"/>
        <v>-4368319.172208474</v>
      </c>
      <c r="G122" s="351">
        <f t="shared" si="14"/>
        <v>-3591854.673224288</v>
      </c>
      <c r="H122" s="351">
        <f t="shared" si="15"/>
        <v>-2951355.6631484702</v>
      </c>
      <c r="I122" s="351">
        <f t="shared" si="16"/>
        <v>-2682179.6837551384</v>
      </c>
      <c r="J122" s="351">
        <f t="shared" si="17"/>
        <v>-2692640.1105582044</v>
      </c>
      <c r="K122" s="351">
        <f t="shared" si="18"/>
        <v>-2721568.4569080072</v>
      </c>
      <c r="L122" s="351">
        <f t="shared" si="19"/>
        <v>-2762847.0379932323</v>
      </c>
      <c r="M122" s="351">
        <f t="shared" si="20"/>
        <v>-2499067.5563778034</v>
      </c>
      <c r="N122" s="351">
        <f t="shared" si="21"/>
        <v>-2018802.7989293709</v>
      </c>
    </row>
    <row r="123" spans="3:14">
      <c r="C123">
        <v>0.18</v>
      </c>
      <c r="D123" s="351">
        <f t="shared" si="11"/>
        <v>-8621564.7804923318</v>
      </c>
      <c r="E123" s="351">
        <f t="shared" si="12"/>
        <v>-5848964.140513191</v>
      </c>
      <c r="F123" s="351">
        <f t="shared" si="13"/>
        <v>-4410973.0198577028</v>
      </c>
      <c r="G123" s="351">
        <f t="shared" si="14"/>
        <v>-3666856.6200646432</v>
      </c>
      <c r="H123" s="351">
        <f t="shared" si="15"/>
        <v>-3058243.1088022292</v>
      </c>
      <c r="I123" s="351">
        <f t="shared" si="16"/>
        <v>-2804634.9138503084</v>
      </c>
      <c r="J123" s="351">
        <f t="shared" si="17"/>
        <v>-2814406.8414441408</v>
      </c>
      <c r="K123" s="351">
        <f t="shared" si="18"/>
        <v>-2841202.1213730318</v>
      </c>
      <c r="L123" s="351">
        <f t="shared" si="19"/>
        <v>-2879112.9524239227</v>
      </c>
      <c r="M123" s="351">
        <f t="shared" si="20"/>
        <v>-2638907.1968777715</v>
      </c>
      <c r="N123" s="351">
        <f t="shared" si="21"/>
        <v>-2205269.5571529367</v>
      </c>
    </row>
    <row r="124" spans="3:14">
      <c r="C124">
        <v>0.19</v>
      </c>
      <c r="D124" s="351">
        <f t="shared" si="11"/>
        <v>-8544131.2665164694</v>
      </c>
      <c r="E124" s="351">
        <f t="shared" si="12"/>
        <v>-5840842.3930593012</v>
      </c>
      <c r="F124" s="351">
        <f t="shared" si="13"/>
        <v>-4450581.2392845554</v>
      </c>
      <c r="G124" s="351">
        <f t="shared" si="14"/>
        <v>-3737209.1628003023</v>
      </c>
      <c r="H124" s="351">
        <f t="shared" si="15"/>
        <v>-3158644.5527347857</v>
      </c>
      <c r="I124" s="351">
        <f t="shared" si="16"/>
        <v>-2919583.6228973302</v>
      </c>
      <c r="J124" s="351">
        <f t="shared" si="17"/>
        <v>-2928717.6144929919</v>
      </c>
      <c r="K124" s="351">
        <f t="shared" si="18"/>
        <v>-2953553.1604611301</v>
      </c>
      <c r="L124" s="351">
        <f t="shared" si="19"/>
        <v>-2988396.017894675</v>
      </c>
      <c r="M124" s="351">
        <f t="shared" si="20"/>
        <v>-2769484.3477619486</v>
      </c>
      <c r="N124" s="351">
        <f t="shared" si="21"/>
        <v>-2377609.3796198959</v>
      </c>
    </row>
    <row r="125" spans="3:14">
      <c r="C125">
        <v>0.2</v>
      </c>
      <c r="D125" s="351">
        <f t="shared" si="11"/>
        <v>-8468070.6754655708</v>
      </c>
      <c r="E125" s="351">
        <f t="shared" si="12"/>
        <v>-5831802.4030661443</v>
      </c>
      <c r="F125" s="351">
        <f t="shared" si="13"/>
        <v>-4487307.2237623557</v>
      </c>
      <c r="G125" s="351">
        <f t="shared" si="14"/>
        <v>-3803167.6976609449</v>
      </c>
      <c r="H125" s="351">
        <f t="shared" si="15"/>
        <v>-3252935.3012666679</v>
      </c>
      <c r="I125" s="351">
        <f t="shared" si="16"/>
        <v>-3027475.7637547497</v>
      </c>
      <c r="J125" s="351">
        <f t="shared" si="17"/>
        <v>-3036018.2901705503</v>
      </c>
      <c r="K125" s="351">
        <f t="shared" si="18"/>
        <v>-3059052.0667384951</v>
      </c>
      <c r="L125" s="351">
        <f t="shared" si="19"/>
        <v>-3091097.8519418798</v>
      </c>
      <c r="M125" s="351">
        <f t="shared" si="20"/>
        <v>-2891437.5226134714</v>
      </c>
      <c r="N125" s="351">
        <f t="shared" si="21"/>
        <v>-2537002.9260576908</v>
      </c>
    </row>
    <row r="126" spans="3:14">
      <c r="C126">
        <v>0.21</v>
      </c>
      <c r="D126" s="351">
        <f t="shared" si="11"/>
        <v>-8393346.9427135251</v>
      </c>
      <c r="E126" s="351">
        <f t="shared" si="12"/>
        <v>-5821901.999690841</v>
      </c>
      <c r="F126" s="351">
        <f t="shared" si="13"/>
        <v>-4521304.9864957891</v>
      </c>
      <c r="G126" s="351">
        <f t="shared" si="14"/>
        <v>-3864972.2581018419</v>
      </c>
      <c r="H126" s="351">
        <f t="shared" si="15"/>
        <v>-3341466.5620338167</v>
      </c>
      <c r="I126" s="351">
        <f t="shared" si="16"/>
        <v>-3128731.172957602</v>
      </c>
      <c r="J126" s="351">
        <f t="shared" si="17"/>
        <v>-3136724.9740251959</v>
      </c>
      <c r="K126" s="351">
        <f t="shared" si="18"/>
        <v>-3158101.0523131285</v>
      </c>
      <c r="L126" s="351">
        <f t="shared" si="19"/>
        <v>-3187594.7805811004</v>
      </c>
      <c r="M126" s="351">
        <f t="shared" si="20"/>
        <v>-3005353.6436382323</v>
      </c>
      <c r="N126" s="351">
        <f t="shared" si="21"/>
        <v>-2684515.0412881118</v>
      </c>
    </row>
    <row r="127" spans="3:14">
      <c r="C127">
        <v>0.22</v>
      </c>
      <c r="D127" s="351">
        <f t="shared" si="11"/>
        <v>-8319925.2519371947</v>
      </c>
      <c r="E127" s="351">
        <f t="shared" si="12"/>
        <v>-5811195.6805709749</v>
      </c>
      <c r="F127" s="351">
        <f t="shared" si="13"/>
        <v>-4552719.7581783151</v>
      </c>
      <c r="G127" s="351">
        <f t="shared" si="14"/>
        <v>-3922848.5464922283</v>
      </c>
      <c r="H127" s="351">
        <f t="shared" si="15"/>
        <v>-3424567.1771393619</v>
      </c>
      <c r="I127" s="351">
        <f t="shared" si="16"/>
        <v>-3223741.8332087565</v>
      </c>
      <c r="J127" s="351">
        <f t="shared" si="17"/>
        <v>-3231226.2446399494</v>
      </c>
      <c r="K127" s="351">
        <f t="shared" si="18"/>
        <v>-3251076.1247544033</v>
      </c>
      <c r="L127" s="351">
        <f t="shared" si="19"/>
        <v>-3278239.5836811783</v>
      </c>
      <c r="M127" s="351">
        <f t="shared" si="20"/>
        <v>-3111772.8905942286</v>
      </c>
      <c r="N127" s="351">
        <f t="shared" si="21"/>
        <v>-2821107.6553441887</v>
      </c>
    </row>
    <row r="128" spans="3:14">
      <c r="C128">
        <v>0.23</v>
      </c>
      <c r="D128" s="351">
        <f t="shared" si="11"/>
        <v>-8247771.9817170817</v>
      </c>
      <c r="E128" s="351">
        <f t="shared" si="12"/>
        <v>-5799734.8169405516</v>
      </c>
      <c r="F128" s="351">
        <f t="shared" si="13"/>
        <v>-4581688.542320122</v>
      </c>
      <c r="G128" s="351">
        <f t="shared" si="14"/>
        <v>-3977008.8888522475</v>
      </c>
      <c r="H128" s="351">
        <f t="shared" si="15"/>
        <v>-3502545.2178915245</v>
      </c>
      <c r="I128" s="351">
        <f t="shared" si="16"/>
        <v>-3312873.947064762</v>
      </c>
      <c r="J128" s="351">
        <f t="shared" si="17"/>
        <v>-3319885.1963266106</v>
      </c>
      <c r="K128" s="351">
        <f t="shared" si="18"/>
        <v>-3338328.9945032112</v>
      </c>
      <c r="L128" s="351">
        <f t="shared" si="19"/>
        <v>-3363363.1106861415</v>
      </c>
      <c r="M128" s="351">
        <f t="shared" si="20"/>
        <v>-3211193.0324818636</v>
      </c>
      <c r="N128" s="351">
        <f t="shared" si="21"/>
        <v>-2947651.1023491533</v>
      </c>
    </row>
    <row r="129" spans="3:14">
      <c r="C129">
        <v>0.24</v>
      </c>
      <c r="D129" s="351">
        <f t="shared" si="11"/>
        <v>-8176854.654849261</v>
      </c>
      <c r="E129" s="351">
        <f t="shared" si="12"/>
        <v>-5787567.8449138943</v>
      </c>
      <c r="F129" s="351">
        <f t="shared" si="13"/>
        <v>-4608340.6316333422</v>
      </c>
      <c r="G129" s="351">
        <f t="shared" si="14"/>
        <v>-4027653.1189556429</v>
      </c>
      <c r="H129" s="351">
        <f t="shared" si="15"/>
        <v>-3575689.453273193</v>
      </c>
      <c r="I129" s="351">
        <f t="shared" si="16"/>
        <v>-3396469.8391175815</v>
      </c>
      <c r="J129" s="351">
        <f t="shared" si="17"/>
        <v>-3403041.3134740517</v>
      </c>
      <c r="K129" s="351">
        <f t="shared" si="18"/>
        <v>-3420188.8287233901</v>
      </c>
      <c r="L129" s="351">
        <f t="shared" si="19"/>
        <v>-3443275.7768013426</v>
      </c>
      <c r="M129" s="351">
        <f t="shared" si="20"/>
        <v>-3304073.3031397113</v>
      </c>
      <c r="N129" s="351">
        <f t="shared" si="21"/>
        <v>-3064934.0670287837</v>
      </c>
    </row>
    <row r="130" spans="3:14">
      <c r="C130">
        <v>0.25</v>
      </c>
      <c r="D130" s="351">
        <f t="shared" si="11"/>
        <v>-8107141.8902097102</v>
      </c>
      <c r="E130" s="351">
        <f t="shared" si="12"/>
        <v>-5774740.4439601321</v>
      </c>
      <c r="F130" s="351">
        <f t="shared" si="13"/>
        <v>-4632798.0884818761</v>
      </c>
      <c r="G130" s="351">
        <f t="shared" si="14"/>
        <v>-4074969.3975497833</v>
      </c>
      <c r="H130" s="351">
        <f t="shared" si="15"/>
        <v>-3644270.7031290657</v>
      </c>
      <c r="I130" s="351">
        <f t="shared" si="16"/>
        <v>-3474849.7022503028</v>
      </c>
      <c r="J130" s="351">
        <f t="shared" si="17"/>
        <v>-3481012.191784855</v>
      </c>
      <c r="K130" s="351">
        <f t="shared" si="18"/>
        <v>-3496963.8651103815</v>
      </c>
      <c r="L130" s="351">
        <f t="shared" si="19"/>
        <v>-3518268.9489595653</v>
      </c>
      <c r="M130" s="351">
        <f t="shared" si="20"/>
        <v>-3390837.874031242</v>
      </c>
      <c r="N130" s="351">
        <f t="shared" si="21"/>
        <v>-3173672.3383862758</v>
      </c>
    </row>
    <row r="131" spans="3:14">
      <c r="C131">
        <v>0.26</v>
      </c>
      <c r="D131" s="351">
        <f t="shared" si="11"/>
        <v>-8038603.3570226263</v>
      </c>
      <c r="E131" s="351">
        <f t="shared" si="12"/>
        <v>-5761295.7035083845</v>
      </c>
      <c r="F131" s="351">
        <f t="shared" si="13"/>
        <v>-4655176.1921494016</v>
      </c>
      <c r="G131" s="351">
        <f t="shared" si="14"/>
        <v>-4119134.9719336154</v>
      </c>
      <c r="H131" s="351">
        <f t="shared" si="15"/>
        <v>-3708543.0860159378</v>
      </c>
      <c r="I131" s="351">
        <f t="shared" si="16"/>
        <v>-3548313.2020064457</v>
      </c>
      <c r="J131" s="351">
        <f t="shared" si="17"/>
        <v>-3554095.1201358298</v>
      </c>
      <c r="K131" s="351">
        <f t="shared" si="18"/>
        <v>-3568942.8978856956</v>
      </c>
      <c r="L131" s="351">
        <f t="shared" si="19"/>
        <v>-3588616.2301421734</v>
      </c>
      <c r="M131" s="351">
        <f t="shared" si="20"/>
        <v>-3471878.9707316756</v>
      </c>
      <c r="N131" s="351">
        <f t="shared" si="21"/>
        <v>-3274516.5250727502</v>
      </c>
    </row>
    <row r="132" spans="3:14">
      <c r="C132">
        <v>0.27</v>
      </c>
      <c r="D132" s="351">
        <f t="shared" si="11"/>
        <v>-7971209.7313941186</v>
      </c>
      <c r="E132" s="351">
        <f t="shared" si="12"/>
        <v>-5747274.2785485284</v>
      </c>
      <c r="F132" s="351">
        <f t="shared" si="13"/>
        <v>-4675583.8554487359</v>
      </c>
      <c r="G132" s="351">
        <f t="shared" si="14"/>
        <v>-4160316.8806724395</v>
      </c>
      <c r="H132" s="351">
        <f t="shared" si="15"/>
        <v>-3768745.1707278481</v>
      </c>
      <c r="I132" s="351">
        <f t="shared" si="16"/>
        <v>-3617140.9517379552</v>
      </c>
      <c r="J132" s="351">
        <f t="shared" si="17"/>
        <v>-3622568.5354583296</v>
      </c>
      <c r="K132" s="351">
        <f t="shared" si="18"/>
        <v>-3636396.6470500967</v>
      </c>
      <c r="L132" s="351">
        <f t="shared" si="19"/>
        <v>-3654574.6499466188</v>
      </c>
      <c r="M132" s="351">
        <f t="shared" si="20"/>
        <v>-3547559.6737725968</v>
      </c>
      <c r="N132" s="351">
        <f t="shared" si="21"/>
        <v>-3368058.8656621538</v>
      </c>
    </row>
    <row r="133" spans="3:14">
      <c r="C133">
        <v>0.28000000000000003</v>
      </c>
      <c r="D133" s="351">
        <f t="shared" si="11"/>
        <v>-7904932.6549817035</v>
      </c>
      <c r="E133" s="351">
        <f t="shared" si="12"/>
        <v>-5732714.5350236809</v>
      </c>
      <c r="F133" s="351">
        <f t="shared" si="13"/>
        <v>-4694124.0129861096</v>
      </c>
      <c r="G133" s="351">
        <f t="shared" si="14"/>
        <v>-4198672.6078106537</v>
      </c>
      <c r="H133" s="351">
        <f t="shared" si="15"/>
        <v>-3825101.0396685638</v>
      </c>
      <c r="I133" s="351">
        <f t="shared" si="16"/>
        <v>-3681595.8699674518</v>
      </c>
      <c r="J133" s="351">
        <f t="shared" si="17"/>
        <v>-3686693.3618354946</v>
      </c>
      <c r="K133" s="351">
        <f t="shared" si="18"/>
        <v>-3699579.0209298842</v>
      </c>
      <c r="L133" s="351">
        <f t="shared" si="19"/>
        <v>-3716385.7686609612</v>
      </c>
      <c r="M133" s="351">
        <f t="shared" si="20"/>
        <v>-3618216.4394409964</v>
      </c>
      <c r="N133" s="351">
        <f t="shared" si="21"/>
        <v>-3454839.2488208655</v>
      </c>
    </row>
    <row r="134" spans="3:14">
      <c r="C134">
        <v>0.28999999999999998</v>
      </c>
      <c r="D134" s="351">
        <f t="shared" ref="D134:D197" si="22">NPV(C134,C$3:D$3)</f>
        <v>-7839744.6956784278</v>
      </c>
      <c r="E134" s="351">
        <f t="shared" ref="E134:E197" si="23">NPV(C134,C$3:E$3)</f>
        <v>-5717652.6857476896</v>
      </c>
      <c r="F134" s="351">
        <f t="shared" si="13"/>
        <v>-4710893.9832032304</v>
      </c>
      <c r="G134" s="351">
        <f t="shared" si="14"/>
        <v>-4234350.6905653747</v>
      </c>
      <c r="H134" s="351">
        <f t="shared" si="15"/>
        <v>-3877821.2714889799</v>
      </c>
      <c r="I134" s="351">
        <f t="shared" si="16"/>
        <v>-3741924.4302995009</v>
      </c>
      <c r="J134" s="351">
        <f t="shared" si="17"/>
        <v>-3746714.2439396624</v>
      </c>
      <c r="K134" s="351">
        <f t="shared" si="18"/>
        <v>-3758728.281116528</v>
      </c>
      <c r="L134" s="351">
        <f t="shared" si="19"/>
        <v>-3774276.701524863</v>
      </c>
      <c r="M134" s="351">
        <f t="shared" si="20"/>
        <v>-3684161.3717455002</v>
      </c>
      <c r="N134" s="351">
        <f t="shared" si="21"/>
        <v>-3535350.5427751653</v>
      </c>
    </row>
    <row r="135" spans="3:14">
      <c r="C135">
        <v>0.3</v>
      </c>
      <c r="D135" s="351">
        <f t="shared" si="22"/>
        <v>-7775619.3101981794</v>
      </c>
      <c r="E135" s="351">
        <f t="shared" si="23"/>
        <v>-5702122.9175235294</v>
      </c>
      <c r="F135" s="351">
        <f t="shared" ref="F135:F198" si="24">NPV(C135,C$3:F$3)</f>
        <v>-4725985.8061463591</v>
      </c>
      <c r="G135" s="351">
        <f t="shared" ref="G135:G198" si="25">NPV(C135,C$3:G$3)</f>
        <v>-4267491.2841411876</v>
      </c>
      <c r="H135" s="351">
        <f t="shared" ref="H135:H198" si="26">NPV(C135,C$3:H$3)</f>
        <v>-3927103.8497274853</v>
      </c>
      <c r="I135" s="351">
        <f t="shared" ref="I135:I198" si="27">NPV(C135,C$3:I$3)</f>
        <v>-3798357.8132291911</v>
      </c>
      <c r="J135" s="351">
        <f t="shared" ref="J135:J198" si="28">NPV(C135,C$3:J$3)</f>
        <v>-3802860.6839705156</v>
      </c>
      <c r="K135" s="351">
        <f t="shared" ref="K135:K198" si="29">NPV(C135,C$3:K$3)</f>
        <v>-3814068.1180593176</v>
      </c>
      <c r="L135" s="351">
        <f t="shared" ref="L135:L198" si="30">NPV(C135,C$3:L$3)</f>
        <v>-3828461.0693216552</v>
      </c>
      <c r="M135" s="351">
        <f t="shared" ref="M135:M198" si="31">NPV(C135,C$3:M$3)</f>
        <v>-3745684.2729596063</v>
      </c>
      <c r="N135" s="351">
        <f t="shared" ref="N135:N198" si="32">NPV(C135,C$3:N$3)</f>
        <v>-3610043.3201252855</v>
      </c>
    </row>
    <row r="136" spans="3:14">
      <c r="C136">
        <v>0.31</v>
      </c>
      <c r="D136" s="351">
        <f t="shared" si="22"/>
        <v>-7712530.8084560186</v>
      </c>
      <c r="E136" s="351">
        <f t="shared" si="23"/>
        <v>-5686157.5100858873</v>
      </c>
      <c r="F136" s="351">
        <f t="shared" si="24"/>
        <v>-4739486.5587533275</v>
      </c>
      <c r="G136" s="351">
        <f t="shared" si="25"/>
        <v>-4298226.6869953992</v>
      </c>
      <c r="H136" s="351">
        <f t="shared" si="26"/>
        <v>-3973135.0035789222</v>
      </c>
      <c r="I136" s="351">
        <f t="shared" si="27"/>
        <v>-3851112.9683112954</v>
      </c>
      <c r="J136" s="351">
        <f t="shared" si="28"/>
        <v>-3855348.0903904256</v>
      </c>
      <c r="K136" s="351">
        <f t="shared" si="29"/>
        <v>-3865808.6448132875</v>
      </c>
      <c r="L136" s="351">
        <f t="shared" si="30"/>
        <v>-3879139.8809538023</v>
      </c>
      <c r="M136" s="351">
        <f t="shared" si="31"/>
        <v>-3803054.4968475425</v>
      </c>
      <c r="N136" s="351">
        <f t="shared" si="32"/>
        <v>-3679330.0525970245</v>
      </c>
    </row>
    <row r="137" spans="3:14">
      <c r="C137">
        <v>0.32</v>
      </c>
      <c r="D137" s="351">
        <f t="shared" si="22"/>
        <v>-7650454.3196440674</v>
      </c>
      <c r="E137" s="351">
        <f t="shared" si="23"/>
        <v>-5669786.9474431472</v>
      </c>
      <c r="F137" s="351">
        <f t="shared" si="24"/>
        <v>-4751478.6493051862</v>
      </c>
      <c r="G137" s="351">
        <f t="shared" si="25"/>
        <v>-4326681.8296012348</v>
      </c>
      <c r="H137" s="351">
        <f t="shared" si="26"/>
        <v>-4016089.9863656494</v>
      </c>
      <c r="I137" s="351">
        <f t="shared" si="27"/>
        <v>-3900393.5943588684</v>
      </c>
      <c r="J137" s="351">
        <f t="shared" si="28"/>
        <v>-3904378.7459774758</v>
      </c>
      <c r="K137" s="351">
        <f t="shared" si="29"/>
        <v>-3914147.3157620654</v>
      </c>
      <c r="L137" s="351">
        <f t="shared" si="30"/>
        <v>-3926502.3532017306</v>
      </c>
      <c r="M137" s="351">
        <f t="shared" si="31"/>
        <v>-3856522.6258036778</v>
      </c>
      <c r="N137" s="351">
        <f t="shared" si="32"/>
        <v>-3743588.8404782689</v>
      </c>
    </row>
    <row r="138" spans="3:14">
      <c r="C138">
        <v>0.33</v>
      </c>
      <c r="D138" s="351">
        <f t="shared" si="22"/>
        <v>-7589365.7599097034</v>
      </c>
      <c r="E138" s="351">
        <f t="shared" si="23"/>
        <v>-5653040.0221498162</v>
      </c>
      <c r="F138" s="351">
        <f t="shared" si="24"/>
        <v>-4762040.0925573446</v>
      </c>
      <c r="G138" s="351">
        <f t="shared" si="25"/>
        <v>-4352974.7295000907</v>
      </c>
      <c r="H138" s="351">
        <f t="shared" si="26"/>
        <v>-4056133.7967856098</v>
      </c>
      <c r="I138" s="351">
        <f t="shared" si="27"/>
        <v>-3946391.0446258979</v>
      </c>
      <c r="J138" s="351">
        <f t="shared" si="28"/>
        <v>-3950142.7020187341</v>
      </c>
      <c r="K138" s="351">
        <f t="shared" si="29"/>
        <v>-3959269.7765191761</v>
      </c>
      <c r="L138" s="351">
        <f t="shared" si="30"/>
        <v>-3970726.6724499394</v>
      </c>
      <c r="M138" s="351">
        <f t="shared" si="31"/>
        <v>-3906321.9906312241</v>
      </c>
      <c r="N138" s="351">
        <f t="shared" si="32"/>
        <v>-3803166.7330189934</v>
      </c>
    </row>
    <row r="139" spans="3:14">
      <c r="C139">
        <v>0.34</v>
      </c>
      <c r="D139" s="351">
        <f t="shared" si="22"/>
        <v>-7529241.8015486319</v>
      </c>
      <c r="E139" s="351">
        <f t="shared" si="23"/>
        <v>-5635943.9330000551</v>
      </c>
      <c r="F139" s="351">
        <f t="shared" si="24"/>
        <v>-4771244.7669448713</v>
      </c>
      <c r="G139" s="351">
        <f t="shared" si="25"/>
        <v>-4377216.915201162</v>
      </c>
      <c r="H139" s="351">
        <f t="shared" si="26"/>
        <v>-4093421.8475621012</v>
      </c>
      <c r="I139" s="351">
        <f t="shared" si="27"/>
        <v>-3989285.1632864387</v>
      </c>
      <c r="J139" s="351">
        <f t="shared" si="28"/>
        <v>-3992818.604838531</v>
      </c>
      <c r="K139" s="351">
        <f t="shared" si="29"/>
        <v>-4001350.6506552626</v>
      </c>
      <c r="L139" s="351">
        <f t="shared" si="30"/>
        <v>-4011980.7027823776</v>
      </c>
      <c r="M139" s="351">
        <f t="shared" si="31"/>
        <v>-3952670.0495001925</v>
      </c>
      <c r="N139" s="351">
        <f t="shared" si="32"/>
        <v>-3858382.6887779408</v>
      </c>
    </row>
    <row r="140" spans="3:14">
      <c r="C140">
        <v>0.35</v>
      </c>
      <c r="D140" s="351">
        <f t="shared" si="22"/>
        <v>-7470059.8436308224</v>
      </c>
      <c r="E140" s="351">
        <f t="shared" si="23"/>
        <v>-5618524.3765958352</v>
      </c>
      <c r="F140" s="351">
        <f t="shared" si="24"/>
        <v>-4779162.6551466174</v>
      </c>
      <c r="G140" s="351">
        <f t="shared" si="25"/>
        <v>-4399513.8212749008</v>
      </c>
      <c r="H140" s="351">
        <f t="shared" si="26"/>
        <v>-4128100.585712757</v>
      </c>
      <c r="I140" s="351">
        <f t="shared" si="27"/>
        <v>-4029245.0589443017</v>
      </c>
      <c r="J140" s="351">
        <f t="shared" si="28"/>
        <v>-4032574.4602908897</v>
      </c>
      <c r="K140" s="351">
        <f t="shared" si="29"/>
        <v>-4040554.2683960027</v>
      </c>
      <c r="L140" s="351">
        <f t="shared" si="30"/>
        <v>-4050422.6444980423</v>
      </c>
      <c r="M140" s="351">
        <f t="shared" si="31"/>
        <v>-3995769.6407143101</v>
      </c>
      <c r="N140" s="351">
        <f t="shared" si="32"/>
        <v>-3909530.2186059672</v>
      </c>
    </row>
    <row r="141" spans="3:14">
      <c r="C141">
        <v>0.36</v>
      </c>
      <c r="D141" s="351">
        <f t="shared" si="22"/>
        <v>-7411797.9839822808</v>
      </c>
      <c r="E141" s="351">
        <f t="shared" si="23"/>
        <v>-5600805.6332092164</v>
      </c>
      <c r="F141" s="351">
        <f t="shared" si="24"/>
        <v>-4785860.0691923304</v>
      </c>
      <c r="G141" s="351">
        <f t="shared" si="25"/>
        <v>-4419965.1567939278</v>
      </c>
      <c r="H141" s="351">
        <f t="shared" si="26"/>
        <v>-4160308.0682868552</v>
      </c>
      <c r="I141" s="351">
        <f t="shared" si="27"/>
        <v>-4066429.8203863082</v>
      </c>
      <c r="J141" s="351">
        <f t="shared" si="28"/>
        <v>-4069568.3413354731</v>
      </c>
      <c r="K141" s="351">
        <f t="shared" si="29"/>
        <v>-4077035.3419810859</v>
      </c>
      <c r="L141" s="351">
        <f t="shared" si="30"/>
        <v>-4086201.6467756093</v>
      </c>
      <c r="M141" s="351">
        <f t="shared" si="31"/>
        <v>-4035810.1222451008</v>
      </c>
      <c r="N141" s="351">
        <f t="shared" si="32"/>
        <v>-3956879.7485204213</v>
      </c>
    </row>
    <row r="142" spans="3:14">
      <c r="C142">
        <v>0.37</v>
      </c>
      <c r="D142" s="351">
        <f t="shared" si="22"/>
        <v>-7354434.9924503556</v>
      </c>
      <c r="E142" s="351">
        <f t="shared" si="23"/>
        <v>-5582810.6473269099</v>
      </c>
      <c r="F142" s="351">
        <f t="shared" si="24"/>
        <v>-4791399.8612048756</v>
      </c>
      <c r="G142" s="351">
        <f t="shared" si="25"/>
        <v>-4438665.2490992881</v>
      </c>
      <c r="H142" s="351">
        <f t="shared" si="26"/>
        <v>-4190174.4970863969</v>
      </c>
      <c r="I142" s="351">
        <f t="shared" si="27"/>
        <v>-4100989.1793221137</v>
      </c>
      <c r="J142" s="351">
        <f t="shared" si="28"/>
        <v>-4103949.0433563869</v>
      </c>
      <c r="K142" s="351">
        <f t="shared" si="29"/>
        <v>-4110939.5919631892</v>
      </c>
      <c r="L142" s="351">
        <f t="shared" si="30"/>
        <v>-4119458.3779198923</v>
      </c>
      <c r="M142" s="351">
        <f t="shared" si="31"/>
        <v>-4072968.4095264031</v>
      </c>
      <c r="N142" s="351">
        <f t="shared" si="32"/>
        <v>-4000680.7350236252</v>
      </c>
    </row>
    <row r="143" spans="3:14">
      <c r="C143">
        <v>0.38</v>
      </c>
      <c r="D143" s="351">
        <f t="shared" si="22"/>
        <v>-7297950.2853846494</v>
      </c>
      <c r="E143" s="351">
        <f t="shared" si="23"/>
        <v>-5564561.1032365924</v>
      </c>
      <c r="F143" s="351">
        <f t="shared" si="24"/>
        <v>-4795841.6207854636</v>
      </c>
      <c r="G143" s="351">
        <f t="shared" si="25"/>
        <v>-4455703.3647098448</v>
      </c>
      <c r="H143" s="351">
        <f t="shared" si="26"/>
        <v>-4217822.7155840518</v>
      </c>
      <c r="I143" s="351">
        <f t="shared" si="27"/>
        <v>-4133064.1244293922</v>
      </c>
      <c r="J143" s="351">
        <f t="shared" si="28"/>
        <v>-4135856.6914678453</v>
      </c>
      <c r="K143" s="351">
        <f t="shared" si="29"/>
        <v>-4142404.3283534427</v>
      </c>
      <c r="L143" s="351">
        <f t="shared" si="30"/>
        <v>-4150325.556351386</v>
      </c>
      <c r="M143" s="351">
        <f t="shared" si="31"/>
        <v>-4107409.9217172661</v>
      </c>
      <c r="N143" s="351">
        <f t="shared" si="32"/>
        <v>-4041163.5613474646</v>
      </c>
    </row>
    <row r="144" spans="3:14">
      <c r="C144">
        <v>0.39</v>
      </c>
      <c r="D144" s="351">
        <f t="shared" si="22"/>
        <v>-7242323.9012695896</v>
      </c>
      <c r="E144" s="351">
        <f t="shared" si="23"/>
        <v>-5546077.4959879005</v>
      </c>
      <c r="F144" s="351">
        <f t="shared" si="24"/>
        <v>-4799241.8599725338</v>
      </c>
      <c r="G144" s="351">
        <f t="shared" si="25"/>
        <v>-4471164.0090464232</v>
      </c>
      <c r="H144" s="351">
        <f t="shared" si="26"/>
        <v>-4243368.6709767878</v>
      </c>
      <c r="I144" s="351">
        <f t="shared" si="27"/>
        <v>-4162787.4706399678</v>
      </c>
      <c r="J144" s="351">
        <f t="shared" si="28"/>
        <v>-4165423.3036753563</v>
      </c>
      <c r="K144" s="351">
        <f t="shared" si="29"/>
        <v>-4171558.9901822335</v>
      </c>
      <c r="L144" s="351">
        <f t="shared" si="30"/>
        <v>-4178928.4452506988</v>
      </c>
      <c r="M144" s="351">
        <f t="shared" si="31"/>
        <v>-4139289.445511614</v>
      </c>
      <c r="N144" s="351">
        <f t="shared" si="32"/>
        <v>-4078541.2395759695</v>
      </c>
    </row>
    <row r="145" spans="3:14">
      <c r="C145">
        <v>0.4</v>
      </c>
      <c r="D145" s="351">
        <f t="shared" si="22"/>
        <v>-7187536.477448687</v>
      </c>
      <c r="E145" s="351">
        <f t="shared" si="23"/>
        <v>-5527379.1980368039</v>
      </c>
      <c r="F145" s="351">
        <f t="shared" si="24"/>
        <v>-4801654.1866341745</v>
      </c>
      <c r="G145" s="351">
        <f t="shared" si="25"/>
        <v>-4485127.206508955</v>
      </c>
      <c r="H145" s="351">
        <f t="shared" si="26"/>
        <v>-4266921.8440649789</v>
      </c>
      <c r="I145" s="351">
        <f t="shared" si="27"/>
        <v>-4190284.3872558796</v>
      </c>
      <c r="J145" s="351">
        <f t="shared" si="28"/>
        <v>-4192773.3134214836</v>
      </c>
      <c r="K145" s="351">
        <f t="shared" si="29"/>
        <v>-4198525.6467378996</v>
      </c>
      <c r="L145" s="351">
        <f t="shared" si="30"/>
        <v>-4205385.313540658</v>
      </c>
      <c r="M145" s="351">
        <f t="shared" si="31"/>
        <v>-4168751.924579137</v>
      </c>
      <c r="N145" s="351">
        <f t="shared" si="32"/>
        <v>-4113010.9405329302</v>
      </c>
    </row>
    <row r="146" spans="3:14">
      <c r="C146">
        <v>0.41</v>
      </c>
      <c r="D146" s="351">
        <f t="shared" si="22"/>
        <v>-7133569.2278838474</v>
      </c>
      <c r="E146" s="351">
        <f t="shared" si="23"/>
        <v>-5508484.5218595257</v>
      </c>
      <c r="F146" s="351">
        <f t="shared" si="24"/>
        <v>-4803129.4670889983</v>
      </c>
      <c r="G146" s="351">
        <f t="shared" si="25"/>
        <v>-4497668.762322993</v>
      </c>
      <c r="H146" s="351">
        <f t="shared" si="26"/>
        <v>-4288585.6494207438</v>
      </c>
      <c r="I146" s="351">
        <f t="shared" si="27"/>
        <v>-4215672.8881709334</v>
      </c>
      <c r="J146" s="351">
        <f t="shared" si="28"/>
        <v>-4218024.0547380261</v>
      </c>
      <c r="K146" s="351">
        <f t="shared" si="29"/>
        <v>-4223419.4634680608</v>
      </c>
      <c r="L146" s="351">
        <f t="shared" si="30"/>
        <v>-4229807.865678723</v>
      </c>
      <c r="M146" s="351">
        <f t="shared" si="31"/>
        <v>-4195933.1818463141</v>
      </c>
      <c r="N146" s="351">
        <f t="shared" si="32"/>
        <v>-4144755.3706575767</v>
      </c>
    </row>
    <row r="147" spans="3:14">
      <c r="C147">
        <v>0.42</v>
      </c>
      <c r="D147" s="351">
        <f t="shared" si="22"/>
        <v>-7080403.9218966104</v>
      </c>
      <c r="E147" s="351">
        <f t="shared" si="23"/>
        <v>-5489410.778801606</v>
      </c>
      <c r="F147" s="351">
        <f t="shared" si="24"/>
        <v>-4803715.9786907006</v>
      </c>
      <c r="G147" s="351">
        <f t="shared" si="25"/>
        <v>-4508860.5074605038</v>
      </c>
      <c r="H147" s="351">
        <f t="shared" si="26"/>
        <v>-4308457.8081034655</v>
      </c>
      <c r="I147" s="351">
        <f t="shared" si="27"/>
        <v>-4239064.2871891679</v>
      </c>
      <c r="J147" s="351">
        <f t="shared" si="28"/>
        <v>-4241286.2129478576</v>
      </c>
      <c r="K147" s="351">
        <f t="shared" si="29"/>
        <v>-4246349.1352756592</v>
      </c>
      <c r="L147" s="351">
        <f t="shared" si="30"/>
        <v>-4252301.6425391017</v>
      </c>
      <c r="M147" s="351">
        <f t="shared" si="31"/>
        <v>-4220960.5810536975</v>
      </c>
      <c r="N147" s="351">
        <f t="shared" si="32"/>
        <v>-4173944.012772392</v>
      </c>
    </row>
    <row r="148" spans="3:14">
      <c r="C148">
        <v>0.43</v>
      </c>
      <c r="D148" s="351">
        <f t="shared" si="22"/>
        <v>-7028022.8638411546</v>
      </c>
      <c r="E148" s="351">
        <f t="shared" si="23"/>
        <v>-5470174.3344086595</v>
      </c>
      <c r="F148" s="351">
        <f t="shared" si="24"/>
        <v>-4803459.5530568594</v>
      </c>
      <c r="G148" s="351">
        <f t="shared" si="25"/>
        <v>-4518770.5278380336</v>
      </c>
      <c r="H148" s="351">
        <f t="shared" si="26"/>
        <v>-4326630.6949936086</v>
      </c>
      <c r="I148" s="351">
        <f t="shared" si="27"/>
        <v>-4260563.6211744817</v>
      </c>
      <c r="J148" s="351">
        <f t="shared" si="28"/>
        <v>-4262664.24360744</v>
      </c>
      <c r="K148" s="351">
        <f t="shared" si="29"/>
        <v>-4267417.2897125678</v>
      </c>
      <c r="L148" s="351">
        <f t="shared" si="30"/>
        <v>-4272966.3954868475</v>
      </c>
      <c r="M148" s="351">
        <f t="shared" si="31"/>
        <v>-4243953.6333433362</v>
      </c>
      <c r="N148" s="351">
        <f t="shared" si="32"/>
        <v>-4200734.2456267243</v>
      </c>
    </row>
    <row r="149" spans="3:14">
      <c r="C149">
        <v>0.44</v>
      </c>
      <c r="D149" s="351">
        <f t="shared" si="22"/>
        <v>-6976408.8736618571</v>
      </c>
      <c r="E149" s="351">
        <f t="shared" si="23"/>
        <v>-5450790.6604677457</v>
      </c>
      <c r="F149" s="351">
        <f t="shared" si="24"/>
        <v>-4802403.7105720136</v>
      </c>
      <c r="G149" s="351">
        <f t="shared" si="25"/>
        <v>-4527463.3789018868</v>
      </c>
      <c r="H149" s="351">
        <f t="shared" si="26"/>
        <v>-4343191.6626454443</v>
      </c>
      <c r="I149" s="351">
        <f t="shared" si="27"/>
        <v>-4280270.04353208</v>
      </c>
      <c r="J149" s="351">
        <f t="shared" si="28"/>
        <v>-4282256.7621517964</v>
      </c>
      <c r="K149" s="351">
        <f t="shared" si="29"/>
        <v>-4286720.8623647084</v>
      </c>
      <c r="L149" s="351">
        <f t="shared" si="30"/>
        <v>-4291896.4355831435</v>
      </c>
      <c r="M149" s="351">
        <f t="shared" si="31"/>
        <v>-4265024.5540263411</v>
      </c>
      <c r="N149" s="351">
        <f t="shared" si="32"/>
        <v>-4225272.3553367099</v>
      </c>
    </row>
    <row r="150" spans="3:14">
      <c r="C150">
        <v>0.45</v>
      </c>
      <c r="D150" s="351">
        <f t="shared" si="22"/>
        <v>-6925545.2682909286</v>
      </c>
      <c r="E150" s="351">
        <f t="shared" si="23"/>
        <v>-5431274.3839721922</v>
      </c>
      <c r="F150" s="351">
        <f t="shared" si="24"/>
        <v>-4800589.7867488908</v>
      </c>
      <c r="G150" s="351">
        <f t="shared" si="25"/>
        <v>-4535000.2866246551</v>
      </c>
      <c r="H150" s="351">
        <f t="shared" si="26"/>
        <v>-4358223.3434043033</v>
      </c>
      <c r="I150" s="351">
        <f t="shared" si="27"/>
        <v>-4298277.1903106058</v>
      </c>
      <c r="J150" s="351">
        <f t="shared" si="28"/>
        <v>-4300156.9064958962</v>
      </c>
      <c r="K150" s="351">
        <f t="shared" si="29"/>
        <v>-4304351.4465328027</v>
      </c>
      <c r="L150" s="351">
        <f t="shared" si="30"/>
        <v>-4309180.9597114716</v>
      </c>
      <c r="M150" s="351">
        <f t="shared" si="31"/>
        <v>-4284278.7741460819</v>
      </c>
      <c r="N150" s="351">
        <f t="shared" si="32"/>
        <v>-4247694.4503021045</v>
      </c>
    </row>
    <row r="151" spans="3:14">
      <c r="C151">
        <v>0.46</v>
      </c>
      <c r="D151" s="351">
        <f t="shared" si="22"/>
        <v>-6875415.8438441204</v>
      </c>
      <c r="E151" s="351">
        <f t="shared" si="23"/>
        <v>-5411639.3332076296</v>
      </c>
      <c r="F151" s="351">
        <f t="shared" si="24"/>
        <v>-4798057.0509889135</v>
      </c>
      <c r="G151" s="351">
        <f t="shared" si="25"/>
        <v>-4541439.3358589672</v>
      </c>
      <c r="H151" s="351">
        <f t="shared" si="26"/>
        <v>-4371803.9313923884</v>
      </c>
      <c r="I151" s="351">
        <f t="shared" si="27"/>
        <v>-4314673.5210212637</v>
      </c>
      <c r="J151" s="351">
        <f t="shared" si="28"/>
        <v>-4316452.6746573355</v>
      </c>
      <c r="K151" s="351">
        <f t="shared" si="29"/>
        <v>-4320395.6191397728</v>
      </c>
      <c r="L151" s="351">
        <f t="shared" si="30"/>
        <v>-4324904.3552767662</v>
      </c>
      <c r="M151" s="351">
        <f t="shared" si="31"/>
        <v>-4301815.4109782884</v>
      </c>
      <c r="N151" s="351">
        <f t="shared" si="32"/>
        <v>-4268127.2898336761</v>
      </c>
    </row>
    <row r="152" spans="3:14">
      <c r="C152">
        <v>0.47</v>
      </c>
      <c r="D152" s="351">
        <f t="shared" si="22"/>
        <v>-6826004.8585749352</v>
      </c>
      <c r="E152" s="351">
        <f t="shared" si="23"/>
        <v>-5391898.5811432255</v>
      </c>
      <c r="F152" s="351">
        <f t="shared" si="24"/>
        <v>-4794842.8182439161</v>
      </c>
      <c r="G152" s="351">
        <f t="shared" si="25"/>
        <v>-4546835.6469225651</v>
      </c>
      <c r="H152" s="351">
        <f t="shared" si="26"/>
        <v>-4384007.4458381934</v>
      </c>
      <c r="I152" s="351">
        <f t="shared" si="27"/>
        <v>-4329542.6360953134</v>
      </c>
      <c r="J152" s="351">
        <f t="shared" si="28"/>
        <v>-4331227.2392933769</v>
      </c>
      <c r="K152" s="351">
        <f t="shared" si="29"/>
        <v>-4334935.2446381962</v>
      </c>
      <c r="L152" s="351">
        <f t="shared" si="30"/>
        <v>-4339146.4850032823</v>
      </c>
      <c r="M152" s="351">
        <f t="shared" si="31"/>
        <v>-4317727.701188433</v>
      </c>
      <c r="N152" s="351">
        <f t="shared" si="32"/>
        <v>-4286689.0355454674</v>
      </c>
    </row>
    <row r="153" spans="3:14">
      <c r="C153">
        <v>0.48</v>
      </c>
      <c r="D153" s="351">
        <f t="shared" si="22"/>
        <v>-6777297.0165499579</v>
      </c>
      <c r="E153" s="351">
        <f t="shared" si="23"/>
        <v>-5372064.4862993406</v>
      </c>
      <c r="F153" s="351">
        <f t="shared" si="24"/>
        <v>-4790982.5540448176</v>
      </c>
      <c r="G153" s="351">
        <f t="shared" si="25"/>
        <v>-4551241.5412228312</v>
      </c>
      <c r="H153" s="351">
        <f t="shared" si="26"/>
        <v>-4394903.977106723</v>
      </c>
      <c r="I153" s="351">
        <f t="shared" si="27"/>
        <v>-4342963.5727420477</v>
      </c>
      <c r="J153" s="351">
        <f t="shared" si="28"/>
        <v>-4344559.2408889895</v>
      </c>
      <c r="K153" s="351">
        <f t="shared" si="29"/>
        <v>-4348047.7585473536</v>
      </c>
      <c r="L153" s="351">
        <f t="shared" si="30"/>
        <v>-4351982.9532406786</v>
      </c>
      <c r="M153" s="351">
        <f t="shared" si="31"/>
        <v>-4332103.3999925014</v>
      </c>
      <c r="N153" s="351">
        <f t="shared" si="32"/>
        <v>-4303489.9335323032</v>
      </c>
    </row>
    <row r="154" spans="3:14">
      <c r="C154">
        <v>0.49</v>
      </c>
      <c r="D154" s="351">
        <f t="shared" si="22"/>
        <v>-6729277.4520100337</v>
      </c>
      <c r="E154" s="351">
        <f t="shared" si="23"/>
        <v>-5352148.7312509753</v>
      </c>
      <c r="F154" s="351">
        <f t="shared" si="24"/>
        <v>-4786509.9733296558</v>
      </c>
      <c r="G154" s="351">
        <f t="shared" si="25"/>
        <v>-4554706.696668392</v>
      </c>
      <c r="H154" s="351">
        <f t="shared" si="26"/>
        <v>-4404559.9166800492</v>
      </c>
      <c r="I154" s="351">
        <f t="shared" si="27"/>
        <v>-4355011.0808245176</v>
      </c>
      <c r="J154" s="351">
        <f t="shared" si="28"/>
        <v>-4356523.0611901423</v>
      </c>
      <c r="K154" s="351">
        <f t="shared" si="29"/>
        <v>-4359806.4321182352</v>
      </c>
      <c r="L154" s="351">
        <f t="shared" si="30"/>
        <v>-4363485.3550809566</v>
      </c>
      <c r="M154" s="351">
        <f t="shared" si="31"/>
        <v>-4345025.1493342351</v>
      </c>
      <c r="N154" s="351">
        <f t="shared" si="32"/>
        <v>-4318632.9344455386</v>
      </c>
    </row>
    <row r="155" spans="3:14">
      <c r="C155">
        <v>0.5</v>
      </c>
      <c r="D155" s="351">
        <f t="shared" si="22"/>
        <v>-6681931.7143839672</v>
      </c>
      <c r="E155" s="351">
        <f t="shared" si="23"/>
        <v>-5332162.3589154612</v>
      </c>
      <c r="F155" s="351">
        <f t="shared" si="24"/>
        <v>-4781457.1334726298</v>
      </c>
      <c r="G155" s="351">
        <f t="shared" si="25"/>
        <v>-4557278.2935597198</v>
      </c>
      <c r="H155" s="351">
        <f t="shared" si="26"/>
        <v>-4413038.172239338</v>
      </c>
      <c r="I155" s="351">
        <f t="shared" si="27"/>
        <v>-4365755.8802381186</v>
      </c>
      <c r="J155" s="351">
        <f t="shared" si="28"/>
        <v>-4367189.0783467544</v>
      </c>
      <c r="K155" s="351">
        <f t="shared" si="29"/>
        <v>-4370280.619504964</v>
      </c>
      <c r="L155" s="351">
        <f t="shared" si="30"/>
        <v>-4373721.509490543</v>
      </c>
      <c r="M155" s="351">
        <f t="shared" si="31"/>
        <v>-4356570.8177950615</v>
      </c>
      <c r="N155" s="351">
        <f t="shared" si="32"/>
        <v>-4332214.2577826129</v>
      </c>
    </row>
    <row r="156" spans="3:14">
      <c r="C156">
        <v>0.51</v>
      </c>
      <c r="D156" s="351">
        <f t="shared" si="22"/>
        <v>-6635245.7539232383</v>
      </c>
      <c r="E156" s="351">
        <f t="shared" si="23"/>
        <v>-5312115.8067627335</v>
      </c>
      <c r="F156" s="351">
        <f t="shared" si="24"/>
        <v>-4775854.5218874216</v>
      </c>
      <c r="G156" s="351">
        <f t="shared" si="25"/>
        <v>-4559001.1515995786</v>
      </c>
      <c r="H156" s="351">
        <f t="shared" si="26"/>
        <v>-4420398.3689094642</v>
      </c>
      <c r="I156" s="351">
        <f t="shared" si="27"/>
        <v>-4375264.9011568911</v>
      </c>
      <c r="J156" s="351">
        <f t="shared" si="28"/>
        <v>-4376623.9051113836</v>
      </c>
      <c r="K156" s="351">
        <f t="shared" si="29"/>
        <v>-4379535.9887116523</v>
      </c>
      <c r="L156" s="351">
        <f t="shared" si="30"/>
        <v>-4382755.6775713861</v>
      </c>
      <c r="M156" s="351">
        <f t="shared" si="31"/>
        <v>-4366813.8146881675</v>
      </c>
      <c r="N156" s="351">
        <f t="shared" si="32"/>
        <v>-4344323.9060046012</v>
      </c>
    </row>
    <row r="157" spans="3:14">
      <c r="C157">
        <v>0.52</v>
      </c>
      <c r="D157" s="351">
        <f t="shared" si="22"/>
        <v>-6589205.90792799</v>
      </c>
      <c r="E157" s="351">
        <f t="shared" si="23"/>
        <v>-5292018.9390771287</v>
      </c>
      <c r="F157" s="351">
        <f t="shared" si="24"/>
        <v>-4769731.1385518536</v>
      </c>
      <c r="G157" s="351">
        <f t="shared" si="25"/>
        <v>-4559917.8586170617</v>
      </c>
      <c r="H157" s="351">
        <f t="shared" si="26"/>
        <v>-4426697.0376449013</v>
      </c>
      <c r="I157" s="351">
        <f t="shared" si="27"/>
        <v>-4383601.5084024509</v>
      </c>
      <c r="J157" s="351">
        <f t="shared" si="28"/>
        <v>-4384890.611331678</v>
      </c>
      <c r="K157" s="351">
        <f t="shared" si="29"/>
        <v>-4387634.7374835573</v>
      </c>
      <c r="L157" s="351">
        <f t="shared" si="30"/>
        <v>-4390648.7669815915</v>
      </c>
      <c r="M157" s="351">
        <f t="shared" si="31"/>
        <v>-4375823.3805516232</v>
      </c>
      <c r="N157" s="351">
        <f t="shared" si="32"/>
        <v>-4355046.1334781442</v>
      </c>
    </row>
    <row r="158" spans="3:14">
      <c r="C158">
        <v>0.53</v>
      </c>
      <c r="D158" s="351">
        <f t="shared" si="22"/>
        <v>-6543798.8875361085</v>
      </c>
      <c r="E158" s="351">
        <f t="shared" si="23"/>
        <v>-5271881.077390966</v>
      </c>
      <c r="F158" s="351">
        <f t="shared" si="24"/>
        <v>-4763114.5737767061</v>
      </c>
      <c r="G158" s="351">
        <f t="shared" si="25"/>
        <v>-4560068.8915556548</v>
      </c>
      <c r="H158" s="351">
        <f t="shared" si="26"/>
        <v>-4431987.7916600918</v>
      </c>
      <c r="I158" s="351">
        <f t="shared" si="27"/>
        <v>-4390825.711090235</v>
      </c>
      <c r="J158" s="351">
        <f t="shared" si="28"/>
        <v>-4392048.9318759637</v>
      </c>
      <c r="K158" s="351">
        <f t="shared" si="29"/>
        <v>-4394635.7952197576</v>
      </c>
      <c r="L158" s="351">
        <f t="shared" si="30"/>
        <v>-4397458.5234694853</v>
      </c>
      <c r="M158" s="351">
        <f t="shared" si="31"/>
        <v>-4383664.8560439246</v>
      </c>
      <c r="N158" s="351">
        <f t="shared" si="32"/>
        <v>-4364459.8746934645</v>
      </c>
    </row>
    <row r="159" spans="3:14">
      <c r="C159">
        <v>0.54</v>
      </c>
      <c r="D159" s="351">
        <f t="shared" si="22"/>
        <v>-6499011.7650487963</v>
      </c>
      <c r="E159" s="351">
        <f t="shared" si="23"/>
        <v>-5251711.029202153</v>
      </c>
      <c r="F159" s="351">
        <f t="shared" si="24"/>
        <v>-4756031.0815191884</v>
      </c>
      <c r="G159" s="351">
        <f t="shared" si="25"/>
        <v>-4559492.7302359184</v>
      </c>
      <c r="H159" s="351">
        <f t="shared" si="26"/>
        <v>-4436321.4917383576</v>
      </c>
      <c r="I159" s="351">
        <f t="shared" si="27"/>
        <v>-4396994.3586162133</v>
      </c>
      <c r="J159" s="351">
        <f t="shared" si="28"/>
        <v>-4398155.4610412642</v>
      </c>
      <c r="K159" s="351">
        <f t="shared" si="29"/>
        <v>-4400595.0119008413</v>
      </c>
      <c r="L159" s="351">
        <f t="shared" si="30"/>
        <v>-4403239.7104043672</v>
      </c>
      <c r="M159" s="351">
        <f t="shared" si="31"/>
        <v>-4390399.9310560245</v>
      </c>
      <c r="N159" s="351">
        <f t="shared" si="32"/>
        <v>-4372639.1357294014</v>
      </c>
    </row>
    <row r="160" spans="3:14">
      <c r="C160">
        <v>0.55000000000000004</v>
      </c>
      <c r="D160" s="351">
        <f t="shared" si="22"/>
        <v>-6454831.9617673997</v>
      </c>
      <c r="E160" s="351">
        <f t="shared" si="23"/>
        <v>-5231517.1150804926</v>
      </c>
      <c r="F160" s="351">
        <f t="shared" si="24"/>
        <v>-4748505.6485207779</v>
      </c>
      <c r="G160" s="351">
        <f t="shared" si="25"/>
        <v>-4558225.9643665496</v>
      </c>
      <c r="H160" s="351">
        <f t="shared" si="26"/>
        <v>-4439746.4011898898</v>
      </c>
      <c r="I160" s="351">
        <f t="shared" si="27"/>
        <v>-4402161.3239633227</v>
      </c>
      <c r="J160" s="351">
        <f t="shared" si="28"/>
        <v>-4403263.8344104923</v>
      </c>
      <c r="K160" s="351">
        <f t="shared" si="29"/>
        <v>-4405565.3349481039</v>
      </c>
      <c r="L160" s="351">
        <f t="shared" si="30"/>
        <v>-4408044.2771220859</v>
      </c>
      <c r="M160" s="351">
        <f t="shared" si="31"/>
        <v>-4396086.8756841058</v>
      </c>
      <c r="N160" s="351">
        <f t="shared" si="32"/>
        <v>-4379653.3525115158</v>
      </c>
    </row>
    <row r="161" spans="3:14">
      <c r="C161">
        <v>0.56000000000000005</v>
      </c>
      <c r="D161" s="351">
        <f t="shared" si="22"/>
        <v>-6411247.2363176476</v>
      </c>
      <c r="E161" s="351">
        <f t="shared" si="23"/>
        <v>-5211307.194260559</v>
      </c>
      <c r="F161" s="351">
        <f t="shared" si="24"/>
        <v>-4740562.0595300561</v>
      </c>
      <c r="G161" s="351">
        <f t="shared" si="25"/>
        <v>-4556303.3942437703</v>
      </c>
      <c r="H161" s="351">
        <f t="shared" si="26"/>
        <v>-4442308.3311711941</v>
      </c>
      <c r="I161" s="351">
        <f t="shared" si="27"/>
        <v>-4406377.6752304453</v>
      </c>
      <c r="J161" s="351">
        <f t="shared" si="28"/>
        <v>-4407424.8990502534</v>
      </c>
      <c r="K161" s="351">
        <f t="shared" si="29"/>
        <v>-4409596.9748605071</v>
      </c>
      <c r="L161" s="351">
        <f t="shared" si="30"/>
        <v>-4411921.5168436365</v>
      </c>
      <c r="M161" s="351">
        <f t="shared" si="31"/>
        <v>-4400780.7545551304</v>
      </c>
      <c r="N161" s="351">
        <f t="shared" si="32"/>
        <v>-4385567.7190334359</v>
      </c>
    </row>
    <row r="162" spans="3:14">
      <c r="C162">
        <v>0.56999999999999995</v>
      </c>
      <c r="D162" s="351">
        <f t="shared" si="22"/>
        <v>-6368245.673438712</v>
      </c>
      <c r="E162" s="351">
        <f t="shared" si="23"/>
        <v>-5191088.6888124673</v>
      </c>
      <c r="F162" s="351">
        <f t="shared" si="24"/>
        <v>-4732222.9588533975</v>
      </c>
      <c r="G162" s="351">
        <f t="shared" si="25"/>
        <v>-4553758.1255476661</v>
      </c>
      <c r="H162" s="351">
        <f t="shared" si="26"/>
        <v>-4444050.7770248856</v>
      </c>
      <c r="I162" s="351">
        <f t="shared" si="27"/>
        <v>-4409691.8362165289</v>
      </c>
      <c r="J162" s="351">
        <f t="shared" si="28"/>
        <v>-4410686.8728715871</v>
      </c>
      <c r="K162" s="351">
        <f t="shared" si="29"/>
        <v>-4412737.5604110099</v>
      </c>
      <c r="L162" s="351">
        <f t="shared" si="30"/>
        <v>-4414918.2148696706</v>
      </c>
      <c r="M162" s="351">
        <f t="shared" si="31"/>
        <v>-4404533.6258604154</v>
      </c>
      <c r="N162" s="351">
        <f t="shared" si="32"/>
        <v>-4390443.4883788377</v>
      </c>
    </row>
    <row r="163" spans="3:14">
      <c r="C163">
        <v>0.57999999999999996</v>
      </c>
      <c r="D163" s="351">
        <f t="shared" si="22"/>
        <v>-6325815.6732156407</v>
      </c>
      <c r="E163" s="351">
        <f t="shared" si="23"/>
        <v>-5170868.60647594</v>
      </c>
      <c r="F163" s="351">
        <f t="shared" si="24"/>
        <v>-4723509.9084599558</v>
      </c>
      <c r="G163" s="351">
        <f t="shared" si="25"/>
        <v>-4550621.6586152846</v>
      </c>
      <c r="H163" s="351">
        <f t="shared" si="26"/>
        <v>-4445015.0462495815</v>
      </c>
      <c r="I163" s="351">
        <f t="shared" si="27"/>
        <v>-4412149.7368282415</v>
      </c>
      <c r="J163" s="351">
        <f t="shared" si="28"/>
        <v>-4413095.4939126847</v>
      </c>
      <c r="K163" s="351">
        <f t="shared" si="29"/>
        <v>-4415032.2841246184</v>
      </c>
      <c r="L163" s="351">
        <f t="shared" si="30"/>
        <v>-4417078.7877027318</v>
      </c>
      <c r="M163" s="351">
        <f t="shared" si="31"/>
        <v>-4407394.7263293825</v>
      </c>
      <c r="N163" s="351">
        <f t="shared" si="32"/>
        <v>-4394338.2490862068</v>
      </c>
    </row>
    <row r="164" spans="3:14">
      <c r="C164">
        <v>0.59</v>
      </c>
      <c r="D164" s="351">
        <f t="shared" si="22"/>
        <v>-6283945.9407349313</v>
      </c>
      <c r="E164" s="351">
        <f t="shared" si="23"/>
        <v>-5150653.5622374918</v>
      </c>
      <c r="F164" s="351">
        <f t="shared" si="24"/>
        <v>-4714443.442852159</v>
      </c>
      <c r="G164" s="351">
        <f t="shared" si="25"/>
        <v>-4546923.9725436056</v>
      </c>
      <c r="H164" s="351">
        <f t="shared" si="26"/>
        <v>-4445240.3786645057</v>
      </c>
      <c r="I164" s="351">
        <f t="shared" si="27"/>
        <v>-4413794.9540207256</v>
      </c>
      <c r="J164" s="351">
        <f t="shared" si="28"/>
        <v>-4414694.1602446679</v>
      </c>
      <c r="K164" s="351">
        <f t="shared" si="29"/>
        <v>-4416524.0387061518</v>
      </c>
      <c r="L164" s="351">
        <f t="shared" si="30"/>
        <v>-4418445.413702039</v>
      </c>
      <c r="M164" s="351">
        <f t="shared" si="31"/>
        <v>-4409410.643265021</v>
      </c>
      <c r="N164" s="351">
        <f t="shared" si="32"/>
        <v>-4397306.1791367093</v>
      </c>
    </row>
    <row r="165" spans="3:14">
      <c r="C165">
        <v>0.6</v>
      </c>
      <c r="D165" s="351">
        <f t="shared" si="22"/>
        <v>-6242625.4761439171</v>
      </c>
      <c r="E165" s="351">
        <f t="shared" si="23"/>
        <v>-5130449.7987254104</v>
      </c>
      <c r="F165" s="351">
        <f t="shared" si="24"/>
        <v>-4705043.1208988205</v>
      </c>
      <c r="G165" s="351">
        <f t="shared" si="25"/>
        <v>-4542693.6044509271</v>
      </c>
      <c r="H165" s="351">
        <f t="shared" si="26"/>
        <v>-4444764.0592918871</v>
      </c>
      <c r="I165" s="351">
        <f t="shared" si="27"/>
        <v>-4414668.8439269848</v>
      </c>
      <c r="J165" s="351">
        <f t="shared" si="28"/>
        <v>-4415524.0611482691</v>
      </c>
      <c r="K165" s="351">
        <f t="shared" si="29"/>
        <v>-4417253.5450357003</v>
      </c>
      <c r="L165" s="351">
        <f t="shared" si="30"/>
        <v>-4419058.1558321277</v>
      </c>
      <c r="M165" s="351">
        <f t="shared" si="31"/>
        <v>-4410625.4746627277</v>
      </c>
      <c r="N165" s="351">
        <f t="shared" si="32"/>
        <v>-4399398.2796127144</v>
      </c>
    </row>
    <row r="166" spans="3:14">
      <c r="C166">
        <v>0.61</v>
      </c>
      <c r="D166" s="351">
        <f t="shared" si="22"/>
        <v>-6201843.5650958214</v>
      </c>
      <c r="E166" s="351">
        <f t="shared" si="23"/>
        <v>-5110263.205492381</v>
      </c>
      <c r="F166" s="351">
        <f t="shared" si="24"/>
        <v>-4695327.5748148868</v>
      </c>
      <c r="G166" s="351">
        <f t="shared" si="25"/>
        <v>-4537957.7242024029</v>
      </c>
      <c r="H166" s="351">
        <f t="shared" si="26"/>
        <v>-4443621.5244419891</v>
      </c>
      <c r="I166" s="351">
        <f t="shared" si="27"/>
        <v>-4414810.6657819422</v>
      </c>
      <c r="J166" s="351">
        <f t="shared" si="28"/>
        <v>-4415624.3001604499</v>
      </c>
      <c r="K166" s="351">
        <f t="shared" si="29"/>
        <v>-4417259.4723038338</v>
      </c>
      <c r="L166" s="351">
        <f t="shared" si="30"/>
        <v>-4418955.0770265674</v>
      </c>
      <c r="M166" s="351">
        <f t="shared" si="31"/>
        <v>-4411080.9783442179</v>
      </c>
      <c r="N166" s="351">
        <f t="shared" si="32"/>
        <v>-4400662.5898675416</v>
      </c>
    </row>
    <row r="167" spans="3:14">
      <c r="C167">
        <v>0.62</v>
      </c>
      <c r="D167" s="351">
        <f t="shared" si="22"/>
        <v>-6161589.7695630724</v>
      </c>
      <c r="E167" s="351">
        <f t="shared" si="23"/>
        <v>-5090099.3372511584</v>
      </c>
      <c r="F167" s="351">
        <f t="shared" si="24"/>
        <v>-4685314.5564596765</v>
      </c>
      <c r="G167" s="351">
        <f t="shared" si="25"/>
        <v>-4532742.2048844304</v>
      </c>
      <c r="H167" s="351">
        <f t="shared" si="26"/>
        <v>-4441846.4614503914</v>
      </c>
      <c r="I167" s="351">
        <f t="shared" si="27"/>
        <v>-4414257.6982017001</v>
      </c>
      <c r="J167" s="351">
        <f t="shared" si="28"/>
        <v>-4415032.0105451234</v>
      </c>
      <c r="K167" s="351">
        <f t="shared" si="29"/>
        <v>-4416578.5508163618</v>
      </c>
      <c r="L167" s="351">
        <f t="shared" si="30"/>
        <v>-4418172.3486508979</v>
      </c>
      <c r="M167" s="351">
        <f t="shared" si="31"/>
        <v>-4410816.7109569209</v>
      </c>
      <c r="N167" s="351">
        <f t="shared" si="32"/>
        <v>-4401144.3858626913</v>
      </c>
    </row>
    <row r="168" spans="3:14">
      <c r="C168">
        <v>0.63</v>
      </c>
      <c r="D168" s="351">
        <f t="shared" si="22"/>
        <v>-6121853.9190025143</v>
      </c>
      <c r="E168" s="351">
        <f t="shared" si="23"/>
        <v>-5069963.4311245093</v>
      </c>
      <c r="F168" s="351">
        <f t="shared" si="24"/>
        <v>-4675020.9811141975</v>
      </c>
      <c r="G168" s="351">
        <f t="shared" si="25"/>
        <v>-4527071.689293093</v>
      </c>
      <c r="H168" s="351">
        <f t="shared" si="26"/>
        <v>-4439470.9024847429</v>
      </c>
      <c r="I168" s="351">
        <f t="shared" si="27"/>
        <v>-4413045.3483367432</v>
      </c>
      <c r="J168" s="351">
        <f t="shared" si="28"/>
        <v>-4413782.4637009203</v>
      </c>
      <c r="K168" s="351">
        <f t="shared" si="29"/>
        <v>-4415245.6779595595</v>
      </c>
      <c r="L168" s="351">
        <f t="shared" si="30"/>
        <v>-4416744.3525146795</v>
      </c>
      <c r="M168" s="351">
        <f t="shared" si="31"/>
        <v>-4409870.1576157762</v>
      </c>
      <c r="N168" s="351">
        <f t="shared" si="32"/>
        <v>-4400886.3631645413</v>
      </c>
    </row>
    <row r="169" spans="3:14">
      <c r="C169">
        <v>0.64</v>
      </c>
      <c r="D169" s="351">
        <f t="shared" si="22"/>
        <v>-6082626.1018568669</v>
      </c>
      <c r="E169" s="351">
        <f t="shared" si="23"/>
        <v>-5049860.422966769</v>
      </c>
      <c r="F169" s="351">
        <f t="shared" si="24"/>
        <v>-4664462.9688876485</v>
      </c>
      <c r="G169" s="351">
        <f t="shared" si="25"/>
        <v>-4520969.6526838467</v>
      </c>
      <c r="H169" s="351">
        <f t="shared" si="26"/>
        <v>-4436525.3128082687</v>
      </c>
      <c r="I169" s="351">
        <f t="shared" si="27"/>
        <v>-4411207.254379428</v>
      </c>
      <c r="J169" s="351">
        <f t="shared" si="28"/>
        <v>-4411909.170981097</v>
      </c>
      <c r="K169" s="351">
        <f t="shared" si="29"/>
        <v>-4413294.0177809857</v>
      </c>
      <c r="L169" s="351">
        <f t="shared" si="30"/>
        <v>-4414703.7768508913</v>
      </c>
      <c r="M169" s="351">
        <f t="shared" si="31"/>
        <v>-4408276.8528979179</v>
      </c>
      <c r="N169" s="351">
        <f t="shared" si="32"/>
        <v>-4399928.8059459301</v>
      </c>
    </row>
    <row r="170" spans="3:14">
      <c r="C170">
        <v>0.65</v>
      </c>
      <c r="D170" s="351">
        <f t="shared" si="22"/>
        <v>-6043896.6573776603</v>
      </c>
      <c r="E170" s="351">
        <f t="shared" si="23"/>
        <v>-5029794.9628107883</v>
      </c>
      <c r="F170" s="351">
        <f t="shared" si="24"/>
        <v>-4653655.8838934796</v>
      </c>
      <c r="G170" s="351">
        <f t="shared" si="25"/>
        <v>-4514458.4620128889</v>
      </c>
      <c r="H170" s="351">
        <f t="shared" si="26"/>
        <v>-4433038.6738597387</v>
      </c>
      <c r="I170" s="351">
        <f t="shared" si="27"/>
        <v>-4408775.3818707578</v>
      </c>
      <c r="J170" s="351">
        <f t="shared" si="28"/>
        <v>-4409443.97936574</v>
      </c>
      <c r="K170" s="351">
        <f t="shared" si="29"/>
        <v>-4410755.0946080368</v>
      </c>
      <c r="L170" s="351">
        <f t="shared" si="30"/>
        <v>-4412081.706651642</v>
      </c>
      <c r="M170" s="351">
        <f t="shared" si="31"/>
        <v>-4406070.4938404895</v>
      </c>
      <c r="N170" s="351">
        <f t="shared" si="32"/>
        <v>-4398309.743207111</v>
      </c>
    </row>
    <row r="171" spans="3:14">
      <c r="C171">
        <v>0.66</v>
      </c>
      <c r="D171" s="351">
        <f t="shared" si="22"/>
        <v>-6005656.1677555265</v>
      </c>
      <c r="E171" s="351">
        <f t="shared" si="23"/>
        <v>-5009771.4294906212</v>
      </c>
      <c r="F171" s="351">
        <f t="shared" si="24"/>
        <v>-4642614.3713263189</v>
      </c>
      <c r="G171" s="351">
        <f t="shared" si="25"/>
        <v>-4507559.4318852033</v>
      </c>
      <c r="H171" s="351">
        <f t="shared" si="26"/>
        <v>-4429038.5614841748</v>
      </c>
      <c r="I171" s="351">
        <f t="shared" si="27"/>
        <v>-4405780.1142189251</v>
      </c>
      <c r="J171" s="351">
        <f t="shared" si="28"/>
        <v>-4406417.1613944052</v>
      </c>
      <c r="K171" s="351">
        <f t="shared" si="29"/>
        <v>-4407658.8810959831</v>
      </c>
      <c r="L171" s="351">
        <f t="shared" si="30"/>
        <v>-4408907.7087220419</v>
      </c>
      <c r="M171" s="351">
        <f t="shared" si="31"/>
        <v>-4403283.0455372781</v>
      </c>
      <c r="N171" s="351">
        <f t="shared" si="32"/>
        <v>-4396065.0933135664</v>
      </c>
    </row>
    <row r="172" spans="3:14">
      <c r="C172">
        <v>0.67</v>
      </c>
      <c r="D172" s="351">
        <f t="shared" si="22"/>
        <v>-5967895.4505445091</v>
      </c>
      <c r="E172" s="351">
        <f t="shared" si="23"/>
        <v>-4989793.9444871964</v>
      </c>
      <c r="F172" s="351">
        <f t="shared" si="24"/>
        <v>-4631352.3925626623</v>
      </c>
      <c r="G172" s="351">
        <f t="shared" si="25"/>
        <v>-4500292.8774098717</v>
      </c>
      <c r="H172" s="351">
        <f t="shared" si="26"/>
        <v>-4424551.2196249906</v>
      </c>
      <c r="I172" s="351">
        <f t="shared" si="27"/>
        <v>-4402250.3378121154</v>
      </c>
      <c r="J172" s="351">
        <f t="shared" si="28"/>
        <v>-4402857.4997376828</v>
      </c>
      <c r="K172" s="351">
        <f t="shared" si="29"/>
        <v>-4404033.8810691768</v>
      </c>
      <c r="L172" s="351">
        <f t="shared" si="30"/>
        <v>-4405209.911789028</v>
      </c>
      <c r="M172" s="351">
        <f t="shared" si="31"/>
        <v>-4399944.839880297</v>
      </c>
      <c r="N172" s="351">
        <f t="shared" si="32"/>
        <v>-4393228.7978432914</v>
      </c>
    </row>
    <row r="173" spans="3:14">
      <c r="C173">
        <v>0.68</v>
      </c>
      <c r="D173" s="351">
        <f t="shared" si="22"/>
        <v>-5930605.5513676405</v>
      </c>
      <c r="E173" s="351">
        <f t="shared" si="23"/>
        <v>-4969866.3850413198</v>
      </c>
      <c r="F173" s="351">
        <f t="shared" si="24"/>
        <v>-4619883.2584003918</v>
      </c>
      <c r="G173" s="351">
        <f t="shared" si="25"/>
        <v>-4492678.1641499661</v>
      </c>
      <c r="H173" s="351">
        <f t="shared" si="26"/>
        <v>-4419601.6297666682</v>
      </c>
      <c r="I173" s="351">
        <f t="shared" si="27"/>
        <v>-4398213.5220805872</v>
      </c>
      <c r="J173" s="351">
        <f t="shared" si="28"/>
        <v>-4398792.3667590367</v>
      </c>
      <c r="K173" s="351">
        <f t="shared" si="29"/>
        <v>-4399907.2074933304</v>
      </c>
      <c r="L173" s="351">
        <f t="shared" si="30"/>
        <v>-4401015.0819787392</v>
      </c>
      <c r="M173" s="351">
        <f t="shared" si="31"/>
        <v>-4396084.6679475224</v>
      </c>
      <c r="N173" s="351">
        <f t="shared" si="32"/>
        <v>-4389832.9456424965</v>
      </c>
    </row>
    <row r="174" spans="3:14">
      <c r="C174">
        <v>0.69</v>
      </c>
      <c r="D174" s="351">
        <f t="shared" si="22"/>
        <v>-5893777.7368917335</v>
      </c>
      <c r="E174" s="351">
        <f t="shared" si="23"/>
        <v>-4949992.3965755524</v>
      </c>
      <c r="F174" s="351">
        <f t="shared" si="24"/>
        <v>-4608219.6605448909</v>
      </c>
      <c r="G174" s="351">
        <f t="shared" si="25"/>
        <v>-4484733.7553419452</v>
      </c>
      <c r="H174" s="351">
        <f t="shared" si="26"/>
        <v>-4414213.5763968695</v>
      </c>
      <c r="I174" s="351">
        <f t="shared" si="27"/>
        <v>-4393695.794837459</v>
      </c>
      <c r="J174" s="351">
        <f t="shared" si="28"/>
        <v>-4394247.799393056</v>
      </c>
      <c r="K174" s="351">
        <f t="shared" si="29"/>
        <v>-4395304.6558927922</v>
      </c>
      <c r="L174" s="351">
        <f t="shared" si="30"/>
        <v>-4396348.6939545246</v>
      </c>
      <c r="M174" s="351">
        <f t="shared" si="31"/>
        <v>-4391729.8664970351</v>
      </c>
      <c r="N174" s="351">
        <f t="shared" si="32"/>
        <v>-4385907.8879043199</v>
      </c>
    </row>
    <row r="175" spans="3:14">
      <c r="C175">
        <v>0.7</v>
      </c>
      <c r="D175" s="351">
        <f t="shared" si="22"/>
        <v>-5857403.4880598374</v>
      </c>
      <c r="E175" s="351">
        <f t="shared" si="23"/>
        <v>-4930175.4044640288</v>
      </c>
      <c r="F175" s="351">
        <f t="shared" si="24"/>
        <v>-4596373.701442712</v>
      </c>
      <c r="G175" s="351">
        <f t="shared" si="25"/>
        <v>-4476477.2565480033</v>
      </c>
      <c r="H175" s="351">
        <f t="shared" si="26"/>
        <v>-4408409.7087384053</v>
      </c>
      <c r="I175" s="351">
        <f t="shared" si="27"/>
        <v>-4388722.0132042933</v>
      </c>
      <c r="J175" s="351">
        <f t="shared" si="28"/>
        <v>-4389248.5696431389</v>
      </c>
      <c r="K175" s="351">
        <f t="shared" si="29"/>
        <v>-4390250.7735047685</v>
      </c>
      <c r="L175" s="351">
        <f t="shared" si="30"/>
        <v>-4391234.9979877099</v>
      </c>
      <c r="M175" s="351">
        <f t="shared" si="31"/>
        <v>-4386906.3989906274</v>
      </c>
      <c r="N175" s="351">
        <f t="shared" si="32"/>
        <v>-4381482.3450096902</v>
      </c>
    </row>
    <row r="176" spans="3:14">
      <c r="C176">
        <v>0.71</v>
      </c>
      <c r="D176" s="351">
        <f t="shared" si="22"/>
        <v>-5821474.4935704591</v>
      </c>
      <c r="E176" s="351">
        <f t="shared" si="23"/>
        <v>-4910418.6251868634</v>
      </c>
      <c r="F176" s="351">
        <f t="shared" si="24"/>
        <v>-4584356.9225574583</v>
      </c>
      <c r="G176" s="351">
        <f t="shared" si="25"/>
        <v>-4467925.4578941576</v>
      </c>
      <c r="H176" s="351">
        <f t="shared" si="26"/>
        <v>-4402211.5989842759</v>
      </c>
      <c r="I176" s="351">
        <f t="shared" si="27"/>
        <v>-4383315.8304058341</v>
      </c>
      <c r="J176" s="351">
        <f t="shared" si="28"/>
        <v>-4383818.2509802105</v>
      </c>
      <c r="K176" s="351">
        <f t="shared" si="29"/>
        <v>-4384768.9244420128</v>
      </c>
      <c r="L176" s="351">
        <f t="shared" si="30"/>
        <v>-4385697.0832148585</v>
      </c>
      <c r="M176" s="351">
        <f t="shared" si="31"/>
        <v>-4381638.9315360654</v>
      </c>
      <c r="N176" s="351">
        <f t="shared" si="32"/>
        <v>-4376583.5058015836</v>
      </c>
    </row>
    <row r="177" spans="3:14">
      <c r="C177">
        <v>0.72</v>
      </c>
      <c r="D177" s="351">
        <f t="shared" si="22"/>
        <v>-5785982.6435931018</v>
      </c>
      <c r="E177" s="351">
        <f t="shared" si="23"/>
        <v>-4890725.0769035714</v>
      </c>
      <c r="F177" s="351">
        <f t="shared" si="24"/>
        <v>-4572180.3311766144</v>
      </c>
      <c r="G177" s="351">
        <f t="shared" si="25"/>
        <v>-4459094.3740369668</v>
      </c>
      <c r="H177" s="351">
        <f t="shared" si="26"/>
        <v>-4395639.7972531067</v>
      </c>
      <c r="I177" s="351">
        <f t="shared" si="27"/>
        <v>-4377499.7586983349</v>
      </c>
      <c r="J177" s="351">
        <f t="shared" si="28"/>
        <v>-4377979.2809043452</v>
      </c>
      <c r="K177" s="351">
        <f t="shared" si="29"/>
        <v>-4378881.3511167178</v>
      </c>
      <c r="L177" s="351">
        <f t="shared" si="30"/>
        <v>-4379756.9373180922</v>
      </c>
      <c r="M177" s="351">
        <f t="shared" si="31"/>
        <v>-4375950.9041062826</v>
      </c>
      <c r="N177" s="351">
        <f t="shared" si="32"/>
        <v>-4371237.1199028241</v>
      </c>
    </row>
    <row r="178" spans="3:14">
      <c r="C178">
        <v>0.73</v>
      </c>
      <c r="D178" s="351">
        <f t="shared" si="22"/>
        <v>-5750920.0237102071</v>
      </c>
      <c r="E178" s="351">
        <f t="shared" si="23"/>
        <v>-4871097.5894778604</v>
      </c>
      <c r="F178" s="351">
        <f t="shared" si="24"/>
        <v>-4559854.4258325547</v>
      </c>
      <c r="G178" s="351">
        <f t="shared" si="25"/>
        <v>-4449999.2819925305</v>
      </c>
      <c r="H178" s="351">
        <f t="shared" si="26"/>
        <v>-4388713.8834675504</v>
      </c>
      <c r="I178" s="351">
        <f t="shared" si="27"/>
        <v>-4371295.2286773548</v>
      </c>
      <c r="J178" s="351">
        <f t="shared" si="28"/>
        <v>-4371753.0199128669</v>
      </c>
      <c r="K178" s="351">
        <f t="shared" si="29"/>
        <v>-4372609.2321608365</v>
      </c>
      <c r="L178" s="351">
        <f t="shared" si="30"/>
        <v>-4373435.5028491262</v>
      </c>
      <c r="M178" s="351">
        <f t="shared" si="31"/>
        <v>-4369864.5973655758</v>
      </c>
      <c r="N178" s="351">
        <f t="shared" si="32"/>
        <v>-4365467.5836325921</v>
      </c>
    </row>
    <row r="179" spans="3:14">
      <c r="C179">
        <v>0.74</v>
      </c>
      <c r="D179" s="351">
        <f t="shared" si="22"/>
        <v>-5716278.9090760769</v>
      </c>
      <c r="E179" s="351">
        <f t="shared" si="23"/>
        <v>-4851538.8139842153</v>
      </c>
      <c r="F179" s="351">
        <f t="shared" si="24"/>
        <v>-4547389.22041588</v>
      </c>
      <c r="G179" s="351">
        <f t="shared" si="25"/>
        <v>-4440654.7569528855</v>
      </c>
      <c r="H179" s="351">
        <f t="shared" si="26"/>
        <v>-4381452.5163446469</v>
      </c>
      <c r="I179" s="351">
        <f t="shared" si="27"/>
        <v>-4364722.6451939372</v>
      </c>
      <c r="J179" s="351">
        <f t="shared" si="28"/>
        <v>-4365159.807101706</v>
      </c>
      <c r="K179" s="351">
        <f t="shared" si="29"/>
        <v>-4365972.7370620444</v>
      </c>
      <c r="L179" s="351">
        <f t="shared" si="30"/>
        <v>-4366752.7304030396</v>
      </c>
      <c r="M179" s="351">
        <f t="shared" si="31"/>
        <v>-4363401.1954072313</v>
      </c>
      <c r="N179" s="351">
        <f t="shared" si="32"/>
        <v>-4359298.0200273348</v>
      </c>
    </row>
    <row r="180" spans="3:14">
      <c r="C180">
        <v>0.75</v>
      </c>
      <c r="D180" s="351">
        <f t="shared" si="22"/>
        <v>-5682051.7587837325</v>
      </c>
      <c r="E180" s="351">
        <f t="shared" si="23"/>
        <v>-4832051.231724848</v>
      </c>
      <c r="F180" s="351">
        <f t="shared" si="24"/>
        <v>-4534794.2670543315</v>
      </c>
      <c r="G180" s="351">
        <f t="shared" si="25"/>
        <v>-4431074.7062068991</v>
      </c>
      <c r="H180" s="351">
        <f t="shared" si="26"/>
        <v>-4373873.4796743859</v>
      </c>
      <c r="I180" s="351">
        <f t="shared" si="27"/>
        <v>-4357801.4400921743</v>
      </c>
      <c r="J180" s="351">
        <f t="shared" si="28"/>
        <v>-4358219.0126110585</v>
      </c>
      <c r="K180" s="351">
        <f t="shared" si="29"/>
        <v>-4358991.0777194863</v>
      </c>
      <c r="L180" s="351">
        <f t="shared" si="30"/>
        <v>-4359727.6288339691</v>
      </c>
      <c r="M180" s="351">
        <f t="shared" si="31"/>
        <v>-4356580.8446833408</v>
      </c>
      <c r="N180" s="351">
        <f t="shared" si="32"/>
        <v>-4352750.3534269361</v>
      </c>
    </row>
    <row r="181" spans="3:14">
      <c r="C181">
        <v>0.76</v>
      </c>
      <c r="D181" s="351">
        <f t="shared" si="22"/>
        <v>-5648231.2104311828</v>
      </c>
      <c r="E181" s="351">
        <f t="shared" si="23"/>
        <v>-4812637.1627839189</v>
      </c>
      <c r="F181" s="351">
        <f t="shared" si="24"/>
        <v>-4522078.6778262043</v>
      </c>
      <c r="G181" s="351">
        <f t="shared" si="25"/>
        <v>-4421272.4012753647</v>
      </c>
      <c r="H181" s="351">
        <f t="shared" si="26"/>
        <v>-4365993.7260510623</v>
      </c>
      <c r="I181" s="351">
        <f t="shared" si="27"/>
        <v>-4350550.121966661</v>
      </c>
      <c r="J181" s="351">
        <f t="shared" si="28"/>
        <v>-4350949.0871120729</v>
      </c>
      <c r="K181" s="351">
        <f t="shared" si="29"/>
        <v>-4351682.5571097462</v>
      </c>
      <c r="L181" s="351">
        <f t="shared" si="30"/>
        <v>-4352378.3126923405</v>
      </c>
      <c r="M181" s="351">
        <f t="shared" si="31"/>
        <v>-4349422.7093861951</v>
      </c>
      <c r="N181" s="351">
        <f t="shared" si="32"/>
        <v>-4345845.3790468154</v>
      </c>
    </row>
    <row r="182" spans="3:14">
      <c r="C182">
        <v>0.77</v>
      </c>
      <c r="D182" s="351">
        <f t="shared" si="22"/>
        <v>-5614810.0748788919</v>
      </c>
      <c r="E182" s="351">
        <f t="shared" si="23"/>
        <v>-4793298.7741443319</v>
      </c>
      <c r="F182" s="351">
        <f t="shared" si="24"/>
        <v>-4509251.1453728778</v>
      </c>
      <c r="G182" s="351">
        <f t="shared" si="25"/>
        <v>-4411260.5083630923</v>
      </c>
      <c r="H182" s="351">
        <f t="shared" si="26"/>
        <v>-4357829.4182111109</v>
      </c>
      <c r="I182" s="351">
        <f t="shared" si="27"/>
        <v>-4342986.3231247617</v>
      </c>
      <c r="J182" s="351">
        <f t="shared" si="28"/>
        <v>-4343367.6085178452</v>
      </c>
      <c r="K182" s="351">
        <f t="shared" si="29"/>
        <v>-4344064.6152405795</v>
      </c>
      <c r="L182" s="351">
        <f t="shared" si="30"/>
        <v>-4344722.0470513832</v>
      </c>
      <c r="M182" s="351">
        <f t="shared" si="31"/>
        <v>-4341945.0235208776</v>
      </c>
      <c r="N182" s="351">
        <f t="shared" si="32"/>
        <v>-4338602.8279200243</v>
      </c>
    </row>
    <row r="183" spans="3:14">
      <c r="C183">
        <v>0.78</v>
      </c>
      <c r="D183" s="351">
        <f t="shared" si="22"/>
        <v>-5581781.3311906736</v>
      </c>
      <c r="E183" s="351">
        <f t="shared" si="23"/>
        <v>-4774038.087390909</v>
      </c>
      <c r="F183" s="351">
        <f t="shared" si="24"/>
        <v>-4496319.9624712542</v>
      </c>
      <c r="G183" s="351">
        <f t="shared" si="25"/>
        <v>-4401051.1172243208</v>
      </c>
      <c r="H183" s="351">
        <f t="shared" si="26"/>
        <v>-4349395.9681209596</v>
      </c>
      <c r="I183" s="351">
        <f t="shared" si="27"/>
        <v>-4335126.8439260861</v>
      </c>
      <c r="J183" s="351">
        <f t="shared" si="28"/>
        <v>-4335491.3260896187</v>
      </c>
      <c r="K183" s="351">
        <f t="shared" si="29"/>
        <v>-4336153.8725580927</v>
      </c>
      <c r="L183" s="351">
        <f t="shared" si="30"/>
        <v>-4336775.2898796899</v>
      </c>
      <c r="M183" s="351">
        <f t="shared" si="31"/>
        <v>-4334165.1398906652</v>
      </c>
      <c r="N183" s="351">
        <f t="shared" si="32"/>
        <v>-4331041.427560498</v>
      </c>
    </row>
    <row r="184" spans="3:14">
      <c r="C184">
        <v>0.79</v>
      </c>
      <c r="D184" s="351">
        <f t="shared" si="22"/>
        <v>-5549138.1217505634</v>
      </c>
      <c r="E184" s="351">
        <f t="shared" si="23"/>
        <v>-4754856.986022369</v>
      </c>
      <c r="F184" s="351">
        <f t="shared" si="24"/>
        <v>-4483293.0406232346</v>
      </c>
      <c r="G184" s="351">
        <f t="shared" si="25"/>
        <v>-4390655.7685317984</v>
      </c>
      <c r="H184" s="351">
        <f t="shared" si="26"/>
        <v>-4340708.0739491172</v>
      </c>
      <c r="I184" s="351">
        <f t="shared" si="27"/>
        <v>-4326987.694660007</v>
      </c>
      <c r="J184" s="351">
        <f t="shared" si="28"/>
        <v>-4327336.202097632</v>
      </c>
      <c r="K184" s="351">
        <f t="shared" si="29"/>
        <v>-4327966.1709620189</v>
      </c>
      <c r="L184" s="351">
        <f t="shared" si="30"/>
        <v>-4328553.7321064314</v>
      </c>
      <c r="M184" s="351">
        <f t="shared" si="31"/>
        <v>-4326099.5762002859</v>
      </c>
      <c r="N184" s="351">
        <f t="shared" si="32"/>
        <v>-4323178.9586687014</v>
      </c>
    </row>
    <row r="185" spans="3:14">
      <c r="C185">
        <v>0.8</v>
      </c>
      <c r="D185" s="351">
        <f t="shared" si="22"/>
        <v>-5516873.7475485904</v>
      </c>
      <c r="E185" s="351">
        <f t="shared" si="23"/>
        <v>-4735757.2223932045</v>
      </c>
      <c r="F185" s="351">
        <f t="shared" si="24"/>
        <v>-4470177.9277159134</v>
      </c>
      <c r="G185" s="351">
        <f t="shared" si="25"/>
        <v>-4380085.4798342464</v>
      </c>
      <c r="H185" s="351">
        <f t="shared" si="26"/>
        <v>-4331779.7550479174</v>
      </c>
      <c r="I185" s="351">
        <f t="shared" si="27"/>
        <v>-4318584.1351112342</v>
      </c>
      <c r="J185" s="351">
        <f t="shared" si="28"/>
        <v>-4318917.4511853764</v>
      </c>
      <c r="K185" s="351">
        <f t="shared" si="29"/>
        <v>-4319516.6125735175</v>
      </c>
      <c r="L185" s="351">
        <f t="shared" si="30"/>
        <v>-4320072.3355162982</v>
      </c>
      <c r="M185" s="351">
        <f t="shared" si="31"/>
        <v>-4317764.0584669299</v>
      </c>
      <c r="N185" s="351">
        <f t="shared" si="32"/>
        <v>-4315032.3081738725</v>
      </c>
    </row>
    <row r="186" spans="3:14">
      <c r="C186">
        <v>0.81</v>
      </c>
      <c r="D186" s="351">
        <f t="shared" si="22"/>
        <v>-5484981.6636286685</v>
      </c>
      <c r="E186" s="351">
        <f t="shared" si="23"/>
        <v>-4716740.4243053654</v>
      </c>
      <c r="F186" s="351">
        <f t="shared" si="24"/>
        <v>-4456981.8248030506</v>
      </c>
      <c r="G186" s="351">
        <f t="shared" si="25"/>
        <v>-4369350.7701817425</v>
      </c>
      <c r="H186" s="351">
        <f t="shared" si="26"/>
        <v>-4322624.3850622987</v>
      </c>
      <c r="I186" s="351">
        <f t="shared" si="27"/>
        <v>-4309930.7119535366</v>
      </c>
      <c r="J186" s="351">
        <f t="shared" si="28"/>
        <v>-4310249.5775761763</v>
      </c>
      <c r="K186" s="351">
        <f t="shared" si="29"/>
        <v>-4310819.5963904206</v>
      </c>
      <c r="L186" s="351">
        <f t="shared" si="30"/>
        <v>-4311345.3686024426</v>
      </c>
      <c r="M186" s="351">
        <f t="shared" si="31"/>
        <v>-4309173.561914959</v>
      </c>
      <c r="N186" s="351">
        <f t="shared" si="32"/>
        <v>-4306617.518882486</v>
      </c>
    </row>
    <row r="187" spans="3:14">
      <c r="C187">
        <v>0.82</v>
      </c>
      <c r="D187" s="351">
        <f t="shared" si="22"/>
        <v>-5453455.4746921668</v>
      </c>
      <c r="E187" s="351">
        <f t="shared" si="23"/>
        <v>-4697808.10126846</v>
      </c>
      <c r="F187" s="351">
        <f t="shared" si="24"/>
        <v>-4443711.602055327</v>
      </c>
      <c r="G187" s="351">
        <f t="shared" si="25"/>
        <v>-4358461.6834936468</v>
      </c>
      <c r="H187" s="351">
        <f t="shared" si="26"/>
        <v>-4313254.7232754203</v>
      </c>
      <c r="I187" s="351">
        <f t="shared" si="27"/>
        <v>-4301041.2941024089</v>
      </c>
      <c r="J187" s="351">
        <f t="shared" si="28"/>
        <v>-4301346.4102518354</v>
      </c>
      <c r="K187" s="351">
        <f t="shared" si="29"/>
        <v>-4301888.8529560203</v>
      </c>
      <c r="L187" s="351">
        <f t="shared" si="30"/>
        <v>-4302386.4404974738</v>
      </c>
      <c r="M187" s="351">
        <f t="shared" si="31"/>
        <v>-4300342.3495174805</v>
      </c>
      <c r="N187" s="351">
        <f t="shared" si="32"/>
        <v>-4297949.8359802878</v>
      </c>
    </row>
    <row r="188" spans="3:14">
      <c r="C188">
        <v>0.83</v>
      </c>
      <c r="D188" s="351">
        <f t="shared" si="22"/>
        <v>-5422288.9308509603</v>
      </c>
      <c r="E188" s="351">
        <f t="shared" si="23"/>
        <v>-4678961.6504461551</v>
      </c>
      <c r="F188" s="351">
        <f t="shared" si="24"/>
        <v>-4430373.8139241477</v>
      </c>
      <c r="G188" s="351">
        <f t="shared" si="25"/>
        <v>-4347427.8107391493</v>
      </c>
      <c r="H188" s="351">
        <f t="shared" si="26"/>
        <v>-4303682.9442939041</v>
      </c>
      <c r="I188" s="351">
        <f t="shared" si="27"/>
        <v>-4291929.1061489033</v>
      </c>
      <c r="J188" s="351">
        <f t="shared" si="28"/>
        <v>-4292221.1362245604</v>
      </c>
      <c r="K188" s="351">
        <f t="shared" si="29"/>
        <v>-4292737.4771593064</v>
      </c>
      <c r="L188" s="351">
        <f t="shared" si="30"/>
        <v>-4293208.5330949025</v>
      </c>
      <c r="M188" s="351">
        <f t="shared" si="31"/>
        <v>-4291284.0083361305</v>
      </c>
      <c r="N188" s="351">
        <f t="shared" si="32"/>
        <v>-4289043.750614984</v>
      </c>
    </row>
    <row r="189" spans="3:14">
      <c r="C189">
        <v>0.84</v>
      </c>
      <c r="D189" s="351">
        <f t="shared" si="22"/>
        <v>-5391475.9235241124</v>
      </c>
      <c r="E189" s="351">
        <f t="shared" si="23"/>
        <v>-4660202.3623054</v>
      </c>
      <c r="F189" s="351">
        <f t="shared" si="24"/>
        <v>-4416974.7135610972</v>
      </c>
      <c r="G189" s="351">
        <f t="shared" si="25"/>
        <v>-4336258.3109962782</v>
      </c>
      <c r="H189" s="351">
        <f t="shared" si="26"/>
        <v>-4293920.6661689579</v>
      </c>
      <c r="I189" s="351">
        <f t="shared" si="27"/>
        <v>-4282606.7599888286</v>
      </c>
      <c r="J189" s="351">
        <f t="shared" si="28"/>
        <v>-4282886.3320154902</v>
      </c>
      <c r="K189" s="351">
        <f t="shared" si="29"/>
        <v>-4283377.9592769155</v>
      </c>
      <c r="L189" s="351">
        <f t="shared" si="30"/>
        <v>-4283824.031466295</v>
      </c>
      <c r="M189" s="351">
        <f t="shared" si="31"/>
        <v>-4282011.4837996187</v>
      </c>
      <c r="N189" s="351">
        <f t="shared" si="32"/>
        <v>-4279913.0407682313</v>
      </c>
    </row>
    <row r="190" spans="3:14">
      <c r="C190">
        <v>0.85</v>
      </c>
      <c r="D190" s="351">
        <f t="shared" si="22"/>
        <v>-5361010.4814725146</v>
      </c>
      <c r="E190" s="351">
        <f t="shared" si="23"/>
        <v>-4641531.4259841982</v>
      </c>
      <c r="F190" s="351">
        <f t="shared" si="24"/>
        <v>-4403520.2665327461</v>
      </c>
      <c r="G190" s="351">
        <f t="shared" si="25"/>
        <v>-4324961.9314512378</v>
      </c>
      <c r="H190" s="351">
        <f t="shared" si="26"/>
        <v>-4283978.9770435849</v>
      </c>
      <c r="I190" s="351">
        <f t="shared" si="27"/>
        <v>-4273086.2847541654</v>
      </c>
      <c r="J190" s="351">
        <f t="shared" si="28"/>
        <v>-4273353.9934458211</v>
      </c>
      <c r="K190" s="351">
        <f t="shared" si="29"/>
        <v>-4273822.2143600145</v>
      </c>
      <c r="L190" s="351">
        <f t="shared" si="30"/>
        <v>-4274244.7526727961</v>
      </c>
      <c r="M190" s="351">
        <f t="shared" si="31"/>
        <v>-4272537.112051595</v>
      </c>
      <c r="N190" s="351">
        <f t="shared" si="32"/>
        <v>-4270570.8096088469</v>
      </c>
    </row>
    <row r="191" spans="3:14">
      <c r="C191">
        <v>0.86</v>
      </c>
      <c r="D191" s="351">
        <f t="shared" si="22"/>
        <v>-5330886.7669661622</v>
      </c>
      <c r="E191" s="351">
        <f t="shared" si="23"/>
        <v>-4622949.9343927205</v>
      </c>
      <c r="F191" s="351">
        <f t="shared" si="24"/>
        <v>-4390016.1638681665</v>
      </c>
      <c r="G191" s="351">
        <f t="shared" si="25"/>
        <v>-4313547.0263962056</v>
      </c>
      <c r="H191" s="351">
        <f t="shared" si="26"/>
        <v>-4273868.4604103668</v>
      </c>
      <c r="I191" s="351">
        <f t="shared" si="27"/>
        <v>-4263379.1551465727</v>
      </c>
      <c r="J191" s="351">
        <f t="shared" si="28"/>
        <v>-4263635.5638396461</v>
      </c>
      <c r="K191" s="351">
        <f t="shared" si="29"/>
        <v>-4264081.6100626644</v>
      </c>
      <c r="L191" s="351">
        <f t="shared" si="30"/>
        <v>-4264481.9730634233</v>
      </c>
      <c r="M191" s="351">
        <f t="shared" si="31"/>
        <v>-4262872.6504891831</v>
      </c>
      <c r="N191" s="351">
        <f t="shared" si="32"/>
        <v>-4261029.5215038192</v>
      </c>
    </row>
    <row r="192" spans="3:14">
      <c r="C192">
        <v>0.87</v>
      </c>
      <c r="D192" s="351">
        <f t="shared" si="22"/>
        <v>-5301099.072078865</v>
      </c>
      <c r="E192" s="351">
        <f t="shared" si="23"/>
        <v>-4604458.8890617294</v>
      </c>
      <c r="F192" s="351">
        <f t="shared" si="24"/>
        <v>-4376467.834474395</v>
      </c>
      <c r="G192" s="351">
        <f t="shared" si="25"/>
        <v>-4302021.5752802836</v>
      </c>
      <c r="H192" s="351">
        <f t="shared" si="26"/>
        <v>-4263599.2190590762</v>
      </c>
      <c r="I192" s="351">
        <f t="shared" si="27"/>
        <v>-4253496.3182664914</v>
      </c>
      <c r="J192" s="351">
        <f t="shared" si="28"/>
        <v>-4253741.9607313108</v>
      </c>
      <c r="K192" s="351">
        <f t="shared" si="29"/>
        <v>-4254166.9930021502</v>
      </c>
      <c r="L192" s="351">
        <f t="shared" si="30"/>
        <v>-4254546.4541468406</v>
      </c>
      <c r="M192" s="351">
        <f t="shared" si="31"/>
        <v>-4253029.3066050624</v>
      </c>
      <c r="N192" s="351">
        <f t="shared" si="32"/>
        <v>-4251301.0358498115</v>
      </c>
    </row>
    <row r="193" spans="3:14">
      <c r="C193">
        <v>0.88</v>
      </c>
      <c r="D193" s="351">
        <f t="shared" si="22"/>
        <v>-5271641.8151055435</v>
      </c>
      <c r="E193" s="351">
        <f t="shared" si="23"/>
        <v>-4586059.2047515325</v>
      </c>
      <c r="F193" s="351">
        <f t="shared" si="24"/>
        <v>-4362880.4569530459</v>
      </c>
      <c r="G193" s="351">
        <f t="shared" si="25"/>
        <v>-4290393.1998650189</v>
      </c>
      <c r="H193" s="351">
        <f t="shared" si="26"/>
        <v>-4253180.8977884222</v>
      </c>
      <c r="I193" s="351">
        <f t="shared" si="27"/>
        <v>-4243448.2190254014</v>
      </c>
      <c r="J193" s="351">
        <f t="shared" si="28"/>
        <v>-4243683.6011641752</v>
      </c>
      <c r="K193" s="351">
        <f t="shared" si="29"/>
        <v>-4244088.7137360191</v>
      </c>
      <c r="L193" s="351">
        <f t="shared" si="30"/>
        <v>-4244448.4671178795</v>
      </c>
      <c r="M193" s="351">
        <f t="shared" si="31"/>
        <v>-4243017.7652381733</v>
      </c>
      <c r="N193" s="351">
        <f t="shared" si="32"/>
        <v>-4241396.6388751371</v>
      </c>
    </row>
    <row r="194" spans="3:14">
      <c r="C194">
        <v>0.89</v>
      </c>
      <c r="D194" s="351">
        <f t="shared" si="22"/>
        <v>-5242509.5370973609</v>
      </c>
      <c r="E194" s="351">
        <f t="shared" si="23"/>
        <v>-4567751.7138338815</v>
      </c>
      <c r="F194" s="351">
        <f t="shared" si="24"/>
        <v>-4349258.970849392</v>
      </c>
      <c r="G194" s="351">
        <f t="shared" si="25"/>
        <v>-4278669.1805329099</v>
      </c>
      <c r="H194" s="351">
        <f t="shared" si="26"/>
        <v>-4242622.7049516598</v>
      </c>
      <c r="I194" s="351">
        <f t="shared" si="27"/>
        <v>-4233244.8242231663</v>
      </c>
      <c r="J194" s="351">
        <f t="shared" si="28"/>
        <v>-4233470.4256621422</v>
      </c>
      <c r="K194" s="351">
        <f t="shared" si="29"/>
        <v>-4233856.6504351916</v>
      </c>
      <c r="L194" s="351">
        <f t="shared" si="30"/>
        <v>-4234197.8161150608</v>
      </c>
      <c r="M194" s="351">
        <f t="shared" si="31"/>
        <v>-4232848.2143308213</v>
      </c>
      <c r="N194" s="351">
        <f t="shared" si="32"/>
        <v>-4231327.0735505298</v>
      </c>
    </row>
    <row r="195" spans="3:14">
      <c r="C195">
        <v>0.9</v>
      </c>
      <c r="D195" s="351">
        <f t="shared" si="22"/>
        <v>-5213696.8985102307</v>
      </c>
      <c r="E195" s="351">
        <f t="shared" si="23"/>
        <v>-4549537.1704585887</v>
      </c>
      <c r="F195" s="351">
        <f t="shared" si="24"/>
        <v>-4335608.0873634368</v>
      </c>
      <c r="G195" s="351">
        <f t="shared" si="25"/>
        <v>-4266856.4717944041</v>
      </c>
      <c r="H195" s="351">
        <f t="shared" si="26"/>
        <v>-4231933.4329014774</v>
      </c>
      <c r="I195" s="351">
        <f t="shared" si="27"/>
        <v>-4222895.6453672908</v>
      </c>
      <c r="J195" s="351">
        <f t="shared" si="28"/>
        <v>-4223111.9209501902</v>
      </c>
      <c r="K195" s="351">
        <f t="shared" si="29"/>
        <v>-4223480.2313276408</v>
      </c>
      <c r="L195" s="351">
        <f t="shared" si="30"/>
        <v>-4223803.8602807214</v>
      </c>
      <c r="M195" s="351">
        <f t="shared" si="31"/>
        <v>-4222530.3692833763</v>
      </c>
      <c r="N195" s="351">
        <f t="shared" si="32"/>
        <v>-4221102.567736472</v>
      </c>
    </row>
    <row r="196" spans="3:14">
      <c r="C196">
        <v>0.91</v>
      </c>
      <c r="D196" s="351">
        <f t="shared" si="22"/>
        <v>-5185198.6759623867</v>
      </c>
      <c r="E196" s="351">
        <f t="shared" si="23"/>
        <v>-4531416.2545159785</v>
      </c>
      <c r="F196" s="351">
        <f t="shared" si="24"/>
        <v>-4321932.2995508732</v>
      </c>
      <c r="G196" s="351">
        <f t="shared" si="25"/>
        <v>-4254961.7170363264</v>
      </c>
      <c r="H196" s="351">
        <f t="shared" si="26"/>
        <v>-4221121.4773956481</v>
      </c>
      <c r="I196" s="351">
        <f t="shared" si="27"/>
        <v>-4212409.7603060864</v>
      </c>
      <c r="J196" s="351">
        <f t="shared" si="28"/>
        <v>-4212617.1414954178</v>
      </c>
      <c r="K196" s="351">
        <f t="shared" si="29"/>
        <v>-4212968.4559824262</v>
      </c>
      <c r="L196" s="351">
        <f t="shared" si="30"/>
        <v>-4213275.5346909054</v>
      </c>
      <c r="M196" s="351">
        <f t="shared" si="31"/>
        <v>-4212073.4959914964</v>
      </c>
      <c r="N196" s="351">
        <f t="shared" si="32"/>
        <v>-4210732.8606850868</v>
      </c>
    </row>
    <row r="197" spans="3:14">
      <c r="C197">
        <v>0.92</v>
      </c>
      <c r="D197" s="351">
        <f t="shared" si="22"/>
        <v>-5157009.7590969065</v>
      </c>
      <c r="E197" s="351">
        <f t="shared" si="23"/>
        <v>-4513389.5754056405</v>
      </c>
      <c r="F197" s="351">
        <f t="shared" si="24"/>
        <v>-4308235.892040194</v>
      </c>
      <c r="G197" s="351">
        <f t="shared" si="25"/>
        <v>-4242991.2625520676</v>
      </c>
      <c r="H197" s="351">
        <f t="shared" si="26"/>
        <v>-4210194.8560210755</v>
      </c>
      <c r="I197" s="351">
        <f t="shared" si="27"/>
        <v>-4201795.8337431867</v>
      </c>
      <c r="J197" s="351">
        <f t="shared" si="28"/>
        <v>-4201994.7299355688</v>
      </c>
      <c r="K197" s="351">
        <f t="shared" si="29"/>
        <v>-4202329.9154995745</v>
      </c>
      <c r="L197" s="351">
        <f t="shared" si="30"/>
        <v>-4202621.3702181401</v>
      </c>
      <c r="M197" s="351">
        <f t="shared" si="31"/>
        <v>-4201486.4326451505</v>
      </c>
      <c r="N197" s="351">
        <f t="shared" si="32"/>
        <v>-4200227.2280057259</v>
      </c>
    </row>
    <row r="198" spans="3:14">
      <c r="C198">
        <v>0.93</v>
      </c>
      <c r="D198" s="351">
        <f t="shared" ref="D198:D261" si="33">NPV(C198,C$3:D$3)</f>
        <v>-5129125.1475452445</v>
      </c>
      <c r="E198" s="351">
        <f t="shared" ref="E198:E261" si="34">NPV(C198,C$3:E$3)</f>
        <v>-4495457.6756214295</v>
      </c>
      <c r="F198" s="351">
        <f t="shared" si="24"/>
        <v>-4294522.9502908327</v>
      </c>
      <c r="G198" s="351">
        <f t="shared" si="25"/>
        <v>-4230951.170891651</v>
      </c>
      <c r="H198" s="351">
        <f t="shared" si="26"/>
        <v>-4199161.2256905371</v>
      </c>
      <c r="I198" s="351">
        <f t="shared" si="27"/>
        <v>-4191062.1366967885</v>
      </c>
      <c r="J198" s="351">
        <f t="shared" si="28"/>
        <v>-4191252.9364579581</v>
      </c>
      <c r="K198" s="351">
        <f t="shared" si="29"/>
        <v>-4191572.8116673157</v>
      </c>
      <c r="L198" s="351">
        <f t="shared" si="30"/>
        <v>-4191849.5123863951</v>
      </c>
      <c r="M198" s="351">
        <f t="shared" si="31"/>
        <v>-4190777.6103634108</v>
      </c>
      <c r="N198" s="351">
        <f t="shared" si="32"/>
        <v>-4189594.5051952722</v>
      </c>
    </row>
    <row r="199" spans="3:14">
      <c r="C199">
        <v>0.94</v>
      </c>
      <c r="D199" s="351">
        <f t="shared" si="33"/>
        <v>-5101539.9479880258</v>
      </c>
      <c r="E199" s="351">
        <f t="shared" si="34"/>
        <v>-4477621.0341620715</v>
      </c>
      <c r="F199" s="351">
        <f t="shared" ref="F199:F262" si="35">NPV(C199,C$3:F$3)</f>
        <v>-4280797.369415747</v>
      </c>
      <c r="G199" s="351">
        <f t="shared" ref="G199:G262" si="36">NPV(C199,C$3:G$3)</f>
        <v>-4218847.2335674781</v>
      </c>
      <c r="H199" s="351">
        <f t="shared" ref="H199:H262" si="37">NPV(C199,C$3:H$3)</f>
        <v>-4188027.899263008</v>
      </c>
      <c r="I199" s="351">
        <f t="shared" ref="I199:I262" si="38">NPV(C199,C$3:I$3)</f>
        <v>-4180216.5649629543</v>
      </c>
      <c r="J199" s="351">
        <f t="shared" ref="J199:J262" si="39">NPV(C199,C$3:J$3)</f>
        <v>-4180399.6371877538</v>
      </c>
      <c r="K199" s="351">
        <f t="shared" ref="K199:K262" si="40">NPV(C199,C$3:K$3)</f>
        <v>-4180704.9751443411</v>
      </c>
      <c r="L199" s="351">
        <f t="shared" ref="L199:L262" si="41">NPV(C199,C$3:L$3)</f>
        <v>-4180967.7392738964</v>
      </c>
      <c r="M199" s="351">
        <f t="shared" ref="M199:M262" si="42">NPV(C199,C$3:M$3)</f>
        <v>-4179955.072734063</v>
      </c>
      <c r="N199" s="351">
        <f t="shared" ref="N199:N262" si="43">NPV(C199,C$3:N$3)</f>
        <v>-4178843.1098266048</v>
      </c>
    </row>
    <row r="200" spans="3:14">
      <c r="C200">
        <v>0.95</v>
      </c>
      <c r="D200" s="351">
        <f t="shared" si="33"/>
        <v>-5074249.3713094508</v>
      </c>
      <c r="E200" s="351">
        <f t="shared" si="34"/>
        <v>-4459880.0697762202</v>
      </c>
      <c r="F200" s="351">
        <f t="shared" si="35"/>
        <v>-4267062.8625906063</v>
      </c>
      <c r="G200" s="351">
        <f t="shared" si="36"/>
        <v>-4206684.9831495965</v>
      </c>
      <c r="H200" s="351">
        <f t="shared" si="37"/>
        <v>-4176801.8613354987</v>
      </c>
      <c r="I200" s="351">
        <f t="shared" si="38"/>
        <v>-4169266.6566387536</v>
      </c>
      <c r="J200" s="351">
        <f t="shared" si="39"/>
        <v>-4169442.3516410058</v>
      </c>
      <c r="K200" s="351">
        <f t="shared" si="40"/>
        <v>-4169733.8827213021</v>
      </c>
      <c r="L200" s="351">
        <f t="shared" si="41"/>
        <v>-4169983.478516195</v>
      </c>
      <c r="M200" s="351">
        <f t="shared" si="42"/>
        <v>-4169026.4943225626</v>
      </c>
      <c r="N200" s="351">
        <f t="shared" si="43"/>
        <v>-4167981.0624819454</v>
      </c>
    </row>
    <row r="201" spans="3:14">
      <c r="C201">
        <v>0.96</v>
      </c>
      <c r="D201" s="351">
        <f t="shared" si="33"/>
        <v>-5047248.7298418982</v>
      </c>
      <c r="E201" s="351">
        <f t="shared" si="34"/>
        <v>-4442235.1440503951</v>
      </c>
      <c r="F201" s="351">
        <f t="shared" si="35"/>
        <v>-4253322.9690705352</v>
      </c>
      <c r="G201" s="351">
        <f t="shared" si="36"/>
        <v>-4194469.704782363</v>
      </c>
      <c r="H201" s="351">
        <f t="shared" si="37"/>
        <v>-4165489.7832514774</v>
      </c>
      <c r="I201" s="351">
        <f t="shared" si="38"/>
        <v>-4158219.6087576007</v>
      </c>
      <c r="J201" s="351">
        <f t="shared" si="39"/>
        <v>-4158388.2592944428</v>
      </c>
      <c r="K201" s="351">
        <f t="shared" si="40"/>
        <v>-4158666.6737124803</v>
      </c>
      <c r="L201" s="351">
        <f t="shared" si="41"/>
        <v>-4158903.8234587251</v>
      </c>
      <c r="M201" s="351">
        <f t="shared" si="42"/>
        <v>-4157999.1982106627</v>
      </c>
      <c r="N201" s="351">
        <f t="shared" si="43"/>
        <v>-4157016.0065113986</v>
      </c>
    </row>
    <row r="202" spans="3:14">
      <c r="C202">
        <v>0.97</v>
      </c>
      <c r="D202" s="351">
        <f t="shared" si="33"/>
        <v>-5020533.4346973859</v>
      </c>
      <c r="E202" s="351">
        <f t="shared" si="34"/>
        <v>-4424686.5643476723</v>
      </c>
      <c r="F202" s="351">
        <f t="shared" si="35"/>
        <v>-4239581.0618341658</v>
      </c>
      <c r="G202" s="351">
        <f t="shared" si="36"/>
        <v>-4182206.447152569</v>
      </c>
      <c r="H202" s="351">
        <f t="shared" si="37"/>
        <v>-4154098.037368245</v>
      </c>
      <c r="I202" s="351">
        <f t="shared" si="38"/>
        <v>-4147082.2930859523</v>
      </c>
      <c r="J202" s="351">
        <f t="shared" si="39"/>
        <v>-4147244.2153208712</v>
      </c>
      <c r="K202" s="351">
        <f t="shared" si="40"/>
        <v>-4147510.1655254643</v>
      </c>
      <c r="L202" s="351">
        <f t="shared" si="41"/>
        <v>-4147735.5485051656</v>
      </c>
      <c r="M202" s="351">
        <f t="shared" si="42"/>
        <v>-4146880.1726210946</v>
      </c>
      <c r="N202" s="351">
        <f t="shared" si="43"/>
        <v>-4145955.2266912744</v>
      </c>
    </row>
    <row r="203" spans="3:14">
      <c r="C203">
        <v>0.98</v>
      </c>
      <c r="D203" s="351">
        <f t="shared" si="33"/>
        <v>-4994098.9931827206</v>
      </c>
      <c r="E203" s="351">
        <f t="shared" si="34"/>
        <v>-4407234.5866046697</v>
      </c>
      <c r="F203" s="351">
        <f t="shared" si="35"/>
        <v>-4225840.354873714</v>
      </c>
      <c r="G203" s="351">
        <f t="shared" si="36"/>
        <v>-4169900.0329373912</v>
      </c>
      <c r="H203" s="351">
        <f t="shared" si="37"/>
        <v>-4142632.7106231563</v>
      </c>
      <c r="I203" s="351">
        <f t="shared" si="38"/>
        <v>-4135861.2711275602</v>
      </c>
      <c r="J203" s="351">
        <f t="shared" si="39"/>
        <v>-4136016.7655360899</v>
      </c>
      <c r="K203" s="351">
        <f t="shared" si="40"/>
        <v>-4136270.8684538212</v>
      </c>
      <c r="L203" s="351">
        <f t="shared" si="41"/>
        <v>-4136485.1237051929</v>
      </c>
      <c r="M203" s="351">
        <f t="shared" si="42"/>
        <v>-4135676.0866810759</v>
      </c>
      <c r="N203" s="351">
        <f t="shared" si="43"/>
        <v>-4134805.666851419</v>
      </c>
    </row>
    <row r="204" spans="3:14">
      <c r="C204">
        <v>0.99</v>
      </c>
      <c r="D204" s="351">
        <f t="shared" si="33"/>
        <v>-4967941.0062952926</v>
      </c>
      <c r="E204" s="351">
        <f t="shared" si="34"/>
        <v>-4389879.4179939199</v>
      </c>
      <c r="F204" s="351">
        <f t="shared" si="35"/>
        <v>-4212103.9101487789</v>
      </c>
      <c r="G204" s="351">
        <f t="shared" si="36"/>
        <v>-4157555.0687589785</v>
      </c>
      <c r="H204" s="351">
        <f t="shared" si="37"/>
        <v>-4131099.6174362679</v>
      </c>
      <c r="I204" s="351">
        <f t="shared" si="38"/>
        <v>-4124562.8083787411</v>
      </c>
      <c r="J204" s="351">
        <f t="shared" si="39"/>
        <v>-4124712.1606004974</v>
      </c>
      <c r="K204" s="351">
        <f t="shared" si="40"/>
        <v>-4124954.9997350997</v>
      </c>
      <c r="L204" s="351">
        <f t="shared" si="41"/>
        <v>-4125158.7286226489</v>
      </c>
      <c r="M204" s="351">
        <f t="shared" si="42"/>
        <v>-4124393.3053740538</v>
      </c>
      <c r="N204" s="351">
        <f t="shared" si="43"/>
        <v>-4123573.9465359026</v>
      </c>
    </row>
    <row r="205" spans="3:14">
      <c r="C205">
        <v>1</v>
      </c>
      <c r="D205" s="351">
        <f t="shared" si="33"/>
        <v>-4942055.1662966087</v>
      </c>
      <c r="E205" s="351">
        <f t="shared" si="34"/>
        <v>-4372621.2194583332</v>
      </c>
      <c r="F205" s="351">
        <f t="shared" si="35"/>
        <v>-4198374.6442205627</v>
      </c>
      <c r="G205" s="351">
        <f t="shared" si="36"/>
        <v>-4145175.9546709168</v>
      </c>
      <c r="H205" s="351">
        <f t="shared" si="37"/>
        <v>-4119504.3119847453</v>
      </c>
      <c r="I205" s="351">
        <f t="shared" si="38"/>
        <v>-4113192.8878754517</v>
      </c>
      <c r="J205" s="351">
        <f t="shared" si="39"/>
        <v>-4113336.3695159359</v>
      </c>
      <c r="K205" s="351">
        <f t="shared" si="40"/>
        <v>-4113568.4969139197</v>
      </c>
      <c r="L205" s="351">
        <f t="shared" si="41"/>
        <v>-4113762.2655227361</v>
      </c>
      <c r="M205" s="351">
        <f t="shared" si="42"/>
        <v>-4113037.9037259328</v>
      </c>
      <c r="N205" s="351">
        <f t="shared" si="43"/>
        <v>-4112266.3767568828</v>
      </c>
    </row>
    <row r="206" spans="3:14">
      <c r="C206">
        <v>1.01</v>
      </c>
      <c r="D206" s="351">
        <f t="shared" si="33"/>
        <v>-4916437.254360755</v>
      </c>
      <c r="E206" s="351">
        <f t="shared" si="34"/>
        <v>-4355460.1081241388</v>
      </c>
      <c r="F206" s="351">
        <f t="shared" si="35"/>
        <v>-4184655.334582374</v>
      </c>
      <c r="G206" s="351">
        <f t="shared" si="36"/>
        <v>-4132766.893200486</v>
      </c>
      <c r="H206" s="351">
        <f t="shared" si="37"/>
        <v>-4107852.0998823792</v>
      </c>
      <c r="I206" s="351">
        <f t="shared" si="38"/>
        <v>-4101757.223070635</v>
      </c>
      <c r="J206" s="351">
        <f t="shared" si="39"/>
        <v>-4101895.0924559929</v>
      </c>
      <c r="K206" s="351">
        <f t="shared" si="40"/>
        <v>-4102117.0305476543</v>
      </c>
      <c r="L206" s="351">
        <f t="shared" si="41"/>
        <v>-4102301.3719146233</v>
      </c>
      <c r="M206" s="351">
        <f t="shared" si="42"/>
        <v>-4101615.6802691426</v>
      </c>
      <c r="N206" s="351">
        <f t="shared" si="43"/>
        <v>-4100888.9748972985</v>
      </c>
    </row>
    <row r="207" spans="3:14">
      <c r="C207">
        <v>1.02</v>
      </c>
      <c r="D207" s="351">
        <f t="shared" si="33"/>
        <v>-4891083.1382951029</v>
      </c>
      <c r="E207" s="351">
        <f t="shared" si="34"/>
        <v>-4338396.1595983179</v>
      </c>
      <c r="F207" s="351">
        <f t="shared" si="35"/>
        <v>-4170948.6257013734</v>
      </c>
      <c r="G207" s="351">
        <f t="shared" si="36"/>
        <v>-4120331.8979692417</v>
      </c>
      <c r="H207" s="351">
        <f t="shared" si="37"/>
        <v>-4096148.0492955856</v>
      </c>
      <c r="I207" s="351">
        <f t="shared" si="38"/>
        <v>-4090261.2700779336</v>
      </c>
      <c r="J207" s="351">
        <f t="shared" si="39"/>
        <v>-4090393.7729656547</v>
      </c>
      <c r="K207" s="351">
        <f t="shared" si="40"/>
        <v>-4090606.0162899285</v>
      </c>
      <c r="L207" s="351">
        <f t="shared" si="41"/>
        <v>-4090781.4324837192</v>
      </c>
      <c r="M207" s="351">
        <f t="shared" si="42"/>
        <v>-4090132.1698251809</v>
      </c>
      <c r="N207" s="351">
        <f t="shared" si="43"/>
        <v>-4089447.4788142261</v>
      </c>
    </row>
    <row r="208" spans="3:14">
      <c r="C208">
        <v>1.03</v>
      </c>
      <c r="D208" s="351">
        <f t="shared" si="33"/>
        <v>-4865988.7703307001</v>
      </c>
      <c r="E208" s="351">
        <f t="shared" si="34"/>
        <v>-4321429.4101562332</v>
      </c>
      <c r="F208" s="351">
        <f t="shared" si="35"/>
        <v>-4157257.0347857368</v>
      </c>
      <c r="G208" s="351">
        <f t="shared" si="36"/>
        <v>-4107874.8019132288</v>
      </c>
      <c r="H208" s="351">
        <f t="shared" si="37"/>
        <v>-4084397.0015254826</v>
      </c>
      <c r="I208" s="351">
        <f t="shared" si="38"/>
        <v>-4078710.2393158041</v>
      </c>
      <c r="J208" s="351">
        <f t="shared" si="39"/>
        <v>-4078837.6095641227</v>
      </c>
      <c r="K208" s="351">
        <f t="shared" si="40"/>
        <v>-4079040.626385137</v>
      </c>
      <c r="L208" s="351">
        <f t="shared" si="41"/>
        <v>-4079207.5904458901</v>
      </c>
      <c r="M208" s="351">
        <f t="shared" si="42"/>
        <v>-4078592.6556437062</v>
      </c>
      <c r="N208" s="351">
        <f t="shared" si="43"/>
        <v>-4077947.3601911394</v>
      </c>
    </row>
    <row r="209" spans="3:14">
      <c r="C209">
        <v>1.04</v>
      </c>
      <c r="D209" s="351">
        <f t="shared" si="33"/>
        <v>-4841150.1849798718</v>
      </c>
      <c r="E209" s="351">
        <f t="shared" si="34"/>
        <v>-4304559.858824891</v>
      </c>
      <c r="F209" s="351">
        <f t="shared" si="35"/>
        <v>-4143582.9572906909</v>
      </c>
      <c r="G209" s="351">
        <f t="shared" si="36"/>
        <v>-4095399.2651230004</v>
      </c>
      <c r="H209" s="351">
        <f t="shared" si="37"/>
        <v>-4072603.5810839701</v>
      </c>
      <c r="I209" s="351">
        <f t="shared" si="38"/>
        <v>-4067109.1065840754</v>
      </c>
      <c r="J209" s="351">
        <f t="shared" si="39"/>
        <v>-4067231.566782671</v>
      </c>
      <c r="K209" s="351">
        <f t="shared" si="40"/>
        <v>-4067425.8006052873</v>
      </c>
      <c r="L209" s="351">
        <f t="shared" si="41"/>
        <v>-4067584.758354099</v>
      </c>
      <c r="M209" s="351">
        <f t="shared" si="42"/>
        <v>-4067002.1809339989</v>
      </c>
      <c r="N209" s="351">
        <f t="shared" si="43"/>
        <v>-4066393.8371841256</v>
      </c>
    </row>
    <row r="210" spans="3:14">
      <c r="C210">
        <v>1.05</v>
      </c>
      <c r="D210" s="351">
        <f t="shared" si="33"/>
        <v>-4816563.4969586413</v>
      </c>
      <c r="E210" s="351">
        <f t="shared" si="34"/>
        <v>-4287787.4693669109</v>
      </c>
      <c r="F210" s="351">
        <f t="shared" si="35"/>
        <v>-4129928.6721761036</v>
      </c>
      <c r="G210" s="351">
        <f t="shared" si="36"/>
        <v>-4082908.7823224417</v>
      </c>
      <c r="H210" s="351">
        <f t="shared" si="37"/>
        <v>-4060772.2052900982</v>
      </c>
      <c r="I210" s="351">
        <f t="shared" si="38"/>
        <v>-4055462.6236030823</v>
      </c>
      <c r="J210" s="351">
        <f t="shared" si="39"/>
        <v>-4055580.3856674838</v>
      </c>
      <c r="K210" s="351">
        <f t="shared" si="40"/>
        <v>-4055766.2566585932</v>
      </c>
      <c r="L210" s="351">
        <f t="shared" si="41"/>
        <v>-4055917.6283861054</v>
      </c>
      <c r="M210" s="351">
        <f t="shared" si="42"/>
        <v>-4055365.5598222679</v>
      </c>
      <c r="N210" s="351">
        <f t="shared" si="43"/>
        <v>-4054791.8864039592</v>
      </c>
    </row>
    <row r="211" spans="3:14">
      <c r="C211">
        <v>1.06</v>
      </c>
      <c r="D211" s="351">
        <f t="shared" si="33"/>
        <v>-4792224.8991717258</v>
      </c>
      <c r="E211" s="351">
        <f t="shared" si="34"/>
        <v>-4271112.1721701268</v>
      </c>
      <c r="F211" s="351">
        <f t="shared" si="35"/>
        <v>-4116296.346927701</v>
      </c>
      <c r="G211" s="351">
        <f t="shared" si="36"/>
        <v>-4070406.6900044507</v>
      </c>
      <c r="H211" s="351">
        <f t="shared" si="37"/>
        <v>-4048907.0934115741</v>
      </c>
      <c r="I211" s="351">
        <f t="shared" si="38"/>
        <v>-4043775.3280438199</v>
      </c>
      <c r="J211" s="351">
        <f t="shared" si="39"/>
        <v>-4043888.593775772</v>
      </c>
      <c r="K211" s="351">
        <f t="shared" si="40"/>
        <v>-4044066.5000976222</v>
      </c>
      <c r="L211" s="351">
        <f t="shared" si="41"/>
        <v>-4044210.6821403406</v>
      </c>
      <c r="M211" s="351">
        <f t="shared" si="42"/>
        <v>-4043687.3877663743</v>
      </c>
      <c r="N211" s="351">
        <f t="shared" si="43"/>
        <v>-4043146.2542732568</v>
      </c>
    </row>
    <row r="212" spans="3:14">
      <c r="C212">
        <v>1.07</v>
      </c>
      <c r="D212" s="351">
        <f t="shared" si="33"/>
        <v>-4768130.6607579142</v>
      </c>
      <c r="E212" s="351">
        <f t="shared" si="34"/>
        <v>-4254533.8660473786</v>
      </c>
      <c r="F212" s="351">
        <f t="shared" si="35"/>
        <v>-4102688.0423533288</v>
      </c>
      <c r="G212" s="351">
        <f t="shared" si="36"/>
        <v>-4057896.1732404903</v>
      </c>
      <c r="H212" s="351">
        <f t="shared" si="37"/>
        <v>-4037012.2753748517</v>
      </c>
      <c r="I212" s="351">
        <f t="shared" si="38"/>
        <v>-4032051.553075905</v>
      </c>
      <c r="J212" s="351">
        <f t="shared" si="39"/>
        <v>-4032160.5146917934</v>
      </c>
      <c r="K212" s="351">
        <f t="shared" si="40"/>
        <v>-4032330.8337531877</v>
      </c>
      <c r="L212" s="351">
        <f t="shared" si="41"/>
        <v>-4032468.199965484</v>
      </c>
      <c r="M212" s="351">
        <f t="shared" si="42"/>
        <v>-4031972.0514575741</v>
      </c>
      <c r="N212" s="351">
        <f t="shared" si="43"/>
        <v>-4031461.467795277</v>
      </c>
    </row>
    <row r="213" spans="3:14">
      <c r="C213">
        <v>1.08</v>
      </c>
      <c r="D213" s="351">
        <f t="shared" si="33"/>
        <v>-4744277.125193703</v>
      </c>
      <c r="E213" s="351">
        <f t="shared" si="34"/>
        <v>-4238052.419950868</v>
      </c>
      <c r="F213" s="351">
        <f t="shared" si="35"/>
        <v>-4089105.7171650454</v>
      </c>
      <c r="G213" s="351">
        <f t="shared" si="36"/>
        <v>-4045380.2721801158</v>
      </c>
      <c r="H213" s="351">
        <f t="shared" si="37"/>
        <v>-4025091.6000658805</v>
      </c>
      <c r="I213" s="351">
        <f t="shared" si="38"/>
        <v>-4020295.4364585555</v>
      </c>
      <c r="J213" s="351">
        <f t="shared" si="39"/>
        <v>-4020400.2770878547</v>
      </c>
      <c r="K213" s="351">
        <f t="shared" si="40"/>
        <v>-4020563.3667186424</v>
      </c>
      <c r="L213" s="351">
        <f t="shared" si="41"/>
        <v>-4020694.2698478024</v>
      </c>
      <c r="M213" s="351">
        <f t="shared" si="42"/>
        <v>-4020223.7382370457</v>
      </c>
      <c r="N213" s="351">
        <f t="shared" si="43"/>
        <v>-4019741.844768506</v>
      </c>
    </row>
    <row r="214" spans="3:14">
      <c r="C214">
        <v>1.0900000000000001</v>
      </c>
      <c r="D214" s="351">
        <f t="shared" si="33"/>
        <v>-4720660.7084532147</v>
      </c>
      <c r="E214" s="351">
        <f t="shared" si="34"/>
        <v>-4221667.6746052504</v>
      </c>
      <c r="F214" s="351">
        <f t="shared" si="35"/>
        <v>-4075551.2323573483</v>
      </c>
      <c r="G214" s="351">
        <f t="shared" si="36"/>
        <v>-4032861.8882557699</v>
      </c>
      <c r="H214" s="351">
        <f t="shared" si="37"/>
        <v>-4013148.7432424594</v>
      </c>
      <c r="I214" s="351">
        <f t="shared" si="38"/>
        <v>-4008510.9291984471</v>
      </c>
      <c r="J214" s="351">
        <f t="shared" si="39"/>
        <v>-4008611.8233540286</v>
      </c>
      <c r="K214" s="351">
        <f t="shared" si="40"/>
        <v>-4008768.0229079272</v>
      </c>
      <c r="L214" s="351">
        <f t="shared" si="41"/>
        <v>-4008892.795879053</v>
      </c>
      <c r="M214" s="351">
        <f t="shared" si="42"/>
        <v>-4008446.4450534387</v>
      </c>
      <c r="N214" s="351">
        <f t="shared" si="43"/>
        <v>-4007991.5034790207</v>
      </c>
    </row>
    <row r="215" spans="3:14">
      <c r="C215">
        <v>1.1000000000000001</v>
      </c>
      <c r="D215" s="351">
        <f t="shared" si="33"/>
        <v>-4697277.8972224351</v>
      </c>
      <c r="E215" s="351">
        <f t="shared" si="34"/>
        <v>-4205379.444063358</v>
      </c>
      <c r="F215" s="351">
        <f t="shared" si="35"/>
        <v>-4062026.3553912342</v>
      </c>
      <c r="G215" s="351">
        <f t="shared" si="36"/>
        <v>-4020343.7901072549</v>
      </c>
      <c r="H215" s="351">
        <f t="shared" si="37"/>
        <v>-4001187.2150778794</v>
      </c>
      <c r="I215" s="351">
        <f t="shared" si="38"/>
        <v>-3996701.8037968711</v>
      </c>
      <c r="J215" s="351">
        <f t="shared" si="39"/>
        <v>-3996798.9178188792</v>
      </c>
      <c r="K215" s="351">
        <f t="shared" si="40"/>
        <v>-3996948.5492093177</v>
      </c>
      <c r="L215" s="351">
        <f t="shared" si="41"/>
        <v>-3997067.5063263909</v>
      </c>
      <c r="M215" s="351">
        <f t="shared" si="42"/>
        <v>-3996643.9869859945</v>
      </c>
      <c r="N215" s="351">
        <f t="shared" si="43"/>
        <v>-3996214.3719004942</v>
      </c>
    </row>
    <row r="216" spans="3:14">
      <c r="C216">
        <v>1.1100000000000001</v>
      </c>
      <c r="D216" s="351">
        <f t="shared" si="33"/>
        <v>-4674125.2471659184</v>
      </c>
      <c r="E216" s="351">
        <f t="shared" si="34"/>
        <v>-4189187.5171883185</v>
      </c>
      <c r="F216" s="351">
        <f t="shared" si="35"/>
        <v>-4048532.7641933234</v>
      </c>
      <c r="G216" s="351">
        <f t="shared" si="36"/>
        <v>-4007828.6192395696</v>
      </c>
      <c r="H216" s="351">
        <f t="shared" si="37"/>
        <v>-3989210.3673545276</v>
      </c>
      <c r="I216" s="351">
        <f t="shared" si="38"/>
        <v>-3984871.6621074034</v>
      </c>
      <c r="J216" s="351">
        <f t="shared" si="39"/>
        <v>-3984965.1545823049</v>
      </c>
      <c r="K216" s="351">
        <f t="shared" si="40"/>
        <v>-3985108.5232556476</v>
      </c>
      <c r="L216" s="351">
        <f t="shared" si="41"/>
        <v>-3985221.9613245819</v>
      </c>
      <c r="M216" s="351">
        <f t="shared" si="42"/>
        <v>-3984820.0053564128</v>
      </c>
      <c r="N216" s="351">
        <f t="shared" si="43"/>
        <v>-3984414.1964298082</v>
      </c>
    </row>
    <row r="217" spans="3:14">
      <c r="C217">
        <v>1.1200000000000001</v>
      </c>
      <c r="D217" s="351">
        <f t="shared" si="33"/>
        <v>-4651199.3812441789</v>
      </c>
      <c r="E217" s="351">
        <f t="shared" si="34"/>
        <v>-4173091.6590655721</v>
      </c>
      <c r="F217" s="351">
        <f t="shared" si="35"/>
        <v>-4035072.0509788063</v>
      </c>
      <c r="G217" s="351">
        <f t="shared" si="36"/>
        <v>-3995318.8954270696</v>
      </c>
      <c r="H217" s="351">
        <f t="shared" si="37"/>
        <v>-3977221.400325052</v>
      </c>
      <c r="I217" s="351">
        <f t="shared" si="38"/>
        <v>-3973023.9428240787</v>
      </c>
      <c r="J217" s="351">
        <f t="shared" si="39"/>
        <v>-3973113.9649803783</v>
      </c>
      <c r="K217" s="351">
        <f t="shared" si="40"/>
        <v>-3973251.3608305878</v>
      </c>
      <c r="L217" s="351">
        <f t="shared" si="41"/>
        <v>-3973359.5602096813</v>
      </c>
      <c r="M217" s="351">
        <f t="shared" si="42"/>
        <v>-3972977.9754512548</v>
      </c>
      <c r="N217" s="351">
        <f t="shared" si="43"/>
        <v>-3972594.5501844636</v>
      </c>
    </row>
    <row r="218" spans="3:14">
      <c r="C218">
        <v>1.1299999999999999</v>
      </c>
      <c r="D218" s="351">
        <f t="shared" si="33"/>
        <v>-4628496.9880800303</v>
      </c>
      <c r="E218" s="351">
        <f t="shared" si="34"/>
        <v>-4157091.6123481775</v>
      </c>
      <c r="F218" s="351">
        <f t="shared" si="35"/>
        <v>-4021645.7259065174</v>
      </c>
      <c r="G218" s="351">
        <f t="shared" si="36"/>
        <v>-3982817.0218762029</v>
      </c>
      <c r="H218" s="351">
        <f t="shared" si="37"/>
        <v>-3965223.3692577523</v>
      </c>
      <c r="I218" s="351">
        <f t="shared" si="38"/>
        <v>-3961161.9286189638</v>
      </c>
      <c r="J218" s="351">
        <f t="shared" si="39"/>
        <v>-3961248.624700997</v>
      </c>
      <c r="K218" s="351">
        <f t="shared" si="40"/>
        <v>-3961380.3229295104</v>
      </c>
      <c r="L218" s="351">
        <f t="shared" si="41"/>
        <v>-3961483.5485122935</v>
      </c>
      <c r="M218" s="351">
        <f t="shared" si="42"/>
        <v>-3961121.213875398</v>
      </c>
      <c r="N218" s="351">
        <f t="shared" si="43"/>
        <v>-3960758.8408863358</v>
      </c>
    </row>
    <row r="219" spans="3:14">
      <c r="C219">
        <v>1.1399999999999999</v>
      </c>
      <c r="D219" s="351">
        <f t="shared" si="33"/>
        <v>-4606014.8203722471</v>
      </c>
      <c r="E219" s="351">
        <f t="shared" si="34"/>
        <v>-4141187.0985385836</v>
      </c>
      <c r="F219" s="351">
        <f t="shared" si="35"/>
        <v>-4008255.2205740088</v>
      </c>
      <c r="G219" s="351">
        <f t="shared" si="36"/>
        <v>-3970325.2901584692</v>
      </c>
      <c r="H219" s="351">
        <f t="shared" si="37"/>
        <v>-3953219.1906819432</v>
      </c>
      <c r="I219" s="351">
        <f t="shared" si="38"/>
        <v>-3949288.7529469561</v>
      </c>
      <c r="J219" s="351">
        <f t="shared" si="39"/>
        <v>-3949372.2605680558</v>
      </c>
      <c r="K219" s="351">
        <f t="shared" si="40"/>
        <v>-3949498.5224923971</v>
      </c>
      <c r="L219" s="351">
        <f t="shared" si="41"/>
        <v>-3949597.0246275268</v>
      </c>
      <c r="M219" s="351">
        <f t="shared" si="42"/>
        <v>-3949252.8855558876</v>
      </c>
      <c r="N219" s="351">
        <f t="shared" si="43"/>
        <v>-3948910.3183547528</v>
      </c>
    </row>
    <row r="220" spans="3:14">
      <c r="C220">
        <v>1.1499999999999999</v>
      </c>
      <c r="D220" s="351">
        <f t="shared" si="33"/>
        <v>-4583749.6933549363</v>
      </c>
      <c r="E220" s="351">
        <f t="shared" si="34"/>
        <v>-4125377.819209896</v>
      </c>
      <c r="F220" s="351">
        <f t="shared" si="35"/>
        <v>-3994901.8913601339</v>
      </c>
      <c r="G220" s="351">
        <f t="shared" si="36"/>
        <v>-3957845.8849246143</v>
      </c>
      <c r="H220" s="351">
        <f t="shared" si="37"/>
        <v>-3941211.6483481862</v>
      </c>
      <c r="I220" s="351">
        <f t="shared" si="38"/>
        <v>-3937407.4065346643</v>
      </c>
      <c r="J220" s="351">
        <f t="shared" si="39"/>
        <v>-3937487.857010935</v>
      </c>
      <c r="K220" s="351">
        <f t="shared" si="40"/>
        <v>-3937608.9308253359</v>
      </c>
      <c r="L220" s="351">
        <f t="shared" si="41"/>
        <v>-3937702.9461778286</v>
      </c>
      <c r="M220" s="351">
        <f t="shared" si="42"/>
        <v>-3937376.0104143848</v>
      </c>
      <c r="N220" s="351">
        <f t="shared" si="43"/>
        <v>-3937052.0816304763</v>
      </c>
    </row>
    <row r="221" spans="3:14">
      <c r="C221">
        <v>1.1599999999999999</v>
      </c>
      <c r="D221" s="351">
        <f t="shared" si="33"/>
        <v>-4561698.4833011059</v>
      </c>
      <c r="E221" s="351">
        <f t="shared" si="34"/>
        <v>-4109663.4571695169</v>
      </c>
      <c r="F221" s="351">
        <f t="shared" si="35"/>
        <v>-3981587.0226222123</v>
      </c>
      <c r="G221" s="351">
        <f t="shared" si="36"/>
        <v>-3945380.8884105082</v>
      </c>
      <c r="H221" s="351">
        <f t="shared" si="37"/>
        <v>-3929203.3989174874</v>
      </c>
      <c r="I221" s="351">
        <f t="shared" si="38"/>
        <v>-3925520.7435692889</v>
      </c>
      <c r="J221" s="351">
        <f t="shared" si="39"/>
        <v>-3925598.26223514</v>
      </c>
      <c r="K221" s="351">
        <f t="shared" si="40"/>
        <v>-3925714.3837262243</v>
      </c>
      <c r="L221" s="351">
        <f t="shared" si="41"/>
        <v>-3925804.1360840234</v>
      </c>
      <c r="M221" s="351">
        <f t="shared" si="42"/>
        <v>-3925493.4697254151</v>
      </c>
      <c r="N221" s="351">
        <f t="shared" si="43"/>
        <v>-3925187.0857508392</v>
      </c>
    </row>
    <row r="222" spans="3:14">
      <c r="C222">
        <v>1.17</v>
      </c>
      <c r="D222" s="351">
        <f t="shared" si="33"/>
        <v>-4539858.1260689525</v>
      </c>
      <c r="E222" s="351">
        <f t="shared" si="34"/>
        <v>-4094043.6775678922</v>
      </c>
      <c r="F222" s="351">
        <f t="shared" si="35"/>
        <v>-3968311.8297545556</v>
      </c>
      <c r="G222" s="351">
        <f t="shared" si="36"/>
        <v>-3932932.2847446213</v>
      </c>
      <c r="H222" s="351">
        <f t="shared" si="37"/>
        <v>-3917196.9773927927</v>
      </c>
      <c r="I222" s="351">
        <f t="shared" si="38"/>
        <v>-3913631.4876025501</v>
      </c>
      <c r="J222" s="351">
        <f t="shared" si="39"/>
        <v>-3913706.1941090585</v>
      </c>
      <c r="K222" s="351">
        <f t="shared" si="40"/>
        <v>-3913817.5873294347</v>
      </c>
      <c r="L222" s="351">
        <f t="shared" si="41"/>
        <v>-3913903.2883590064</v>
      </c>
      <c r="M222" s="351">
        <f t="shared" si="42"/>
        <v>-3913608.0121765765</v>
      </c>
      <c r="N222" s="351">
        <f t="shared" si="43"/>
        <v>-3913318.1481949943</v>
      </c>
    </row>
    <row r="223" spans="3:14">
      <c r="C223">
        <v>1.18</v>
      </c>
      <c r="D223" s="351">
        <f t="shared" si="33"/>
        <v>-4518225.6156894499</v>
      </c>
      <c r="E223" s="351">
        <f t="shared" si="34"/>
        <v>-4078518.1289549624</v>
      </c>
      <c r="F223" s="351">
        <f t="shared" si="35"/>
        <v>-3955077.4621147565</v>
      </c>
      <c r="G223" s="351">
        <f t="shared" si="36"/>
        <v>-3920501.9640665003</v>
      </c>
      <c r="H223" s="351">
        <f t="shared" si="37"/>
        <v>-3905194.8023054181</v>
      </c>
      <c r="I223" s="351">
        <f t="shared" si="38"/>
        <v>-3901742.2371839052</v>
      </c>
      <c r="J223" s="351">
        <f t="shared" si="39"/>
        <v>-3901814.2457810161</v>
      </c>
      <c r="K223" s="351">
        <f t="shared" si="40"/>
        <v>-3901921.1236834344</v>
      </c>
      <c r="L223" s="351">
        <f t="shared" si="41"/>
        <v>-3902002.9736378356</v>
      </c>
      <c r="M223" s="351">
        <f t="shared" si="42"/>
        <v>-3901722.259646026</v>
      </c>
      <c r="N223" s="351">
        <f t="shared" si="43"/>
        <v>-3901447.9550171741</v>
      </c>
    </row>
    <row r="224" spans="3:14">
      <c r="C224">
        <v>1.19</v>
      </c>
      <c r="D224" s="351">
        <f t="shared" si="33"/>
        <v>-4496798.0029938892</v>
      </c>
      <c r="E224" s="351">
        <f t="shared" si="34"/>
        <v>-4063086.4442867804</v>
      </c>
      <c r="F224" s="351">
        <f t="shared" si="35"/>
        <v>-3941885.0058238241</v>
      </c>
      <c r="G224" s="351">
        <f t="shared" si="36"/>
        <v>-3908091.7264651484</v>
      </c>
      <c r="H224" s="351">
        <f t="shared" si="37"/>
        <v>-3893199.1806683568</v>
      </c>
      <c r="I224" s="351">
        <f t="shared" si="38"/>
        <v>-3889855.4712364851</v>
      </c>
      <c r="J224" s="351">
        <f t="shared" si="39"/>
        <v>-3889924.8910399964</v>
      </c>
      <c r="K224" s="351">
        <f t="shared" si="40"/>
        <v>-3890027.4560745442</v>
      </c>
      <c r="L224" s="351">
        <f t="shared" si="41"/>
        <v>-3890105.6444571461</v>
      </c>
      <c r="M224" s="351">
        <f t="shared" si="42"/>
        <v>-3889838.7127116281</v>
      </c>
      <c r="N224" s="351">
        <f t="shared" si="43"/>
        <v>-3889579.0666846782</v>
      </c>
    </row>
    <row r="225" spans="3:14">
      <c r="C225">
        <v>1.2</v>
      </c>
      <c r="D225" s="351">
        <f t="shared" si="33"/>
        <v>-4475572.394280049</v>
      </c>
      <c r="E225" s="351">
        <f t="shared" si="34"/>
        <v>-4047748.2418846507</v>
      </c>
      <c r="F225" s="351">
        <f t="shared" si="35"/>
        <v>-3928735.4864459708</v>
      </c>
      <c r="G225" s="351">
        <f t="shared" si="36"/>
        <v>-3895703.2857457916</v>
      </c>
      <c r="H225" s="351">
        <f t="shared" si="37"/>
        <v>-3881212.3127077925</v>
      </c>
      <c r="I225" s="351">
        <f t="shared" si="38"/>
        <v>-3877973.5541885113</v>
      </c>
      <c r="J225" s="351">
        <f t="shared" si="39"/>
        <v>-3878040.4894327219</v>
      </c>
      <c r="K225" s="351">
        <f t="shared" si="40"/>
        <v>-3878138.9341093656</v>
      </c>
      <c r="L225" s="351">
        <f t="shared" si="41"/>
        <v>-3878213.6402961975</v>
      </c>
      <c r="M225" s="351">
        <f t="shared" si="42"/>
        <v>-3877959.7559054005</v>
      </c>
      <c r="N225" s="351">
        <f t="shared" si="43"/>
        <v>-3877713.9236363666</v>
      </c>
    </row>
    <row r="226" spans="3:14">
      <c r="C226">
        <v>1.21</v>
      </c>
      <c r="D226" s="351">
        <f t="shared" si="33"/>
        <v>-4454545.9500157433</v>
      </c>
      <c r="E226" s="351">
        <f t="shared" si="34"/>
        <v>-4032503.1263490119</v>
      </c>
      <c r="F226" s="351">
        <f t="shared" si="35"/>
        <v>-3915629.8715535509</v>
      </c>
      <c r="G226" s="351">
        <f t="shared" si="36"/>
        <v>-3883338.2730330541</v>
      </c>
      <c r="H226" s="351">
        <f t="shared" si="37"/>
        <v>-3869236.2963835537</v>
      </c>
      <c r="I226" s="351">
        <f t="shared" si="38"/>
        <v>-3866098.7408722243</v>
      </c>
      <c r="J226" s="351">
        <f t="shared" si="39"/>
        <v>-3866163.2911490849</v>
      </c>
      <c r="K226" s="351">
        <f t="shared" si="40"/>
        <v>-3866257.798567717</v>
      </c>
      <c r="L226" s="351">
        <f t="shared" si="41"/>
        <v>-3866329.1923911762</v>
      </c>
      <c r="M226" s="351">
        <f t="shared" si="42"/>
        <v>-3866087.662726115</v>
      </c>
      <c r="N226" s="351">
        <f t="shared" si="43"/>
        <v>-3865854.8515765108</v>
      </c>
    </row>
    <row r="227" spans="3:14">
      <c r="C227">
        <v>1.22</v>
      </c>
      <c r="D227" s="351">
        <f t="shared" si="33"/>
        <v>-4433715.8835785128</v>
      </c>
      <c r="E227" s="351">
        <f t="shared" si="34"/>
        <v>-4017350.6894301814</v>
      </c>
      <c r="F227" s="351">
        <f t="shared" si="35"/>
        <v>-3902569.0731823742</v>
      </c>
      <c r="G227" s="351">
        <f t="shared" si="36"/>
        <v>-3870998.2402181616</v>
      </c>
      <c r="H227" s="351">
        <f t="shared" si="37"/>
        <v>-3857273.1317086546</v>
      </c>
      <c r="I227" s="351">
        <f t="shared" si="38"/>
        <v>-3854233.1812017141</v>
      </c>
      <c r="J227" s="351">
        <f t="shared" si="39"/>
        <v>-3854295.4416872528</v>
      </c>
      <c r="K227" s="351">
        <f t="shared" si="40"/>
        <v>-3854386.1860372541</v>
      </c>
      <c r="L227" s="351">
        <f t="shared" si="41"/>
        <v>-3854454.4283337533</v>
      </c>
      <c r="M227" s="351">
        <f t="shared" si="42"/>
        <v>-3854224.6004221756</v>
      </c>
      <c r="N227" s="351">
        <f t="shared" si="43"/>
        <v>-3854004.0665179016</v>
      </c>
    </row>
    <row r="228" spans="3:14">
      <c r="C228">
        <v>1.23</v>
      </c>
      <c r="D228" s="351">
        <f t="shared" si="33"/>
        <v>-4413079.460030322</v>
      </c>
      <c r="E228" s="351">
        <f t="shared" si="34"/>
        <v>-4002290.5108579872</v>
      </c>
      <c r="F228" s="351">
        <f t="shared" si="35"/>
        <v>-3889553.9501823913</v>
      </c>
      <c r="G228" s="351">
        <f t="shared" si="36"/>
        <v>-3858684.6632574406</v>
      </c>
      <c r="H228" s="351">
        <f t="shared" si="37"/>
        <v>-3845324.7248775749</v>
      </c>
      <c r="I228" s="351">
        <f t="shared" si="38"/>
        <v>-3842378.9246404804</v>
      </c>
      <c r="J228" s="351">
        <f t="shared" si="39"/>
        <v>-3842438.9863092275</v>
      </c>
      <c r="K228" s="351">
        <f t="shared" si="40"/>
        <v>-3842526.1333404277</v>
      </c>
      <c r="L228" s="351">
        <f t="shared" si="41"/>
        <v>-3842591.3764643404</v>
      </c>
      <c r="M228" s="351">
        <f t="shared" si="42"/>
        <v>-3842372.6345562697</v>
      </c>
      <c r="N228" s="351">
        <f t="shared" si="43"/>
        <v>-3842163.679587381</v>
      </c>
    </row>
    <row r="229" spans="3:14">
      <c r="C229">
        <v>1.24</v>
      </c>
      <c r="D229" s="351">
        <f t="shared" si="33"/>
        <v>-4392633.994926108</v>
      </c>
      <c r="E229" s="351">
        <f t="shared" si="34"/>
        <v>-3987322.1591321914</v>
      </c>
      <c r="F229" s="351">
        <f t="shared" si="35"/>
        <v>-3876585.3104684604</v>
      </c>
      <c r="G229" s="351">
        <f t="shared" si="36"/>
        <v>-3846398.9453289555</v>
      </c>
      <c r="H229" s="351">
        <f t="shared" si="37"/>
        <v>-3833392.892212397</v>
      </c>
      <c r="I229" s="351">
        <f t="shared" si="38"/>
        <v>-3830537.9244688996</v>
      </c>
      <c r="J229" s="351">
        <f t="shared" si="39"/>
        <v>-3830595.874297014</v>
      </c>
      <c r="K229" s="351">
        <f t="shared" si="40"/>
        <v>-3830679.5817637998</v>
      </c>
      <c r="L229" s="351">
        <f t="shared" si="41"/>
        <v>-3830741.97006993</v>
      </c>
      <c r="M229" s="351">
        <f t="shared" si="42"/>
        <v>-3830533.7333626268</v>
      </c>
      <c r="N229" s="351">
        <f t="shared" si="43"/>
        <v>-3830335.7016061363</v>
      </c>
    </row>
    <row r="230" spans="3:14">
      <c r="C230">
        <v>1.25</v>
      </c>
      <c r="D230" s="351">
        <f t="shared" si="33"/>
        <v>-4372376.8531550998</v>
      </c>
      <c r="E230" s="351">
        <f t="shared" si="34"/>
        <v>-3972445.1922755423</v>
      </c>
      <c r="F230" s="351">
        <f t="shared" si="35"/>
        <v>-3863663.9131757235</v>
      </c>
      <c r="G230" s="351">
        <f t="shared" si="36"/>
        <v>-3834142.4198538586</v>
      </c>
      <c r="H230" s="351">
        <f t="shared" si="37"/>
        <v>-3821479.3639354715</v>
      </c>
      <c r="I230" s="351">
        <f t="shared" si="38"/>
        <v>-3818712.0418613264</v>
      </c>
      <c r="J230" s="351">
        <f t="shared" si="39"/>
        <v>-3818767.9630190483</v>
      </c>
      <c r="K230" s="351">
        <f t="shared" si="40"/>
        <v>-3818848.3810992697</v>
      </c>
      <c r="L230" s="351">
        <f t="shared" si="41"/>
        <v>-3818908.0513958912</v>
      </c>
      <c r="M230" s="351">
        <f t="shared" si="42"/>
        <v>-3818709.7719071484</v>
      </c>
      <c r="N230" s="351">
        <f t="shared" si="43"/>
        <v>-3818522.0474564359</v>
      </c>
    </row>
    <row r="231" spans="3:14">
      <c r="C231">
        <v>1.26</v>
      </c>
      <c r="D231" s="351">
        <f t="shared" si="33"/>
        <v>-4352305.4478138741</v>
      </c>
      <c r="E231" s="351">
        <f t="shared" si="34"/>
        <v>-3957659.1585511784</v>
      </c>
      <c r="F231" s="351">
        <f t="shared" si="35"/>
        <v>-3850790.4707238595</v>
      </c>
      <c r="G231" s="351">
        <f t="shared" si="36"/>
        <v>-3821916.3533886387</v>
      </c>
      <c r="H231" s="351">
        <f t="shared" si="37"/>
        <v>-3809585.7877768273</v>
      </c>
      <c r="I231" s="351">
        <f t="shared" si="38"/>
        <v>-3806903.0497819767</v>
      </c>
      <c r="J231" s="351">
        <f t="shared" si="39"/>
        <v>-3806957.0218160208</v>
      </c>
      <c r="K231" s="351">
        <f t="shared" si="40"/>
        <v>-3807034.2935062223</v>
      </c>
      <c r="L231" s="351">
        <f t="shared" si="41"/>
        <v>-3807091.3754806123</v>
      </c>
      <c r="M231" s="351">
        <f t="shared" si="42"/>
        <v>-3806902.5360601116</v>
      </c>
      <c r="N231" s="351">
        <f t="shared" si="43"/>
        <v>-3806724.5402457593</v>
      </c>
    </row>
    <row r="232" spans="3:14">
      <c r="C232">
        <v>1.27</v>
      </c>
      <c r="D232" s="351">
        <f t="shared" si="33"/>
        <v>-4332417.2391101299</v>
      </c>
      <c r="E232" s="351">
        <f t="shared" si="34"/>
        <v>-3942963.5971460436</v>
      </c>
      <c r="F232" s="351">
        <f t="shared" si="35"/>
        <v>-3837965.6507943012</v>
      </c>
      <c r="G232" s="351">
        <f t="shared" si="36"/>
        <v>-3809721.9483941742</v>
      </c>
      <c r="H232" s="351">
        <f t="shared" si="37"/>
        <v>-3797713.7324241074</v>
      </c>
      <c r="I232" s="351">
        <f t="shared" si="38"/>
        <v>-3795112.636708294</v>
      </c>
      <c r="J232" s="351">
        <f t="shared" si="39"/>
        <v>-3795164.7357147522</v>
      </c>
      <c r="K232" s="351">
        <f t="shared" si="40"/>
        <v>-3795238.9972031633</v>
      </c>
      <c r="L232" s="351">
        <f t="shared" si="41"/>
        <v>-3795293.6138214027</v>
      </c>
      <c r="M232" s="351">
        <f t="shared" si="42"/>
        <v>-3795113.7262906157</v>
      </c>
      <c r="N232" s="351">
        <f t="shared" si="43"/>
        <v>-3794944.9152786778</v>
      </c>
    </row>
    <row r="233" spans="3:14">
      <c r="C233">
        <v>1.28</v>
      </c>
      <c r="D233" s="351">
        <f t="shared" si="33"/>
        <v>-4312709.7332962137</v>
      </c>
      <c r="E233" s="351">
        <f t="shared" si="34"/>
        <v>-3928358.0388218844</v>
      </c>
      <c r="F233" s="351">
        <f t="shared" si="35"/>
        <v>-3825190.0782242995</v>
      </c>
      <c r="G233" s="351">
        <f t="shared" si="36"/>
        <v>-3797560.3458872079</v>
      </c>
      <c r="H233" s="351">
        <f t="shared" si="37"/>
        <v>-3785864.6908224369</v>
      </c>
      <c r="I233" s="351">
        <f t="shared" si="38"/>
        <v>-3783342.4101900486</v>
      </c>
      <c r="J233" s="351">
        <f t="shared" si="39"/>
        <v>-3783392.7089783251</v>
      </c>
      <c r="K233" s="351">
        <f t="shared" si="40"/>
        <v>-3783464.0899969586</v>
      </c>
      <c r="L233" s="351">
        <f t="shared" si="41"/>
        <v>-3783516.3578796661</v>
      </c>
      <c r="M233" s="351">
        <f t="shared" si="42"/>
        <v>-3783344.9612914734</v>
      </c>
      <c r="N233" s="351">
        <f t="shared" si="43"/>
        <v>-3783184.8238462764</v>
      </c>
    </row>
    <row r="234" spans="3:14">
      <c r="C234">
        <v>1.29</v>
      </c>
      <c r="D234" s="351">
        <f t="shared" si="33"/>
        <v>-4293180.4816314504</v>
      </c>
      <c r="E234" s="351">
        <f t="shared" si="34"/>
        <v>-3913842.0065353196</v>
      </c>
      <c r="F234" s="351">
        <f t="shared" si="35"/>
        <v>-3812464.3368215263</v>
      </c>
      <c r="G234" s="351">
        <f t="shared" si="36"/>
        <v>-3785432.6279795822</v>
      </c>
      <c r="H234" s="351">
        <f t="shared" si="37"/>
        <v>-3774040.0833312422</v>
      </c>
      <c r="I234" s="351">
        <f t="shared" si="38"/>
        <v>-3771593.9002519678</v>
      </c>
      <c r="J234" s="351">
        <f t="shared" si="39"/>
        <v>-3771642.4685002603</v>
      </c>
      <c r="K234" s="351">
        <f t="shared" si="40"/>
        <v>-3771711.0926573658</v>
      </c>
      <c r="L234" s="351">
        <f t="shared" si="41"/>
        <v>-3771761.1224329099</v>
      </c>
      <c r="M234" s="351">
        <f t="shared" si="42"/>
        <v>-3771597.781442754</v>
      </c>
      <c r="N234" s="351">
        <f t="shared" si="43"/>
        <v>-3771445.8368422925</v>
      </c>
    </row>
    <row r="235" spans="3:14">
      <c r="C235">
        <v>1.3</v>
      </c>
      <c r="D235" s="351">
        <f t="shared" si="33"/>
        <v>-4273827.0793723902</v>
      </c>
      <c r="E235" s="351">
        <f t="shared" si="34"/>
        <v>-3899415.0160284098</v>
      </c>
      <c r="F235" s="351">
        <f t="shared" si="35"/>
        <v>-3799788.9711027443</v>
      </c>
      <c r="G235" s="351">
        <f t="shared" si="36"/>
        <v>-3773339.8203103035</v>
      </c>
      <c r="H235" s="351">
        <f t="shared" si="37"/>
        <v>-3762241.2607446909</v>
      </c>
      <c r="I235" s="351">
        <f t="shared" si="38"/>
        <v>-3759868.5626473436</v>
      </c>
      <c r="J235" s="351">
        <f t="shared" si="39"/>
        <v>-3759915.4670501319</v>
      </c>
      <c r="K235" s="351">
        <f t="shared" si="40"/>
        <v>-3759981.4521441832</v>
      </c>
      <c r="L235" s="351">
        <f t="shared" si="41"/>
        <v>-3760029.3487808085</v>
      </c>
      <c r="M235" s="351">
        <f t="shared" si="42"/>
        <v>-3759873.6521217925</v>
      </c>
      <c r="N235" s="351">
        <f t="shared" si="43"/>
        <v>-3759729.4482147153</v>
      </c>
    </row>
    <row r="236" spans="3:14">
      <c r="C236">
        <v>1.31</v>
      </c>
      <c r="D236" s="351">
        <f t="shared" si="33"/>
        <v>-4254647.1647900883</v>
      </c>
      <c r="E236" s="351">
        <f t="shared" si="34"/>
        <v>-3885076.5763910832</v>
      </c>
      <c r="F236" s="351">
        <f t="shared" si="35"/>
        <v>-3787164.4879598808</v>
      </c>
      <c r="G236" s="351">
        <f t="shared" si="36"/>
        <v>-3761282.8943752525</v>
      </c>
      <c r="H236" s="351">
        <f t="shared" si="37"/>
        <v>-3750469.507182051</v>
      </c>
      <c r="I236" s="351">
        <f t="shared" si="38"/>
        <v>-3748167.7819695976</v>
      </c>
      <c r="J236" s="351">
        <f t="shared" si="39"/>
        <v>-3748213.0863775867</v>
      </c>
      <c r="K236" s="351">
        <f t="shared" si="40"/>
        <v>-3748276.5446939059</v>
      </c>
      <c r="L236" s="351">
        <f t="shared" si="41"/>
        <v>-3748322.4078121227</v>
      </c>
      <c r="M236" s="351">
        <f t="shared" si="42"/>
        <v>-3748173.9668670017</v>
      </c>
      <c r="N236" s="351">
        <f t="shared" si="43"/>
        <v>-3748037.0782610085</v>
      </c>
    </row>
    <row r="237" spans="3:14">
      <c r="C237">
        <v>1.32</v>
      </c>
      <c r="D237" s="351">
        <f t="shared" si="33"/>
        <v>-4235638.4182135919</v>
      </c>
      <c r="E237" s="351">
        <f t="shared" si="34"/>
        <v>-3870826.1905967132</v>
      </c>
      <c r="F237" s="351">
        <f t="shared" si="35"/>
        <v>-3774591.3582567321</v>
      </c>
      <c r="G237" s="351">
        <f t="shared" si="36"/>
        <v>-3749262.7697591665</v>
      </c>
      <c r="H237" s="351">
        <f t="shared" si="37"/>
        <v>-3738726.0428540381</v>
      </c>
      <c r="I237" s="351">
        <f t="shared" si="38"/>
        <v>-3736492.8746285369</v>
      </c>
      <c r="J237" s="351">
        <f t="shared" si="39"/>
        <v>-3736536.6401814674</v>
      </c>
      <c r="K237" s="351">
        <f t="shared" si="40"/>
        <v>-3736597.6787725068</v>
      </c>
      <c r="L237" s="351">
        <f t="shared" si="41"/>
        <v>-3736641.6029389878</v>
      </c>
      <c r="M237" s="351">
        <f t="shared" si="42"/>
        <v>-3736500.0504025239</v>
      </c>
      <c r="N237" s="351">
        <f t="shared" si="43"/>
        <v>-3736370.0767747732</v>
      </c>
    </row>
    <row r="238" spans="3:14">
      <c r="C238">
        <v>1.33</v>
      </c>
      <c r="D238" s="351">
        <f t="shared" si="33"/>
        <v>-4216798.5610988028</v>
      </c>
      <c r="E238" s="351">
        <f t="shared" si="34"/>
        <v>-3856663.3560120692</v>
      </c>
      <c r="F238" s="351">
        <f t="shared" si="35"/>
        <v>-3762070.0183593049</v>
      </c>
      <c r="G238" s="351">
        <f t="shared" si="36"/>
        <v>-3737280.3162742318</v>
      </c>
      <c r="H238" s="351">
        <f t="shared" si="37"/>
        <v>-3727012.0267108032</v>
      </c>
      <c r="I238" s="351">
        <f t="shared" si="38"/>
        <v>-3724845.091697583</v>
      </c>
      <c r="J238" s="351">
        <f t="shared" si="39"/>
        <v>-3724887.376950311</v>
      </c>
      <c r="K238" s="351">
        <f t="shared" si="40"/>
        <v>-3724946.097900568</v>
      </c>
      <c r="L238" s="351">
        <f t="shared" si="41"/>
        <v>-3724988.172904728</v>
      </c>
      <c r="M238" s="351">
        <f t="shared" si="42"/>
        <v>-3724853.1615303271</v>
      </c>
      <c r="N238" s="351">
        <f t="shared" si="43"/>
        <v>-3724729.7260511643</v>
      </c>
    </row>
    <row r="239" spans="3:14">
      <c r="C239">
        <v>1.34</v>
      </c>
      <c r="D239" s="351">
        <f t="shared" si="33"/>
        <v>-4198125.3551219488</v>
      </c>
      <c r="E239" s="351">
        <f t="shared" si="34"/>
        <v>-3842587.5648828116</v>
      </c>
      <c r="F239" s="351">
        <f t="shared" si="35"/>
        <v>-3749600.8716027117</v>
      </c>
      <c r="G239" s="351">
        <f t="shared" si="36"/>
        <v>-3725336.3560094563</v>
      </c>
      <c r="H239" s="351">
        <f t="shared" si="37"/>
        <v>-3715328.5589770218</v>
      </c>
      <c r="I239" s="351">
        <f t="shared" si="38"/>
        <v>-3713225.6216380112</v>
      </c>
      <c r="J239" s="351">
        <f t="shared" si="39"/>
        <v>-3713266.4826802108</v>
      </c>
      <c r="K239" s="351">
        <f t="shared" si="40"/>
        <v>-3713322.9833566751</v>
      </c>
      <c r="L239" s="351">
        <f t="shared" si="41"/>
        <v>-3713363.2944710166</v>
      </c>
      <c r="M239" s="351">
        <f t="shared" si="42"/>
        <v>-3713234.4958960088</v>
      </c>
      <c r="N239" s="351">
        <f t="shared" si="43"/>
        <v>-3713117.2437579595</v>
      </c>
    </row>
    <row r="240" spans="3:14">
      <c r="C240">
        <v>1.35</v>
      </c>
      <c r="D240" s="351">
        <f t="shared" si="33"/>
        <v>-4179616.601296911</v>
      </c>
      <c r="E240" s="351">
        <f t="shared" si="34"/>
        <v>-3828598.3047956578</v>
      </c>
      <c r="F240" s="351">
        <f t="shared" si="35"/>
        <v>-3737184.2896973975</v>
      </c>
      <c r="G240" s="351">
        <f t="shared" si="36"/>
        <v>-3713431.6652947934</v>
      </c>
      <c r="H240" s="351">
        <f t="shared" si="37"/>
        <v>-3703676.683579226</v>
      </c>
      <c r="I240" s="351">
        <f t="shared" si="38"/>
        <v>-3701635.5929059032</v>
      </c>
      <c r="J240" s="351">
        <f t="shared" si="39"/>
        <v>-3701675.0834757509</v>
      </c>
      <c r="K240" s="351">
        <f t="shared" si="40"/>
        <v>-3701729.4567647283</v>
      </c>
      <c r="L240" s="351">
        <f t="shared" si="41"/>
        <v>-3701768.0849899705</v>
      </c>
      <c r="M240" s="351">
        <f t="shared" si="42"/>
        <v>-3701645.1886342973</v>
      </c>
      <c r="N240" s="351">
        <f t="shared" si="43"/>
        <v>-3701533.7856789068</v>
      </c>
    </row>
    <row r="241" spans="3:14">
      <c r="C241">
        <v>1.36</v>
      </c>
      <c r="D241" s="351">
        <f t="shared" si="33"/>
        <v>-4161270.1391156702</v>
      </c>
      <c r="E241" s="351">
        <f t="shared" si="34"/>
        <v>-3814695.0591182783</v>
      </c>
      <c r="F241" s="351">
        <f t="shared" si="35"/>
        <v>-3724820.6140773096</v>
      </c>
      <c r="G241" s="351">
        <f t="shared" si="36"/>
        <v>-3701566.976583777</v>
      </c>
      <c r="H241" s="351">
        <f t="shared" si="37"/>
        <v>-3692057.3904703017</v>
      </c>
      <c r="I241" s="351">
        <f t="shared" si="38"/>
        <v>-3690076.0764472401</v>
      </c>
      <c r="J241" s="351">
        <f t="shared" si="39"/>
        <v>-3690114.2480394039</v>
      </c>
      <c r="K241" s="351">
        <f t="shared" si="40"/>
        <v>-3690166.5825705151</v>
      </c>
      <c r="L241" s="351">
        <f t="shared" si="41"/>
        <v>-3690203.6048664628</v>
      </c>
      <c r="M241" s="351">
        <f t="shared" si="42"/>
        <v>-3690086.3168998878</v>
      </c>
      <c r="N241" s="351">
        <f t="shared" si="43"/>
        <v>-3689980.4483355018</v>
      </c>
    </row>
    <row r="242" spans="3:14">
      <c r="C242">
        <v>1.37</v>
      </c>
      <c r="D242" s="351">
        <f t="shared" si="33"/>
        <v>-4143083.845711174</v>
      </c>
      <c r="E242" s="351">
        <f t="shared" si="34"/>
        <v>-3800877.3074179287</v>
      </c>
      <c r="F242" s="351">
        <f t="shared" si="35"/>
        <v>-3712510.1571925492</v>
      </c>
      <c r="G242" s="351">
        <f t="shared" si="36"/>
        <v>-3689742.980258272</v>
      </c>
      <c r="H242" s="351">
        <f t="shared" si="37"/>
        <v>-3680471.6178557957</v>
      </c>
      <c r="I242" s="351">
        <f t="shared" si="38"/>
        <v>-3678548.0880862791</v>
      </c>
      <c r="J242" s="351">
        <f t="shared" si="39"/>
        <v>-3678584.990054518</v>
      </c>
      <c r="K242" s="351">
        <f t="shared" si="40"/>
        <v>-3678635.3704126198</v>
      </c>
      <c r="L242" s="351">
        <f t="shared" si="41"/>
        <v>-3678670.8599156425</v>
      </c>
      <c r="M242" s="351">
        <f t="shared" si="42"/>
        <v>-3678558.9022889677</v>
      </c>
      <c r="N242" s="351">
        <f t="shared" si="43"/>
        <v>-3678458.2714930978</v>
      </c>
    </row>
    <row r="243" spans="3:14">
      <c r="C243">
        <v>1.38</v>
      </c>
      <c r="D243" s="351">
        <f t="shared" si="33"/>
        <v>-4125055.6350419363</v>
      </c>
      <c r="E243" s="351">
        <f t="shared" si="34"/>
        <v>-3787144.5258597899</v>
      </c>
      <c r="F243" s="351">
        <f t="shared" si="35"/>
        <v>-3700253.2037488688</v>
      </c>
      <c r="G243" s="351">
        <f t="shared" si="36"/>
        <v>-3677960.3263587356</v>
      </c>
      <c r="H243" s="351">
        <f t="shared" si="37"/>
        <v>-3668920.2543264618</v>
      </c>
      <c r="I243" s="351">
        <f t="shared" si="38"/>
        <v>-3667052.5908121066</v>
      </c>
      <c r="J243" s="351">
        <f t="shared" si="39"/>
        <v>-3667088.270466777</v>
      </c>
      <c r="K243" s="351">
        <f t="shared" si="40"/>
        <v>-3667136.7773924964</v>
      </c>
      <c r="L243" s="351">
        <f t="shared" si="41"/>
        <v>-3667170.803620459</v>
      </c>
      <c r="M243" s="351">
        <f t="shared" si="42"/>
        <v>-3667063.9131565266</v>
      </c>
      <c r="N243" s="351">
        <f t="shared" si="43"/>
        <v>-3666968.2405568827</v>
      </c>
    </row>
    <row r="244" spans="3:14">
      <c r="C244">
        <v>1.39</v>
      </c>
      <c r="D244" s="351">
        <f t="shared" si="33"/>
        <v>-4107183.457097739</v>
      </c>
      <c r="E244" s="351">
        <f t="shared" si="34"/>
        <v>-3773496.1875859429</v>
      </c>
      <c r="F244" s="351">
        <f t="shared" si="35"/>
        <v>-3688050.0118963416</v>
      </c>
      <c r="G244" s="351">
        <f t="shared" si="36"/>
        <v>-3666219.6262432924</v>
      </c>
      <c r="H244" s="351">
        <f t="shared" si="37"/>
        <v>-3657404.1409012941</v>
      </c>
      <c r="I244" s="351">
        <f t="shared" si="38"/>
        <v>-3655590.4969680286</v>
      </c>
      <c r="J244" s="351">
        <f t="shared" si="39"/>
        <v>-3655624.9996687616</v>
      </c>
      <c r="K244" s="351">
        <f t="shared" si="40"/>
        <v>-3655671.7102483069</v>
      </c>
      <c r="L244" s="351">
        <f t="shared" si="41"/>
        <v>-3655704.3392937197</v>
      </c>
      <c r="M244" s="351">
        <f t="shared" si="42"/>
        <v>-3655602.2668342856</v>
      </c>
      <c r="N244" s="351">
        <f t="shared" si="43"/>
        <v>-3655511.2888630172</v>
      </c>
    </row>
    <row r="245" spans="3:14">
      <c r="C245">
        <v>1.4</v>
      </c>
      <c r="D245" s="351">
        <f t="shared" si="33"/>
        <v>-4089465.2971257712</v>
      </c>
      <c r="E245" s="351">
        <f t="shared" si="34"/>
        <v>-3759931.7630758435</v>
      </c>
      <c r="F245" s="351">
        <f t="shared" si="35"/>
        <v>-3675900.8143693567</v>
      </c>
      <c r="G245" s="351">
        <f t="shared" si="36"/>
        <v>-3654521.4541786881</v>
      </c>
      <c r="H245" s="351">
        <f t="shared" si="37"/>
        <v>-3645924.0729850275</v>
      </c>
      <c r="I245" s="351">
        <f t="shared" si="38"/>
        <v>-3644162.6703482154</v>
      </c>
      <c r="J245" s="351">
        <f t="shared" si="39"/>
        <v>-3644196.0395920272</v>
      </c>
      <c r="K245" s="351">
        <f t="shared" si="40"/>
        <v>-3644241.027436886</v>
      </c>
      <c r="L245" s="351">
        <f t="shared" si="41"/>
        <v>-3644272.3221489992</v>
      </c>
      <c r="M245" s="351">
        <f t="shared" si="42"/>
        <v>-3644174.8317538188</v>
      </c>
      <c r="N245" s="351">
        <f t="shared" si="43"/>
        <v>-3644088.2998698945</v>
      </c>
    </row>
    <row r="246" spans="3:14">
      <c r="C246">
        <v>1.41</v>
      </c>
      <c r="D246" s="351">
        <f t="shared" si="33"/>
        <v>-4071899.1748766191</v>
      </c>
      <c r="E246" s="351">
        <f t="shared" si="34"/>
        <v>-3746450.7204891453</v>
      </c>
      <c r="F246" s="351">
        <f t="shared" si="35"/>
        <v>-3663805.8195800204</v>
      </c>
      <c r="G246" s="351">
        <f t="shared" si="36"/>
        <v>-3642866.3488661041</v>
      </c>
      <c r="H246" s="351">
        <f t="shared" si="37"/>
        <v>-3634480.8022439401</v>
      </c>
      <c r="I246" s="351">
        <f t="shared" si="38"/>
        <v>-3632769.9282058007</v>
      </c>
      <c r="J246" s="351">
        <f t="shared" si="39"/>
        <v>-3632802.2057108851</v>
      </c>
      <c r="K246" s="351">
        <f t="shared" si="40"/>
        <v>-3632845.5411279914</v>
      </c>
      <c r="L246" s="351">
        <f t="shared" si="41"/>
        <v>-3632875.5612845011</v>
      </c>
      <c r="M246" s="351">
        <f t="shared" si="42"/>
        <v>-3632782.4294792512</v>
      </c>
      <c r="N246" s="351">
        <f t="shared" si="43"/>
        <v>-3632700.1092542703</v>
      </c>
    </row>
    <row r="247" spans="3:14">
      <c r="C247">
        <v>1.42</v>
      </c>
      <c r="D247" s="351">
        <f t="shared" si="33"/>
        <v>-4054483.1438695006</v>
      </c>
      <c r="E247" s="351">
        <f t="shared" si="34"/>
        <v>-3733052.5259916647</v>
      </c>
      <c r="F247" s="351">
        <f t="shared" si="35"/>
        <v>-3651765.2126669739</v>
      </c>
      <c r="G247" s="351">
        <f t="shared" si="36"/>
        <v>-3631254.8149046628</v>
      </c>
      <c r="H247" s="351">
        <f t="shared" si="37"/>
        <v>-3623075.0384036</v>
      </c>
      <c r="I247" s="351">
        <f t="shared" si="38"/>
        <v>-3621413.0431764424</v>
      </c>
      <c r="J247" s="351">
        <f t="shared" si="39"/>
        <v>-3621444.2689618627</v>
      </c>
      <c r="K247" s="351">
        <f t="shared" si="40"/>
        <v>-3621486.0191147691</v>
      </c>
      <c r="L247" s="351">
        <f t="shared" si="41"/>
        <v>-3621514.8215837809</v>
      </c>
      <c r="M247" s="351">
        <f t="shared" si="42"/>
        <v>-3621425.8366536326</v>
      </c>
      <c r="N247" s="351">
        <f t="shared" si="43"/>
        <v>-3621347.5069167311</v>
      </c>
    </row>
    <row r="248" spans="3:14">
      <c r="C248">
        <v>1.43</v>
      </c>
      <c r="D248" s="351">
        <f t="shared" si="33"/>
        <v>-4037215.2906761835</v>
      </c>
      <c r="E248" s="351">
        <f t="shared" si="34"/>
        <v>-3719736.6440652455</v>
      </c>
      <c r="F248" s="351">
        <f t="shared" si="35"/>
        <v>-3639779.1565014957</v>
      </c>
      <c r="G248" s="351">
        <f t="shared" si="36"/>
        <v>-3619687.3241952905</v>
      </c>
      <c r="H248" s="351">
        <f t="shared" si="37"/>
        <v>-3611707.4509720006</v>
      </c>
      <c r="I248" s="351">
        <f t="shared" si="38"/>
        <v>-3610092.7451211396</v>
      </c>
      <c r="J248" s="351">
        <f t="shared" si="39"/>
        <v>-3610122.9575826419</v>
      </c>
      <c r="K248" s="351">
        <f t="shared" si="40"/>
        <v>-3610163.1866442114</v>
      </c>
      <c r="L248" s="351">
        <f t="shared" si="41"/>
        <v>-3610190.8255370385</v>
      </c>
      <c r="M248" s="351">
        <f t="shared" si="42"/>
        <v>-3610105.7868629582</v>
      </c>
      <c r="N248" s="351">
        <f t="shared" si="43"/>
        <v>-3610031.2389007462</v>
      </c>
    </row>
    <row r="249" spans="3:14">
      <c r="C249">
        <v>1.44</v>
      </c>
      <c r="D249" s="351">
        <f t="shared" si="33"/>
        <v>-4020093.7342230324</v>
      </c>
      <c r="E249" s="351">
        <f t="shared" si="34"/>
        <v>-3706502.5378022548</v>
      </c>
      <c r="F249" s="351">
        <f t="shared" si="35"/>
        <v>-3627847.7926527136</v>
      </c>
      <c r="G249" s="351">
        <f t="shared" si="36"/>
        <v>-3608164.3172875233</v>
      </c>
      <c r="H249" s="351">
        <f t="shared" si="37"/>
        <v>-3600378.6708913841</v>
      </c>
      <c r="I249" s="351">
        <f t="shared" si="38"/>
        <v>-3598809.7228919263</v>
      </c>
      <c r="J249" s="351">
        <f t="shared" si="39"/>
        <v>-3598838.9588740794</v>
      </c>
      <c r="K249" s="351">
        <f t="shared" si="40"/>
        <v>-3598877.7281711781</v>
      </c>
      <c r="L249" s="351">
        <f t="shared" si="41"/>
        <v>-3598904.2549865358</v>
      </c>
      <c r="M249" s="351">
        <f t="shared" si="42"/>
        <v>-3598822.9724215521</v>
      </c>
      <c r="N249" s="351">
        <f t="shared" si="43"/>
        <v>-3598752.0092293522</v>
      </c>
    </row>
    <row r="250" spans="3:14">
      <c r="C250">
        <v>1.45</v>
      </c>
      <c r="D250" s="351">
        <f t="shared" si="33"/>
        <v>-4003116.6251106528</v>
      </c>
      <c r="E250" s="351">
        <f t="shared" si="34"/>
        <v>-3693349.6691854037</v>
      </c>
      <c r="F250" s="351">
        <f t="shared" si="35"/>
        <v>-3615971.2423136532</v>
      </c>
      <c r="G250" s="351">
        <f t="shared" si="36"/>
        <v>-3596686.2046717051</v>
      </c>
      <c r="H250" s="351">
        <f t="shared" si="37"/>
        <v>-3589089.2921219124</v>
      </c>
      <c r="I250" s="351">
        <f t="shared" si="38"/>
        <v>-3587564.6260238946</v>
      </c>
      <c r="J250" s="351">
        <f t="shared" si="39"/>
        <v>-3587592.9208887457</v>
      </c>
      <c r="K250" s="351">
        <f t="shared" si="40"/>
        <v>-3587630.2890393776</v>
      </c>
      <c r="L250" s="351">
        <f t="shared" si="41"/>
        <v>-3587655.7527994872</v>
      </c>
      <c r="M250" s="351">
        <f t="shared" si="42"/>
        <v>-3587578.046082376</v>
      </c>
      <c r="N250" s="351">
        <f t="shared" si="43"/>
        <v>-3587510.4816632713</v>
      </c>
    </row>
    <row r="251" spans="3:14">
      <c r="C251">
        <v>1.46</v>
      </c>
      <c r="D251" s="351">
        <f t="shared" si="33"/>
        <v>-3986282.1449506152</v>
      </c>
      <c r="E251" s="351">
        <f t="shared" si="34"/>
        <v>-3680277.499353549</v>
      </c>
      <c r="F251" s="351">
        <f t="shared" si="35"/>
        <v>-3604149.6071897722</v>
      </c>
      <c r="G251" s="351">
        <f t="shared" si="36"/>
        <v>-3585253.368018901</v>
      </c>
      <c r="H251" s="351">
        <f t="shared" si="37"/>
        <v>-3577839.8731601397</v>
      </c>
      <c r="I251" s="351">
        <f t="shared" si="38"/>
        <v>-3576358.0663568052</v>
      </c>
      <c r="J251" s="351">
        <f t="shared" si="39"/>
        <v>-3576385.4540492338</v>
      </c>
      <c r="K251" s="351">
        <f t="shared" si="40"/>
        <v>-3576421.4770925473</v>
      </c>
      <c r="L251" s="351">
        <f t="shared" si="41"/>
        <v>-3576445.9244716321</v>
      </c>
      <c r="M251" s="351">
        <f t="shared" si="42"/>
        <v>-3576371.622675634</v>
      </c>
      <c r="N251" s="351">
        <f t="shared" si="43"/>
        <v>-3576307.2813840979</v>
      </c>
    </row>
    <row r="252" spans="3:14">
      <c r="C252">
        <v>1.47</v>
      </c>
      <c r="D252" s="351">
        <f t="shared" si="33"/>
        <v>-3969588.5057187625</v>
      </c>
      <c r="E252" s="351">
        <f t="shared" si="34"/>
        <v>-3667285.4888541098</v>
      </c>
      <c r="F252" s="351">
        <f t="shared" si="35"/>
        <v>-3592382.9703515535</v>
      </c>
      <c r="G252" s="351">
        <f t="shared" si="36"/>
        <v>-3573866.1613707663</v>
      </c>
      <c r="H252" s="351">
        <f t="shared" si="37"/>
        <v>-3566630.9384951717</v>
      </c>
      <c r="I252" s="351">
        <f t="shared" si="38"/>
        <v>-3565190.6195894377</v>
      </c>
      <c r="J252" s="351">
        <f t="shared" si="39"/>
        <v>-3565217.1326993806</v>
      </c>
      <c r="K252" s="351">
        <f t="shared" si="40"/>
        <v>-3565251.8642189461</v>
      </c>
      <c r="L252" s="351">
        <f t="shared" si="41"/>
        <v>-3565275.3396645817</v>
      </c>
      <c r="M252" s="351">
        <f t="shared" si="42"/>
        <v>-3565204.2806789251</v>
      </c>
      <c r="N252" s="351">
        <f t="shared" si="43"/>
        <v>-3565142.9966060328</v>
      </c>
    </row>
    <row r="253" spans="3:14">
      <c r="C253">
        <v>1.48</v>
      </c>
      <c r="D253" s="351">
        <f t="shared" si="33"/>
        <v>-3953033.949124617</v>
      </c>
      <c r="E253" s="351">
        <f t="shared" si="34"/>
        <v>-3654373.0978826964</v>
      </c>
      <c r="F253" s="351">
        <f t="shared" si="35"/>
        <v>-3580671.397052662</v>
      </c>
      <c r="G253" s="351">
        <f t="shared" si="36"/>
        <v>-3562524.9122814839</v>
      </c>
      <c r="H253" s="351">
        <f t="shared" si="37"/>
        <v>-3555462.9800051954</v>
      </c>
      <c r="I253" s="351">
        <f t="shared" si="38"/>
        <v>-3554062.8267696043</v>
      </c>
      <c r="J253" s="351">
        <f t="shared" si="39"/>
        <v>-3554088.4965913091</v>
      </c>
      <c r="K253" s="351">
        <f t="shared" si="40"/>
        <v>-3554121.9878320303</v>
      </c>
      <c r="L253" s="351">
        <f t="shared" si="41"/>
        <v>-3554144.5336797629</v>
      </c>
      <c r="M253" s="351">
        <f t="shared" si="42"/>
        <v>-3554076.5637219199</v>
      </c>
      <c r="N253" s="351">
        <f t="shared" si="43"/>
        <v>-3554018.1801193538</v>
      </c>
    </row>
    <row r="254" spans="3:14">
      <c r="C254">
        <v>1.49</v>
      </c>
      <c r="D254" s="351">
        <f t="shared" si="33"/>
        <v>-3936616.7459964347</v>
      </c>
      <c r="E254" s="351">
        <f t="shared" si="34"/>
        <v>-3641539.7865105364</v>
      </c>
      <c r="F254" s="351">
        <f t="shared" si="35"/>
        <v>-3569014.9355151192</v>
      </c>
      <c r="G254" s="351">
        <f t="shared" si="36"/>
        <v>-3551229.92291382</v>
      </c>
      <c r="H254" s="351">
        <f t="shared" si="37"/>
        <v>-3544336.4582969942</v>
      </c>
      <c r="I254" s="351">
        <f t="shared" si="38"/>
        <v>-3542975.1957227131</v>
      </c>
      <c r="J254" s="351">
        <f t="shared" si="39"/>
        <v>-3543000.0523111792</v>
      </c>
      <c r="K254" s="351">
        <f t="shared" si="40"/>
        <v>-3543032.3522902071</v>
      </c>
      <c r="L254" s="351">
        <f t="shared" si="41"/>
        <v>-3543054.008871844</v>
      </c>
      <c r="M254" s="351">
        <f t="shared" si="42"/>
        <v>-3542988.9820285873</v>
      </c>
      <c r="N254" s="351">
        <f t="shared" si="43"/>
        <v>-3542933.350768846</v>
      </c>
    </row>
    <row r="255" spans="3:14">
      <c r="C255">
        <v>1.5</v>
      </c>
      <c r="D255" s="351">
        <f t="shared" si="33"/>
        <v>-3920335.1956814313</v>
      </c>
      <c r="E255" s="351">
        <f t="shared" si="34"/>
        <v>-3628785.0149002336</v>
      </c>
      <c r="F255" s="351">
        <f t="shared" si="35"/>
        <v>-3557413.617682843</v>
      </c>
      <c r="G255" s="351">
        <f t="shared" si="36"/>
        <v>-3539981.4710912155</v>
      </c>
      <c r="H255" s="351">
        <f t="shared" si="37"/>
        <v>-3533251.8039908917</v>
      </c>
      <c r="I255" s="351">
        <f t="shared" si="38"/>
        <v>-3531928.2024215264</v>
      </c>
      <c r="J255" s="351">
        <f t="shared" si="39"/>
        <v>-3531952.274646271</v>
      </c>
      <c r="K255" s="351">
        <f t="shared" si="40"/>
        <v>-3531983.4302582345</v>
      </c>
      <c r="L255" s="351">
        <f t="shared" si="41"/>
        <v>-3532004.2360041812</v>
      </c>
      <c r="M255" s="351">
        <f t="shared" si="42"/>
        <v>-3531942.0137996264</v>
      </c>
      <c r="N255" s="351">
        <f t="shared" si="43"/>
        <v>-3531888.9948700257</v>
      </c>
    </row>
    <row r="256" spans="3:14">
      <c r="C256">
        <v>1.51</v>
      </c>
      <c r="D256" s="351">
        <f t="shared" si="33"/>
        <v>-3904187.62546077</v>
      </c>
      <c r="E256" s="351">
        <f t="shared" si="34"/>
        <v>-3616108.2435103916</v>
      </c>
      <c r="F256" s="351">
        <f t="shared" si="35"/>
        <v>-3545867.4599448927</v>
      </c>
      <c r="G256" s="351">
        <f t="shared" si="36"/>
        <v>-3528779.8113077739</v>
      </c>
      <c r="H256" s="351">
        <f t="shared" si="37"/>
        <v>-3522209.4189534909</v>
      </c>
      <c r="I256" s="351">
        <f t="shared" si="38"/>
        <v>-3520922.2922997116</v>
      </c>
      <c r="J256" s="351">
        <f t="shared" si="39"/>
        <v>-3520945.6078960048</v>
      </c>
      <c r="K256" s="351">
        <f t="shared" si="40"/>
        <v>-3520975.6640128824</v>
      </c>
      <c r="L256" s="351">
        <f t="shared" si="41"/>
        <v>-3520995.6555488687</v>
      </c>
      <c r="M256" s="351">
        <f t="shared" si="42"/>
        <v>-3520936.1065378259</v>
      </c>
      <c r="N256" s="351">
        <f t="shared" si="43"/>
        <v>-3520885.5675660581</v>
      </c>
    </row>
    <row r="257" spans="3:14">
      <c r="C257">
        <v>1.52</v>
      </c>
      <c r="D257" s="351">
        <f t="shared" si="33"/>
        <v>-3888172.3899788749</v>
      </c>
      <c r="E257" s="351">
        <f t="shared" si="34"/>
        <v>-3603508.9332895945</v>
      </c>
      <c r="F257" s="351">
        <f t="shared" si="35"/>
        <v>-3534376.463829658</v>
      </c>
      <c r="G257" s="351">
        <f t="shared" si="36"/>
        <v>-3517625.1756979143</v>
      </c>
      <c r="H257" s="351">
        <f t="shared" si="37"/>
        <v>-3511209.6774804508</v>
      </c>
      <c r="I257" s="351">
        <f t="shared" si="38"/>
        <v>-3509957.8815116268</v>
      </c>
      <c r="J257" s="351">
        <f t="shared" si="39"/>
        <v>-3509980.4671293199</v>
      </c>
      <c r="K257" s="351">
        <f t="shared" si="40"/>
        <v>-3510009.4666952379</v>
      </c>
      <c r="L257" s="351">
        <f t="shared" si="41"/>
        <v>-3510028.6789337699</v>
      </c>
      <c r="M257" s="351">
        <f t="shared" si="42"/>
        <v>-3509971.6783188232</v>
      </c>
      <c r="N257" s="351">
        <f t="shared" si="43"/>
        <v>-3509923.4941279883</v>
      </c>
    </row>
    <row r="258" spans="3:14">
      <c r="C258">
        <v>1.53</v>
      </c>
      <c r="D258" s="351">
        <f t="shared" si="33"/>
        <v>-3872287.870686668</v>
      </c>
      <c r="E258" s="351">
        <f t="shared" si="34"/>
        <v>-3590986.545860237</v>
      </c>
      <c r="F258" s="351">
        <f t="shared" si="35"/>
        <v>-3522940.6166712018</v>
      </c>
      <c r="G258" s="351">
        <f t="shared" si="36"/>
        <v>-3506517.7749673687</v>
      </c>
      <c r="H258" s="351">
        <f t="shared" si="37"/>
        <v>-3500252.9274314316</v>
      </c>
      <c r="I258" s="351">
        <f t="shared" si="38"/>
        <v>-3499035.3581406674</v>
      </c>
      <c r="J258" s="351">
        <f t="shared" si="39"/>
        <v>-3499057.2393907327</v>
      </c>
      <c r="K258" s="351">
        <f t="shared" si="40"/>
        <v>-3499085.2235119678</v>
      </c>
      <c r="L258" s="351">
        <f t="shared" si="41"/>
        <v>-3499103.6897388049</v>
      </c>
      <c r="M258" s="351">
        <f t="shared" si="42"/>
        <v>-3499049.1190096498</v>
      </c>
      <c r="N258" s="351">
        <f t="shared" si="43"/>
        <v>-3499003.1712008212</v>
      </c>
    </row>
    <row r="259" spans="3:14">
      <c r="C259">
        <v>1.54</v>
      </c>
      <c r="D259" s="351">
        <f t="shared" si="33"/>
        <v>-3856532.4752983358</v>
      </c>
      <c r="E259" s="351">
        <f t="shared" si="34"/>
        <v>-3578540.5436926372</v>
      </c>
      <c r="F259" s="351">
        <f t="shared" si="35"/>
        <v>-3511559.8922489006</v>
      </c>
      <c r="G259" s="351">
        <f t="shared" si="36"/>
        <v>-3495457.7992871408</v>
      </c>
      <c r="H259" s="351">
        <f t="shared" si="37"/>
        <v>-3489339.4913192568</v>
      </c>
      <c r="I259" s="351">
        <f t="shared" si="38"/>
        <v>-3488155.0833583977</v>
      </c>
      <c r="J259" s="351">
        <f t="shared" si="39"/>
        <v>-3488176.2848573052</v>
      </c>
      <c r="K259" s="351">
        <f t="shared" si="40"/>
        <v>-3488203.2928877585</v>
      </c>
      <c r="L259" s="351">
        <f t="shared" si="41"/>
        <v>-3488221.0448437119</v>
      </c>
      <c r="M259" s="351">
        <f t="shared" si="42"/>
        <v>-3488168.7914373772</v>
      </c>
      <c r="N259" s="351">
        <f t="shared" si="43"/>
        <v>-3488124.9679978974</v>
      </c>
    </row>
    <row r="260" spans="3:14">
      <c r="C260">
        <v>1.55</v>
      </c>
      <c r="D260" s="351">
        <f t="shared" si="33"/>
        <v>-3840904.6372612379</v>
      </c>
      <c r="E260" s="351">
        <f t="shared" si="34"/>
        <v>-3566170.3902698872</v>
      </c>
      <c r="F260" s="351">
        <f t="shared" si="35"/>
        <v>-3500234.2514014794</v>
      </c>
      <c r="G260" s="351">
        <f t="shared" si="36"/>
        <v>-3484445.4191519702</v>
      </c>
      <c r="H260" s="351">
        <f t="shared" si="37"/>
        <v>-3478469.6673552431</v>
      </c>
      <c r="I260" s="351">
        <f t="shared" si="38"/>
        <v>-3477317.3925366029</v>
      </c>
      <c r="J260" s="351">
        <f t="shared" si="39"/>
        <v>-3477337.9379486353</v>
      </c>
      <c r="K260" s="351">
        <f t="shared" si="40"/>
        <v>-3477364.0075710076</v>
      </c>
      <c r="L260" s="351">
        <f t="shared" si="41"/>
        <v>-3477381.075529322</v>
      </c>
      <c r="M260" s="351">
        <f t="shared" si="42"/>
        <v>-3477331.0325099872</v>
      </c>
      <c r="N260" s="351">
        <f t="shared" si="43"/>
        <v>-3477289.2274458203</v>
      </c>
    </row>
    <row r="261" spans="3:14">
      <c r="C261">
        <v>1.56</v>
      </c>
      <c r="D261" s="351">
        <f t="shared" si="33"/>
        <v>-3825402.8152385931</v>
      </c>
      <c r="E261" s="351">
        <f t="shared" si="34"/>
        <v>-3553875.5502438406</v>
      </c>
      <c r="F261" s="351">
        <f t="shared" si="35"/>
        <v>-3488963.6426164922</v>
      </c>
      <c r="G261" s="351">
        <f t="shared" si="36"/>
        <v>-3473480.7862047595</v>
      </c>
      <c r="H261" s="351">
        <f t="shared" si="37"/>
        <v>-3467643.7304525389</v>
      </c>
      <c r="I261" s="351">
        <f t="shared" si="38"/>
        <v>-3466522.5963142491</v>
      </c>
      <c r="J261" s="351">
        <f t="shared" si="39"/>
        <v>-3466542.5083918585</v>
      </c>
      <c r="K261" s="351">
        <f t="shared" si="40"/>
        <v>-3466567.6756947772</v>
      </c>
      <c r="L261" s="351">
        <f t="shared" si="41"/>
        <v>-3466584.0885343584</v>
      </c>
      <c r="M261" s="351">
        <f t="shared" si="42"/>
        <v>-3466536.1542915748</v>
      </c>
      <c r="N261" s="351">
        <f t="shared" si="43"/>
        <v>-3466496.2672821465</v>
      </c>
    </row>
    <row r="262" spans="3:14">
      <c r="C262">
        <v>1.57</v>
      </c>
      <c r="D262" s="351">
        <f t="shared" ref="D262:D306" si="44">NPV(C262,C$3:D$3)</f>
        <v>-3810025.4926045951</v>
      </c>
      <c r="E262" s="351">
        <f t="shared" ref="E262:E306" si="45">NPV(C262,C$3:E$3)</f>
        <v>-3541655.489582655</v>
      </c>
      <c r="F262" s="351">
        <f t="shared" si="35"/>
        <v>-3477748.0025962614</v>
      </c>
      <c r="G262" s="351">
        <f t="shared" si="36"/>
        <v>-3462564.034028396</v>
      </c>
      <c r="H262" s="351">
        <f t="shared" si="37"/>
        <v>-3456861.9331892808</v>
      </c>
      <c r="I262" s="351">
        <f t="shared" si="38"/>
        <v>-3455770.9816213376</v>
      </c>
      <c r="J262" s="351">
        <f t="shared" si="39"/>
        <v>-3455790.2822436462</v>
      </c>
      <c r="K262" s="351">
        <f t="shared" si="40"/>
        <v>-3455814.5817949446</v>
      </c>
      <c r="L262" s="351">
        <f t="shared" si="41"/>
        <v>-3455830.3670696635</v>
      </c>
      <c r="M262" s="351">
        <f t="shared" si="42"/>
        <v>-3455784.4450338432</v>
      </c>
      <c r="N262" s="351">
        <f t="shared" si="43"/>
        <v>-3455746.3811079115</v>
      </c>
    </row>
    <row r="263" spans="3:14">
      <c r="C263">
        <v>1.58</v>
      </c>
      <c r="D263" s="351">
        <f t="shared" si="44"/>
        <v>-3794771.1769515872</v>
      </c>
      <c r="E263" s="351">
        <f t="shared" si="45"/>
        <v>-3529509.6757102446</v>
      </c>
      <c r="F263" s="351">
        <f t="shared" ref="F263:F306" si="46">NPV(C263,C$3:F$3)</f>
        <v>-3466587.2568012155</v>
      </c>
      <c r="G263" s="351">
        <f t="shared" ref="G263:G306" si="47">NPV(C263,C$3:G$3)</f>
        <v>-3451695.278906283</v>
      </c>
      <c r="H263" s="351">
        <f t="shared" ref="H263:H306" si="48">NPV(C263,C$3:H$3)</f>
        <v>-3446124.506733214</v>
      </c>
      <c r="I263" s="351">
        <f t="shared" ref="I263:I306" si="49">NPV(C263,C$3:I$3)</f>
        <v>-3445062.8126614215</v>
      </c>
      <c r="J263" s="351">
        <f t="shared" ref="J263:J306" si="50">NPV(C263,C$3:J$3)</f>
        <v>-3445081.5228709532</v>
      </c>
      <c r="K263" s="351">
        <f t="shared" ref="K263:K306" si="51">NPV(C263,C$3:K$3)</f>
        <v>-3445104.9877873142</v>
      </c>
      <c r="L263" s="351">
        <f t="shared" ref="L263:L306" si="52">NPV(C263,C$3:L$3)</f>
        <v>-3445120.1717916196</v>
      </c>
      <c r="M263" s="351">
        <f t="shared" ref="M263:M306" si="53">NPV(C263,C$3:M$3)</f>
        <v>-3445076.1701657507</v>
      </c>
      <c r="N263" s="351">
        <f t="shared" ref="N263:N306" si="54">NPV(C263,C$3:N$3)</f>
        <v>-3445039.8393969592</v>
      </c>
    </row>
    <row r="264" spans="3:14">
      <c r="C264">
        <v>1.59</v>
      </c>
      <c r="D264" s="351">
        <f t="shared" si="44"/>
        <v>-3779638.3996089799</v>
      </c>
      <c r="E264" s="351">
        <f t="shared" si="45"/>
        <v>-3517437.5776380193</v>
      </c>
      <c r="F264" s="351">
        <f t="shared" si="46"/>
        <v>-3455481.3199715647</v>
      </c>
      <c r="G264" s="351">
        <f t="shared" si="47"/>
        <v>-3440874.6205528867</v>
      </c>
      <c r="H264" s="351">
        <f t="shared" si="48"/>
        <v>-3435431.6617294415</v>
      </c>
      <c r="I264" s="351">
        <f t="shared" si="49"/>
        <v>-3434398.331854607</v>
      </c>
      <c r="J264" s="351">
        <f t="shared" si="50"/>
        <v>-3434416.4718923424</v>
      </c>
      <c r="K264" s="351">
        <f t="shared" si="51"/>
        <v>-3434439.1339055058</v>
      </c>
      <c r="L264" s="351">
        <f t="shared" si="52"/>
        <v>-3434453.7417365471</v>
      </c>
      <c r="M264" s="351">
        <f t="shared" si="53"/>
        <v>-3434411.5732431491</v>
      </c>
      <c r="N264" s="351">
        <f t="shared" si="54"/>
        <v>-3434376.8904639869</v>
      </c>
    </row>
    <row r="265" spans="3:14">
      <c r="C265">
        <v>1.6</v>
      </c>
      <c r="D265" s="351">
        <f t="shared" si="44"/>
        <v>-3764625.7151735867</v>
      </c>
      <c r="E265" s="351">
        <f t="shared" si="45"/>
        <v>-3505438.6660892549</v>
      </c>
      <c r="F265" s="351">
        <f t="shared" si="46"/>
        <v>-3444430.0966281821</v>
      </c>
      <c r="G265" s="351">
        <f t="shared" si="47"/>
        <v>-3430102.1428155205</v>
      </c>
      <c r="H265" s="351">
        <f t="shared" si="48"/>
        <v>-3424783.589152806</v>
      </c>
      <c r="I265" s="351">
        <f t="shared" si="49"/>
        <v>-3423777.7607426634</v>
      </c>
      <c r="J265" s="351">
        <f t="shared" si="50"/>
        <v>-3423795.3500814964</v>
      </c>
      <c r="K265" s="351">
        <f t="shared" si="51"/>
        <v>-3423817.2396012009</v>
      </c>
      <c r="L265" s="351">
        <f t="shared" si="52"/>
        <v>-3423831.2952176682</v>
      </c>
      <c r="M265" s="351">
        <f t="shared" si="53"/>
        <v>-3423790.8768600696</v>
      </c>
      <c r="N265" s="351">
        <f t="shared" si="54"/>
        <v>-3423757.7613930688</v>
      </c>
    </row>
    <row r="266" spans="3:14">
      <c r="C266">
        <v>1.61</v>
      </c>
      <c r="D266" s="351">
        <f t="shared" si="44"/>
        <v>-3749731.701051055</v>
      </c>
      <c r="E266" s="351">
        <f t="shared" si="45"/>
        <v>-3493512.4136164295</v>
      </c>
      <c r="F266" s="351">
        <f t="shared" si="46"/>
        <v>-3433433.4815535485</v>
      </c>
      <c r="G266" s="351">
        <f t="shared" si="47"/>
        <v>-3419377.9143485455</v>
      </c>
      <c r="H266" s="351">
        <f t="shared" si="48"/>
        <v>-3414180.461126423</v>
      </c>
      <c r="I266" s="351">
        <f t="shared" si="49"/>
        <v>-3413201.3008578857</v>
      </c>
      <c r="J266" s="351">
        <f t="shared" si="50"/>
        <v>-3413218.3582345648</v>
      </c>
      <c r="K266" s="351">
        <f t="shared" si="51"/>
        <v>-3413239.5044084047</v>
      </c>
      <c r="L266" s="351">
        <f t="shared" si="52"/>
        <v>-3413253.0306862621</v>
      </c>
      <c r="M266" s="351">
        <f t="shared" si="53"/>
        <v>-3413214.2835233328</v>
      </c>
      <c r="N266" s="351">
        <f t="shared" si="54"/>
        <v>-3413182.658928399</v>
      </c>
    </row>
    <row r="267" spans="3:14">
      <c r="C267">
        <v>1.62</v>
      </c>
      <c r="D267" s="351">
        <f t="shared" si="44"/>
        <v>-3734954.9570080917</v>
      </c>
      <c r="E267" s="351">
        <f t="shared" si="45"/>
        <v>-3481658.294711825</v>
      </c>
      <c r="F267" s="351">
        <f t="shared" si="46"/>
        <v>-3422491.3602535399</v>
      </c>
      <c r="G267" s="351">
        <f t="shared" si="47"/>
        <v>-3408701.9892611047</v>
      </c>
      <c r="H267" s="351">
        <f t="shared" si="48"/>
        <v>-3403622.4317077226</v>
      </c>
      <c r="I267" s="351">
        <f t="shared" si="49"/>
        <v>-3402669.1345571945</v>
      </c>
      <c r="J267" s="351">
        <f t="shared" si="50"/>
        <v>-3402685.6780028162</v>
      </c>
      <c r="K267" s="351">
        <f t="shared" si="51"/>
        <v>-3402706.1087731733</v>
      </c>
      <c r="L267" s="351">
        <f t="shared" si="52"/>
        <v>-3402719.1275584665</v>
      </c>
      <c r="M267" s="351">
        <f t="shared" si="53"/>
        <v>-3402681.9764920082</v>
      </c>
      <c r="N267" s="351">
        <f t="shared" si="54"/>
        <v>-3402651.7703288612</v>
      </c>
    </row>
    <row r="268" spans="3:14">
      <c r="C268">
        <v>1.63</v>
      </c>
      <c r="D268" s="351">
        <f t="shared" si="44"/>
        <v>-3720294.1047351845</v>
      </c>
      <c r="E268" s="351">
        <f t="shared" si="45"/>
        <v>-3469875.7859117175</v>
      </c>
      <c r="F268" s="351">
        <f t="shared" si="46"/>
        <v>-3411603.6094008554</v>
      </c>
      <c r="G268" s="351">
        <f t="shared" si="47"/>
        <v>-3398074.4077394758</v>
      </c>
      <c r="H268" s="351">
        <f t="shared" si="48"/>
        <v>-3393109.6376433964</v>
      </c>
      <c r="I268" s="351">
        <f t="shared" si="49"/>
        <v>-3392181.4258229625</v>
      </c>
      <c r="J268" s="351">
        <f t="shared" si="50"/>
        <v>-3392197.4726920975</v>
      </c>
      <c r="K268" s="351">
        <f t="shared" si="51"/>
        <v>-3392217.2148503009</v>
      </c>
      <c r="L268" s="351">
        <f t="shared" si="52"/>
        <v>-3392229.7470092047</v>
      </c>
      <c r="M268" s="351">
        <f t="shared" si="53"/>
        <v>-3392194.1205832358</v>
      </c>
      <c r="N268" s="351">
        <f t="shared" si="54"/>
        <v>-3392165.2641880019</v>
      </c>
    </row>
    <row r="269" spans="3:14">
      <c r="C269">
        <v>1.64</v>
      </c>
      <c r="D269" s="351">
        <f t="shared" si="44"/>
        <v>-3705747.7874195431</v>
      </c>
      <c r="E269" s="351">
        <f t="shared" si="45"/>
        <v>-3458164.3658944285</v>
      </c>
      <c r="F269" s="351">
        <f t="shared" si="46"/>
        <v>-3400770.0972608053</v>
      </c>
      <c r="G269" s="351">
        <f t="shared" si="47"/>
        <v>-3387495.1966450568</v>
      </c>
      <c r="H269" s="351">
        <f t="shared" si="48"/>
        <v>-3382642.1990945009</v>
      </c>
      <c r="I269" s="351">
        <f t="shared" si="49"/>
        <v>-3381738.3210319481</v>
      </c>
      <c r="J269" s="351">
        <f t="shared" si="50"/>
        <v>-3381753.8880304578</v>
      </c>
      <c r="K269" s="351">
        <f t="shared" si="51"/>
        <v>-3381772.9672683179</v>
      </c>
      <c r="L269" s="351">
        <f t="shared" si="52"/>
        <v>-3381785.0327345682</v>
      </c>
      <c r="M269" s="351">
        <f t="shared" si="53"/>
        <v>-3381750.8629457993</v>
      </c>
      <c r="N269" s="351">
        <f t="shared" si="54"/>
        <v>-3381723.2912208661</v>
      </c>
    </row>
    <row r="270" spans="3:14">
      <c r="C270">
        <v>1.65</v>
      </c>
      <c r="D270" s="351">
        <f t="shared" si="44"/>
        <v>-3691314.6693279743</v>
      </c>
      <c r="E270" s="351">
        <f t="shared" si="45"/>
        <v>-3446523.5155725274</v>
      </c>
      <c r="F270" s="351">
        <f t="shared" si="46"/>
        <v>-3389990.6841001888</v>
      </c>
      <c r="G270" s="351">
        <f t="shared" si="47"/>
        <v>-3376964.3700889954</v>
      </c>
      <c r="H270" s="351">
        <f t="shared" si="48"/>
        <v>-3372220.2203329722</v>
      </c>
      <c r="I270" s="351">
        <f t="shared" si="49"/>
        <v>-3371339.9496936644</v>
      </c>
      <c r="J270" s="351">
        <f t="shared" si="50"/>
        <v>-3371355.0529052746</v>
      </c>
      <c r="K270" s="351">
        <f t="shared" si="51"/>
        <v>-3371373.4938641265</v>
      </c>
      <c r="L270" s="351">
        <f t="shared" si="52"/>
        <v>-3371385.1116839931</v>
      </c>
      <c r="M270" s="351">
        <f t="shared" si="53"/>
        <v>-3371352.3338028314</v>
      </c>
      <c r="N270" s="351">
        <f t="shared" si="54"/>
        <v>-3371325.9850191297</v>
      </c>
    </row>
    <row r="271" spans="3:14">
      <c r="C271">
        <v>1.66</v>
      </c>
      <c r="D271" s="351">
        <f t="shared" si="44"/>
        <v>-3676993.435399421</v>
      </c>
      <c r="E271" s="351">
        <f t="shared" si="45"/>
        <v>-3434952.7181794355</v>
      </c>
      <c r="F271" s="351">
        <f t="shared" si="46"/>
        <v>-3379265.2225799058</v>
      </c>
      <c r="G271" s="351">
        <f t="shared" si="47"/>
        <v>-3366481.9299843665</v>
      </c>
      <c r="H271" s="351">
        <f t="shared" si="48"/>
        <v>-3361843.7904107026</v>
      </c>
      <c r="I271" s="351">
        <f t="shared" si="49"/>
        <v>-3360986.4251594548</v>
      </c>
      <c r="J271" s="351">
        <f t="shared" si="50"/>
        <v>-3361001.0800711457</v>
      </c>
      <c r="K271" s="351">
        <f t="shared" si="51"/>
        <v>-3361018.9063885296</v>
      </c>
      <c r="L271" s="351">
        <f t="shared" si="52"/>
        <v>-3361030.094763462</v>
      </c>
      <c r="M271" s="351">
        <f t="shared" si="53"/>
        <v>-3360998.647164918</v>
      </c>
      <c r="N271" s="351">
        <f t="shared" si="54"/>
        <v>-3360973.462775853</v>
      </c>
    </row>
    <row r="272" spans="3:14">
      <c r="C272">
        <v>1.67</v>
      </c>
      <c r="D272" s="351">
        <f t="shared" si="44"/>
        <v>-3662782.7908469182</v>
      </c>
      <c r="E272" s="351">
        <f t="shared" si="45"/>
        <v>-3423451.4593506916</v>
      </c>
      <c r="F272" s="351">
        <f t="shared" si="46"/>
        <v>-3368593.5581319942</v>
      </c>
      <c r="G272" s="351">
        <f t="shared" si="47"/>
        <v>-3356047.8665768425</v>
      </c>
      <c r="H272" s="351">
        <f t="shared" si="48"/>
        <v>-3351512.9838023363</v>
      </c>
      <c r="I272" s="351">
        <f t="shared" si="49"/>
        <v>-3350677.8453035052</v>
      </c>
      <c r="J272" s="351">
        <f t="shared" si="50"/>
        <v>-3350692.0668297759</v>
      </c>
      <c r="K272" s="351">
        <f t="shared" si="51"/>
        <v>-3350709.3011838812</v>
      </c>
      <c r="L272" s="351">
        <f t="shared" si="52"/>
        <v>-3350720.0775109539</v>
      </c>
      <c r="M272" s="351">
        <f t="shared" si="53"/>
        <v>-3350689.9015148738</v>
      </c>
      <c r="N272" s="351">
        <f t="shared" si="54"/>
        <v>-3350665.8259811751</v>
      </c>
    </row>
    <row r="273" spans="3:14">
      <c r="C273">
        <v>1.68</v>
      </c>
      <c r="D273" s="351">
        <f t="shared" si="44"/>
        <v>-3648681.4607686917</v>
      </c>
      <c r="E273" s="351">
        <f t="shared" si="45"/>
        <v>-3412019.2272001193</v>
      </c>
      <c r="F273" s="351">
        <f t="shared" si="46"/>
        <v>-3357975.5293216705</v>
      </c>
      <c r="G273" s="351">
        <f t="shared" si="47"/>
        <v>-3345662.15895468</v>
      </c>
      <c r="H273" s="351">
        <f t="shared" si="48"/>
        <v>-3341227.8610228198</v>
      </c>
      <c r="I273" s="351">
        <f t="shared" si="49"/>
        <v>-3340414.293176916</v>
      </c>
      <c r="J273" s="351">
        <f t="shared" si="50"/>
        <v>-3340428.0956829791</v>
      </c>
      <c r="K273" s="351">
        <f t="shared" si="51"/>
        <v>-3340444.7598349648</v>
      </c>
      <c r="L273" s="351">
        <f t="shared" si="52"/>
        <v>-3340455.1407452454</v>
      </c>
      <c r="M273" s="351">
        <f t="shared" si="53"/>
        <v>-3340426.1804653225</v>
      </c>
      <c r="N273" s="351">
        <f t="shared" si="54"/>
        <v>-3340403.1610901463</v>
      </c>
    </row>
    <row r="274" spans="3:14">
      <c r="C274">
        <v>1.69</v>
      </c>
      <c r="D274" s="351">
        <f t="shared" si="44"/>
        <v>-3634688.1897681756</v>
      </c>
      <c r="E274" s="351">
        <f t="shared" si="45"/>
        <v>-3400655.5123911207</v>
      </c>
      <c r="F274" s="351">
        <f t="shared" si="46"/>
        <v>-3347410.9681949983</v>
      </c>
      <c r="G274" s="351">
        <f t="shared" si="47"/>
        <v>-3335324.7755388711</v>
      </c>
      <c r="H274" s="351">
        <f t="shared" si="48"/>
        <v>-3330988.4692207635</v>
      </c>
      <c r="I274" s="351">
        <f t="shared" si="49"/>
        <v>-3330195.8376359809</v>
      </c>
      <c r="J274" s="351">
        <f t="shared" si="50"/>
        <v>-3330209.2349599302</v>
      </c>
      <c r="K274" s="351">
        <f t="shared" si="51"/>
        <v>-3330225.3497942272</v>
      </c>
      <c r="L274" s="351">
        <f t="shared" si="52"/>
        <v>-3330235.3511891803</v>
      </c>
      <c r="M274" s="351">
        <f t="shared" si="53"/>
        <v>-3330207.5533902245</v>
      </c>
      <c r="N274" s="351">
        <f t="shared" si="54"/>
        <v>-3330185.5401638579</v>
      </c>
    </row>
    <row r="275" spans="3:14">
      <c r="C275">
        <v>1.7</v>
      </c>
      <c r="D275" s="351">
        <f t="shared" si="44"/>
        <v>-3620801.7415827089</v>
      </c>
      <c r="E275" s="351">
        <f t="shared" si="45"/>
        <v>-3389359.8082033359</v>
      </c>
      <c r="F275" s="351">
        <f t="shared" si="46"/>
        <v>-3336899.7006127597</v>
      </c>
      <c r="G275" s="351">
        <f t="shared" si="47"/>
        <v>-3325035.6745542679</v>
      </c>
      <c r="H275" s="351">
        <f t="shared" si="48"/>
        <v>-3320794.8427486094</v>
      </c>
      <c r="I275" s="351">
        <f t="shared" si="49"/>
        <v>-3320022.5339457309</v>
      </c>
      <c r="J275" s="351">
        <f t="shared" si="50"/>
        <v>-3320035.5394197414</v>
      </c>
      <c r="K275" s="351">
        <f t="shared" si="51"/>
        <v>-3320051.1249824464</v>
      </c>
      <c r="L275" s="351">
        <f t="shared" si="52"/>
        <v>-3320060.7620684835</v>
      </c>
      <c r="M275" s="351">
        <f t="shared" si="53"/>
        <v>-3320034.07603148</v>
      </c>
      <c r="N275" s="351">
        <f t="shared" si="54"/>
        <v>-3320013.021485067</v>
      </c>
    </row>
    <row r="276" spans="3:14">
      <c r="C276">
        <v>1.71</v>
      </c>
      <c r="D276" s="351">
        <f t="shared" si="44"/>
        <v>-3607020.8987206598</v>
      </c>
      <c r="E276" s="351">
        <f t="shared" si="45"/>
        <v>-3378131.6105948444</v>
      </c>
      <c r="F276" s="351">
        <f t="shared" si="46"/>
        <v>-3326441.5465710396</v>
      </c>
      <c r="G276" s="351">
        <f t="shared" si="47"/>
        <v>-3314794.8044823813</v>
      </c>
      <c r="H276" s="351">
        <f t="shared" si="48"/>
        <v>-3310647.0037104851</v>
      </c>
      <c r="I276" s="351">
        <f t="shared" si="49"/>
        <v>-3309894.4243597058</v>
      </c>
      <c r="J276" s="351">
        <f t="shared" si="50"/>
        <v>-3309907.0508303051</v>
      </c>
      <c r="K276" s="351">
        <f t="shared" si="51"/>
        <v>-3309922.1263657575</v>
      </c>
      <c r="L276" s="351">
        <f t="shared" si="52"/>
        <v>-3309931.413687028</v>
      </c>
      <c r="M276" s="351">
        <f t="shared" si="53"/>
        <v>-3309905.7910815268</v>
      </c>
      <c r="N276" s="351">
        <f t="shared" si="54"/>
        <v>-3309885.6501492532</v>
      </c>
    </row>
    <row r="277" spans="3:14">
      <c r="C277">
        <v>1.72</v>
      </c>
      <c r="D277" s="351">
        <f t="shared" si="44"/>
        <v>-3593344.4621067867</v>
      </c>
      <c r="E277" s="351">
        <f t="shared" si="45"/>
        <v>-3366970.4182601538</v>
      </c>
      <c r="F277" s="351">
        <f t="shared" si="46"/>
        <v>-3316036.3205090985</v>
      </c>
      <c r="G277" s="351">
        <f t="shared" si="47"/>
        <v>-3304602.1044966481</v>
      </c>
      <c r="H277" s="351">
        <f t="shared" si="48"/>
        <v>-3300544.9624887253</v>
      </c>
      <c r="I277" s="351">
        <f t="shared" si="49"/>
        <v>-3299811.5386770023</v>
      </c>
      <c r="J277" s="351">
        <f t="shared" si="50"/>
        <v>-3299823.7985244598</v>
      </c>
      <c r="K277" s="351">
        <f t="shared" si="51"/>
        <v>-3299838.3825100963</v>
      </c>
      <c r="L277" s="351">
        <f t="shared" si="52"/>
        <v>-3299847.333979622</v>
      </c>
      <c r="M277" s="351">
        <f t="shared" si="53"/>
        <v>-3299822.7287430349</v>
      </c>
      <c r="N277" s="351">
        <f t="shared" si="54"/>
        <v>-3299803.458632262</v>
      </c>
    </row>
    <row r="278" spans="3:14">
      <c r="C278">
        <v>1.73</v>
      </c>
      <c r="D278" s="351">
        <f t="shared" si="44"/>
        <v>-3579771.2507355926</v>
      </c>
      <c r="E278" s="351">
        <f t="shared" si="45"/>
        <v>-3355875.7326841238</v>
      </c>
      <c r="F278" s="351">
        <f t="shared" si="46"/>
        <v>-3305683.8316049865</v>
      </c>
      <c r="G278" s="351">
        <f t="shared" si="47"/>
        <v>-3294457.5048808143</v>
      </c>
      <c r="H278" s="351">
        <f t="shared" si="48"/>
        <v>-3290488.7182498588</v>
      </c>
      <c r="I278" s="351">
        <f t="shared" si="49"/>
        <v>-3289773.8947774558</v>
      </c>
      <c r="J278" s="351">
        <f t="shared" si="50"/>
        <v>-3289785.7999343304</v>
      </c>
      <c r="K278" s="351">
        <f t="shared" si="51"/>
        <v>-3289799.9101139037</v>
      </c>
      <c r="L278" s="351">
        <f t="shared" si="52"/>
        <v>-3289808.5390431397</v>
      </c>
      <c r="M278" s="351">
        <f t="shared" si="53"/>
        <v>-3289784.907266553</v>
      </c>
      <c r="N278" s="351">
        <f t="shared" si="54"/>
        <v>-3289766.4673354067</v>
      </c>
    </row>
    <row r="279" spans="3:14">
      <c r="C279">
        <v>1.74</v>
      </c>
      <c r="D279" s="351">
        <f t="shared" si="44"/>
        <v>-3566300.1013324824</v>
      </c>
      <c r="E279" s="351">
        <f t="shared" si="45"/>
        <v>-3344847.0581920515</v>
      </c>
      <c r="F279" s="351">
        <f t="shared" si="46"/>
        <v>-3295383.884059424</v>
      </c>
      <c r="G279" s="351">
        <f t="shared" si="47"/>
        <v>-3284360.9274311247</v>
      </c>
      <c r="H279" s="351">
        <f t="shared" si="48"/>
        <v>-3280478.2594309235</v>
      </c>
      <c r="I279" s="351">
        <f t="shared" si="49"/>
        <v>-3279781.4991358896</v>
      </c>
      <c r="J279" s="351">
        <f t="shared" si="50"/>
        <v>-3279793.0611047735</v>
      </c>
      <c r="K279" s="351">
        <f t="shared" si="51"/>
        <v>-3279806.7145200213</v>
      </c>
      <c r="L279" s="351">
        <f t="shared" si="52"/>
        <v>-3279815.0336469323</v>
      </c>
      <c r="M279" s="351">
        <f t="shared" si="53"/>
        <v>-3279792.3334670528</v>
      </c>
      <c r="N279" s="351">
        <f t="shared" si="54"/>
        <v>-3279774.6851090202</v>
      </c>
    </row>
    <row r="280" spans="3:14">
      <c r="C280">
        <v>1.75</v>
      </c>
      <c r="D280" s="351">
        <f t="shared" si="44"/>
        <v>-3552929.8680225057</v>
      </c>
      <c r="E280" s="351">
        <f t="shared" si="45"/>
        <v>-3333883.9019960612</v>
      </c>
      <c r="F280" s="351">
        <f t="shared" si="46"/>
        <v>-3285136.2773683784</v>
      </c>
      <c r="G280" s="351">
        <f t="shared" si="47"/>
        <v>-3274312.2858429435</v>
      </c>
      <c r="H280" s="351">
        <f t="shared" si="48"/>
        <v>-3270513.5642068703</v>
      </c>
      <c r="I280" s="351">
        <f t="shared" si="49"/>
        <v>-3269834.3473162474</v>
      </c>
      <c r="J280" s="351">
        <f t="shared" si="50"/>
        <v>-3269845.5771867489</v>
      </c>
      <c r="K280" s="351">
        <f t="shared" si="51"/>
        <v>-3269858.7902075816</v>
      </c>
      <c r="L280" s="351">
        <f t="shared" si="52"/>
        <v>-3269866.8117233128</v>
      </c>
      <c r="M280" s="351">
        <f t="shared" si="53"/>
        <v>-3269845.0032202038</v>
      </c>
      <c r="N280" s="351">
        <f t="shared" si="54"/>
        <v>-3269828.1097553107</v>
      </c>
    </row>
    <row r="281" spans="3:14">
      <c r="C281">
        <v>1.76</v>
      </c>
      <c r="D281" s="351">
        <f t="shared" si="44"/>
        <v>-3539659.4220064916</v>
      </c>
      <c r="E281" s="351">
        <f t="shared" si="45"/>
        <v>-3322985.7742379839</v>
      </c>
      <c r="F281" s="351">
        <f t="shared" si="46"/>
        <v>-3274940.8065847885</v>
      </c>
      <c r="G281" s="351">
        <f t="shared" si="47"/>
        <v>-3264311.4860824258</v>
      </c>
      <c r="H281" s="351">
        <f t="shared" si="48"/>
        <v>-3260594.6009398354</v>
      </c>
      <c r="I281" s="351">
        <f t="shared" si="49"/>
        <v>-3259932.4244464394</v>
      </c>
      <c r="J281" s="351">
        <f t="shared" si="50"/>
        <v>-3259943.3329114337</v>
      </c>
      <c r="K281" s="351">
        <f t="shared" si="51"/>
        <v>-3259956.1212647255</v>
      </c>
      <c r="L281" s="351">
        <f t="shared" si="52"/>
        <v>-3259963.856838942</v>
      </c>
      <c r="M281" s="351">
        <f t="shared" si="53"/>
        <v>-3259942.9019392189</v>
      </c>
      <c r="N281" s="351">
        <f t="shared" si="54"/>
        <v>-3259926.728511394</v>
      </c>
    </row>
    <row r="282" spans="3:14">
      <c r="C282">
        <v>1.77</v>
      </c>
      <c r="D282" s="351">
        <f t="shared" si="44"/>
        <v>-3526487.6512443922</v>
      </c>
      <c r="E282" s="351">
        <f t="shared" si="45"/>
        <v>-3312152.188028892</v>
      </c>
      <c r="F282" s="351">
        <f t="shared" si="46"/>
        <v>-3264797.2625698838</v>
      </c>
      <c r="G282" s="351">
        <f t="shared" si="47"/>
        <v>-3254358.4267438306</v>
      </c>
      <c r="H282" s="351">
        <f t="shared" si="48"/>
        <v>-3250721.3286109939</v>
      </c>
      <c r="I282" s="351">
        <f t="shared" si="49"/>
        <v>-3250075.7056746813</v>
      </c>
      <c r="J282" s="351">
        <f t="shared" si="50"/>
        <v>-3250086.303045867</v>
      </c>
      <c r="K282" s="351">
        <f t="shared" si="51"/>
        <v>-3250098.6818429139</v>
      </c>
      <c r="L282" s="351">
        <f t="shared" si="52"/>
        <v>-3250106.1426478797</v>
      </c>
      <c r="M282" s="351">
        <f t="shared" si="53"/>
        <v>-3250086.0050330474</v>
      </c>
      <c r="N282" s="351">
        <f t="shared" si="54"/>
        <v>-3250070.5185132949</v>
      </c>
    </row>
    <row r="283" spans="3:14">
      <c r="C283">
        <v>1.78</v>
      </c>
      <c r="D283" s="351">
        <f t="shared" si="44"/>
        <v>-3513413.4601456379</v>
      </c>
      <c r="E283" s="351">
        <f t="shared" si="45"/>
        <v>-3301382.6594854267</v>
      </c>
      <c r="F283" s="351">
        <f t="shared" si="46"/>
        <v>-3254705.4322344665</v>
      </c>
      <c r="G283" s="351">
        <f t="shared" si="47"/>
        <v>-3244452.9993930254</v>
      </c>
      <c r="H283" s="351">
        <f t="shared" si="48"/>
        <v>-3240893.6972356876</v>
      </c>
      <c r="I283" s="351">
        <f t="shared" si="49"/>
        <v>-3240264.1566080563</v>
      </c>
      <c r="J283" s="351">
        <f t="shared" si="50"/>
        <v>-3240274.4528308506</v>
      </c>
      <c r="K283" s="351">
        <f t="shared" si="51"/>
        <v>-3240286.4365935596</v>
      </c>
      <c r="L283" s="351">
        <f t="shared" si="52"/>
        <v>-3240293.633327025</v>
      </c>
      <c r="M283" s="351">
        <f t="shared" si="53"/>
        <v>-3240274.2783466838</v>
      </c>
      <c r="N283" s="351">
        <f t="shared" si="54"/>
        <v>-3240259.4472417189</v>
      </c>
    </row>
    <row r="284" spans="3:14">
      <c r="C284">
        <v>1.79</v>
      </c>
      <c r="D284" s="351">
        <f t="shared" si="44"/>
        <v>-3500435.7692663246</v>
      </c>
      <c r="E284" s="351">
        <f t="shared" si="45"/>
        <v>-3290676.7077630828</v>
      </c>
      <c r="F284" s="351">
        <f t="shared" si="46"/>
        <v>-3244665.0987705784</v>
      </c>
      <c r="G284" s="351">
        <f t="shared" si="47"/>
        <v>-3234595.0888977274</v>
      </c>
      <c r="H284" s="351">
        <f t="shared" si="48"/>
        <v>-3231111.6482624826</v>
      </c>
      <c r="I284" s="351">
        <f t="shared" si="49"/>
        <v>-3230497.7337340112</v>
      </c>
      <c r="J284" s="351">
        <f t="shared" si="50"/>
        <v>-3230507.7384018102</v>
      </c>
      <c r="K284" s="351">
        <f t="shared" si="51"/>
        <v>-3230519.3410876906</v>
      </c>
      <c r="L284" s="351">
        <f t="shared" si="52"/>
        <v>-3230526.2839946453</v>
      </c>
      <c r="M284" s="351">
        <f t="shared" si="53"/>
        <v>-3230507.6785842683</v>
      </c>
      <c r="N284" s="351">
        <f t="shared" si="54"/>
        <v>-3230493.472950296</v>
      </c>
    </row>
    <row r="285" spans="3:14">
      <c r="C285">
        <v>1.8</v>
      </c>
      <c r="D285" s="351">
        <f t="shared" si="44"/>
        <v>-3487553.515013068</v>
      </c>
      <c r="E285" s="351">
        <f t="shared" si="45"/>
        <v>-3280033.8550865827</v>
      </c>
      <c r="F285" s="351">
        <f t="shared" si="46"/>
        <v>-3234676.0418739184</v>
      </c>
      <c r="G285" s="351">
        <f t="shared" si="47"/>
        <v>-3224784.5737450053</v>
      </c>
      <c r="H285" s="351">
        <f t="shared" si="48"/>
        <v>-3221375.1149568185</v>
      </c>
      <c r="I285" s="351">
        <f t="shared" si="49"/>
        <v>-3220776.3848254969</v>
      </c>
      <c r="J285" s="351">
        <f t="shared" si="50"/>
        <v>-3220786.1071933317</v>
      </c>
      <c r="K285" s="351">
        <f t="shared" si="51"/>
        <v>-3220797.3422193401</v>
      </c>
      <c r="L285" s="351">
        <f t="shared" si="52"/>
        <v>-3220804.0411127023</v>
      </c>
      <c r="M285" s="351">
        <f t="shared" si="53"/>
        <v>-3220786.1537157479</v>
      </c>
      <c r="N285" s="351">
        <f t="shared" si="54"/>
        <v>-3220772.5450770645</v>
      </c>
    </row>
    <row r="286" spans="3:14">
      <c r="C286">
        <v>1.81</v>
      </c>
      <c r="D286" s="351">
        <f t="shared" si="44"/>
        <v>-3474765.6493533389</v>
      </c>
      <c r="E286" s="351">
        <f t="shared" si="45"/>
        <v>-3269453.6267774743</v>
      </c>
      <c r="F286" s="351">
        <f t="shared" si="46"/>
        <v>-3224738.0379573605</v>
      </c>
      <c r="G286" s="351">
        <f t="shared" si="47"/>
        <v>-3215021.3263465189</v>
      </c>
      <c r="H286" s="351">
        <f t="shared" si="48"/>
        <v>-3211684.0227698209</v>
      </c>
      <c r="I286" s="351">
        <f t="shared" si="49"/>
        <v>-3211100.0493303565</v>
      </c>
      <c r="J286" s="351">
        <f t="shared" si="50"/>
        <v>-3211109.4983279756</v>
      </c>
      <c r="K286" s="351">
        <f t="shared" si="51"/>
        <v>-3211120.3785932739</v>
      </c>
      <c r="L286" s="351">
        <f t="shared" si="52"/>
        <v>-3211126.8428735593</v>
      </c>
      <c r="M286" s="351">
        <f t="shared" si="53"/>
        <v>-3211109.6433676658</v>
      </c>
      <c r="N286" s="351">
        <f t="shared" si="54"/>
        <v>-3211096.6046398133</v>
      </c>
    </row>
    <row r="287" spans="3:14">
      <c r="C287">
        <v>1.82</v>
      </c>
      <c r="D287" s="351">
        <f t="shared" si="44"/>
        <v>-3462071.1395321344</v>
      </c>
      <c r="E287" s="351">
        <f t="shared" si="45"/>
        <v>-3258935.5512790941</v>
      </c>
      <c r="F287" s="351">
        <f t="shared" si="46"/>
        <v>-3214850.860355936</v>
      </c>
      <c r="G287" s="351">
        <f t="shared" si="47"/>
        <v>-3205305.2133319983</v>
      </c>
      <c r="H287" s="351">
        <f t="shared" si="48"/>
        <v>-3202038.2896929006</v>
      </c>
      <c r="I287" s="351">
        <f t="shared" si="49"/>
        <v>-3201468.6587456367</v>
      </c>
      <c r="J287" s="351">
        <f t="shared" si="50"/>
        <v>-3201477.8429900394</v>
      </c>
      <c r="K287" s="351">
        <f t="shared" si="51"/>
        <v>-3201488.3808977152</v>
      </c>
      <c r="L287" s="351">
        <f t="shared" si="52"/>
        <v>-3201494.6195717487</v>
      </c>
      <c r="M287" s="351">
        <f t="shared" si="53"/>
        <v>-3201478.0791987842</v>
      </c>
      <c r="N287" s="351">
        <f t="shared" si="54"/>
        <v>-3201465.5846159742</v>
      </c>
    </row>
    <row r="288" spans="3:14">
      <c r="C288">
        <v>1.83</v>
      </c>
      <c r="D288" s="351">
        <f t="shared" si="44"/>
        <v>-3449468.9677948034</v>
      </c>
      <c r="E288" s="351">
        <f t="shared" si="45"/>
        <v>-3248479.1601790003</v>
      </c>
      <c r="F288" s="351">
        <f t="shared" si="46"/>
        <v>-3205014.2795235971</v>
      </c>
      <c r="G288" s="351">
        <f t="shared" si="47"/>
        <v>-3195636.0958313919</v>
      </c>
      <c r="H288" s="351">
        <f t="shared" si="48"/>
        <v>-3192437.826598662</v>
      </c>
      <c r="I288" s="351">
        <f t="shared" si="49"/>
        <v>-3191882.136977389</v>
      </c>
      <c r="J288" s="351">
        <f t="shared" si="50"/>
        <v>-3191891.06478483</v>
      </c>
      <c r="K288" s="351">
        <f t="shared" si="51"/>
        <v>-3191901.2722626398</v>
      </c>
      <c r="L288" s="351">
        <f t="shared" si="52"/>
        <v>-3191907.2939613555</v>
      </c>
      <c r="M288" s="351">
        <f t="shared" si="53"/>
        <v>-3191891.3852611096</v>
      </c>
      <c r="N288" s="351">
        <f t="shared" si="54"/>
        <v>-3191879.4103076751</v>
      </c>
    </row>
    <row r="289" spans="3:14">
      <c r="C289">
        <v>1.84</v>
      </c>
      <c r="D289" s="351">
        <f t="shared" si="44"/>
        <v>-3436958.1311158813</v>
      </c>
      <c r="E289" s="351">
        <f t="shared" si="45"/>
        <v>-3238083.9882290056</v>
      </c>
      <c r="F289" s="351">
        <f t="shared" si="46"/>
        <v>-3195228.0632220739</v>
      </c>
      <c r="G289" s="351">
        <f t="shared" si="47"/>
        <v>-3186013.8297461304</v>
      </c>
      <c r="H289" s="351">
        <f t="shared" si="48"/>
        <v>-3182882.5375686768</v>
      </c>
      <c r="I289" s="351">
        <f t="shared" si="49"/>
        <v>-3182340.4006865337</v>
      </c>
      <c r="J289" s="351">
        <f t="shared" si="50"/>
        <v>-3182349.0800840282</v>
      </c>
      <c r="K289" s="351">
        <f t="shared" si="51"/>
        <v>-3182358.9686042001</v>
      </c>
      <c r="L289" s="351">
        <f t="shared" si="52"/>
        <v>-3182364.7815995747</v>
      </c>
      <c r="M289" s="351">
        <f t="shared" si="53"/>
        <v>-3182349.4783468959</v>
      </c>
      <c r="N289" s="351">
        <f t="shared" si="54"/>
        <v>-3182337.9996925304</v>
      </c>
    </row>
    <row r="290" spans="3:14">
      <c r="C290">
        <v>1.85</v>
      </c>
      <c r="D290" s="351">
        <f t="shared" si="44"/>
        <v>-3424537.6409337888</v>
      </c>
      <c r="E290" s="351">
        <f t="shared" si="45"/>
        <v>-3227749.5733629321</v>
      </c>
      <c r="F290" s="351">
        <f t="shared" si="46"/>
        <v>-3185491.9767021616</v>
      </c>
      <c r="G290" s="351">
        <f t="shared" si="47"/>
        <v>-3176438.2660099431</v>
      </c>
      <c r="H290" s="351">
        <f t="shared" si="48"/>
        <v>-3173372.3202086436</v>
      </c>
      <c r="I290" s="351">
        <f t="shared" si="49"/>
        <v>-3172843.3596213656</v>
      </c>
      <c r="J290" s="351">
        <f t="shared" si="50"/>
        <v>-3172851.7983577205</v>
      </c>
      <c r="K290" s="351">
        <f t="shared" si="51"/>
        <v>-3172861.3789558639</v>
      </c>
      <c r="L290" s="351">
        <f t="shared" si="52"/>
        <v>-3172866.991177035</v>
      </c>
      <c r="M290" s="351">
        <f t="shared" si="53"/>
        <v>-3172852.2683222168</v>
      </c>
      <c r="N290" s="351">
        <f t="shared" si="54"/>
        <v>-3172841.2637607767</v>
      </c>
    </row>
    <row r="291" spans="3:14">
      <c r="C291">
        <v>1.86</v>
      </c>
      <c r="D291" s="351">
        <f t="shared" si="44"/>
        <v>-3412206.5228912351</v>
      </c>
      <c r="E291" s="351">
        <f t="shared" si="45"/>
        <v>-3217475.4567121733</v>
      </c>
      <c r="F291" s="351">
        <f t="shared" si="46"/>
        <v>-3175805.7828776855</v>
      </c>
      <c r="G291" s="351">
        <f t="shared" si="47"/>
        <v>-3166909.2508395975</v>
      </c>
      <c r="H291" s="351">
        <f t="shared" si="48"/>
        <v>-3163907.0659514032</v>
      </c>
      <c r="I291" s="351">
        <f t="shared" si="49"/>
        <v>-3163390.9169371915</v>
      </c>
      <c r="J291" s="351">
        <f t="shared" si="50"/>
        <v>-3163399.1224935697</v>
      </c>
      <c r="K291" s="351">
        <f t="shared" si="51"/>
        <v>-3163408.4057867439</v>
      </c>
      <c r="L291" s="351">
        <f t="shared" si="52"/>
        <v>-3163413.8248353517</v>
      </c>
      <c r="M291" s="351">
        <f t="shared" si="53"/>
        <v>-3163399.6584475865</v>
      </c>
      <c r="N291" s="351">
        <f t="shared" si="54"/>
        <v>-3163389.1068392573</v>
      </c>
    </row>
    <row r="292" spans="3:14">
      <c r="C292">
        <v>1.87</v>
      </c>
      <c r="D292" s="351">
        <f t="shared" si="44"/>
        <v>-3399963.8165811892</v>
      </c>
      <c r="E292" s="351">
        <f t="shared" si="45"/>
        <v>-3207261.1826191884</v>
      </c>
      <c r="F292" s="351">
        <f t="shared" si="46"/>
        <v>-3166169.2424924686</v>
      </c>
      <c r="G292" s="351">
        <f t="shared" si="47"/>
        <v>-3157426.6259759762</v>
      </c>
      <c r="H292" s="351">
        <f t="shared" si="48"/>
        <v>-3154486.6603483008</v>
      </c>
      <c r="I292" s="351">
        <f t="shared" si="49"/>
        <v>-3153982.969503623</v>
      </c>
      <c r="J292" s="351">
        <f t="shared" si="50"/>
        <v>-3153990.9491036832</v>
      </c>
      <c r="K292" s="351">
        <f t="shared" si="51"/>
        <v>-3153999.9453076534</v>
      </c>
      <c r="L292" s="351">
        <f t="shared" si="52"/>
        <v>-3154005.1784724412</v>
      </c>
      <c r="M292" s="351">
        <f t="shared" si="53"/>
        <v>-3153991.5456861858</v>
      </c>
      <c r="N292" s="351">
        <f t="shared" si="54"/>
        <v>-3153981.4269028059</v>
      </c>
    </row>
    <row r="293" spans="3:14">
      <c r="C293">
        <v>1.88</v>
      </c>
      <c r="D293" s="351">
        <f t="shared" si="44"/>
        <v>-3387808.5752982795</v>
      </c>
      <c r="E293" s="351">
        <f t="shared" si="45"/>
        <v>-3197106.2986490158</v>
      </c>
      <c r="F293" s="351">
        <f t="shared" si="46"/>
        <v>-3156582.1142805321</v>
      </c>
      <c r="G293" s="351">
        <f t="shared" si="47"/>
        <v>-3147990.2289158409</v>
      </c>
      <c r="H293" s="351">
        <f t="shared" si="48"/>
        <v>-3145110.983349334</v>
      </c>
      <c r="I293" s="351">
        <f t="shared" si="49"/>
        <v>-3144619.4082000107</v>
      </c>
      <c r="J293" s="351">
        <f t="shared" si="50"/>
        <v>-3144627.1688196189</v>
      </c>
      <c r="K293" s="351">
        <f t="shared" si="51"/>
        <v>-3144635.887765347</v>
      </c>
      <c r="L293" s="351">
        <f t="shared" si="52"/>
        <v>-3144640.9420360681</v>
      </c>
      <c r="M293" s="351">
        <f t="shared" si="53"/>
        <v>-3144627.8210001518</v>
      </c>
      <c r="N293" s="351">
        <f t="shared" si="54"/>
        <v>-3144618.1158735184</v>
      </c>
    </row>
    <row r="294" spans="3:14">
      <c r="C294">
        <v>1.89</v>
      </c>
      <c r="D294" s="351">
        <f t="shared" si="44"/>
        <v>-3375739.8657954889</v>
      </c>
      <c r="E294" s="351">
        <f t="shared" si="45"/>
        <v>-3187010.3555989065</v>
      </c>
      <c r="F294" s="351">
        <f t="shared" si="46"/>
        <v>-3147044.1551198279</v>
      </c>
      <c r="G294" s="351">
        <f t="shared" si="47"/>
        <v>-3138599.8931346624</v>
      </c>
      <c r="H294" s="351">
        <f t="shared" si="48"/>
        <v>-3135779.9095725399</v>
      </c>
      <c r="I294" s="351">
        <f t="shared" si="49"/>
        <v>-3135300.1181994732</v>
      </c>
      <c r="J294" s="351">
        <f t="shared" si="50"/>
        <v>-3135307.6665760232</v>
      </c>
      <c r="K294" s="351">
        <f t="shared" si="51"/>
        <v>-3135316.1177254259</v>
      </c>
      <c r="L294" s="351">
        <f t="shared" si="52"/>
        <v>-3135320.9998060847</v>
      </c>
      <c r="M294" s="351">
        <f t="shared" si="53"/>
        <v>-3135308.3696354101</v>
      </c>
      <c r="N294" s="351">
        <f t="shared" si="54"/>
        <v>-3135299.0599083961</v>
      </c>
    </row>
    <row r="295" spans="3:14">
      <c r="C295">
        <v>1.9</v>
      </c>
      <c r="D295" s="351">
        <f t="shared" si="44"/>
        <v>-3363756.7680460112</v>
      </c>
      <c r="E295" s="351">
        <f t="shared" si="45"/>
        <v>-3176972.9075061693</v>
      </c>
      <c r="F295" s="351">
        <f t="shared" si="46"/>
        <v>-3137555.1201797128</v>
      </c>
      <c r="G295" s="351">
        <f t="shared" si="47"/>
        <v>-3129255.448300831</v>
      </c>
      <c r="H295" s="351">
        <f t="shared" si="48"/>
        <v>-3126493.3085630126</v>
      </c>
      <c r="I295" s="351">
        <f t="shared" si="49"/>
        <v>-3126024.9792419681</v>
      </c>
      <c r="J295" s="351">
        <f t="shared" si="50"/>
        <v>-3126032.3218833166</v>
      </c>
      <c r="K295" s="351">
        <f t="shared" si="51"/>
        <v>-3126040.5143443267</v>
      </c>
      <c r="L295" s="351">
        <f t="shared" si="52"/>
        <v>-3126045.2306657904</v>
      </c>
      <c r="M295" s="351">
        <f t="shared" si="53"/>
        <v>-3126033.071395495</v>
      </c>
      <c r="N295" s="351">
        <f t="shared" si="54"/>
        <v>-3126024.1396758063</v>
      </c>
    </row>
    <row r="296" spans="3:14">
      <c r="C296">
        <v>1.91</v>
      </c>
      <c r="D296" s="351">
        <f t="shared" si="44"/>
        <v>-3351858.375010144</v>
      </c>
      <c r="E296" s="351">
        <f t="shared" si="45"/>
        <v>-3166993.5116543053</v>
      </c>
      <c r="F296" s="351">
        <f t="shared" si="46"/>
        <v>-3128114.7630624389</v>
      </c>
      <c r="G296" s="351">
        <f t="shared" si="47"/>
        <v>-3119956.7204815969</v>
      </c>
      <c r="H296" s="351">
        <f t="shared" si="48"/>
        <v>-3117251.0450419728</v>
      </c>
      <c r="I296" s="351">
        <f t="shared" si="49"/>
        <v>-3116793.8658968392</v>
      </c>
      <c r="J296" s="351">
        <f t="shared" si="50"/>
        <v>-3116801.0090898811</v>
      </c>
      <c r="K296" s="351">
        <f t="shared" si="51"/>
        <v>-3116808.9516308438</v>
      </c>
      <c r="L296" s="351">
        <f t="shared" si="52"/>
        <v>-3116813.5083628572</v>
      </c>
      <c r="M296" s="351">
        <f t="shared" si="53"/>
        <v>-3116801.8009047941</v>
      </c>
      <c r="N296" s="351">
        <f t="shared" si="54"/>
        <v>-3116793.2306212271</v>
      </c>
    </row>
    <row r="297" spans="3:14">
      <c r="C297">
        <v>1.92</v>
      </c>
      <c r="D297" s="351">
        <f t="shared" si="44"/>
        <v>-3340043.792407095</v>
      </c>
      <c r="E297" s="351">
        <f t="shared" si="45"/>
        <v>-3157071.7285775333</v>
      </c>
      <c r="F297" s="351">
        <f t="shared" si="46"/>
        <v>-3118722.8359388635</v>
      </c>
      <c r="G297" s="351">
        <f t="shared" si="47"/>
        <v>-3110703.5323410523</v>
      </c>
      <c r="H297" s="351">
        <f t="shared" si="48"/>
        <v>-3108052.9791462626</v>
      </c>
      <c r="I297" s="351">
        <f t="shared" si="49"/>
        <v>-3107606.6478152382</v>
      </c>
      <c r="J297" s="351">
        <f t="shared" si="50"/>
        <v>-3107613.5976341292</v>
      </c>
      <c r="K297" s="351">
        <f t="shared" si="51"/>
        <v>-3107621.2986975717</v>
      </c>
      <c r="L297" s="351">
        <f t="shared" si="52"/>
        <v>-3107625.7017602054</v>
      </c>
      <c r="M297" s="351">
        <f t="shared" si="53"/>
        <v>-3107614.4278616225</v>
      </c>
      <c r="N297" s="351">
        <f t="shared" si="54"/>
        <v>-3107606.2032226711</v>
      </c>
    </row>
    <row r="298" spans="3:14">
      <c r="C298">
        <v>1.93</v>
      </c>
      <c r="D298" s="351">
        <f t="shared" si="44"/>
        <v>-3328312.1384915733</v>
      </c>
      <c r="E298" s="351">
        <f t="shared" si="45"/>
        <v>-3147207.1220637606</v>
      </c>
      <c r="F298" s="351">
        <f t="shared" si="46"/>
        <v>-3109379.0896786102</v>
      </c>
      <c r="G298" s="351">
        <f t="shared" si="47"/>
        <v>-3101495.7033304404</v>
      </c>
      <c r="H298" s="351">
        <f t="shared" si="48"/>
        <v>-3098898.9666586285</v>
      </c>
      <c r="I298" s="351">
        <f t="shared" si="49"/>
        <v>-3098463.1899728114</v>
      </c>
      <c r="J298" s="351">
        <f t="shared" si="50"/>
        <v>-3098469.9522868604</v>
      </c>
      <c r="K298" s="351">
        <f t="shared" si="51"/>
        <v>-3098477.4200026509</v>
      </c>
      <c r="L298" s="351">
        <f t="shared" si="52"/>
        <v>-3098481.6750772092</v>
      </c>
      <c r="M298" s="351">
        <f t="shared" si="53"/>
        <v>-3098470.8172815084</v>
      </c>
      <c r="N298" s="351">
        <f t="shared" si="54"/>
        <v>-3098462.9232361889</v>
      </c>
    </row>
    <row r="299" spans="3:14">
      <c r="C299">
        <v>1.94</v>
      </c>
      <c r="D299" s="351">
        <f t="shared" si="44"/>
        <v>-3316662.5438350635</v>
      </c>
      <c r="E299" s="351">
        <f t="shared" si="45"/>
        <v>-3137399.2591560995</v>
      </c>
      <c r="F299" s="351">
        <f t="shared" si="46"/>
        <v>-3100083.2739748931</v>
      </c>
      <c r="G299" s="351">
        <f t="shared" si="47"/>
        <v>-3092333.0498711006</v>
      </c>
      <c r="H299" s="351">
        <f t="shared" si="48"/>
        <v>-3089788.8592291572</v>
      </c>
      <c r="I299" s="351">
        <f t="shared" si="49"/>
        <v>-3089363.3529030406</v>
      </c>
      <c r="J299" s="351">
        <f t="shared" si="50"/>
        <v>-3089369.933384283</v>
      </c>
      <c r="K299" s="351">
        <f t="shared" si="51"/>
        <v>-3089377.1755822226</v>
      </c>
      <c r="L299" s="351">
        <f t="shared" si="52"/>
        <v>-3089381.2881216411</v>
      </c>
      <c r="M299" s="351">
        <f t="shared" si="53"/>
        <v>-3089370.8297311068</v>
      </c>
      <c r="N299" s="351">
        <f t="shared" si="54"/>
        <v>-3089363.2519318778</v>
      </c>
    </row>
    <row r="300" spans="3:14">
      <c r="C300">
        <v>1.95</v>
      </c>
      <c r="D300" s="351">
        <f t="shared" si="44"/>
        <v>-3305094.1511116577</v>
      </c>
      <c r="E300" s="351">
        <f t="shared" si="45"/>
        <v>-3127647.710152993</v>
      </c>
      <c r="F300" s="351">
        <f t="shared" si="46"/>
        <v>-3090835.1374642127</v>
      </c>
      <c r="G300" s="351">
        <f t="shared" si="47"/>
        <v>-3083215.3855303321</v>
      </c>
      <c r="H300" s="351">
        <f t="shared" si="48"/>
        <v>-3080722.5045882012</v>
      </c>
      <c r="I300" s="351">
        <f t="shared" si="49"/>
        <v>-3080306.9929215922</v>
      </c>
      <c r="J300" s="351">
        <f t="shared" si="50"/>
        <v>-3080313.3970520599</v>
      </c>
      <c r="K300" s="351">
        <f t="shared" si="51"/>
        <v>-3080320.4212739216</v>
      </c>
      <c r="L300" s="351">
        <f t="shared" si="52"/>
        <v>-3080324.3965126793</v>
      </c>
      <c r="M300" s="351">
        <f t="shared" si="53"/>
        <v>-3080314.3215530659</v>
      </c>
      <c r="N300" s="351">
        <f t="shared" si="54"/>
        <v>-3080307.0463207187</v>
      </c>
    </row>
    <row r="301" spans="3:14">
      <c r="C301">
        <v>1.96</v>
      </c>
      <c r="D301" s="351">
        <f t="shared" si="44"/>
        <v>-3293606.1148883365</v>
      </c>
      <c r="E301" s="351">
        <f t="shared" si="45"/>
        <v>-3117952.0486070095</v>
      </c>
      <c r="F301" s="351">
        <f t="shared" si="46"/>
        <v>-3081634.4278411022</v>
      </c>
      <c r="G301" s="351">
        <f t="shared" si="47"/>
        <v>-3074142.5211904151</v>
      </c>
      <c r="H301" s="351">
        <f t="shared" si="48"/>
        <v>-3071699.7467511008</v>
      </c>
      <c r="I301" s="351">
        <f t="shared" si="49"/>
        <v>-3071293.9623420015</v>
      </c>
      <c r="J301" s="351">
        <f t="shared" si="50"/>
        <v>-3071300.1954207001</v>
      </c>
      <c r="K301" s="351">
        <f t="shared" si="51"/>
        <v>-3071307.0089317518</v>
      </c>
      <c r="L301" s="351">
        <f t="shared" si="52"/>
        <v>-3071310.8518953198</v>
      </c>
      <c r="M301" s="351">
        <f t="shared" si="53"/>
        <v>-3071301.1450822102</v>
      </c>
      <c r="N301" s="351">
        <f t="shared" si="54"/>
        <v>-3071294.1593726249</v>
      </c>
    </row>
    <row r="302" spans="3:14">
      <c r="C302">
        <v>1.97</v>
      </c>
      <c r="D302" s="351">
        <f t="shared" si="44"/>
        <v>-3282197.6014195946</v>
      </c>
      <c r="E302" s="351">
        <f t="shared" si="45"/>
        <v>-3108311.8513223948</v>
      </c>
      <c r="F302" s="351">
        <f t="shared" si="46"/>
        <v>-3072480.891968132</v>
      </c>
      <c r="G302" s="351">
        <f t="shared" si="47"/>
        <v>-3065114.2652110853</v>
      </c>
      <c r="H302" s="351">
        <f t="shared" si="48"/>
        <v>-3062720.4262150484</v>
      </c>
      <c r="I302" s="351">
        <f t="shared" si="49"/>
        <v>-3062324.1096830708</v>
      </c>
      <c r="J302" s="351">
        <f t="shared" si="50"/>
        <v>-3062330.1768326797</v>
      </c>
      <c r="K302" s="351">
        <f t="shared" si="51"/>
        <v>-3062336.7866327041</v>
      </c>
      <c r="L302" s="351">
        <f t="shared" si="52"/>
        <v>-3062340.5021465551</v>
      </c>
      <c r="M302" s="351">
        <f t="shared" si="53"/>
        <v>-3062331.148853384</v>
      </c>
      <c r="N302" s="351">
        <f t="shared" si="54"/>
        <v>-3062324.4402260436</v>
      </c>
    </row>
    <row r="303" spans="3:14">
      <c r="C303">
        <v>1.98</v>
      </c>
      <c r="D303" s="351">
        <f t="shared" si="44"/>
        <v>-3270867.7884463035</v>
      </c>
      <c r="E303" s="351">
        <f t="shared" si="45"/>
        <v>-3098726.6983514209</v>
      </c>
      <c r="F303" s="351">
        <f t="shared" si="46"/>
        <v>-3063374.2759813387</v>
      </c>
      <c r="G303" s="351">
        <f t="shared" si="47"/>
        <v>-3056130.4235856743</v>
      </c>
      <c r="H303" s="351">
        <f t="shared" si="48"/>
        <v>-3053784.3801483563</v>
      </c>
      <c r="I303" s="351">
        <f t="shared" si="49"/>
        <v>-3053397.2798682349</v>
      </c>
      <c r="J303" s="351">
        <f t="shared" si="50"/>
        <v>-3053403.1860415381</v>
      </c>
      <c r="K303" s="351">
        <f t="shared" si="51"/>
        <v>-3053409.598875382</v>
      </c>
      <c r="L303" s="351">
        <f t="shared" si="52"/>
        <v>-3053413.1915735882</v>
      </c>
      <c r="M303" s="351">
        <f t="shared" si="53"/>
        <v>-3053404.1778012509</v>
      </c>
      <c r="N303" s="351">
        <f t="shared" si="54"/>
        <v>-3053397.7343894127</v>
      </c>
    </row>
    <row r="304" spans="3:14">
      <c r="C304">
        <v>1.99</v>
      </c>
      <c r="D304" s="351">
        <f t="shared" si="44"/>
        <v>-3259615.8649987136</v>
      </c>
      <c r="E304" s="351">
        <f t="shared" si="45"/>
        <v>-3089196.1729896194</v>
      </c>
      <c r="F304" s="351">
        <f t="shared" si="46"/>
        <v>-3054314.3253912628</v>
      </c>
      <c r="G304" s="351">
        <f t="shared" si="47"/>
        <v>-3047190.8000911791</v>
      </c>
      <c r="H304" s="351">
        <f t="shared" si="48"/>
        <v>-3044891.4425724517</v>
      </c>
      <c r="I304" s="351">
        <f t="shared" si="49"/>
        <v>-3044513.3144172723</v>
      </c>
      <c r="J304" s="351">
        <f t="shared" si="50"/>
        <v>-3044519.0644033374</v>
      </c>
      <c r="K304" s="351">
        <f t="shared" si="51"/>
        <v>-3044525.2867710073</v>
      </c>
      <c r="L304" s="351">
        <f t="shared" si="52"/>
        <v>-3044528.7611044329</v>
      </c>
      <c r="M304" s="351">
        <f t="shared" si="53"/>
        <v>-3044520.073452394</v>
      </c>
      <c r="N304" s="351">
        <f t="shared" si="54"/>
        <v>-3044513.8839348303</v>
      </c>
    </row>
    <row r="305" spans="3:14">
      <c r="C305">
        <v>2</v>
      </c>
      <c r="D305" s="351">
        <f t="shared" si="44"/>
        <v>-3248441.0312034949</v>
      </c>
      <c r="E305" s="351">
        <f t="shared" si="45"/>
        <v>-3079719.8617699314</v>
      </c>
      <c r="F305" s="351">
        <f t="shared" si="46"/>
        <v>-3045300.7851797543</v>
      </c>
      <c r="G305" s="351">
        <f t="shared" si="47"/>
        <v>-3038295.1964324755</v>
      </c>
      <c r="H305" s="351">
        <f t="shared" si="48"/>
        <v>-3036041.4445368447</v>
      </c>
      <c r="I305" s="351">
        <f t="shared" si="49"/>
        <v>-3035672.051630585</v>
      </c>
      <c r="J305" s="351">
        <f t="shared" si="50"/>
        <v>-3035677.650060697</v>
      </c>
      <c r="K305" s="351">
        <f t="shared" si="51"/>
        <v>-3035683.6882270221</v>
      </c>
      <c r="L305" s="351">
        <f t="shared" si="52"/>
        <v>-3035687.0484711486</v>
      </c>
      <c r="M305" s="351">
        <f t="shared" si="53"/>
        <v>-3035678.6741099693</v>
      </c>
      <c r="N305" s="351">
        <f t="shared" si="54"/>
        <v>-3035672.7276841849</v>
      </c>
    </row>
    <row r="306" spans="3:14">
      <c r="C306">
        <v>2.0099999999999998</v>
      </c>
      <c r="D306" s="351">
        <f t="shared" si="44"/>
        <v>-3237342.4980947124</v>
      </c>
      <c r="E306" s="351">
        <f t="shared" si="45"/>
        <v>-3070297.3544558492</v>
      </c>
      <c r="F306" s="351">
        <f t="shared" si="46"/>
        <v>-3036333.3998927088</v>
      </c>
      <c r="G306" s="351">
        <f t="shared" si="47"/>
        <v>-3029443.4123808984</v>
      </c>
      <c r="H306" s="351">
        <f t="shared" si="48"/>
        <v>-3027234.2142873602</v>
      </c>
      <c r="I306" s="351">
        <f t="shared" si="49"/>
        <v>-3026873.3267663918</v>
      </c>
      <c r="J306" s="351">
        <f t="shared" si="50"/>
        <v>-3026878.7781197499</v>
      </c>
      <c r="K306" s="351">
        <f t="shared" si="51"/>
        <v>-3026884.6381236338</v>
      </c>
      <c r="L306" s="351">
        <f t="shared" si="52"/>
        <v>-3026887.8883860195</v>
      </c>
      <c r="M306" s="351">
        <f t="shared" si="53"/>
        <v>-3026879.8150312337</v>
      </c>
      <c r="N306" s="351">
        <f t="shared" si="54"/>
        <v>-3026874.101388087</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Sheet2"/>
  <dimension ref="A1:AS805"/>
  <sheetViews>
    <sheetView tabSelected="1" zoomScaleNormal="100" workbookViewId="0">
      <pane xSplit="1" ySplit="2" topLeftCell="Q149" activePane="bottomRight" state="frozen"/>
      <selection activeCell="G85" sqref="G85"/>
      <selection pane="topRight" activeCell="G85" sqref="G85"/>
      <selection pane="bottomLeft" activeCell="G85" sqref="G85"/>
      <selection pane="bottomRight" activeCell="Q151" sqref="Q151"/>
    </sheetView>
  </sheetViews>
  <sheetFormatPr defaultRowHeight="12.75"/>
  <cols>
    <col min="1" max="1" width="41.28515625" style="37" customWidth="1"/>
    <col min="2" max="2" width="14.85546875" style="37" customWidth="1"/>
    <col min="3" max="3" width="12.5703125" style="37" customWidth="1"/>
    <col min="4" max="9" width="11.5703125" style="37" customWidth="1"/>
    <col min="10" max="10" width="12.7109375" style="37" customWidth="1"/>
    <col min="11" max="31" width="11.5703125" style="37" customWidth="1"/>
    <col min="32" max="32" width="11.42578125" style="37" customWidth="1"/>
    <col min="33" max="42" width="11.5703125" style="37" customWidth="1"/>
    <col min="43" max="16384" width="9.140625" style="37"/>
  </cols>
  <sheetData>
    <row r="1" spans="1:42" ht="21">
      <c r="A1" s="198" t="s">
        <v>26</v>
      </c>
    </row>
    <row r="2" spans="1:42">
      <c r="A2" s="37" t="s">
        <v>31</v>
      </c>
      <c r="B2" s="199">
        <v>0</v>
      </c>
      <c r="C2" s="199">
        <f>B2+1</f>
        <v>1</v>
      </c>
      <c r="D2" s="199">
        <f t="shared" ref="D2:AP2" si="0">C2+1</f>
        <v>2</v>
      </c>
      <c r="E2" s="199">
        <f t="shared" si="0"/>
        <v>3</v>
      </c>
      <c r="F2" s="199">
        <f t="shared" si="0"/>
        <v>4</v>
      </c>
      <c r="G2" s="199">
        <f t="shared" si="0"/>
        <v>5</v>
      </c>
      <c r="H2" s="199">
        <f t="shared" si="0"/>
        <v>6</v>
      </c>
      <c r="I2" s="199">
        <f t="shared" si="0"/>
        <v>7</v>
      </c>
      <c r="J2" s="199">
        <f t="shared" si="0"/>
        <v>8</v>
      </c>
      <c r="K2" s="199">
        <f t="shared" si="0"/>
        <v>9</v>
      </c>
      <c r="L2" s="199">
        <f t="shared" si="0"/>
        <v>10</v>
      </c>
      <c r="M2" s="199">
        <f t="shared" si="0"/>
        <v>11</v>
      </c>
      <c r="N2" s="199">
        <f t="shared" si="0"/>
        <v>12</v>
      </c>
      <c r="O2" s="199">
        <f t="shared" si="0"/>
        <v>13</v>
      </c>
      <c r="P2" s="199">
        <f t="shared" si="0"/>
        <v>14</v>
      </c>
      <c r="Q2" s="199">
        <f t="shared" si="0"/>
        <v>15</v>
      </c>
      <c r="R2" s="199">
        <f t="shared" si="0"/>
        <v>16</v>
      </c>
      <c r="S2" s="199">
        <f t="shared" si="0"/>
        <v>17</v>
      </c>
      <c r="T2" s="199">
        <f t="shared" si="0"/>
        <v>18</v>
      </c>
      <c r="U2" s="199">
        <f t="shared" si="0"/>
        <v>19</v>
      </c>
      <c r="V2" s="199">
        <f t="shared" si="0"/>
        <v>20</v>
      </c>
      <c r="W2" s="199">
        <f t="shared" si="0"/>
        <v>21</v>
      </c>
      <c r="X2" s="199">
        <f t="shared" si="0"/>
        <v>22</v>
      </c>
      <c r="Y2" s="199">
        <f t="shared" si="0"/>
        <v>23</v>
      </c>
      <c r="Z2" s="199">
        <f t="shared" si="0"/>
        <v>24</v>
      </c>
      <c r="AA2" s="199">
        <f t="shared" si="0"/>
        <v>25</v>
      </c>
      <c r="AB2" s="199">
        <f t="shared" si="0"/>
        <v>26</v>
      </c>
      <c r="AC2" s="199">
        <f t="shared" si="0"/>
        <v>27</v>
      </c>
      <c r="AD2" s="199">
        <f t="shared" si="0"/>
        <v>28</v>
      </c>
      <c r="AE2" s="199">
        <f t="shared" si="0"/>
        <v>29</v>
      </c>
      <c r="AF2" s="199">
        <f>AE2+1</f>
        <v>30</v>
      </c>
      <c r="AG2" s="199">
        <f t="shared" si="0"/>
        <v>31</v>
      </c>
      <c r="AH2" s="199">
        <f t="shared" si="0"/>
        <v>32</v>
      </c>
      <c r="AI2" s="199">
        <f t="shared" si="0"/>
        <v>33</v>
      </c>
      <c r="AJ2" s="199">
        <f t="shared" si="0"/>
        <v>34</v>
      </c>
      <c r="AK2" s="199">
        <f t="shared" si="0"/>
        <v>35</v>
      </c>
      <c r="AL2" s="199">
        <f t="shared" si="0"/>
        <v>36</v>
      </c>
      <c r="AM2" s="199">
        <f>AL2+1</f>
        <v>37</v>
      </c>
      <c r="AN2" s="199">
        <f t="shared" si="0"/>
        <v>38</v>
      </c>
      <c r="AO2" s="199">
        <f t="shared" si="0"/>
        <v>39</v>
      </c>
      <c r="AP2" s="199">
        <f t="shared" si="0"/>
        <v>40</v>
      </c>
    </row>
    <row r="3" spans="1:42">
      <c r="B3" s="200"/>
      <c r="C3" s="200"/>
      <c r="D3" s="200"/>
      <c r="E3" s="200"/>
      <c r="F3" s="200"/>
      <c r="G3" s="200"/>
      <c r="H3" s="200"/>
      <c r="I3" s="200"/>
      <c r="J3" s="200"/>
      <c r="K3" s="200"/>
      <c r="L3" s="200"/>
      <c r="M3" s="200"/>
      <c r="N3" s="200"/>
      <c r="O3" s="200"/>
      <c r="P3" s="200"/>
      <c r="Q3" s="200"/>
      <c r="R3" s="200"/>
      <c r="S3" s="200"/>
      <c r="T3" s="200"/>
      <c r="U3" s="200"/>
      <c r="V3" s="200"/>
      <c r="W3" s="200"/>
      <c r="X3" s="200"/>
      <c r="Y3" s="200"/>
      <c r="Z3" s="200"/>
      <c r="AA3" s="200"/>
      <c r="AB3" s="200"/>
      <c r="AC3" s="200"/>
      <c r="AD3" s="200"/>
      <c r="AE3" s="200"/>
      <c r="AF3" s="200"/>
      <c r="AG3" s="200"/>
      <c r="AH3" s="200"/>
      <c r="AI3" s="200"/>
      <c r="AJ3" s="200"/>
      <c r="AK3" s="200"/>
      <c r="AL3" s="200"/>
      <c r="AM3" s="200"/>
      <c r="AN3" s="200"/>
      <c r="AO3" s="200"/>
      <c r="AP3" s="200"/>
    </row>
    <row r="4" spans="1:42">
      <c r="A4" s="201" t="s">
        <v>46</v>
      </c>
    </row>
    <row r="5" spans="1:42">
      <c r="A5" s="202" t="s">
        <v>47</v>
      </c>
      <c r="C5" s="164">
        <f>IF(C2&lt;=AnalysisPeriod,LOOKUP(C2,'Inputs &amp; Results'!$L$4:$L$43,'Inputs &amp; Results'!$M$4:$M$43),0)</f>
        <v>17000000</v>
      </c>
      <c r="D5" s="164">
        <f>IF(D2&lt;=AnalysisPeriod,LOOKUP(D2,'Inputs &amp; Results'!$L$4:$L$43,'Inputs &amp; Results'!$M$4:$M$43),0)</f>
        <v>16915000</v>
      </c>
      <c r="E5" s="164">
        <f>IF(E2&lt;=AnalysisPeriod,LOOKUP(E2,'Inputs &amp; Results'!$L$4:$L$43,'Inputs &amp; Results'!$M$4:$M$43),0)</f>
        <v>16830425</v>
      </c>
      <c r="F5" s="164">
        <f>IF(F2&lt;=AnalysisPeriod,LOOKUP(F2,'Inputs &amp; Results'!$L$4:$L$43,'Inputs &amp; Results'!$M$4:$M$43),0)</f>
        <v>16746272.875</v>
      </c>
      <c r="G5" s="164">
        <f>IF(G2&lt;=AnalysisPeriod,LOOKUP(G2,'Inputs &amp; Results'!$L$4:$L$43,'Inputs &amp; Results'!$M$4:$M$43),0)</f>
        <v>16662541.510624999</v>
      </c>
      <c r="H5" s="164">
        <f>IF(H2&lt;=AnalysisPeriod,LOOKUP(H2,'Inputs &amp; Results'!$L$4:$L$43,'Inputs &amp; Results'!$M$4:$M$43),0)</f>
        <v>16579228.803071873</v>
      </c>
      <c r="I5" s="164">
        <f>IF(I2&lt;=AnalysisPeriod,LOOKUP(I2,'Inputs &amp; Results'!$L$4:$L$43,'Inputs &amp; Results'!$M$4:$M$43),0)</f>
        <v>16496332.659056515</v>
      </c>
      <c r="J5" s="164">
        <f>IF(J2&lt;=AnalysisPeriod,LOOKUP(J2,'Inputs &amp; Results'!$L$4:$L$43,'Inputs &amp; Results'!$M$4:$M$43),0)</f>
        <v>16413850.995761232</v>
      </c>
      <c r="K5" s="164">
        <f>IF(K2&lt;=AnalysisPeriod,LOOKUP(K2,'Inputs &amp; Results'!$L$4:$L$43,'Inputs &amp; Results'!$M$4:$M$43),0)</f>
        <v>16331781.740782427</v>
      </c>
      <c r="L5" s="164">
        <f>IF(L2&lt;=AnalysisPeriod,LOOKUP(L2,'Inputs &amp; Results'!$L$4:$L$43,'Inputs &amp; Results'!$M$4:$M$43),0)</f>
        <v>16250122.832078515</v>
      </c>
      <c r="M5" s="164">
        <f>IF(M2&lt;=AnalysisPeriod,LOOKUP(M2,'Inputs &amp; Results'!$L$4:$L$43,'Inputs &amp; Results'!$M$4:$M$43),0)</f>
        <v>16168872.217918122</v>
      </c>
      <c r="N5" s="164">
        <f>IF(N2&lt;=AnalysisPeriod,LOOKUP(N2,'Inputs &amp; Results'!$L$4:$L$43,'Inputs &amp; Results'!$M$4:$M$43),0)</f>
        <v>16088027.856828531</v>
      </c>
      <c r="O5" s="164">
        <f>IF(O2&lt;=AnalysisPeriod,LOOKUP(O2,'Inputs &amp; Results'!$L$4:$L$43,'Inputs &amp; Results'!$M$4:$M$43),0)</f>
        <v>16007587.717544388</v>
      </c>
      <c r="P5" s="164">
        <f>IF(P2&lt;=AnalysisPeriod,LOOKUP(P2,'Inputs &amp; Results'!$L$4:$L$43,'Inputs &amp; Results'!$M$4:$M$43),0)</f>
        <v>15927549.778956667</v>
      </c>
      <c r="Q5" s="164">
        <f>IF(Q2&lt;=AnalysisPeriod,LOOKUP(Q2,'Inputs &amp; Results'!$L$4:$L$43,'Inputs &amp; Results'!$M$4:$M$43),0)</f>
        <v>15847912.030061884</v>
      </c>
      <c r="R5" s="164">
        <f>IF(R2&lt;=AnalysisPeriod,LOOKUP(R2,'Inputs &amp; Results'!$L$4:$L$43,'Inputs &amp; Results'!$M$4:$M$43),0)</f>
        <v>15768672.469911573</v>
      </c>
      <c r="S5" s="164">
        <f>IF(S2&lt;=AnalysisPeriod,LOOKUP(S2,'Inputs &amp; Results'!$L$4:$L$43,'Inputs &amp; Results'!$M$4:$M$43),0)</f>
        <v>15689829.107562015</v>
      </c>
      <c r="T5" s="164">
        <f>IF(T2&lt;=AnalysisPeriod,LOOKUP(T2,'Inputs &amp; Results'!$L$4:$L$43,'Inputs &amp; Results'!$M$4:$M$43),0)</f>
        <v>15611379.962024204</v>
      </c>
      <c r="U5" s="164">
        <f>IF(U2&lt;=AnalysisPeriod,LOOKUP(U2,'Inputs &amp; Results'!$L$4:$L$43,'Inputs &amp; Results'!$M$4:$M$43),0)</f>
        <v>15533323.062214084</v>
      </c>
      <c r="V5" s="164">
        <f>IF(V2&lt;=AnalysisPeriod,LOOKUP(V2,'Inputs &amp; Results'!$L$4:$L$43,'Inputs &amp; Results'!$M$4:$M$43),0)</f>
        <v>15455656.446903013</v>
      </c>
      <c r="W5" s="164">
        <f>IF(W2&lt;=AnalysisPeriod,LOOKUP(W2,'Inputs &amp; Results'!$L$4:$L$43,'Inputs &amp; Results'!$M$4:$M$43),0)</f>
        <v>15378378.164668497</v>
      </c>
      <c r="X5" s="164">
        <f>IF(X2&lt;=AnalysisPeriod,LOOKUP(X2,'Inputs &amp; Results'!$L$4:$L$43,'Inputs &amp; Results'!$M$4:$M$43),0)</f>
        <v>15301486.273845155</v>
      </c>
      <c r="Y5" s="164">
        <f>IF(Y2&lt;=AnalysisPeriod,LOOKUP(Y2,'Inputs &amp; Results'!$L$4:$L$43,'Inputs &amp; Results'!$M$4:$M$43),0)</f>
        <v>15224978.842475928</v>
      </c>
      <c r="Z5" s="164">
        <f>IF(Z2&lt;=AnalysisPeriod,LOOKUP(Z2,'Inputs &amp; Results'!$L$4:$L$43,'Inputs &amp; Results'!$M$4:$M$43),0)</f>
        <v>15148853.948263548</v>
      </c>
      <c r="AA5" s="164">
        <f>IF(AA2&lt;=AnalysisPeriod,LOOKUP(AA2,'Inputs &amp; Results'!$L$4:$L$43,'Inputs &amp; Results'!$M$4:$M$43),0)</f>
        <v>15073109.678522231</v>
      </c>
      <c r="AB5" s="164">
        <f>IF(AB2&lt;=AnalysisPeriod,LOOKUP(AB2,'Inputs &amp; Results'!$L$4:$L$43,'Inputs &amp; Results'!$M$4:$M$43),0)</f>
        <v>14997744.13012962</v>
      </c>
      <c r="AC5" s="164">
        <f>IF(AC2&lt;=AnalysisPeriod,LOOKUP(AC2,'Inputs &amp; Results'!$L$4:$L$43,'Inputs &amp; Results'!$M$4:$M$43),0)</f>
        <v>14922755.409478972</v>
      </c>
      <c r="AD5" s="164">
        <f>IF(AD2&lt;=AnalysisPeriod,LOOKUP(AD2,'Inputs &amp; Results'!$L$4:$L$43,'Inputs &amp; Results'!$M$4:$M$43),0)</f>
        <v>14848141.632431576</v>
      </c>
      <c r="AE5" s="164">
        <f>IF(AE2&lt;=AnalysisPeriod,LOOKUP(AE2,'Inputs &amp; Results'!$L$4:$L$43,'Inputs &amp; Results'!$M$4:$M$43),0)</f>
        <v>14773900.924269417</v>
      </c>
      <c r="AF5" s="164">
        <f>IF(AF2&lt;=AnalysisPeriod,LOOKUP(AF2,'Inputs &amp; Results'!$L$4:$L$43,'Inputs &amp; Results'!$M$4:$M$43),0)</f>
        <v>14700031.41964807</v>
      </c>
      <c r="AG5" s="164">
        <f>IF(AG2&lt;=AnalysisPeriod,LOOKUP(AG2,'Inputs &amp; Results'!$L$4:$L$43,'Inputs &amp; Results'!$M$4:$M$43),0)</f>
        <v>0</v>
      </c>
      <c r="AH5" s="164">
        <f>IF(AH2&lt;=AnalysisPeriod,LOOKUP(AH2,'Inputs &amp; Results'!$L$4:$L$43,'Inputs &amp; Results'!$M$4:$M$43),0)</f>
        <v>0</v>
      </c>
      <c r="AI5" s="164">
        <f>IF(AI2&lt;=AnalysisPeriod,LOOKUP(AI2,'Inputs &amp; Results'!$L$4:$L$43,'Inputs &amp; Results'!$M$4:$M$43),0)</f>
        <v>0</v>
      </c>
      <c r="AJ5" s="164">
        <f>IF(AJ2&lt;=AnalysisPeriod,LOOKUP(AJ2,'Inputs &amp; Results'!$L$4:$L$43,'Inputs &amp; Results'!$M$4:$M$43),0)</f>
        <v>0</v>
      </c>
      <c r="AK5" s="164">
        <f>IF(AK2&lt;=AnalysisPeriod,LOOKUP(AK2,'Inputs &amp; Results'!$L$4:$L$43,'Inputs &amp; Results'!$M$4:$M$43),0)</f>
        <v>0</v>
      </c>
      <c r="AL5" s="164">
        <f>IF(AL2&lt;=AnalysisPeriod,LOOKUP(AL2,'Inputs &amp; Results'!$L$4:$L$43,'Inputs &amp; Results'!$M$4:$M$43),0)</f>
        <v>0</v>
      </c>
      <c r="AM5" s="164">
        <f>IF(AM2&lt;=AnalysisPeriod,LOOKUP(AM2,'Inputs &amp; Results'!$L$4:$L$43,'Inputs &amp; Results'!$M$4:$M$43),0)</f>
        <v>0</v>
      </c>
      <c r="AN5" s="164">
        <f>IF(AN2&lt;=AnalysisPeriod,LOOKUP(AN2,'Inputs &amp; Results'!$L$4:$L$43,'Inputs &amp; Results'!$M$4:$M$43),0)</f>
        <v>0</v>
      </c>
      <c r="AO5" s="164">
        <f>IF(AO2&lt;=AnalysisPeriod,LOOKUP(AO2,'Inputs &amp; Results'!$L$4:$L$43,'Inputs &amp; Results'!$M$4:$M$43),0)</f>
        <v>0</v>
      </c>
      <c r="AP5" s="164">
        <f>IF(AP2&lt;=AnalysisPeriod,LOOKUP(AP2,'Inputs &amp; Results'!$L$4:$L$43,'Inputs &amp; Results'!$M$4:$M$43),0)</f>
        <v>0</v>
      </c>
    </row>
    <row r="6" spans="1:42">
      <c r="C6" s="164"/>
      <c r="D6" s="164"/>
      <c r="E6" s="164"/>
      <c r="F6" s="164"/>
      <c r="G6" s="164"/>
      <c r="H6" s="164"/>
      <c r="I6" s="164"/>
      <c r="J6" s="164"/>
      <c r="K6" s="164"/>
      <c r="L6" s="164"/>
      <c r="M6" s="164"/>
      <c r="N6" s="164"/>
      <c r="O6" s="164"/>
      <c r="P6" s="164"/>
      <c r="Q6" s="164"/>
      <c r="R6" s="164"/>
      <c r="S6" s="164"/>
      <c r="T6" s="164"/>
      <c r="U6" s="164"/>
      <c r="V6" s="164"/>
      <c r="W6" s="164"/>
      <c r="X6" s="164"/>
      <c r="Y6" s="164"/>
      <c r="Z6" s="164"/>
      <c r="AA6" s="164"/>
      <c r="AB6" s="164"/>
      <c r="AC6" s="164"/>
      <c r="AD6" s="164"/>
      <c r="AE6" s="164"/>
      <c r="AF6" s="164"/>
      <c r="AG6" s="164"/>
      <c r="AH6" s="164"/>
      <c r="AI6" s="164"/>
      <c r="AJ6" s="164"/>
      <c r="AK6" s="164"/>
      <c r="AL6" s="164"/>
      <c r="AM6" s="164"/>
      <c r="AN6" s="164"/>
      <c r="AO6" s="164"/>
      <c r="AP6" s="164"/>
    </row>
    <row r="7" spans="1:42">
      <c r="A7" s="201" t="s">
        <v>293</v>
      </c>
      <c r="C7" s="203"/>
      <c r="D7" s="203"/>
      <c r="E7" s="203"/>
      <c r="F7" s="203"/>
      <c r="G7" s="203"/>
      <c r="H7" s="203"/>
      <c r="I7" s="203"/>
      <c r="J7" s="164"/>
      <c r="K7" s="164"/>
      <c r="L7" s="164"/>
      <c r="M7" s="164"/>
      <c r="N7" s="164"/>
      <c r="O7" s="164"/>
      <c r="P7" s="164"/>
      <c r="Q7" s="164"/>
      <c r="R7" s="164"/>
      <c r="S7" s="164"/>
      <c r="T7" s="164"/>
      <c r="U7" s="164"/>
      <c r="V7" s="164"/>
      <c r="W7" s="164"/>
      <c r="X7" s="164"/>
      <c r="Y7" s="164"/>
      <c r="Z7" s="164"/>
      <c r="AA7" s="164"/>
      <c r="AB7" s="164"/>
      <c r="AC7" s="164"/>
      <c r="AD7" s="164"/>
      <c r="AE7" s="164"/>
      <c r="AF7" s="164"/>
      <c r="AG7" s="164"/>
      <c r="AH7" s="164"/>
      <c r="AI7" s="164"/>
      <c r="AJ7" s="164"/>
      <c r="AK7" s="164"/>
      <c r="AL7" s="164"/>
      <c r="AM7" s="164"/>
      <c r="AN7" s="164"/>
      <c r="AO7" s="164"/>
      <c r="AP7" s="164"/>
    </row>
    <row r="8" spans="1:42">
      <c r="A8" s="204" t="s">
        <v>76</v>
      </c>
      <c r="C8" s="164"/>
      <c r="D8" s="164"/>
      <c r="E8" s="164"/>
      <c r="F8" s="164"/>
      <c r="G8" s="164"/>
      <c r="H8" s="164"/>
      <c r="I8" s="164"/>
      <c r="J8" s="164"/>
      <c r="K8" s="164"/>
      <c r="L8" s="164"/>
      <c r="M8" s="164"/>
      <c r="N8" s="164"/>
      <c r="O8" s="164"/>
      <c r="P8" s="164"/>
      <c r="Q8" s="164"/>
      <c r="R8" s="164"/>
      <c r="S8" s="164"/>
      <c r="T8" s="164"/>
      <c r="U8" s="164"/>
      <c r="V8" s="164"/>
      <c r="W8" s="164"/>
      <c r="X8" s="164"/>
      <c r="Y8" s="164"/>
      <c r="Z8" s="164"/>
      <c r="AA8" s="164"/>
      <c r="AB8" s="164"/>
      <c r="AC8" s="164"/>
      <c r="AD8" s="164"/>
      <c r="AE8" s="164"/>
      <c r="AF8" s="164"/>
      <c r="AG8" s="164"/>
      <c r="AH8" s="164"/>
      <c r="AI8" s="164"/>
      <c r="AJ8" s="164"/>
      <c r="AK8" s="164"/>
      <c r="AL8" s="164"/>
      <c r="AM8" s="164"/>
      <c r="AN8" s="164"/>
      <c r="AO8" s="164"/>
      <c r="AP8" s="164"/>
    </row>
    <row r="9" spans="1:42">
      <c r="A9" s="37" t="s">
        <v>77</v>
      </c>
      <c r="C9" s="164"/>
      <c r="D9" s="205"/>
      <c r="E9" s="164"/>
      <c r="F9" s="164"/>
      <c r="G9" s="164"/>
      <c r="H9" s="164"/>
      <c r="I9" s="164"/>
      <c r="J9" s="164"/>
      <c r="K9" s="164"/>
      <c r="L9" s="164"/>
      <c r="M9" s="164"/>
      <c r="N9" s="164"/>
      <c r="O9" s="164"/>
      <c r="P9" s="164"/>
      <c r="Q9" s="164"/>
      <c r="R9" s="164"/>
      <c r="S9" s="164"/>
      <c r="T9" s="164"/>
      <c r="U9" s="164"/>
      <c r="V9" s="164"/>
      <c r="W9" s="164"/>
      <c r="X9" s="164"/>
      <c r="Y9" s="164"/>
      <c r="Z9" s="164"/>
      <c r="AA9" s="164"/>
      <c r="AB9" s="164"/>
      <c r="AC9" s="164"/>
      <c r="AD9" s="164"/>
      <c r="AE9" s="164"/>
      <c r="AF9" s="164"/>
      <c r="AG9" s="164"/>
      <c r="AH9" s="164"/>
      <c r="AI9" s="164"/>
      <c r="AJ9" s="164"/>
      <c r="AK9" s="164"/>
      <c r="AL9" s="164"/>
      <c r="AM9" s="164"/>
      <c r="AN9" s="164"/>
      <c r="AO9" s="164"/>
      <c r="AP9" s="164"/>
    </row>
    <row r="10" spans="1:42">
      <c r="A10" s="206" t="s">
        <v>47</v>
      </c>
      <c r="C10" s="164">
        <f>C5</f>
        <v>17000000</v>
      </c>
      <c r="D10" s="164">
        <f>D5</f>
        <v>16915000</v>
      </c>
      <c r="E10" s="164">
        <f>E5</f>
        <v>16830425</v>
      </c>
      <c r="F10" s="164">
        <f t="shared" ref="F10:AP10" si="1">F5</f>
        <v>16746272.875</v>
      </c>
      <c r="G10" s="164">
        <f t="shared" si="1"/>
        <v>16662541.510624999</v>
      </c>
      <c r="H10" s="164">
        <f t="shared" si="1"/>
        <v>16579228.803071873</v>
      </c>
      <c r="I10" s="164">
        <f t="shared" si="1"/>
        <v>16496332.659056515</v>
      </c>
      <c r="J10" s="164">
        <f t="shared" si="1"/>
        <v>16413850.995761232</v>
      </c>
      <c r="K10" s="164">
        <f t="shared" si="1"/>
        <v>16331781.740782427</v>
      </c>
      <c r="L10" s="164">
        <f t="shared" si="1"/>
        <v>16250122.832078515</v>
      </c>
      <c r="M10" s="164">
        <f t="shared" si="1"/>
        <v>16168872.217918122</v>
      </c>
      <c r="N10" s="164">
        <f t="shared" si="1"/>
        <v>16088027.856828531</v>
      </c>
      <c r="O10" s="164">
        <f t="shared" si="1"/>
        <v>16007587.717544388</v>
      </c>
      <c r="P10" s="164">
        <f t="shared" si="1"/>
        <v>15927549.778956667</v>
      </c>
      <c r="Q10" s="164">
        <f t="shared" si="1"/>
        <v>15847912.030061884</v>
      </c>
      <c r="R10" s="164">
        <f t="shared" si="1"/>
        <v>15768672.469911573</v>
      </c>
      <c r="S10" s="164">
        <f t="shared" si="1"/>
        <v>15689829.107562015</v>
      </c>
      <c r="T10" s="164">
        <f t="shared" si="1"/>
        <v>15611379.962024204</v>
      </c>
      <c r="U10" s="164">
        <f t="shared" si="1"/>
        <v>15533323.062214084</v>
      </c>
      <c r="V10" s="164">
        <f t="shared" si="1"/>
        <v>15455656.446903013</v>
      </c>
      <c r="W10" s="164">
        <f t="shared" si="1"/>
        <v>15378378.164668497</v>
      </c>
      <c r="X10" s="164">
        <f t="shared" si="1"/>
        <v>15301486.273845155</v>
      </c>
      <c r="Y10" s="164">
        <f t="shared" si="1"/>
        <v>15224978.842475928</v>
      </c>
      <c r="Z10" s="164">
        <f t="shared" si="1"/>
        <v>15148853.948263548</v>
      </c>
      <c r="AA10" s="164">
        <f t="shared" si="1"/>
        <v>15073109.678522231</v>
      </c>
      <c r="AB10" s="164">
        <f t="shared" si="1"/>
        <v>14997744.13012962</v>
      </c>
      <c r="AC10" s="164">
        <f t="shared" si="1"/>
        <v>14922755.409478972</v>
      </c>
      <c r="AD10" s="164">
        <f t="shared" si="1"/>
        <v>14848141.632431576</v>
      </c>
      <c r="AE10" s="164">
        <f t="shared" si="1"/>
        <v>14773900.924269417</v>
      </c>
      <c r="AF10" s="164">
        <f t="shared" si="1"/>
        <v>14700031.41964807</v>
      </c>
      <c r="AG10" s="164">
        <f t="shared" si="1"/>
        <v>0</v>
      </c>
      <c r="AH10" s="164">
        <f t="shared" si="1"/>
        <v>0</v>
      </c>
      <c r="AI10" s="164">
        <f t="shared" si="1"/>
        <v>0</v>
      </c>
      <c r="AJ10" s="164">
        <f t="shared" si="1"/>
        <v>0</v>
      </c>
      <c r="AK10" s="164">
        <f t="shared" si="1"/>
        <v>0</v>
      </c>
      <c r="AL10" s="164">
        <f t="shared" si="1"/>
        <v>0</v>
      </c>
      <c r="AM10" s="164">
        <f t="shared" si="1"/>
        <v>0</v>
      </c>
      <c r="AN10" s="164">
        <f t="shared" si="1"/>
        <v>0</v>
      </c>
      <c r="AO10" s="164">
        <f t="shared" si="1"/>
        <v>0</v>
      </c>
      <c r="AP10" s="164">
        <f t="shared" si="1"/>
        <v>0</v>
      </c>
    </row>
    <row r="11" spans="1:42">
      <c r="A11" s="206" t="s">
        <v>48</v>
      </c>
      <c r="C11" s="207">
        <f t="shared" ref="C11:AP11" si="2">LeveragedFlipPPAPrice*(1+LeveragedFlipPPAPriceEsc)^B2</f>
        <v>34.753994881306902</v>
      </c>
      <c r="D11" s="207">
        <f t="shared" si="2"/>
        <v>35.449074778933038</v>
      </c>
      <c r="E11" s="207">
        <f t="shared" si="2"/>
        <v>36.158056274511701</v>
      </c>
      <c r="F11" s="207">
        <f t="shared" si="2"/>
        <v>36.88121740000193</v>
      </c>
      <c r="G11" s="207">
        <f t="shared" si="2"/>
        <v>37.618841748001969</v>
      </c>
      <c r="H11" s="207">
        <f t="shared" si="2"/>
        <v>38.371218582962015</v>
      </c>
      <c r="I11" s="207">
        <f t="shared" si="2"/>
        <v>39.138642954621254</v>
      </c>
      <c r="J11" s="207">
        <f t="shared" si="2"/>
        <v>39.921415813713672</v>
      </c>
      <c r="K11" s="207">
        <f t="shared" si="2"/>
        <v>40.719844129987948</v>
      </c>
      <c r="L11" s="207">
        <f t="shared" si="2"/>
        <v>41.534241012587707</v>
      </c>
      <c r="M11" s="207">
        <f t="shared" si="2"/>
        <v>42.364925832839461</v>
      </c>
      <c r="N11" s="207">
        <f t="shared" si="2"/>
        <v>43.212224349496246</v>
      </c>
      <c r="O11" s="207">
        <f t="shared" si="2"/>
        <v>44.076468836486178</v>
      </c>
      <c r="P11" s="207">
        <f t="shared" si="2"/>
        <v>44.957998213215902</v>
      </c>
      <c r="Q11" s="207">
        <f t="shared" si="2"/>
        <v>45.857158177480223</v>
      </c>
      <c r="R11" s="207">
        <f t="shared" si="2"/>
        <v>46.774301341029812</v>
      </c>
      <c r="S11" s="207">
        <f t="shared" si="2"/>
        <v>47.709787367850417</v>
      </c>
      <c r="T11" s="207">
        <f t="shared" si="2"/>
        <v>48.663983115207429</v>
      </c>
      <c r="U11" s="207">
        <f t="shared" si="2"/>
        <v>49.637262777511573</v>
      </c>
      <c r="V11" s="207">
        <f t="shared" si="2"/>
        <v>50.630008033061799</v>
      </c>
      <c r="W11" s="207">
        <f t="shared" si="2"/>
        <v>51.642608193723042</v>
      </c>
      <c r="X11" s="207">
        <f t="shared" si="2"/>
        <v>52.675460357597501</v>
      </c>
      <c r="Y11" s="207">
        <f t="shared" si="2"/>
        <v>53.728969564749455</v>
      </c>
      <c r="Z11" s="207">
        <f t="shared" si="2"/>
        <v>54.80354895604443</v>
      </c>
      <c r="AA11" s="207">
        <f t="shared" si="2"/>
        <v>55.899619935165326</v>
      </c>
      <c r="AB11" s="207">
        <f t="shared" si="2"/>
        <v>57.017612333868627</v>
      </c>
      <c r="AC11" s="207">
        <f t="shared" si="2"/>
        <v>58.157964580546007</v>
      </c>
      <c r="AD11" s="207">
        <f t="shared" si="2"/>
        <v>59.321123872156917</v>
      </c>
      <c r="AE11" s="207">
        <f t="shared" si="2"/>
        <v>60.507546349600069</v>
      </c>
      <c r="AF11" s="207">
        <f t="shared" si="2"/>
        <v>61.717697276592062</v>
      </c>
      <c r="AG11" s="207">
        <f t="shared" si="2"/>
        <v>62.952051222123906</v>
      </c>
      <c r="AH11" s="207">
        <f t="shared" si="2"/>
        <v>64.211092246566366</v>
      </c>
      <c r="AI11" s="207">
        <f t="shared" si="2"/>
        <v>65.495314091497718</v>
      </c>
      <c r="AJ11" s="207">
        <f t="shared" si="2"/>
        <v>66.805220373327671</v>
      </c>
      <c r="AK11" s="207">
        <f t="shared" si="2"/>
        <v>68.141324780794221</v>
      </c>
      <c r="AL11" s="207">
        <f t="shared" si="2"/>
        <v>69.504151276410099</v>
      </c>
      <c r="AM11" s="207">
        <f t="shared" si="2"/>
        <v>70.894234301938297</v>
      </c>
      <c r="AN11" s="207">
        <f t="shared" si="2"/>
        <v>72.312118987977072</v>
      </c>
      <c r="AO11" s="207">
        <f t="shared" si="2"/>
        <v>73.758361367736626</v>
      </c>
      <c r="AP11" s="207">
        <f t="shared" si="2"/>
        <v>75.233528595091329</v>
      </c>
    </row>
    <row r="12" spans="1:42">
      <c r="A12" s="206" t="s">
        <v>75</v>
      </c>
      <c r="C12" s="164">
        <f t="shared" ref="C12:AP12" si="3">C10*C11/100</f>
        <v>5908179.1298221732</v>
      </c>
      <c r="D12" s="164">
        <f t="shared" si="3"/>
        <v>5996210.9988565231</v>
      </c>
      <c r="E12" s="164">
        <f t="shared" si="3"/>
        <v>6085554.5427394854</v>
      </c>
      <c r="F12" s="164">
        <f t="shared" si="3"/>
        <v>6176229.3054263033</v>
      </c>
      <c r="G12" s="164">
        <f t="shared" si="3"/>
        <v>6268255.1220771549</v>
      </c>
      <c r="H12" s="164">
        <f t="shared" si="3"/>
        <v>6361652.1233961061</v>
      </c>
      <c r="I12" s="164">
        <f t="shared" si="3"/>
        <v>6456440.7400347078</v>
      </c>
      <c r="J12" s="164">
        <f t="shared" si="3"/>
        <v>6552641.7070612237</v>
      </c>
      <c r="K12" s="164">
        <f t="shared" si="3"/>
        <v>6650276.0684964359</v>
      </c>
      <c r="L12" s="164">
        <f t="shared" si="3"/>
        <v>6749365.1819170332</v>
      </c>
      <c r="M12" s="164">
        <f t="shared" si="3"/>
        <v>6849930.7231275979</v>
      </c>
      <c r="N12" s="164">
        <f t="shared" si="3"/>
        <v>6951994.6909021977</v>
      </c>
      <c r="O12" s="164">
        <f t="shared" si="3"/>
        <v>7055579.4117966415</v>
      </c>
      <c r="P12" s="164">
        <f t="shared" si="3"/>
        <v>7160707.5450324118</v>
      </c>
      <c r="Q12" s="164">
        <f t="shared" si="3"/>
        <v>7267402.0874533951</v>
      </c>
      <c r="R12" s="164">
        <f t="shared" si="3"/>
        <v>7375686.378556448</v>
      </c>
      <c r="S12" s="164">
        <f t="shared" si="3"/>
        <v>7485584.105596941</v>
      </c>
      <c r="T12" s="164">
        <f t="shared" si="3"/>
        <v>7597119.3087703343</v>
      </c>
      <c r="U12" s="164">
        <f t="shared" si="3"/>
        <v>7710316.3864710126</v>
      </c>
      <c r="V12" s="164">
        <f t="shared" si="3"/>
        <v>7825200.1006294284</v>
      </c>
      <c r="W12" s="164">
        <f t="shared" si="3"/>
        <v>7941795.5821288088</v>
      </c>
      <c r="X12" s="164">
        <f t="shared" si="3"/>
        <v>8060128.3363025272</v>
      </c>
      <c r="Y12" s="164">
        <f t="shared" si="3"/>
        <v>8180224.248513435</v>
      </c>
      <c r="Z12" s="164">
        <f t="shared" si="3"/>
        <v>8302109.5898162834</v>
      </c>
      <c r="AA12" s="164">
        <f t="shared" si="3"/>
        <v>8425811.0227045473</v>
      </c>
      <c r="AB12" s="164">
        <f t="shared" si="3"/>
        <v>8551355.6069428436</v>
      </c>
      <c r="AC12" s="164">
        <f t="shared" si="3"/>
        <v>8678770.8054862935</v>
      </c>
      <c r="AD12" s="164">
        <f t="shared" si="3"/>
        <v>8808084.4904880375</v>
      </c>
      <c r="AE12" s="164">
        <f t="shared" si="3"/>
        <v>8939324.9493963104</v>
      </c>
      <c r="AF12" s="164">
        <f t="shared" si="3"/>
        <v>9072520.8911423143</v>
      </c>
      <c r="AG12" s="164">
        <f t="shared" si="3"/>
        <v>0</v>
      </c>
      <c r="AH12" s="164">
        <f t="shared" si="3"/>
        <v>0</v>
      </c>
      <c r="AI12" s="164">
        <f t="shared" si="3"/>
        <v>0</v>
      </c>
      <c r="AJ12" s="164">
        <f t="shared" si="3"/>
        <v>0</v>
      </c>
      <c r="AK12" s="164">
        <f t="shared" si="3"/>
        <v>0</v>
      </c>
      <c r="AL12" s="164">
        <f t="shared" si="3"/>
        <v>0</v>
      </c>
      <c r="AM12" s="164">
        <f t="shared" si="3"/>
        <v>0</v>
      </c>
      <c r="AN12" s="164">
        <f t="shared" si="3"/>
        <v>0</v>
      </c>
      <c r="AO12" s="164">
        <f t="shared" si="3"/>
        <v>0</v>
      </c>
      <c r="AP12" s="164">
        <f t="shared" si="3"/>
        <v>0</v>
      </c>
    </row>
    <row r="13" spans="1:42">
      <c r="A13" s="37" t="s">
        <v>78</v>
      </c>
      <c r="C13" s="164"/>
      <c r="D13" s="164"/>
      <c r="E13" s="164"/>
      <c r="F13" s="164"/>
      <c r="G13" s="164"/>
      <c r="H13" s="164"/>
      <c r="I13" s="164"/>
      <c r="J13" s="164"/>
      <c r="K13" s="164"/>
      <c r="L13" s="164"/>
      <c r="M13" s="164"/>
      <c r="N13" s="164"/>
      <c r="O13" s="164"/>
      <c r="P13" s="164"/>
      <c r="Q13" s="164"/>
      <c r="R13" s="164"/>
      <c r="S13" s="164"/>
      <c r="T13" s="164"/>
      <c r="U13" s="164"/>
      <c r="V13" s="164"/>
      <c r="W13" s="164"/>
      <c r="X13" s="164"/>
      <c r="Y13" s="164"/>
      <c r="Z13" s="164"/>
      <c r="AA13" s="164"/>
      <c r="AB13" s="164"/>
      <c r="AC13" s="164"/>
      <c r="AD13" s="164"/>
      <c r="AE13" s="164"/>
      <c r="AF13" s="164"/>
      <c r="AG13" s="164"/>
      <c r="AH13" s="164"/>
      <c r="AI13" s="164"/>
      <c r="AJ13" s="164"/>
      <c r="AK13" s="164"/>
      <c r="AL13" s="164"/>
      <c r="AM13" s="164"/>
      <c r="AN13" s="164"/>
      <c r="AO13" s="164"/>
      <c r="AP13" s="164"/>
    </row>
    <row r="14" spans="1:42">
      <c r="A14" s="206" t="str">
        <f>'Inputs &amp; Results'!A60</f>
        <v>Federal</v>
      </c>
      <c r="C14" s="208">
        <f t="shared" ref="C14:AP14" si="4">IF(PBIFedDebtSwitch="Yes",C652,0)</f>
        <v>0</v>
      </c>
      <c r="D14" s="208">
        <f t="shared" si="4"/>
        <v>0</v>
      </c>
      <c r="E14" s="208">
        <f t="shared" si="4"/>
        <v>0</v>
      </c>
      <c r="F14" s="208">
        <f t="shared" si="4"/>
        <v>0</v>
      </c>
      <c r="G14" s="208">
        <f t="shared" si="4"/>
        <v>0</v>
      </c>
      <c r="H14" s="208">
        <f t="shared" si="4"/>
        <v>0</v>
      </c>
      <c r="I14" s="208">
        <f t="shared" si="4"/>
        <v>0</v>
      </c>
      <c r="J14" s="208">
        <f t="shared" si="4"/>
        <v>0</v>
      </c>
      <c r="K14" s="208">
        <f t="shared" si="4"/>
        <v>0</v>
      </c>
      <c r="L14" s="208">
        <f t="shared" si="4"/>
        <v>0</v>
      </c>
      <c r="M14" s="208">
        <f t="shared" si="4"/>
        <v>0</v>
      </c>
      <c r="N14" s="208">
        <f t="shared" si="4"/>
        <v>0</v>
      </c>
      <c r="O14" s="208">
        <f t="shared" si="4"/>
        <v>0</v>
      </c>
      <c r="P14" s="208">
        <f t="shared" si="4"/>
        <v>0</v>
      </c>
      <c r="Q14" s="208">
        <f t="shared" si="4"/>
        <v>0</v>
      </c>
      <c r="R14" s="208">
        <f t="shared" si="4"/>
        <v>0</v>
      </c>
      <c r="S14" s="208">
        <f t="shared" si="4"/>
        <v>0</v>
      </c>
      <c r="T14" s="208">
        <f t="shared" si="4"/>
        <v>0</v>
      </c>
      <c r="U14" s="208">
        <f t="shared" si="4"/>
        <v>0</v>
      </c>
      <c r="V14" s="208">
        <f t="shared" si="4"/>
        <v>0</v>
      </c>
      <c r="W14" s="208">
        <f t="shared" si="4"/>
        <v>0</v>
      </c>
      <c r="X14" s="208">
        <f t="shared" si="4"/>
        <v>0</v>
      </c>
      <c r="Y14" s="208">
        <f t="shared" si="4"/>
        <v>0</v>
      </c>
      <c r="Z14" s="208">
        <f t="shared" si="4"/>
        <v>0</v>
      </c>
      <c r="AA14" s="208">
        <f t="shared" si="4"/>
        <v>0</v>
      </c>
      <c r="AB14" s="208">
        <f t="shared" si="4"/>
        <v>0</v>
      </c>
      <c r="AC14" s="208">
        <f t="shared" si="4"/>
        <v>0</v>
      </c>
      <c r="AD14" s="208">
        <f t="shared" si="4"/>
        <v>0</v>
      </c>
      <c r="AE14" s="208">
        <f t="shared" si="4"/>
        <v>0</v>
      </c>
      <c r="AF14" s="208">
        <f t="shared" si="4"/>
        <v>0</v>
      </c>
      <c r="AG14" s="208">
        <f t="shared" si="4"/>
        <v>0</v>
      </c>
      <c r="AH14" s="208">
        <f t="shared" si="4"/>
        <v>0</v>
      </c>
      <c r="AI14" s="208">
        <f t="shared" si="4"/>
        <v>0</v>
      </c>
      <c r="AJ14" s="208">
        <f t="shared" si="4"/>
        <v>0</v>
      </c>
      <c r="AK14" s="208">
        <f t="shared" si="4"/>
        <v>0</v>
      </c>
      <c r="AL14" s="208">
        <f t="shared" si="4"/>
        <v>0</v>
      </c>
      <c r="AM14" s="208">
        <f t="shared" si="4"/>
        <v>0</v>
      </c>
      <c r="AN14" s="208">
        <f t="shared" si="4"/>
        <v>0</v>
      </c>
      <c r="AO14" s="208">
        <f t="shared" si="4"/>
        <v>0</v>
      </c>
      <c r="AP14" s="208">
        <f t="shared" si="4"/>
        <v>0</v>
      </c>
    </row>
    <row r="15" spans="1:42">
      <c r="A15" s="206" t="str">
        <f>'Inputs &amp; Results'!A61</f>
        <v>State</v>
      </c>
      <c r="C15" s="208">
        <f t="shared" ref="C15:AP15" si="5">IF(PBIStateDebtSwitch="Yes",C656,0)</f>
        <v>0</v>
      </c>
      <c r="D15" s="208">
        <f t="shared" si="5"/>
        <v>0</v>
      </c>
      <c r="E15" s="208">
        <f t="shared" si="5"/>
        <v>0</v>
      </c>
      <c r="F15" s="208">
        <f t="shared" si="5"/>
        <v>0</v>
      </c>
      <c r="G15" s="208">
        <f t="shared" si="5"/>
        <v>0</v>
      </c>
      <c r="H15" s="208">
        <f t="shared" si="5"/>
        <v>0</v>
      </c>
      <c r="I15" s="208">
        <f t="shared" si="5"/>
        <v>0</v>
      </c>
      <c r="J15" s="208">
        <f t="shared" si="5"/>
        <v>0</v>
      </c>
      <c r="K15" s="208">
        <f t="shared" si="5"/>
        <v>0</v>
      </c>
      <c r="L15" s="208">
        <f t="shared" si="5"/>
        <v>0</v>
      </c>
      <c r="M15" s="208">
        <f t="shared" si="5"/>
        <v>0</v>
      </c>
      <c r="N15" s="208">
        <f t="shared" si="5"/>
        <v>0</v>
      </c>
      <c r="O15" s="208">
        <f t="shared" si="5"/>
        <v>0</v>
      </c>
      <c r="P15" s="208">
        <f t="shared" si="5"/>
        <v>0</v>
      </c>
      <c r="Q15" s="208">
        <f t="shared" si="5"/>
        <v>0</v>
      </c>
      <c r="R15" s="208">
        <f t="shared" si="5"/>
        <v>0</v>
      </c>
      <c r="S15" s="208">
        <f t="shared" si="5"/>
        <v>0</v>
      </c>
      <c r="T15" s="208">
        <f t="shared" si="5"/>
        <v>0</v>
      </c>
      <c r="U15" s="208">
        <f t="shared" si="5"/>
        <v>0</v>
      </c>
      <c r="V15" s="208">
        <f t="shared" si="5"/>
        <v>0</v>
      </c>
      <c r="W15" s="208">
        <f t="shared" si="5"/>
        <v>0</v>
      </c>
      <c r="X15" s="208">
        <f t="shared" si="5"/>
        <v>0</v>
      </c>
      <c r="Y15" s="208">
        <f t="shared" si="5"/>
        <v>0</v>
      </c>
      <c r="Z15" s="208">
        <f t="shared" si="5"/>
        <v>0</v>
      </c>
      <c r="AA15" s="208">
        <f t="shared" si="5"/>
        <v>0</v>
      </c>
      <c r="AB15" s="208">
        <f t="shared" si="5"/>
        <v>0</v>
      </c>
      <c r="AC15" s="208">
        <f t="shared" si="5"/>
        <v>0</v>
      </c>
      <c r="AD15" s="208">
        <f t="shared" si="5"/>
        <v>0</v>
      </c>
      <c r="AE15" s="208">
        <f t="shared" si="5"/>
        <v>0</v>
      </c>
      <c r="AF15" s="208">
        <f t="shared" si="5"/>
        <v>0</v>
      </c>
      <c r="AG15" s="208">
        <f t="shared" si="5"/>
        <v>0</v>
      </c>
      <c r="AH15" s="208">
        <f t="shared" si="5"/>
        <v>0</v>
      </c>
      <c r="AI15" s="208">
        <f t="shared" si="5"/>
        <v>0</v>
      </c>
      <c r="AJ15" s="208">
        <f t="shared" si="5"/>
        <v>0</v>
      </c>
      <c r="AK15" s="208">
        <f t="shared" si="5"/>
        <v>0</v>
      </c>
      <c r="AL15" s="208">
        <f t="shared" si="5"/>
        <v>0</v>
      </c>
      <c r="AM15" s="208">
        <f t="shared" si="5"/>
        <v>0</v>
      </c>
      <c r="AN15" s="208">
        <f t="shared" si="5"/>
        <v>0</v>
      </c>
      <c r="AO15" s="208">
        <f t="shared" si="5"/>
        <v>0</v>
      </c>
      <c r="AP15" s="208">
        <f t="shared" si="5"/>
        <v>0</v>
      </c>
    </row>
    <row r="16" spans="1:42">
      <c r="A16" s="206" t="str">
        <f>'Inputs &amp; Results'!A62</f>
        <v>Utility</v>
      </c>
      <c r="C16" s="208">
        <f t="shared" ref="C16:AP16" si="6">IF(PBIUtilityDebtSwitch="Yes",C660,0)</f>
        <v>0</v>
      </c>
      <c r="D16" s="208">
        <f t="shared" si="6"/>
        <v>0</v>
      </c>
      <c r="E16" s="208">
        <f t="shared" si="6"/>
        <v>0</v>
      </c>
      <c r="F16" s="208">
        <f t="shared" si="6"/>
        <v>0</v>
      </c>
      <c r="G16" s="208">
        <f t="shared" si="6"/>
        <v>0</v>
      </c>
      <c r="H16" s="208">
        <f t="shared" si="6"/>
        <v>0</v>
      </c>
      <c r="I16" s="208">
        <f t="shared" si="6"/>
        <v>0</v>
      </c>
      <c r="J16" s="208">
        <f t="shared" si="6"/>
        <v>0</v>
      </c>
      <c r="K16" s="208">
        <f t="shared" si="6"/>
        <v>0</v>
      </c>
      <c r="L16" s="208">
        <f t="shared" si="6"/>
        <v>0</v>
      </c>
      <c r="M16" s="208">
        <f t="shared" si="6"/>
        <v>0</v>
      </c>
      <c r="N16" s="208">
        <f t="shared" si="6"/>
        <v>0</v>
      </c>
      <c r="O16" s="208">
        <f t="shared" si="6"/>
        <v>0</v>
      </c>
      <c r="P16" s="208">
        <f t="shared" si="6"/>
        <v>0</v>
      </c>
      <c r="Q16" s="208">
        <f t="shared" si="6"/>
        <v>0</v>
      </c>
      <c r="R16" s="208">
        <f t="shared" si="6"/>
        <v>0</v>
      </c>
      <c r="S16" s="208">
        <f t="shared" si="6"/>
        <v>0</v>
      </c>
      <c r="T16" s="208">
        <f t="shared" si="6"/>
        <v>0</v>
      </c>
      <c r="U16" s="208">
        <f t="shared" si="6"/>
        <v>0</v>
      </c>
      <c r="V16" s="208">
        <f t="shared" si="6"/>
        <v>0</v>
      </c>
      <c r="W16" s="208">
        <f t="shared" si="6"/>
        <v>0</v>
      </c>
      <c r="X16" s="208">
        <f t="shared" si="6"/>
        <v>0</v>
      </c>
      <c r="Y16" s="208">
        <f t="shared" si="6"/>
        <v>0</v>
      </c>
      <c r="Z16" s="208">
        <f t="shared" si="6"/>
        <v>0</v>
      </c>
      <c r="AA16" s="208">
        <f t="shared" si="6"/>
        <v>0</v>
      </c>
      <c r="AB16" s="208">
        <f t="shared" si="6"/>
        <v>0</v>
      </c>
      <c r="AC16" s="208">
        <f t="shared" si="6"/>
        <v>0</v>
      </c>
      <c r="AD16" s="208">
        <f t="shared" si="6"/>
        <v>0</v>
      </c>
      <c r="AE16" s="208">
        <f t="shared" si="6"/>
        <v>0</v>
      </c>
      <c r="AF16" s="208">
        <f t="shared" si="6"/>
        <v>0</v>
      </c>
      <c r="AG16" s="208">
        <f t="shared" si="6"/>
        <v>0</v>
      </c>
      <c r="AH16" s="208">
        <f t="shared" si="6"/>
        <v>0</v>
      </c>
      <c r="AI16" s="208">
        <f t="shared" si="6"/>
        <v>0</v>
      </c>
      <c r="AJ16" s="208">
        <f t="shared" si="6"/>
        <v>0</v>
      </c>
      <c r="AK16" s="208">
        <f t="shared" si="6"/>
        <v>0</v>
      </c>
      <c r="AL16" s="208">
        <f t="shared" si="6"/>
        <v>0</v>
      </c>
      <c r="AM16" s="208">
        <f t="shared" si="6"/>
        <v>0</v>
      </c>
      <c r="AN16" s="208">
        <f t="shared" si="6"/>
        <v>0</v>
      </c>
      <c r="AO16" s="208">
        <f t="shared" si="6"/>
        <v>0</v>
      </c>
      <c r="AP16" s="208">
        <f t="shared" si="6"/>
        <v>0</v>
      </c>
    </row>
    <row r="17" spans="1:42">
      <c r="A17" s="206" t="str">
        <f>'Inputs &amp; Results'!A63</f>
        <v>Other</v>
      </c>
      <c r="C17" s="209">
        <f t="shared" ref="C17:AP17" si="7">IF(PBIOtherDebtSwitch="Yes",C664,0)</f>
        <v>0</v>
      </c>
      <c r="D17" s="209">
        <f t="shared" si="7"/>
        <v>0</v>
      </c>
      <c r="E17" s="209">
        <f t="shared" si="7"/>
        <v>0</v>
      </c>
      <c r="F17" s="209">
        <f t="shared" si="7"/>
        <v>0</v>
      </c>
      <c r="G17" s="209">
        <f t="shared" si="7"/>
        <v>0</v>
      </c>
      <c r="H17" s="209">
        <f t="shared" si="7"/>
        <v>0</v>
      </c>
      <c r="I17" s="209">
        <f t="shared" si="7"/>
        <v>0</v>
      </c>
      <c r="J17" s="209">
        <f t="shared" si="7"/>
        <v>0</v>
      </c>
      <c r="K17" s="209">
        <f t="shared" si="7"/>
        <v>0</v>
      </c>
      <c r="L17" s="209">
        <f t="shared" si="7"/>
        <v>0</v>
      </c>
      <c r="M17" s="209">
        <f t="shared" si="7"/>
        <v>0</v>
      </c>
      <c r="N17" s="209">
        <f t="shared" si="7"/>
        <v>0</v>
      </c>
      <c r="O17" s="209">
        <f t="shared" si="7"/>
        <v>0</v>
      </c>
      <c r="P17" s="209">
        <f t="shared" si="7"/>
        <v>0</v>
      </c>
      <c r="Q17" s="209">
        <f t="shared" si="7"/>
        <v>0</v>
      </c>
      <c r="R17" s="209">
        <f t="shared" si="7"/>
        <v>0</v>
      </c>
      <c r="S17" s="209">
        <f t="shared" si="7"/>
        <v>0</v>
      </c>
      <c r="T17" s="209">
        <f t="shared" si="7"/>
        <v>0</v>
      </c>
      <c r="U17" s="209">
        <f t="shared" si="7"/>
        <v>0</v>
      </c>
      <c r="V17" s="209">
        <f t="shared" si="7"/>
        <v>0</v>
      </c>
      <c r="W17" s="209">
        <f t="shared" si="7"/>
        <v>0</v>
      </c>
      <c r="X17" s="209">
        <f t="shared" si="7"/>
        <v>0</v>
      </c>
      <c r="Y17" s="209">
        <f t="shared" si="7"/>
        <v>0</v>
      </c>
      <c r="Z17" s="209">
        <f t="shared" si="7"/>
        <v>0</v>
      </c>
      <c r="AA17" s="209">
        <f t="shared" si="7"/>
        <v>0</v>
      </c>
      <c r="AB17" s="209">
        <f t="shared" si="7"/>
        <v>0</v>
      </c>
      <c r="AC17" s="209">
        <f t="shared" si="7"/>
        <v>0</v>
      </c>
      <c r="AD17" s="209">
        <f t="shared" si="7"/>
        <v>0</v>
      </c>
      <c r="AE17" s="209">
        <f t="shared" si="7"/>
        <v>0</v>
      </c>
      <c r="AF17" s="209">
        <f t="shared" si="7"/>
        <v>0</v>
      </c>
      <c r="AG17" s="209">
        <f t="shared" si="7"/>
        <v>0</v>
      </c>
      <c r="AH17" s="209">
        <f t="shared" si="7"/>
        <v>0</v>
      </c>
      <c r="AI17" s="209">
        <f t="shared" si="7"/>
        <v>0</v>
      </c>
      <c r="AJ17" s="209">
        <f t="shared" si="7"/>
        <v>0</v>
      </c>
      <c r="AK17" s="209">
        <f t="shared" si="7"/>
        <v>0</v>
      </c>
      <c r="AL17" s="209">
        <f t="shared" si="7"/>
        <v>0</v>
      </c>
      <c r="AM17" s="209">
        <f t="shared" si="7"/>
        <v>0</v>
      </c>
      <c r="AN17" s="209">
        <f t="shared" si="7"/>
        <v>0</v>
      </c>
      <c r="AO17" s="209">
        <f t="shared" si="7"/>
        <v>0</v>
      </c>
      <c r="AP17" s="209">
        <f t="shared" si="7"/>
        <v>0</v>
      </c>
    </row>
    <row r="18" spans="1:42">
      <c r="A18" s="206" t="s">
        <v>79</v>
      </c>
      <c r="C18" s="210">
        <f>SUM(C14:C17)</f>
        <v>0</v>
      </c>
      <c r="D18" s="210">
        <f t="shared" ref="D18:AP18" si="8">SUM(D14:D17)</f>
        <v>0</v>
      </c>
      <c r="E18" s="210">
        <f t="shared" si="8"/>
        <v>0</v>
      </c>
      <c r="F18" s="210">
        <f t="shared" si="8"/>
        <v>0</v>
      </c>
      <c r="G18" s="210">
        <f t="shared" si="8"/>
        <v>0</v>
      </c>
      <c r="H18" s="210">
        <f t="shared" si="8"/>
        <v>0</v>
      </c>
      <c r="I18" s="210">
        <f t="shared" si="8"/>
        <v>0</v>
      </c>
      <c r="J18" s="210">
        <f t="shared" si="8"/>
        <v>0</v>
      </c>
      <c r="K18" s="210">
        <f t="shared" si="8"/>
        <v>0</v>
      </c>
      <c r="L18" s="210">
        <f t="shared" si="8"/>
        <v>0</v>
      </c>
      <c r="M18" s="210">
        <f t="shared" si="8"/>
        <v>0</v>
      </c>
      <c r="N18" s="210">
        <f t="shared" si="8"/>
        <v>0</v>
      </c>
      <c r="O18" s="210">
        <f t="shared" si="8"/>
        <v>0</v>
      </c>
      <c r="P18" s="210">
        <f t="shared" si="8"/>
        <v>0</v>
      </c>
      <c r="Q18" s="210">
        <f t="shared" si="8"/>
        <v>0</v>
      </c>
      <c r="R18" s="210">
        <f t="shared" si="8"/>
        <v>0</v>
      </c>
      <c r="S18" s="210">
        <f t="shared" si="8"/>
        <v>0</v>
      </c>
      <c r="T18" s="210">
        <f t="shared" si="8"/>
        <v>0</v>
      </c>
      <c r="U18" s="210">
        <f t="shared" si="8"/>
        <v>0</v>
      </c>
      <c r="V18" s="210">
        <f t="shared" si="8"/>
        <v>0</v>
      </c>
      <c r="W18" s="210">
        <f t="shared" si="8"/>
        <v>0</v>
      </c>
      <c r="X18" s="210">
        <f t="shared" si="8"/>
        <v>0</v>
      </c>
      <c r="Y18" s="210">
        <f t="shared" si="8"/>
        <v>0</v>
      </c>
      <c r="Z18" s="210">
        <f t="shared" si="8"/>
        <v>0</v>
      </c>
      <c r="AA18" s="210">
        <f t="shared" si="8"/>
        <v>0</v>
      </c>
      <c r="AB18" s="210">
        <f t="shared" si="8"/>
        <v>0</v>
      </c>
      <c r="AC18" s="210">
        <f t="shared" si="8"/>
        <v>0</v>
      </c>
      <c r="AD18" s="210">
        <f t="shared" si="8"/>
        <v>0</v>
      </c>
      <c r="AE18" s="210">
        <f t="shared" si="8"/>
        <v>0</v>
      </c>
      <c r="AF18" s="210">
        <f t="shared" si="8"/>
        <v>0</v>
      </c>
      <c r="AG18" s="210">
        <f t="shared" si="8"/>
        <v>0</v>
      </c>
      <c r="AH18" s="210">
        <f t="shared" si="8"/>
        <v>0</v>
      </c>
      <c r="AI18" s="210">
        <f t="shared" si="8"/>
        <v>0</v>
      </c>
      <c r="AJ18" s="210">
        <f t="shared" si="8"/>
        <v>0</v>
      </c>
      <c r="AK18" s="210">
        <f t="shared" si="8"/>
        <v>0</v>
      </c>
      <c r="AL18" s="210">
        <f t="shared" si="8"/>
        <v>0</v>
      </c>
      <c r="AM18" s="210">
        <f t="shared" si="8"/>
        <v>0</v>
      </c>
      <c r="AN18" s="210">
        <f t="shared" si="8"/>
        <v>0</v>
      </c>
      <c r="AO18" s="210">
        <f t="shared" si="8"/>
        <v>0</v>
      </c>
      <c r="AP18" s="210">
        <f t="shared" si="8"/>
        <v>0</v>
      </c>
    </row>
    <row r="19" spans="1:42">
      <c r="A19" s="202" t="s">
        <v>152</v>
      </c>
      <c r="C19" s="209">
        <f t="shared" ref="C19:AP19" si="9">IF(C2=AnalysisPeriod,SalvageValue*PreFinancingInstalledCostTotal,0)</f>
        <v>0</v>
      </c>
      <c r="D19" s="209">
        <f t="shared" si="9"/>
        <v>0</v>
      </c>
      <c r="E19" s="209">
        <f t="shared" si="9"/>
        <v>0</v>
      </c>
      <c r="F19" s="209">
        <f t="shared" si="9"/>
        <v>0</v>
      </c>
      <c r="G19" s="209">
        <f t="shared" si="9"/>
        <v>0</v>
      </c>
      <c r="H19" s="209">
        <f t="shared" si="9"/>
        <v>0</v>
      </c>
      <c r="I19" s="209">
        <f t="shared" si="9"/>
        <v>0</v>
      </c>
      <c r="J19" s="209">
        <f t="shared" si="9"/>
        <v>0</v>
      </c>
      <c r="K19" s="209">
        <f t="shared" si="9"/>
        <v>0</v>
      </c>
      <c r="L19" s="209">
        <f t="shared" si="9"/>
        <v>0</v>
      </c>
      <c r="M19" s="209">
        <f t="shared" si="9"/>
        <v>0</v>
      </c>
      <c r="N19" s="209">
        <f t="shared" si="9"/>
        <v>0</v>
      </c>
      <c r="O19" s="209">
        <f t="shared" si="9"/>
        <v>0</v>
      </c>
      <c r="P19" s="209">
        <f t="shared" si="9"/>
        <v>0</v>
      </c>
      <c r="Q19" s="209">
        <f t="shared" si="9"/>
        <v>0</v>
      </c>
      <c r="R19" s="209">
        <f t="shared" si="9"/>
        <v>0</v>
      </c>
      <c r="S19" s="209">
        <f t="shared" si="9"/>
        <v>0</v>
      </c>
      <c r="T19" s="209">
        <f t="shared" si="9"/>
        <v>0</v>
      </c>
      <c r="U19" s="209">
        <f t="shared" si="9"/>
        <v>0</v>
      </c>
      <c r="V19" s="209">
        <f t="shared" si="9"/>
        <v>0</v>
      </c>
      <c r="W19" s="209">
        <f t="shared" si="9"/>
        <v>0</v>
      </c>
      <c r="X19" s="209">
        <f t="shared" si="9"/>
        <v>0</v>
      </c>
      <c r="Y19" s="209">
        <f t="shared" si="9"/>
        <v>0</v>
      </c>
      <c r="Z19" s="209">
        <f t="shared" si="9"/>
        <v>0</v>
      </c>
      <c r="AA19" s="209">
        <f t="shared" si="9"/>
        <v>0</v>
      </c>
      <c r="AB19" s="209">
        <f t="shared" si="9"/>
        <v>0</v>
      </c>
      <c r="AC19" s="209">
        <f t="shared" si="9"/>
        <v>0</v>
      </c>
      <c r="AD19" s="209">
        <f t="shared" si="9"/>
        <v>0</v>
      </c>
      <c r="AE19" s="209">
        <f t="shared" si="9"/>
        <v>0</v>
      </c>
      <c r="AF19" s="209">
        <f t="shared" si="9"/>
        <v>4022715</v>
      </c>
      <c r="AG19" s="209">
        <f t="shared" si="9"/>
        <v>0</v>
      </c>
      <c r="AH19" s="209">
        <f t="shared" si="9"/>
        <v>0</v>
      </c>
      <c r="AI19" s="209">
        <f t="shared" si="9"/>
        <v>0</v>
      </c>
      <c r="AJ19" s="209">
        <f t="shared" si="9"/>
        <v>0</v>
      </c>
      <c r="AK19" s="209">
        <f t="shared" si="9"/>
        <v>0</v>
      </c>
      <c r="AL19" s="209">
        <f t="shared" si="9"/>
        <v>0</v>
      </c>
      <c r="AM19" s="209">
        <f t="shared" si="9"/>
        <v>0</v>
      </c>
      <c r="AN19" s="209">
        <f t="shared" si="9"/>
        <v>0</v>
      </c>
      <c r="AO19" s="209">
        <f t="shared" si="9"/>
        <v>0</v>
      </c>
      <c r="AP19" s="209">
        <f t="shared" si="9"/>
        <v>0</v>
      </c>
    </row>
    <row r="20" spans="1:42">
      <c r="A20" s="202" t="s">
        <v>287</v>
      </c>
      <c r="C20" s="164">
        <f t="shared" ref="C20:AP20" si="10">C12+C18+C19</f>
        <v>5908179.1298221732</v>
      </c>
      <c r="D20" s="164">
        <f t="shared" si="10"/>
        <v>5996210.9988565231</v>
      </c>
      <c r="E20" s="164">
        <f t="shared" si="10"/>
        <v>6085554.5427394854</v>
      </c>
      <c r="F20" s="164">
        <f t="shared" si="10"/>
        <v>6176229.3054263033</v>
      </c>
      <c r="G20" s="164">
        <f t="shared" si="10"/>
        <v>6268255.1220771549</v>
      </c>
      <c r="H20" s="164">
        <f t="shared" si="10"/>
        <v>6361652.1233961061</v>
      </c>
      <c r="I20" s="164">
        <f t="shared" si="10"/>
        <v>6456440.7400347078</v>
      </c>
      <c r="J20" s="164">
        <f t="shared" si="10"/>
        <v>6552641.7070612237</v>
      </c>
      <c r="K20" s="164">
        <f t="shared" si="10"/>
        <v>6650276.0684964359</v>
      </c>
      <c r="L20" s="164">
        <f t="shared" si="10"/>
        <v>6749365.1819170332</v>
      </c>
      <c r="M20" s="164">
        <f t="shared" si="10"/>
        <v>6849930.7231275979</v>
      </c>
      <c r="N20" s="164">
        <f t="shared" si="10"/>
        <v>6951994.6909021977</v>
      </c>
      <c r="O20" s="164">
        <f t="shared" si="10"/>
        <v>7055579.4117966415</v>
      </c>
      <c r="P20" s="164">
        <f t="shared" si="10"/>
        <v>7160707.5450324118</v>
      </c>
      <c r="Q20" s="164">
        <f t="shared" si="10"/>
        <v>7267402.0874533951</v>
      </c>
      <c r="R20" s="164">
        <f t="shared" si="10"/>
        <v>7375686.378556448</v>
      </c>
      <c r="S20" s="164">
        <f t="shared" si="10"/>
        <v>7485584.105596941</v>
      </c>
      <c r="T20" s="164">
        <f t="shared" si="10"/>
        <v>7597119.3087703343</v>
      </c>
      <c r="U20" s="164">
        <f t="shared" si="10"/>
        <v>7710316.3864710126</v>
      </c>
      <c r="V20" s="164">
        <f t="shared" si="10"/>
        <v>7825200.1006294284</v>
      </c>
      <c r="W20" s="164">
        <f t="shared" si="10"/>
        <v>7941795.5821288088</v>
      </c>
      <c r="X20" s="164">
        <f t="shared" si="10"/>
        <v>8060128.3363025272</v>
      </c>
      <c r="Y20" s="164">
        <f t="shared" si="10"/>
        <v>8180224.248513435</v>
      </c>
      <c r="Z20" s="164">
        <f t="shared" si="10"/>
        <v>8302109.5898162834</v>
      </c>
      <c r="AA20" s="164">
        <f t="shared" si="10"/>
        <v>8425811.0227045473</v>
      </c>
      <c r="AB20" s="164">
        <f t="shared" si="10"/>
        <v>8551355.6069428436</v>
      </c>
      <c r="AC20" s="164">
        <f t="shared" si="10"/>
        <v>8678770.8054862935</v>
      </c>
      <c r="AD20" s="164">
        <f t="shared" si="10"/>
        <v>8808084.4904880375</v>
      </c>
      <c r="AE20" s="164">
        <f t="shared" si="10"/>
        <v>8939324.9493963104</v>
      </c>
      <c r="AF20" s="164">
        <f t="shared" si="10"/>
        <v>13095235.891142314</v>
      </c>
      <c r="AG20" s="164">
        <f t="shared" si="10"/>
        <v>0</v>
      </c>
      <c r="AH20" s="164">
        <f t="shared" si="10"/>
        <v>0</v>
      </c>
      <c r="AI20" s="164">
        <f t="shared" si="10"/>
        <v>0</v>
      </c>
      <c r="AJ20" s="164">
        <f t="shared" si="10"/>
        <v>0</v>
      </c>
      <c r="AK20" s="164">
        <f t="shared" si="10"/>
        <v>0</v>
      </c>
      <c r="AL20" s="164">
        <f t="shared" si="10"/>
        <v>0</v>
      </c>
      <c r="AM20" s="164">
        <f t="shared" si="10"/>
        <v>0</v>
      </c>
      <c r="AN20" s="164">
        <f t="shared" si="10"/>
        <v>0</v>
      </c>
      <c r="AO20" s="164">
        <f t="shared" si="10"/>
        <v>0</v>
      </c>
      <c r="AP20" s="164">
        <f t="shared" si="10"/>
        <v>0</v>
      </c>
    </row>
    <row r="21" spans="1:42">
      <c r="A21" s="206"/>
      <c r="C21" s="164"/>
      <c r="D21" s="164"/>
      <c r="E21" s="164"/>
      <c r="F21" s="164"/>
      <c r="G21" s="164"/>
      <c r="H21" s="164"/>
      <c r="I21" s="164"/>
      <c r="J21" s="164"/>
      <c r="K21" s="164"/>
      <c r="L21" s="164"/>
      <c r="M21" s="164"/>
      <c r="N21" s="164"/>
      <c r="O21" s="164"/>
      <c r="P21" s="164"/>
      <c r="Q21" s="164"/>
      <c r="R21" s="164"/>
      <c r="S21" s="164"/>
      <c r="T21" s="164"/>
      <c r="U21" s="164"/>
      <c r="V21" s="164"/>
      <c r="W21" s="164"/>
      <c r="X21" s="164"/>
      <c r="Y21" s="164"/>
      <c r="Z21" s="164"/>
      <c r="AA21" s="164"/>
      <c r="AB21" s="164"/>
      <c r="AC21" s="164"/>
      <c r="AD21" s="164"/>
      <c r="AE21" s="164"/>
      <c r="AF21" s="164"/>
      <c r="AG21" s="164"/>
      <c r="AH21" s="164"/>
      <c r="AI21" s="164"/>
      <c r="AJ21" s="164"/>
      <c r="AK21" s="164"/>
      <c r="AL21" s="164"/>
      <c r="AM21" s="164"/>
      <c r="AN21" s="164"/>
      <c r="AO21" s="164"/>
      <c r="AP21" s="164"/>
    </row>
    <row r="22" spans="1:42">
      <c r="A22" s="204" t="s">
        <v>49</v>
      </c>
      <c r="C22" s="164"/>
      <c r="D22" s="208"/>
      <c r="E22" s="208"/>
      <c r="F22" s="208"/>
      <c r="G22" s="208"/>
      <c r="H22" s="208"/>
      <c r="I22" s="208"/>
      <c r="J22" s="208"/>
      <c r="K22" s="208"/>
      <c r="L22" s="208"/>
      <c r="M22" s="208"/>
      <c r="N22" s="208"/>
      <c r="O22" s="208"/>
      <c r="P22" s="208"/>
      <c r="Q22" s="208"/>
      <c r="R22" s="208"/>
      <c r="S22" s="208"/>
    </row>
    <row r="23" spans="1:42">
      <c r="A23" s="37" t="s">
        <v>5</v>
      </c>
      <c r="C23" s="164">
        <f t="shared" ref="C23:AP23" si="11">IF(C$2&lt;=AnalysisPeriod,OMFixedAnnual*(1+Inflation+OMFixedAnnualRealEsc)^B$2,0)</f>
        <v>10000</v>
      </c>
      <c r="D23" s="164">
        <f t="shared" si="11"/>
        <v>10250</v>
      </c>
      <c r="E23" s="164">
        <f t="shared" si="11"/>
        <v>10506.25</v>
      </c>
      <c r="F23" s="164">
        <f t="shared" si="11"/>
        <v>10768.906249999998</v>
      </c>
      <c r="G23" s="164">
        <f t="shared" si="11"/>
        <v>11038.128906249998</v>
      </c>
      <c r="H23" s="164">
        <f t="shared" si="11"/>
        <v>11314.082128906246</v>
      </c>
      <c r="I23" s="164">
        <f t="shared" si="11"/>
        <v>11596.934182128902</v>
      </c>
      <c r="J23" s="164">
        <f t="shared" si="11"/>
        <v>11886.857536682124</v>
      </c>
      <c r="K23" s="164">
        <f t="shared" si="11"/>
        <v>12184.028975099178</v>
      </c>
      <c r="L23" s="164">
        <f t="shared" si="11"/>
        <v>12488.629699476654</v>
      </c>
      <c r="M23" s="164">
        <f t="shared" si="11"/>
        <v>12800.845441963571</v>
      </c>
      <c r="N23" s="164">
        <f t="shared" si="11"/>
        <v>13120.866578012659</v>
      </c>
      <c r="O23" s="164">
        <f t="shared" si="11"/>
        <v>13448.888242462976</v>
      </c>
      <c r="P23" s="164">
        <f t="shared" si="11"/>
        <v>13785.110448524549</v>
      </c>
      <c r="Q23" s="164">
        <f t="shared" si="11"/>
        <v>14129.738209737661</v>
      </c>
      <c r="R23" s="164">
        <f t="shared" si="11"/>
        <v>14482.981664981105</v>
      </c>
      <c r="S23" s="164">
        <f t="shared" si="11"/>
        <v>14845.056206605632</v>
      </c>
      <c r="T23" s="164">
        <f t="shared" si="11"/>
        <v>15216.18261177077</v>
      </c>
      <c r="U23" s="164">
        <f t="shared" si="11"/>
        <v>15596.587177065039</v>
      </c>
      <c r="V23" s="164">
        <f t="shared" si="11"/>
        <v>15986.501856491666</v>
      </c>
      <c r="W23" s="164">
        <f t="shared" si="11"/>
        <v>16386.164402903956</v>
      </c>
      <c r="X23" s="164">
        <f t="shared" si="11"/>
        <v>16795.818512976552</v>
      </c>
      <c r="Y23" s="164">
        <f t="shared" si="11"/>
        <v>17215.713975800965</v>
      </c>
      <c r="Z23" s="164">
        <f t="shared" si="11"/>
        <v>17646.106825195991</v>
      </c>
      <c r="AA23" s="164">
        <f t="shared" si="11"/>
        <v>18087.259495825889</v>
      </c>
      <c r="AB23" s="164">
        <f t="shared" si="11"/>
        <v>18539.440983221535</v>
      </c>
      <c r="AC23" s="164">
        <f t="shared" si="11"/>
        <v>19002.927007802071</v>
      </c>
      <c r="AD23" s="164">
        <f t="shared" si="11"/>
        <v>19478.000182997122</v>
      </c>
      <c r="AE23" s="164">
        <f t="shared" si="11"/>
        <v>19964.950187572049</v>
      </c>
      <c r="AF23" s="164">
        <f t="shared" si="11"/>
        <v>20464.073942261351</v>
      </c>
      <c r="AG23" s="164">
        <f t="shared" si="11"/>
        <v>0</v>
      </c>
      <c r="AH23" s="164">
        <f t="shared" si="11"/>
        <v>0</v>
      </c>
      <c r="AI23" s="164">
        <f t="shared" si="11"/>
        <v>0</v>
      </c>
      <c r="AJ23" s="164">
        <f t="shared" si="11"/>
        <v>0</v>
      </c>
      <c r="AK23" s="164">
        <f t="shared" si="11"/>
        <v>0</v>
      </c>
      <c r="AL23" s="164">
        <f t="shared" si="11"/>
        <v>0</v>
      </c>
      <c r="AM23" s="164">
        <f t="shared" si="11"/>
        <v>0</v>
      </c>
      <c r="AN23" s="164">
        <f t="shared" si="11"/>
        <v>0</v>
      </c>
      <c r="AO23" s="164">
        <f t="shared" si="11"/>
        <v>0</v>
      </c>
      <c r="AP23" s="164">
        <f t="shared" si="11"/>
        <v>0</v>
      </c>
    </row>
    <row r="24" spans="1:42">
      <c r="A24" s="37" t="s">
        <v>7</v>
      </c>
    </row>
    <row r="25" spans="1:42">
      <c r="A25" s="206" t="s">
        <v>51</v>
      </c>
      <c r="C25" s="164">
        <f t="shared" ref="C25:AP25" si="12">IF(C$2&lt;=AnalysisPeriod,CapacityDC,0)</f>
        <v>10000</v>
      </c>
      <c r="D25" s="164">
        <f t="shared" si="12"/>
        <v>10000</v>
      </c>
      <c r="E25" s="164">
        <f t="shared" si="12"/>
        <v>10000</v>
      </c>
      <c r="F25" s="164">
        <f t="shared" si="12"/>
        <v>10000</v>
      </c>
      <c r="G25" s="164">
        <f t="shared" si="12"/>
        <v>10000</v>
      </c>
      <c r="H25" s="164">
        <f t="shared" si="12"/>
        <v>10000</v>
      </c>
      <c r="I25" s="164">
        <f t="shared" si="12"/>
        <v>10000</v>
      </c>
      <c r="J25" s="164">
        <f t="shared" si="12"/>
        <v>10000</v>
      </c>
      <c r="K25" s="164">
        <f t="shared" si="12"/>
        <v>10000</v>
      </c>
      <c r="L25" s="164">
        <f t="shared" si="12"/>
        <v>10000</v>
      </c>
      <c r="M25" s="164">
        <f t="shared" si="12"/>
        <v>10000</v>
      </c>
      <c r="N25" s="164">
        <f t="shared" si="12"/>
        <v>10000</v>
      </c>
      <c r="O25" s="164">
        <f t="shared" si="12"/>
        <v>10000</v>
      </c>
      <c r="P25" s="164">
        <f t="shared" si="12"/>
        <v>10000</v>
      </c>
      <c r="Q25" s="164">
        <f t="shared" si="12"/>
        <v>10000</v>
      </c>
      <c r="R25" s="164">
        <f t="shared" si="12"/>
        <v>10000</v>
      </c>
      <c r="S25" s="164">
        <f t="shared" si="12"/>
        <v>10000</v>
      </c>
      <c r="T25" s="164">
        <f t="shared" si="12"/>
        <v>10000</v>
      </c>
      <c r="U25" s="164">
        <f t="shared" si="12"/>
        <v>10000</v>
      </c>
      <c r="V25" s="164">
        <f t="shared" si="12"/>
        <v>10000</v>
      </c>
      <c r="W25" s="164">
        <f t="shared" si="12"/>
        <v>10000</v>
      </c>
      <c r="X25" s="164">
        <f t="shared" si="12"/>
        <v>10000</v>
      </c>
      <c r="Y25" s="164">
        <f t="shared" si="12"/>
        <v>10000</v>
      </c>
      <c r="Z25" s="164">
        <f t="shared" si="12"/>
        <v>10000</v>
      </c>
      <c r="AA25" s="164">
        <f t="shared" si="12"/>
        <v>10000</v>
      </c>
      <c r="AB25" s="164">
        <f t="shared" si="12"/>
        <v>10000</v>
      </c>
      <c r="AC25" s="164">
        <f t="shared" si="12"/>
        <v>10000</v>
      </c>
      <c r="AD25" s="164">
        <f t="shared" si="12"/>
        <v>10000</v>
      </c>
      <c r="AE25" s="164">
        <f t="shared" si="12"/>
        <v>10000</v>
      </c>
      <c r="AF25" s="164">
        <f t="shared" si="12"/>
        <v>10000</v>
      </c>
      <c r="AG25" s="164">
        <f t="shared" si="12"/>
        <v>0</v>
      </c>
      <c r="AH25" s="164">
        <f t="shared" si="12"/>
        <v>0</v>
      </c>
      <c r="AI25" s="164">
        <f t="shared" si="12"/>
        <v>0</v>
      </c>
      <c r="AJ25" s="164">
        <f t="shared" si="12"/>
        <v>0</v>
      </c>
      <c r="AK25" s="164">
        <f t="shared" si="12"/>
        <v>0</v>
      </c>
      <c r="AL25" s="164">
        <f t="shared" si="12"/>
        <v>0</v>
      </c>
      <c r="AM25" s="164">
        <f t="shared" si="12"/>
        <v>0</v>
      </c>
      <c r="AN25" s="164">
        <f t="shared" si="12"/>
        <v>0</v>
      </c>
      <c r="AO25" s="164">
        <f t="shared" si="12"/>
        <v>0</v>
      </c>
      <c r="AP25" s="164">
        <f t="shared" si="12"/>
        <v>0</v>
      </c>
    </row>
    <row r="26" spans="1:42">
      <c r="A26" s="206" t="s">
        <v>52</v>
      </c>
      <c r="C26" s="207">
        <f t="shared" ref="C26:AP26" si="13">IF(C$2&lt;=AnalysisPeriod,OMCapacity*(1+Inflation+OMCapacityRealEsc)^B$2,0)</f>
        <v>22</v>
      </c>
      <c r="D26" s="207">
        <f t="shared" si="13"/>
        <v>22.494999999999997</v>
      </c>
      <c r="E26" s="207">
        <f t="shared" si="13"/>
        <v>23.001137499999999</v>
      </c>
      <c r="F26" s="207">
        <f t="shared" si="13"/>
        <v>23.518663093749996</v>
      </c>
      <c r="G26" s="207">
        <f t="shared" si="13"/>
        <v>24.047833013359369</v>
      </c>
      <c r="H26" s="207">
        <f t="shared" si="13"/>
        <v>24.588909256159958</v>
      </c>
      <c r="I26" s="207">
        <f t="shared" si="13"/>
        <v>25.142159714423553</v>
      </c>
      <c r="J26" s="207">
        <f t="shared" si="13"/>
        <v>25.70785830799808</v>
      </c>
      <c r="K26" s="207">
        <f t="shared" si="13"/>
        <v>26.286285119928035</v>
      </c>
      <c r="L26" s="207">
        <f t="shared" si="13"/>
        <v>26.877726535126413</v>
      </c>
      <c r="M26" s="207">
        <f t="shared" si="13"/>
        <v>27.482475382166754</v>
      </c>
      <c r="N26" s="207">
        <f t="shared" si="13"/>
        <v>28.100831078265504</v>
      </c>
      <c r="O26" s="207">
        <f t="shared" si="13"/>
        <v>28.73309977752648</v>
      </c>
      <c r="P26" s="207">
        <f t="shared" si="13"/>
        <v>29.379594522520826</v>
      </c>
      <c r="Q26" s="207">
        <f t="shared" si="13"/>
        <v>30.040635399277544</v>
      </c>
      <c r="R26" s="207">
        <f t="shared" si="13"/>
        <v>30.716549695761287</v>
      </c>
      <c r="S26" s="207">
        <f t="shared" si="13"/>
        <v>31.407672063915907</v>
      </c>
      <c r="T26" s="207">
        <f t="shared" si="13"/>
        <v>32.114344685354013</v>
      </c>
      <c r="U26" s="207">
        <f t="shared" si="13"/>
        <v>32.836917440774478</v>
      </c>
      <c r="V26" s="207">
        <f t="shared" si="13"/>
        <v>33.575748083191904</v>
      </c>
      <c r="W26" s="207">
        <f t="shared" si="13"/>
        <v>34.331202415063721</v>
      </c>
      <c r="X26" s="207">
        <f t="shared" si="13"/>
        <v>35.103654469402656</v>
      </c>
      <c r="Y26" s="207">
        <f t="shared" si="13"/>
        <v>35.89348669496421</v>
      </c>
      <c r="Z26" s="207">
        <f t="shared" si="13"/>
        <v>36.701090145600901</v>
      </c>
      <c r="AA26" s="207">
        <f t="shared" si="13"/>
        <v>37.526864673876915</v>
      </c>
      <c r="AB26" s="207">
        <f t="shared" si="13"/>
        <v>38.37121912903914</v>
      </c>
      <c r="AC26" s="207">
        <f t="shared" si="13"/>
        <v>39.234571559442522</v>
      </c>
      <c r="AD26" s="207">
        <f t="shared" si="13"/>
        <v>40.117349419529972</v>
      </c>
      <c r="AE26" s="207">
        <f t="shared" si="13"/>
        <v>41.019989781469398</v>
      </c>
      <c r="AF26" s="207">
        <f t="shared" si="13"/>
        <v>41.942939551552463</v>
      </c>
      <c r="AG26" s="207">
        <f t="shared" si="13"/>
        <v>0</v>
      </c>
      <c r="AH26" s="207">
        <f t="shared" si="13"/>
        <v>0</v>
      </c>
      <c r="AI26" s="207">
        <f t="shared" si="13"/>
        <v>0</v>
      </c>
      <c r="AJ26" s="207">
        <f t="shared" si="13"/>
        <v>0</v>
      </c>
      <c r="AK26" s="207">
        <f t="shared" si="13"/>
        <v>0</v>
      </c>
      <c r="AL26" s="207">
        <f t="shared" si="13"/>
        <v>0</v>
      </c>
      <c r="AM26" s="207">
        <f t="shared" si="13"/>
        <v>0</v>
      </c>
      <c r="AN26" s="207">
        <f t="shared" si="13"/>
        <v>0</v>
      </c>
      <c r="AO26" s="207">
        <f t="shared" si="13"/>
        <v>0</v>
      </c>
      <c r="AP26" s="207">
        <f t="shared" si="13"/>
        <v>0</v>
      </c>
    </row>
    <row r="27" spans="1:42">
      <c r="A27" s="206" t="s">
        <v>53</v>
      </c>
      <c r="C27" s="164">
        <f>C25*C26</f>
        <v>220000</v>
      </c>
      <c r="D27" s="164">
        <f t="shared" ref="D27:AP27" si="14">D25*D26</f>
        <v>224949.99999999997</v>
      </c>
      <c r="E27" s="164">
        <f t="shared" si="14"/>
        <v>230011.375</v>
      </c>
      <c r="F27" s="164">
        <f t="shared" si="14"/>
        <v>235186.63093749995</v>
      </c>
      <c r="G27" s="164">
        <f t="shared" si="14"/>
        <v>240478.3301335937</v>
      </c>
      <c r="H27" s="164">
        <f t="shared" si="14"/>
        <v>245889.09256159959</v>
      </c>
      <c r="I27" s="164">
        <f t="shared" si="14"/>
        <v>251421.59714423554</v>
      </c>
      <c r="J27" s="164">
        <f t="shared" si="14"/>
        <v>257078.5830799808</v>
      </c>
      <c r="K27" s="164">
        <f t="shared" si="14"/>
        <v>262862.85119928035</v>
      </c>
      <c r="L27" s="164">
        <f t="shared" si="14"/>
        <v>268777.26535126416</v>
      </c>
      <c r="M27" s="164">
        <f t="shared" si="14"/>
        <v>274824.75382166752</v>
      </c>
      <c r="N27" s="164">
        <f t="shared" si="14"/>
        <v>281008.31078265503</v>
      </c>
      <c r="O27" s="164">
        <f t="shared" si="14"/>
        <v>287330.99777526478</v>
      </c>
      <c r="P27" s="164">
        <f t="shared" si="14"/>
        <v>293795.94522520824</v>
      </c>
      <c r="Q27" s="164">
        <f t="shared" si="14"/>
        <v>300406.35399277543</v>
      </c>
      <c r="R27" s="164">
        <f t="shared" si="14"/>
        <v>307165.49695761286</v>
      </c>
      <c r="S27" s="164">
        <f t="shared" si="14"/>
        <v>314076.72063915909</v>
      </c>
      <c r="T27" s="164">
        <f t="shared" si="14"/>
        <v>321143.44685354014</v>
      </c>
      <c r="U27" s="164">
        <f t="shared" si="14"/>
        <v>328369.17440774478</v>
      </c>
      <c r="V27" s="164">
        <f t="shared" si="14"/>
        <v>335757.48083191906</v>
      </c>
      <c r="W27" s="164">
        <f t="shared" si="14"/>
        <v>343312.02415063721</v>
      </c>
      <c r="X27" s="164">
        <f t="shared" si="14"/>
        <v>351036.54469402658</v>
      </c>
      <c r="Y27" s="164">
        <f t="shared" si="14"/>
        <v>358934.86694964208</v>
      </c>
      <c r="Z27" s="164">
        <f t="shared" si="14"/>
        <v>367010.90145600901</v>
      </c>
      <c r="AA27" s="164">
        <f t="shared" si="14"/>
        <v>375268.64673876914</v>
      </c>
      <c r="AB27" s="164">
        <f t="shared" si="14"/>
        <v>383712.19129039138</v>
      </c>
      <c r="AC27" s="164">
        <f t="shared" si="14"/>
        <v>392345.71559442522</v>
      </c>
      <c r="AD27" s="164">
        <f t="shared" si="14"/>
        <v>401173.49419529975</v>
      </c>
      <c r="AE27" s="164">
        <f t="shared" si="14"/>
        <v>410199.89781469398</v>
      </c>
      <c r="AF27" s="164">
        <f t="shared" si="14"/>
        <v>419429.39551552461</v>
      </c>
      <c r="AG27" s="164">
        <f t="shared" si="14"/>
        <v>0</v>
      </c>
      <c r="AH27" s="164">
        <f t="shared" si="14"/>
        <v>0</v>
      </c>
      <c r="AI27" s="164">
        <f t="shared" si="14"/>
        <v>0</v>
      </c>
      <c r="AJ27" s="164">
        <f t="shared" si="14"/>
        <v>0</v>
      </c>
      <c r="AK27" s="164">
        <f t="shared" si="14"/>
        <v>0</v>
      </c>
      <c r="AL27" s="164">
        <f t="shared" si="14"/>
        <v>0</v>
      </c>
      <c r="AM27" s="164">
        <f t="shared" si="14"/>
        <v>0</v>
      </c>
      <c r="AN27" s="164">
        <f t="shared" si="14"/>
        <v>0</v>
      </c>
      <c r="AO27" s="164">
        <f t="shared" si="14"/>
        <v>0</v>
      </c>
      <c r="AP27" s="164">
        <f t="shared" si="14"/>
        <v>0</v>
      </c>
    </row>
    <row r="28" spans="1:42">
      <c r="A28" s="37" t="s">
        <v>9</v>
      </c>
    </row>
    <row r="29" spans="1:42">
      <c r="A29" s="206" t="s">
        <v>55</v>
      </c>
      <c r="C29" s="164">
        <f>C5/1000</f>
        <v>17000</v>
      </c>
      <c r="D29" s="164">
        <f t="shared" ref="D29:AP29" si="15">D5/1000</f>
        <v>16915</v>
      </c>
      <c r="E29" s="164">
        <f t="shared" si="15"/>
        <v>16830.424999999999</v>
      </c>
      <c r="F29" s="164">
        <f t="shared" si="15"/>
        <v>16746.272874999999</v>
      </c>
      <c r="G29" s="164">
        <f t="shared" si="15"/>
        <v>16662.541510625</v>
      </c>
      <c r="H29" s="164">
        <f t="shared" si="15"/>
        <v>16579.228803071874</v>
      </c>
      <c r="I29" s="164">
        <f t="shared" si="15"/>
        <v>16496.332659056516</v>
      </c>
      <c r="J29" s="164">
        <f t="shared" si="15"/>
        <v>16413.850995761233</v>
      </c>
      <c r="K29" s="164">
        <f t="shared" si="15"/>
        <v>16331.781740782426</v>
      </c>
      <c r="L29" s="164">
        <f t="shared" si="15"/>
        <v>16250.122832078514</v>
      </c>
      <c r="M29" s="164">
        <f t="shared" si="15"/>
        <v>16168.872217918122</v>
      </c>
      <c r="N29" s="164">
        <f t="shared" si="15"/>
        <v>16088.027856828532</v>
      </c>
      <c r="O29" s="164">
        <f t="shared" si="15"/>
        <v>16007.587717544387</v>
      </c>
      <c r="P29" s="164">
        <f t="shared" si="15"/>
        <v>15927.549778956667</v>
      </c>
      <c r="Q29" s="164">
        <f t="shared" si="15"/>
        <v>15847.912030061883</v>
      </c>
      <c r="R29" s="164">
        <f t="shared" si="15"/>
        <v>15768.672469911573</v>
      </c>
      <c r="S29" s="164">
        <f t="shared" si="15"/>
        <v>15689.829107562015</v>
      </c>
      <c r="T29" s="164">
        <f t="shared" si="15"/>
        <v>15611.379962024204</v>
      </c>
      <c r="U29" s="164">
        <f t="shared" si="15"/>
        <v>15533.323062214084</v>
      </c>
      <c r="V29" s="164">
        <f t="shared" si="15"/>
        <v>15455.656446903013</v>
      </c>
      <c r="W29" s="164">
        <f t="shared" si="15"/>
        <v>15378.378164668497</v>
      </c>
      <c r="X29" s="164">
        <f t="shared" si="15"/>
        <v>15301.486273845156</v>
      </c>
      <c r="Y29" s="164">
        <f t="shared" si="15"/>
        <v>15224.978842475928</v>
      </c>
      <c r="Z29" s="164">
        <f t="shared" si="15"/>
        <v>15148.853948263548</v>
      </c>
      <c r="AA29" s="164">
        <f t="shared" si="15"/>
        <v>15073.109678522231</v>
      </c>
      <c r="AB29" s="164">
        <f t="shared" si="15"/>
        <v>14997.74413012962</v>
      </c>
      <c r="AC29" s="164">
        <f t="shared" si="15"/>
        <v>14922.755409478972</v>
      </c>
      <c r="AD29" s="164">
        <f t="shared" si="15"/>
        <v>14848.141632431576</v>
      </c>
      <c r="AE29" s="164">
        <f t="shared" si="15"/>
        <v>14773.900924269417</v>
      </c>
      <c r="AF29" s="164">
        <f t="shared" si="15"/>
        <v>14700.03141964807</v>
      </c>
      <c r="AG29" s="164">
        <f t="shared" si="15"/>
        <v>0</v>
      </c>
      <c r="AH29" s="164">
        <f t="shared" si="15"/>
        <v>0</v>
      </c>
      <c r="AI29" s="164">
        <f t="shared" si="15"/>
        <v>0</v>
      </c>
      <c r="AJ29" s="164">
        <f t="shared" si="15"/>
        <v>0</v>
      </c>
      <c r="AK29" s="164">
        <f t="shared" si="15"/>
        <v>0</v>
      </c>
      <c r="AL29" s="164">
        <f t="shared" si="15"/>
        <v>0</v>
      </c>
      <c r="AM29" s="164">
        <f t="shared" si="15"/>
        <v>0</v>
      </c>
      <c r="AN29" s="164">
        <f t="shared" si="15"/>
        <v>0</v>
      </c>
      <c r="AO29" s="164">
        <f t="shared" si="15"/>
        <v>0</v>
      </c>
      <c r="AP29" s="164">
        <f t="shared" si="15"/>
        <v>0</v>
      </c>
    </row>
    <row r="30" spans="1:42">
      <c r="A30" s="206" t="s">
        <v>56</v>
      </c>
      <c r="C30" s="207">
        <f t="shared" ref="C30:AP30" si="16">IF(C$2&lt;=AnalysisPeriod,OMVariable*(1+Inflation+OMVariableRealEsc)^B$2,0)</f>
        <v>3.5</v>
      </c>
      <c r="D30" s="207">
        <f t="shared" si="16"/>
        <v>3.5524999999999998</v>
      </c>
      <c r="E30" s="207">
        <f t="shared" si="16"/>
        <v>3.605787499999999</v>
      </c>
      <c r="F30" s="207">
        <f t="shared" si="16"/>
        <v>3.6598743124999986</v>
      </c>
      <c r="G30" s="207">
        <f t="shared" si="16"/>
        <v>3.7147724271874978</v>
      </c>
      <c r="H30" s="207">
        <f t="shared" si="16"/>
        <v>3.77049401359531</v>
      </c>
      <c r="I30" s="207">
        <f t="shared" si="16"/>
        <v>3.8270514237992388</v>
      </c>
      <c r="J30" s="207">
        <f t="shared" si="16"/>
        <v>3.884457195156227</v>
      </c>
      <c r="K30" s="207">
        <f t="shared" si="16"/>
        <v>3.9427240530835701</v>
      </c>
      <c r="L30" s="207">
        <f t="shared" si="16"/>
        <v>4.0018649138798228</v>
      </c>
      <c r="M30" s="207">
        <f t="shared" si="16"/>
        <v>4.0618928875880203</v>
      </c>
      <c r="N30" s="207">
        <f t="shared" si="16"/>
        <v>4.1228212809018396</v>
      </c>
      <c r="O30" s="207">
        <f t="shared" si="16"/>
        <v>4.1846636001153668</v>
      </c>
      <c r="P30" s="207">
        <f t="shared" si="16"/>
        <v>4.2474335541170962</v>
      </c>
      <c r="Q30" s="207">
        <f t="shared" si="16"/>
        <v>4.3111450574288517</v>
      </c>
      <c r="R30" s="207">
        <f t="shared" si="16"/>
        <v>4.3758122332902847</v>
      </c>
      <c r="S30" s="207">
        <f t="shared" si="16"/>
        <v>4.4414494167896379</v>
      </c>
      <c r="T30" s="207">
        <f t="shared" si="16"/>
        <v>4.5080711580414814</v>
      </c>
      <c r="U30" s="207">
        <f t="shared" si="16"/>
        <v>4.5756922254121033</v>
      </c>
      <c r="V30" s="207">
        <f t="shared" si="16"/>
        <v>4.6443276087932848</v>
      </c>
      <c r="W30" s="207">
        <f t="shared" si="16"/>
        <v>4.7139925229251824</v>
      </c>
      <c r="X30" s="207">
        <f t="shared" si="16"/>
        <v>4.7847024107690599</v>
      </c>
      <c r="Y30" s="207">
        <f t="shared" si="16"/>
        <v>4.8564729469305945</v>
      </c>
      <c r="Z30" s="207">
        <f t="shared" si="16"/>
        <v>4.9293200411345532</v>
      </c>
      <c r="AA30" s="207">
        <f t="shared" si="16"/>
        <v>5.0032598417515715</v>
      </c>
      <c r="AB30" s="207">
        <f t="shared" si="16"/>
        <v>5.0783087393778441</v>
      </c>
      <c r="AC30" s="207">
        <f t="shared" si="16"/>
        <v>5.1544833704685109</v>
      </c>
      <c r="AD30" s="207">
        <f t="shared" si="16"/>
        <v>5.2318006210255383</v>
      </c>
      <c r="AE30" s="207">
        <f t="shared" si="16"/>
        <v>5.31027763034092</v>
      </c>
      <c r="AF30" s="207">
        <f t="shared" si="16"/>
        <v>5.3899317947960341</v>
      </c>
      <c r="AG30" s="207">
        <f t="shared" si="16"/>
        <v>0</v>
      </c>
      <c r="AH30" s="207">
        <f t="shared" si="16"/>
        <v>0</v>
      </c>
      <c r="AI30" s="207">
        <f t="shared" si="16"/>
        <v>0</v>
      </c>
      <c r="AJ30" s="207">
        <f t="shared" si="16"/>
        <v>0</v>
      </c>
      <c r="AK30" s="207">
        <f t="shared" si="16"/>
        <v>0</v>
      </c>
      <c r="AL30" s="207">
        <f t="shared" si="16"/>
        <v>0</v>
      </c>
      <c r="AM30" s="207">
        <f t="shared" si="16"/>
        <v>0</v>
      </c>
      <c r="AN30" s="207">
        <f t="shared" si="16"/>
        <v>0</v>
      </c>
      <c r="AO30" s="207">
        <f t="shared" si="16"/>
        <v>0</v>
      </c>
      <c r="AP30" s="207">
        <f t="shared" si="16"/>
        <v>0</v>
      </c>
    </row>
    <row r="31" spans="1:42">
      <c r="A31" s="206" t="s">
        <v>53</v>
      </c>
      <c r="C31" s="210">
        <f>C29*C30</f>
        <v>59500</v>
      </c>
      <c r="D31" s="210">
        <f t="shared" ref="D31:AP31" si="17">D29*D30</f>
        <v>60090.537499999999</v>
      </c>
      <c r="E31" s="210">
        <f t="shared" si="17"/>
        <v>60686.936084687484</v>
      </c>
      <c r="F31" s="210">
        <f t="shared" si="17"/>
        <v>61289.253925327997</v>
      </c>
      <c r="G31" s="210">
        <f t="shared" si="17"/>
        <v>61897.549770536869</v>
      </c>
      <c r="H31" s="210">
        <f t="shared" si="17"/>
        <v>62511.882952009437</v>
      </c>
      <c r="I31" s="210">
        <f t="shared" si="17"/>
        <v>63132.313390308118</v>
      </c>
      <c r="J31" s="210">
        <f t="shared" si="17"/>
        <v>63758.901600706922</v>
      </c>
      <c r="K31" s="210">
        <f t="shared" si="17"/>
        <v>64391.708699093928</v>
      </c>
      <c r="L31" s="210">
        <f t="shared" si="17"/>
        <v>65030.796407932423</v>
      </c>
      <c r="M31" s="210">
        <f t="shared" si="17"/>
        <v>65676.227062281163</v>
      </c>
      <c r="N31" s="210">
        <f t="shared" si="17"/>
        <v>66328.063615874285</v>
      </c>
      <c r="O31" s="210">
        <f t="shared" si="17"/>
        <v>66986.369647261818</v>
      </c>
      <c r="P31" s="210">
        <f t="shared" si="17"/>
        <v>67651.20936601088</v>
      </c>
      <c r="Q31" s="210">
        <f t="shared" si="17"/>
        <v>68322.647618968535</v>
      </c>
      <c r="R31" s="210">
        <f t="shared" si="17"/>
        <v>69000.749896586785</v>
      </c>
      <c r="S31" s="210">
        <f t="shared" si="17"/>
        <v>69685.582339310393</v>
      </c>
      <c r="T31" s="210">
        <f t="shared" si="17"/>
        <v>70377.211744028027</v>
      </c>
      <c r="U31" s="210">
        <f t="shared" si="17"/>
        <v>71075.70557058751</v>
      </c>
      <c r="V31" s="210">
        <f t="shared" si="17"/>
        <v>71781.13194837558</v>
      </c>
      <c r="W31" s="210">
        <f t="shared" si="17"/>
        <v>72493.559682963183</v>
      </c>
      <c r="X31" s="210">
        <f t="shared" si="17"/>
        <v>73213.058262816601</v>
      </c>
      <c r="Y31" s="210">
        <f t="shared" si="17"/>
        <v>73939.697866075017</v>
      </c>
      <c r="Z31" s="210">
        <f t="shared" si="17"/>
        <v>74673.549367395812</v>
      </c>
      <c r="AA31" s="210">
        <f t="shared" si="17"/>
        <v>75414.684344867215</v>
      </c>
      <c r="AB31" s="210">
        <f t="shared" si="17"/>
        <v>76163.175086990013</v>
      </c>
      <c r="AC31" s="210">
        <f t="shared" si="17"/>
        <v>76919.094599728371</v>
      </c>
      <c r="AD31" s="210">
        <f t="shared" si="17"/>
        <v>77682.516613630665</v>
      </c>
      <c r="AE31" s="210">
        <f t="shared" si="17"/>
        <v>78453.515591020929</v>
      </c>
      <c r="AF31" s="210">
        <f t="shared" si="17"/>
        <v>79232.166733261824</v>
      </c>
      <c r="AG31" s="210">
        <f t="shared" si="17"/>
        <v>0</v>
      </c>
      <c r="AH31" s="210">
        <f t="shared" si="17"/>
        <v>0</v>
      </c>
      <c r="AI31" s="210">
        <f t="shared" si="17"/>
        <v>0</v>
      </c>
      <c r="AJ31" s="210">
        <f t="shared" si="17"/>
        <v>0</v>
      </c>
      <c r="AK31" s="210">
        <f t="shared" si="17"/>
        <v>0</v>
      </c>
      <c r="AL31" s="210">
        <f t="shared" si="17"/>
        <v>0</v>
      </c>
      <c r="AM31" s="210">
        <f t="shared" si="17"/>
        <v>0</v>
      </c>
      <c r="AN31" s="210">
        <f t="shared" si="17"/>
        <v>0</v>
      </c>
      <c r="AO31" s="210">
        <f t="shared" si="17"/>
        <v>0</v>
      </c>
      <c r="AP31" s="210">
        <f t="shared" si="17"/>
        <v>0</v>
      </c>
    </row>
    <row r="32" spans="1:42">
      <c r="A32" s="202" t="s">
        <v>22</v>
      </c>
      <c r="C32" s="208"/>
      <c r="D32" s="208"/>
      <c r="E32" s="208"/>
      <c r="F32" s="208"/>
      <c r="G32" s="208"/>
      <c r="H32" s="208"/>
      <c r="I32" s="208"/>
      <c r="J32" s="208"/>
      <c r="K32" s="208"/>
      <c r="L32" s="208"/>
      <c r="M32" s="208"/>
      <c r="N32" s="208"/>
      <c r="O32" s="208"/>
      <c r="P32" s="208"/>
      <c r="Q32" s="208"/>
      <c r="R32" s="208"/>
      <c r="S32" s="208"/>
      <c r="T32" s="208"/>
      <c r="U32" s="208"/>
      <c r="V32" s="208"/>
      <c r="W32" s="208"/>
      <c r="X32" s="208"/>
      <c r="Y32" s="208"/>
      <c r="Z32" s="208"/>
      <c r="AA32" s="208"/>
      <c r="AB32" s="208"/>
      <c r="AC32" s="208"/>
      <c r="AD32" s="208"/>
      <c r="AE32" s="208"/>
      <c r="AF32" s="208"/>
      <c r="AG32" s="208"/>
      <c r="AH32" s="208"/>
      <c r="AI32" s="208"/>
      <c r="AJ32" s="208"/>
      <c r="AK32" s="208"/>
      <c r="AL32" s="208"/>
      <c r="AM32" s="208"/>
      <c r="AN32" s="208"/>
      <c r="AO32" s="208"/>
      <c r="AP32" s="208"/>
    </row>
    <row r="33" spans="1:42">
      <c r="A33" s="211" t="s">
        <v>319</v>
      </c>
      <c r="C33" s="208">
        <f>IF(C$2&lt;=AnalysisPeriod,'Inputs &amp; Results'!$J$6,0)</f>
        <v>40227150</v>
      </c>
      <c r="D33" s="208">
        <f>IF(D$2&lt;=AnalysisPeriod,'Inputs &amp; Results'!$J$6,0)</f>
        <v>40227150</v>
      </c>
      <c r="E33" s="208">
        <f>IF(E$2&lt;=AnalysisPeriod,'Inputs &amp; Results'!$J$6,0)</f>
        <v>40227150</v>
      </c>
      <c r="F33" s="208">
        <f>IF(F$2&lt;=AnalysisPeriod,'Inputs &amp; Results'!$J$6,0)</f>
        <v>40227150</v>
      </c>
      <c r="G33" s="208">
        <f>IF(G$2&lt;=AnalysisPeriod,'Inputs &amp; Results'!$J$6,0)</f>
        <v>40227150</v>
      </c>
      <c r="H33" s="208">
        <f>IF(H$2&lt;=AnalysisPeriod,'Inputs &amp; Results'!$J$6,0)</f>
        <v>40227150</v>
      </c>
      <c r="I33" s="208">
        <f>IF(I$2&lt;=AnalysisPeriod,'Inputs &amp; Results'!$J$6,0)</f>
        <v>40227150</v>
      </c>
      <c r="J33" s="208">
        <f>IF(J$2&lt;=AnalysisPeriod,'Inputs &amp; Results'!$J$6,0)</f>
        <v>40227150</v>
      </c>
      <c r="K33" s="208">
        <f>IF(K$2&lt;=AnalysisPeriod,'Inputs &amp; Results'!$J$6,0)</f>
        <v>40227150</v>
      </c>
      <c r="L33" s="208">
        <f>IF(L$2&lt;=AnalysisPeriod,'Inputs &amp; Results'!$J$6,0)</f>
        <v>40227150</v>
      </c>
      <c r="M33" s="208">
        <f>IF(M$2&lt;=AnalysisPeriod,'Inputs &amp; Results'!$J$6,0)</f>
        <v>40227150</v>
      </c>
      <c r="N33" s="208">
        <f>IF(N$2&lt;=AnalysisPeriod,'Inputs &amp; Results'!$J$6,0)</f>
        <v>40227150</v>
      </c>
      <c r="O33" s="208">
        <f>IF(O$2&lt;=AnalysisPeriod,'Inputs &amp; Results'!$J$6,0)</f>
        <v>40227150</v>
      </c>
      <c r="P33" s="208">
        <f>IF(P$2&lt;=AnalysisPeriod,'Inputs &amp; Results'!$J$6,0)</f>
        <v>40227150</v>
      </c>
      <c r="Q33" s="208">
        <f>IF(Q$2&lt;=AnalysisPeriod,'Inputs &amp; Results'!$J$6,0)</f>
        <v>40227150</v>
      </c>
      <c r="R33" s="208">
        <f>IF(R$2&lt;=AnalysisPeriod,'Inputs &amp; Results'!$J$6,0)</f>
        <v>40227150</v>
      </c>
      <c r="S33" s="208">
        <f>IF(S$2&lt;=AnalysisPeriod,'Inputs &amp; Results'!$J$6,0)</f>
        <v>40227150</v>
      </c>
      <c r="T33" s="208">
        <f>IF(T$2&lt;=AnalysisPeriod,'Inputs &amp; Results'!$J$6,0)</f>
        <v>40227150</v>
      </c>
      <c r="U33" s="208">
        <f>IF(U$2&lt;=AnalysisPeriod,'Inputs &amp; Results'!$J$6,0)</f>
        <v>40227150</v>
      </c>
      <c r="V33" s="208">
        <f>IF(V$2&lt;=AnalysisPeriod,'Inputs &amp; Results'!$J$6,0)</f>
        <v>40227150</v>
      </c>
      <c r="W33" s="208">
        <f>IF(W$2&lt;=AnalysisPeriod,'Inputs &amp; Results'!$J$6,0)</f>
        <v>40227150</v>
      </c>
      <c r="X33" s="208">
        <f>IF(X$2&lt;=AnalysisPeriod,'Inputs &amp; Results'!$J$6,0)</f>
        <v>40227150</v>
      </c>
      <c r="Y33" s="208">
        <f>IF(Y$2&lt;=AnalysisPeriod,'Inputs &amp; Results'!$J$6,0)</f>
        <v>40227150</v>
      </c>
      <c r="Z33" s="208">
        <f>IF(Z$2&lt;=AnalysisPeriod,'Inputs &amp; Results'!$J$6,0)</f>
        <v>40227150</v>
      </c>
      <c r="AA33" s="208">
        <f>IF(AA$2&lt;=AnalysisPeriod,'Inputs &amp; Results'!$J$6,0)</f>
        <v>40227150</v>
      </c>
      <c r="AB33" s="208">
        <f>IF(AB$2&lt;=AnalysisPeriod,'Inputs &amp; Results'!$J$6,0)</f>
        <v>40227150</v>
      </c>
      <c r="AC33" s="208">
        <f>IF(AC$2&lt;=AnalysisPeriod,'Inputs &amp; Results'!$J$6,0)</f>
        <v>40227150</v>
      </c>
      <c r="AD33" s="208">
        <f>IF(AD$2&lt;=AnalysisPeriod,'Inputs &amp; Results'!$J$6,0)</f>
        <v>40227150</v>
      </c>
      <c r="AE33" s="208">
        <f>IF(AE$2&lt;=AnalysisPeriod,'Inputs &amp; Results'!$J$6,0)</f>
        <v>40227150</v>
      </c>
      <c r="AF33" s="208">
        <f>IF(AF$2&lt;=AnalysisPeriod,'Inputs &amp; Results'!$J$6,0)</f>
        <v>40227150</v>
      </c>
      <c r="AG33" s="208">
        <f>IF(AG$2&lt;=AnalysisPeriod,'Inputs &amp; Results'!$J$6,0)</f>
        <v>0</v>
      </c>
      <c r="AH33" s="208">
        <f>IF(AH$2&lt;=AnalysisPeriod,'Inputs &amp; Results'!$J$6,0)</f>
        <v>0</v>
      </c>
      <c r="AI33" s="208">
        <f>IF(AI$2&lt;=AnalysisPeriod,'Inputs &amp; Results'!$J$6,0)</f>
        <v>0</v>
      </c>
      <c r="AJ33" s="208">
        <f>IF(AJ$2&lt;=AnalysisPeriod,'Inputs &amp; Results'!$J$6,0)</f>
        <v>0</v>
      </c>
      <c r="AK33" s="208">
        <f>IF(AK$2&lt;=AnalysisPeriod,'Inputs &amp; Results'!$J$6,0)</f>
        <v>0</v>
      </c>
      <c r="AL33" s="208">
        <f>IF(AL$2&lt;=AnalysisPeriod,'Inputs &amp; Results'!$J$6,0)</f>
        <v>0</v>
      </c>
      <c r="AM33" s="208">
        <f>IF(AM$2&lt;=AnalysisPeriod,'Inputs &amp; Results'!$J$6,0)</f>
        <v>0</v>
      </c>
      <c r="AN33" s="208">
        <f>IF(AN$2&lt;=AnalysisPeriod,'Inputs &amp; Results'!$J$6,0)</f>
        <v>0</v>
      </c>
      <c r="AO33" s="208">
        <f>IF(AO$2&lt;=AnalysisPeriod,'Inputs &amp; Results'!$J$6,0)</f>
        <v>0</v>
      </c>
      <c r="AP33" s="208">
        <f>IF(AP$2&lt;=AnalysisPeriod,'Inputs &amp; Results'!$J$6,0)</f>
        <v>0</v>
      </c>
    </row>
    <row r="34" spans="1:42">
      <c r="A34" s="211" t="s">
        <v>320</v>
      </c>
      <c r="C34" s="212">
        <f>IF(D$2&lt;=AnalysisPeriod,'Inputs &amp; Results'!$J$7,0)</f>
        <v>0.95</v>
      </c>
      <c r="D34" s="212">
        <f>'Inputs &amp; Results'!$J$7</f>
        <v>0.95</v>
      </c>
      <c r="E34" s="212">
        <f>'Inputs &amp; Results'!$J$7</f>
        <v>0.95</v>
      </c>
      <c r="F34" s="212">
        <f>'Inputs &amp; Results'!$J$7</f>
        <v>0.95</v>
      </c>
      <c r="G34" s="212">
        <f>'Inputs &amp; Results'!$J$7</f>
        <v>0.95</v>
      </c>
      <c r="H34" s="212">
        <f>'Inputs &amp; Results'!$J$7</f>
        <v>0.95</v>
      </c>
      <c r="I34" s="212">
        <f>'Inputs &amp; Results'!$J$7</f>
        <v>0.95</v>
      </c>
      <c r="J34" s="212">
        <f>'Inputs &amp; Results'!$J$7</f>
        <v>0.95</v>
      </c>
      <c r="K34" s="212">
        <f>'Inputs &amp; Results'!$J$7</f>
        <v>0.95</v>
      </c>
      <c r="L34" s="212">
        <f>'Inputs &amp; Results'!$J$7</f>
        <v>0.95</v>
      </c>
      <c r="M34" s="212">
        <f>'Inputs &amp; Results'!$J$7</f>
        <v>0.95</v>
      </c>
      <c r="N34" s="212">
        <f>'Inputs &amp; Results'!$J$7</f>
        <v>0.95</v>
      </c>
      <c r="O34" s="212">
        <f>'Inputs &amp; Results'!$J$7</f>
        <v>0.95</v>
      </c>
      <c r="P34" s="212">
        <f>'Inputs &amp; Results'!$J$7</f>
        <v>0.95</v>
      </c>
      <c r="Q34" s="212">
        <f>'Inputs &amp; Results'!$J$7</f>
        <v>0.95</v>
      </c>
      <c r="R34" s="212">
        <f>'Inputs &amp; Results'!$J$7</f>
        <v>0.95</v>
      </c>
      <c r="S34" s="212">
        <f>'Inputs &amp; Results'!$J$7</f>
        <v>0.95</v>
      </c>
      <c r="T34" s="212">
        <f>'Inputs &amp; Results'!$J$7</f>
        <v>0.95</v>
      </c>
      <c r="U34" s="212">
        <f>'Inputs &amp; Results'!$J$7</f>
        <v>0.95</v>
      </c>
      <c r="V34" s="212">
        <f>'Inputs &amp; Results'!$J$7</f>
        <v>0.95</v>
      </c>
      <c r="W34" s="212">
        <f>'Inputs &amp; Results'!$J$7</f>
        <v>0.95</v>
      </c>
      <c r="X34" s="212">
        <f>'Inputs &amp; Results'!$J$7</f>
        <v>0.95</v>
      </c>
      <c r="Y34" s="212">
        <f>'Inputs &amp; Results'!$J$7</f>
        <v>0.95</v>
      </c>
      <c r="Z34" s="212">
        <f>'Inputs &amp; Results'!$J$7</f>
        <v>0.95</v>
      </c>
      <c r="AA34" s="212">
        <f>'Inputs &amp; Results'!$J$7</f>
        <v>0.95</v>
      </c>
      <c r="AB34" s="212">
        <f>'Inputs &amp; Results'!$J$7</f>
        <v>0.95</v>
      </c>
      <c r="AC34" s="212">
        <f>'Inputs &amp; Results'!$J$7</f>
        <v>0.95</v>
      </c>
      <c r="AD34" s="212">
        <f>'Inputs &amp; Results'!$J$7</f>
        <v>0.95</v>
      </c>
      <c r="AE34" s="212">
        <f>'Inputs &amp; Results'!$J$7</f>
        <v>0.95</v>
      </c>
      <c r="AF34" s="212">
        <f>'Inputs &amp; Results'!$J$7</f>
        <v>0.95</v>
      </c>
      <c r="AG34" s="212">
        <f>'Inputs &amp; Results'!$J$7</f>
        <v>0.95</v>
      </c>
      <c r="AH34" s="212">
        <f>'Inputs &amp; Results'!$J$7</f>
        <v>0.95</v>
      </c>
      <c r="AI34" s="212">
        <f>'Inputs &amp; Results'!$J$7</f>
        <v>0.95</v>
      </c>
      <c r="AJ34" s="212">
        <f>'Inputs &amp; Results'!$J$7</f>
        <v>0.95</v>
      </c>
      <c r="AK34" s="212">
        <f>'Inputs &amp; Results'!$J$7</f>
        <v>0.95</v>
      </c>
      <c r="AL34" s="212">
        <f>'Inputs &amp; Results'!$J$7</f>
        <v>0.95</v>
      </c>
      <c r="AM34" s="212">
        <f>'Inputs &amp; Results'!$J$7</f>
        <v>0.95</v>
      </c>
      <c r="AN34" s="212">
        <f>'Inputs &amp; Results'!$J$7</f>
        <v>0.95</v>
      </c>
      <c r="AO34" s="212">
        <f>'Inputs &amp; Results'!$J$7</f>
        <v>0.95</v>
      </c>
      <c r="AP34" s="212">
        <f>'Inputs &amp; Results'!$J$7</f>
        <v>0.95</v>
      </c>
    </row>
    <row r="35" spans="1:42">
      <c r="A35" s="211" t="s">
        <v>388</v>
      </c>
      <c r="C35" s="208">
        <f>C33*C34</f>
        <v>38215792.5</v>
      </c>
      <c r="D35" s="208">
        <f>D33*D34</f>
        <v>38215792.5</v>
      </c>
      <c r="E35" s="208">
        <f t="shared" ref="E35:G35" si="18">E33*E34</f>
        <v>38215792.5</v>
      </c>
      <c r="F35" s="208">
        <f t="shared" si="18"/>
        <v>38215792.5</v>
      </c>
      <c r="G35" s="208">
        <f t="shared" si="18"/>
        <v>38215792.5</v>
      </c>
      <c r="H35" s="208">
        <f t="shared" ref="H35" si="19">H33*H34</f>
        <v>38215792.5</v>
      </c>
      <c r="I35" s="208">
        <f t="shared" ref="I35:J35" si="20">I33*I34</f>
        <v>38215792.5</v>
      </c>
      <c r="J35" s="208">
        <f t="shared" si="20"/>
        <v>38215792.5</v>
      </c>
      <c r="K35" s="208">
        <f t="shared" ref="K35" si="21">K33*K34</f>
        <v>38215792.5</v>
      </c>
      <c r="L35" s="208">
        <f>L33*L34</f>
        <v>38215792.5</v>
      </c>
      <c r="M35" s="208">
        <f t="shared" ref="M35" si="22">M33*M34</f>
        <v>38215792.5</v>
      </c>
      <c r="N35" s="208">
        <f t="shared" ref="N35" si="23">N33*N34</f>
        <v>38215792.5</v>
      </c>
      <c r="O35" s="208">
        <f t="shared" ref="O35" si="24">O33*O34</f>
        <v>38215792.5</v>
      </c>
      <c r="P35" s="208">
        <f t="shared" ref="P35" si="25">P33*P34</f>
        <v>38215792.5</v>
      </c>
      <c r="Q35" s="208">
        <f t="shared" ref="Q35" si="26">Q33*Q34</f>
        <v>38215792.5</v>
      </c>
      <c r="R35" s="208">
        <f t="shared" ref="R35" si="27">R33*R34</f>
        <v>38215792.5</v>
      </c>
      <c r="S35" s="208">
        <f>S33*S34</f>
        <v>38215792.5</v>
      </c>
      <c r="T35" s="208">
        <f t="shared" ref="T35" si="28">T33*T34</f>
        <v>38215792.5</v>
      </c>
      <c r="U35" s="208">
        <f t="shared" ref="U35" si="29">U33*U34</f>
        <v>38215792.5</v>
      </c>
      <c r="V35" s="208">
        <f t="shared" ref="V35" si="30">V33*V34</f>
        <v>38215792.5</v>
      </c>
      <c r="W35" s="208">
        <f t="shared" ref="W35" si="31">W33*W34</f>
        <v>38215792.5</v>
      </c>
      <c r="X35" s="208">
        <f t="shared" ref="X35" si="32">X33*X34</f>
        <v>38215792.5</v>
      </c>
      <c r="Y35" s="208">
        <f>Y33*Y34</f>
        <v>38215792.5</v>
      </c>
      <c r="Z35" s="208">
        <f t="shared" ref="Z35" si="33">Z33*Z34</f>
        <v>38215792.5</v>
      </c>
      <c r="AA35" s="208">
        <f t="shared" ref="AA35" si="34">AA33*AA34</f>
        <v>38215792.5</v>
      </c>
      <c r="AB35" s="208">
        <f t="shared" ref="AB35" si="35">AB33*AB34</f>
        <v>38215792.5</v>
      </c>
      <c r="AC35" s="208">
        <f t="shared" ref="AC35" si="36">AC33*AC34</f>
        <v>38215792.5</v>
      </c>
      <c r="AD35" s="208">
        <f t="shared" ref="AD35" si="37">AD33*AD34</f>
        <v>38215792.5</v>
      </c>
      <c r="AE35" s="208">
        <f t="shared" ref="AE35" si="38">AE33*AE34</f>
        <v>38215792.5</v>
      </c>
      <c r="AF35" s="208">
        <f t="shared" ref="AF35" si="39">AF33*AF34</f>
        <v>38215792.5</v>
      </c>
      <c r="AG35" s="208">
        <f>AG33*AG34</f>
        <v>0</v>
      </c>
      <c r="AH35" s="208">
        <f t="shared" ref="AH35" si="40">AH33*AH34</f>
        <v>0</v>
      </c>
      <c r="AI35" s="208">
        <f t="shared" ref="AI35" si="41">AI33*AI34</f>
        <v>0</v>
      </c>
      <c r="AJ35" s="208">
        <f t="shared" ref="AJ35" si="42">AJ33*AJ34</f>
        <v>0</v>
      </c>
      <c r="AK35" s="208">
        <f t="shared" ref="AK35" si="43">AK33*AK34</f>
        <v>0</v>
      </c>
      <c r="AL35" s="208">
        <f t="shared" ref="AL35" si="44">AL33*AL34</f>
        <v>0</v>
      </c>
      <c r="AM35" s="208">
        <f t="shared" ref="AM35" si="45">AM33*AM34</f>
        <v>0</v>
      </c>
      <c r="AN35" s="208">
        <f>AN33*AN34</f>
        <v>0</v>
      </c>
      <c r="AO35" s="208">
        <f t="shared" ref="AO35" si="46">AO33*AO34</f>
        <v>0</v>
      </c>
      <c r="AP35" s="208">
        <f t="shared" ref="AP35" si="47">AP33*AP34</f>
        <v>0</v>
      </c>
    </row>
    <row r="36" spans="1:42">
      <c r="A36" s="211" t="s">
        <v>322</v>
      </c>
      <c r="C36" s="213">
        <v>1</v>
      </c>
      <c r="D36" s="214">
        <f>MAX(C36-'Inputs &amp; Results'!$J$9,0)</f>
        <v>0.95</v>
      </c>
      <c r="E36" s="214">
        <f>MAX(D36-'Inputs &amp; Results'!$J$9,0)</f>
        <v>0.89999999999999991</v>
      </c>
      <c r="F36" s="214">
        <f>MAX(E36-'Inputs &amp; Results'!$J$9,0)</f>
        <v>0.84999999999999987</v>
      </c>
      <c r="G36" s="214">
        <f>MAX(F36-'Inputs &amp; Results'!$J$9,0)</f>
        <v>0.79999999999999982</v>
      </c>
      <c r="H36" s="214">
        <f>MAX(G36-'Inputs &amp; Results'!$J$9,0)</f>
        <v>0.74999999999999978</v>
      </c>
      <c r="I36" s="214">
        <f>MAX(H36-'Inputs &amp; Results'!$J$9,0)</f>
        <v>0.69999999999999973</v>
      </c>
      <c r="J36" s="214">
        <f>MAX(I36-'Inputs &amp; Results'!$J$9,0)</f>
        <v>0.64999999999999969</v>
      </c>
      <c r="K36" s="214">
        <f>MAX(J36-'Inputs &amp; Results'!$J$9,0)</f>
        <v>0.59999999999999964</v>
      </c>
      <c r="L36" s="214">
        <f>MAX(K36-'Inputs &amp; Results'!$J$9,0)</f>
        <v>0.5499999999999996</v>
      </c>
      <c r="M36" s="214">
        <f>MAX(L36-'Inputs &amp; Results'!$J$9,0)</f>
        <v>0.49999999999999961</v>
      </c>
      <c r="N36" s="214">
        <f>MAX(M36-'Inputs &amp; Results'!$J$9,0)</f>
        <v>0.44999999999999962</v>
      </c>
      <c r="O36" s="214">
        <f>MAX(N36-'Inputs &amp; Results'!$J$9,0)</f>
        <v>0.39999999999999963</v>
      </c>
      <c r="P36" s="214">
        <f>MAX(O36-'Inputs &amp; Results'!$J$9,0)</f>
        <v>0.34999999999999964</v>
      </c>
      <c r="Q36" s="214">
        <f>MAX(P36-'Inputs &amp; Results'!$J$9,0)</f>
        <v>0.29999999999999966</v>
      </c>
      <c r="R36" s="214">
        <f>MAX(Q36-'Inputs &amp; Results'!$J$9,0)</f>
        <v>0.24999999999999967</v>
      </c>
      <c r="S36" s="214">
        <f>MAX(R36-'Inputs &amp; Results'!$J$9,0)</f>
        <v>0.19999999999999968</v>
      </c>
      <c r="T36" s="214">
        <f>MAX(S36-'Inputs &amp; Results'!$J$9,0)</f>
        <v>0.14999999999999969</v>
      </c>
      <c r="U36" s="214">
        <f>MAX(T36-'Inputs &amp; Results'!$J$9,0)</f>
        <v>9.9999999999999686E-2</v>
      </c>
      <c r="V36" s="214">
        <f>MAX(U36-'Inputs &amp; Results'!$J$9,0)</f>
        <v>4.9999999999999684E-2</v>
      </c>
      <c r="W36" s="214">
        <f>MAX(V36-'Inputs &amp; Results'!$J$9,0)</f>
        <v>0</v>
      </c>
      <c r="X36" s="214">
        <f>MAX(W36-'Inputs &amp; Results'!$J$9,0)</f>
        <v>0</v>
      </c>
      <c r="Y36" s="214">
        <f>MAX(X36-'Inputs &amp; Results'!$J$9,0)</f>
        <v>0</v>
      </c>
      <c r="Z36" s="214">
        <f>MAX(Y36-'Inputs &amp; Results'!$J$9,0)</f>
        <v>0</v>
      </c>
      <c r="AA36" s="214">
        <f>MAX(Z36-'Inputs &amp; Results'!$J$9,0)</f>
        <v>0</v>
      </c>
      <c r="AB36" s="214">
        <f>MAX(AA36-'Inputs &amp; Results'!$J$9,0)</f>
        <v>0</v>
      </c>
      <c r="AC36" s="214">
        <f>MAX(AB36-'Inputs &amp; Results'!$J$9,0)</f>
        <v>0</v>
      </c>
      <c r="AD36" s="214">
        <f>MAX(AC36-'Inputs &amp; Results'!$J$9,0)</f>
        <v>0</v>
      </c>
      <c r="AE36" s="214">
        <f>MAX(AD36-'Inputs &amp; Results'!$J$9,0)</f>
        <v>0</v>
      </c>
      <c r="AF36" s="214">
        <f>MAX(AE36-'Inputs &amp; Results'!$J$9,0)</f>
        <v>0</v>
      </c>
      <c r="AG36" s="214">
        <f>MAX(AF36-'Inputs &amp; Results'!$J$9,0)</f>
        <v>0</v>
      </c>
      <c r="AH36" s="214">
        <f>MAX(AG36-'Inputs &amp; Results'!$J$9,0)</f>
        <v>0</v>
      </c>
      <c r="AI36" s="214">
        <f>MAX(AH36-'Inputs &amp; Results'!$J$9,0)</f>
        <v>0</v>
      </c>
      <c r="AJ36" s="214">
        <f>MAX(AI36-'Inputs &amp; Results'!$J$9,0)</f>
        <v>0</v>
      </c>
      <c r="AK36" s="214">
        <f>MAX(AJ36-'Inputs &amp; Results'!$J$9,0)</f>
        <v>0</v>
      </c>
      <c r="AL36" s="214">
        <f>MAX(AK36-'Inputs &amp; Results'!$J$9,0)</f>
        <v>0</v>
      </c>
      <c r="AM36" s="214">
        <f>MAX(AL36-'Inputs &amp; Results'!$J$9,0)</f>
        <v>0</v>
      </c>
      <c r="AN36" s="214">
        <f>MAX(AM36-'Inputs &amp; Results'!$J$9,0)</f>
        <v>0</v>
      </c>
      <c r="AO36" s="214">
        <f>MAX(AN36-'Inputs &amp; Results'!$J$9,0)</f>
        <v>0</v>
      </c>
      <c r="AP36" s="214">
        <f>MAX(AO36-'Inputs &amp; Results'!$J$9,0)</f>
        <v>0</v>
      </c>
    </row>
    <row r="37" spans="1:42">
      <c r="A37" s="211" t="s">
        <v>324</v>
      </c>
      <c r="C37" s="208">
        <f>C35*C36</f>
        <v>38215792.5</v>
      </c>
      <c r="D37" s="208">
        <f>D35*D36</f>
        <v>36305002.875</v>
      </c>
      <c r="E37" s="208">
        <f t="shared" ref="E37:G37" si="48">E35*E36</f>
        <v>34394213.25</v>
      </c>
      <c r="F37" s="208">
        <f t="shared" si="48"/>
        <v>32483423.624999996</v>
      </c>
      <c r="G37" s="208">
        <f t="shared" si="48"/>
        <v>30572633.999999993</v>
      </c>
      <c r="H37" s="208">
        <f t="shared" ref="H37" si="49">H35*H36</f>
        <v>28661844.374999993</v>
      </c>
      <c r="I37" s="208">
        <f t="shared" ref="I37:J37" si="50">I35*I36</f>
        <v>26751054.749999989</v>
      </c>
      <c r="J37" s="208">
        <f t="shared" si="50"/>
        <v>24840265.124999989</v>
      </c>
      <c r="K37" s="208">
        <f t="shared" ref="K37" si="51">K35*K36</f>
        <v>22929475.499999985</v>
      </c>
      <c r="L37" s="208">
        <f>L35*L36</f>
        <v>21018685.874999985</v>
      </c>
      <c r="M37" s="208">
        <f t="shared" ref="M37" si="52">M35*M36</f>
        <v>19107896.249999985</v>
      </c>
      <c r="N37" s="208">
        <f t="shared" ref="N37" si="53">N35*N36</f>
        <v>17197106.624999985</v>
      </c>
      <c r="O37" s="208">
        <f t="shared" ref="O37" si="54">O35*O36</f>
        <v>15286316.999999985</v>
      </c>
      <c r="P37" s="208">
        <f t="shared" ref="P37" si="55">P35*P36</f>
        <v>13375527.374999987</v>
      </c>
      <c r="Q37" s="208">
        <f t="shared" ref="Q37" si="56">Q35*Q36</f>
        <v>11464737.749999987</v>
      </c>
      <c r="R37" s="208">
        <f t="shared" ref="R37" si="57">R35*R36</f>
        <v>9553948.124999987</v>
      </c>
      <c r="S37" s="208">
        <f>S35*S36</f>
        <v>7643158.4999999879</v>
      </c>
      <c r="T37" s="208">
        <f t="shared" ref="T37" si="58">T35*T36</f>
        <v>5732368.8749999879</v>
      </c>
      <c r="U37" s="208">
        <f t="shared" ref="U37" si="59">U35*U36</f>
        <v>3821579.2499999879</v>
      </c>
      <c r="V37" s="208">
        <f t="shared" ref="V37" si="60">V35*V36</f>
        <v>1910789.6249999879</v>
      </c>
      <c r="W37" s="208">
        <f t="shared" ref="W37" si="61">W35*W36</f>
        <v>0</v>
      </c>
      <c r="X37" s="208">
        <f t="shared" ref="X37" si="62">X35*X36</f>
        <v>0</v>
      </c>
      <c r="Y37" s="208">
        <f>Y35*Y36</f>
        <v>0</v>
      </c>
      <c r="Z37" s="208">
        <f t="shared" ref="Z37" si="63">Z35*Z36</f>
        <v>0</v>
      </c>
      <c r="AA37" s="208">
        <f t="shared" ref="AA37" si="64">AA35*AA36</f>
        <v>0</v>
      </c>
      <c r="AB37" s="208">
        <f t="shared" ref="AB37" si="65">AB35*AB36</f>
        <v>0</v>
      </c>
      <c r="AC37" s="208">
        <f t="shared" ref="AC37" si="66">AC35*AC36</f>
        <v>0</v>
      </c>
      <c r="AD37" s="208">
        <f t="shared" ref="AD37" si="67">AD35*AD36</f>
        <v>0</v>
      </c>
      <c r="AE37" s="208">
        <f t="shared" ref="AE37" si="68">AE35*AE36</f>
        <v>0</v>
      </c>
      <c r="AF37" s="208">
        <f t="shared" ref="AF37" si="69">AF35*AF36</f>
        <v>0</v>
      </c>
      <c r="AG37" s="208">
        <f>AG35*AG36</f>
        <v>0</v>
      </c>
      <c r="AH37" s="208">
        <f t="shared" ref="AH37" si="70">AH35*AH36</f>
        <v>0</v>
      </c>
      <c r="AI37" s="208">
        <f t="shared" ref="AI37" si="71">AI35*AI36</f>
        <v>0</v>
      </c>
      <c r="AJ37" s="208">
        <f t="shared" ref="AJ37" si="72">AJ35*AJ36</f>
        <v>0</v>
      </c>
      <c r="AK37" s="208">
        <f t="shared" ref="AK37" si="73">AK35*AK36</f>
        <v>0</v>
      </c>
      <c r="AL37" s="208">
        <f t="shared" ref="AL37" si="74">AL35*AL36</f>
        <v>0</v>
      </c>
      <c r="AM37" s="208">
        <f t="shared" ref="AM37" si="75">AM35*AM36</f>
        <v>0</v>
      </c>
      <c r="AN37" s="208">
        <f>AN35*AN36</f>
        <v>0</v>
      </c>
      <c r="AO37" s="208">
        <f t="shared" ref="AO37" si="76">AO35*AO36</f>
        <v>0</v>
      </c>
      <c r="AP37" s="208">
        <f t="shared" ref="AP37" si="77">AP35*AP36</f>
        <v>0</v>
      </c>
    </row>
    <row r="38" spans="1:42">
      <c r="A38" s="211" t="s">
        <v>323</v>
      </c>
      <c r="C38" s="212">
        <f t="shared" ref="C38:AP38" si="78">PropertyTaxRate</f>
        <v>7.4999999999999997E-3</v>
      </c>
      <c r="D38" s="212">
        <f t="shared" si="78"/>
        <v>7.4999999999999997E-3</v>
      </c>
      <c r="E38" s="212">
        <f t="shared" si="78"/>
        <v>7.4999999999999997E-3</v>
      </c>
      <c r="F38" s="212">
        <f t="shared" si="78"/>
        <v>7.4999999999999997E-3</v>
      </c>
      <c r="G38" s="212">
        <f t="shared" si="78"/>
        <v>7.4999999999999997E-3</v>
      </c>
      <c r="H38" s="212">
        <f t="shared" si="78"/>
        <v>7.4999999999999997E-3</v>
      </c>
      <c r="I38" s="212">
        <f t="shared" si="78"/>
        <v>7.4999999999999997E-3</v>
      </c>
      <c r="J38" s="212">
        <f t="shared" si="78"/>
        <v>7.4999999999999997E-3</v>
      </c>
      <c r="K38" s="212">
        <f t="shared" si="78"/>
        <v>7.4999999999999997E-3</v>
      </c>
      <c r="L38" s="212">
        <f t="shared" si="78"/>
        <v>7.4999999999999997E-3</v>
      </c>
      <c r="M38" s="212">
        <f t="shared" si="78"/>
        <v>7.4999999999999997E-3</v>
      </c>
      <c r="N38" s="212">
        <f t="shared" si="78"/>
        <v>7.4999999999999997E-3</v>
      </c>
      <c r="O38" s="212">
        <f t="shared" si="78"/>
        <v>7.4999999999999997E-3</v>
      </c>
      <c r="P38" s="212">
        <f t="shared" si="78"/>
        <v>7.4999999999999997E-3</v>
      </c>
      <c r="Q38" s="212">
        <f t="shared" si="78"/>
        <v>7.4999999999999997E-3</v>
      </c>
      <c r="R38" s="212">
        <f t="shared" si="78"/>
        <v>7.4999999999999997E-3</v>
      </c>
      <c r="S38" s="212">
        <f t="shared" si="78"/>
        <v>7.4999999999999997E-3</v>
      </c>
      <c r="T38" s="212">
        <f t="shared" si="78"/>
        <v>7.4999999999999997E-3</v>
      </c>
      <c r="U38" s="212">
        <f t="shared" si="78"/>
        <v>7.4999999999999997E-3</v>
      </c>
      <c r="V38" s="212">
        <f t="shared" si="78"/>
        <v>7.4999999999999997E-3</v>
      </c>
      <c r="W38" s="212">
        <f t="shared" si="78"/>
        <v>7.4999999999999997E-3</v>
      </c>
      <c r="X38" s="212">
        <f t="shared" si="78"/>
        <v>7.4999999999999997E-3</v>
      </c>
      <c r="Y38" s="212">
        <f t="shared" si="78"/>
        <v>7.4999999999999997E-3</v>
      </c>
      <c r="Z38" s="212">
        <f t="shared" si="78"/>
        <v>7.4999999999999997E-3</v>
      </c>
      <c r="AA38" s="212">
        <f t="shared" si="78"/>
        <v>7.4999999999999997E-3</v>
      </c>
      <c r="AB38" s="212">
        <f t="shared" si="78"/>
        <v>7.4999999999999997E-3</v>
      </c>
      <c r="AC38" s="212">
        <f t="shared" si="78"/>
        <v>7.4999999999999997E-3</v>
      </c>
      <c r="AD38" s="212">
        <f t="shared" si="78"/>
        <v>7.4999999999999997E-3</v>
      </c>
      <c r="AE38" s="212">
        <f t="shared" si="78"/>
        <v>7.4999999999999997E-3</v>
      </c>
      <c r="AF38" s="212">
        <f t="shared" si="78"/>
        <v>7.4999999999999997E-3</v>
      </c>
      <c r="AG38" s="212">
        <f t="shared" si="78"/>
        <v>7.4999999999999997E-3</v>
      </c>
      <c r="AH38" s="212">
        <f t="shared" si="78"/>
        <v>7.4999999999999997E-3</v>
      </c>
      <c r="AI38" s="212">
        <f t="shared" si="78"/>
        <v>7.4999999999999997E-3</v>
      </c>
      <c r="AJ38" s="212">
        <f t="shared" si="78"/>
        <v>7.4999999999999997E-3</v>
      </c>
      <c r="AK38" s="212">
        <f t="shared" si="78"/>
        <v>7.4999999999999997E-3</v>
      </c>
      <c r="AL38" s="212">
        <f t="shared" si="78"/>
        <v>7.4999999999999997E-3</v>
      </c>
      <c r="AM38" s="212">
        <f t="shared" si="78"/>
        <v>7.4999999999999997E-3</v>
      </c>
      <c r="AN38" s="212">
        <f t="shared" si="78"/>
        <v>7.4999999999999997E-3</v>
      </c>
      <c r="AO38" s="212">
        <f t="shared" si="78"/>
        <v>7.4999999999999997E-3</v>
      </c>
      <c r="AP38" s="212">
        <f t="shared" si="78"/>
        <v>7.4999999999999997E-3</v>
      </c>
    </row>
    <row r="39" spans="1:42">
      <c r="A39" s="211" t="s">
        <v>22</v>
      </c>
      <c r="C39" s="164">
        <f>C37*C38</f>
        <v>286618.44374999998</v>
      </c>
      <c r="D39" s="164">
        <f>D37*D38</f>
        <v>272287.52156249998</v>
      </c>
      <c r="E39" s="164">
        <f t="shared" ref="E39:G39" si="79">E37*E38</f>
        <v>257956.59937499999</v>
      </c>
      <c r="F39" s="164">
        <f t="shared" si="79"/>
        <v>243625.67718749997</v>
      </c>
      <c r="G39" s="164">
        <f t="shared" si="79"/>
        <v>229294.75499999995</v>
      </c>
      <c r="H39" s="164">
        <f t="shared" ref="H39" si="80">H37*H38</f>
        <v>214963.83281249992</v>
      </c>
      <c r="I39" s="164">
        <f t="shared" ref="I39:J39" si="81">I37*I38</f>
        <v>200632.9106249999</v>
      </c>
      <c r="J39" s="164">
        <f t="shared" si="81"/>
        <v>186301.98843749991</v>
      </c>
      <c r="K39" s="164">
        <f t="shared" ref="K39" si="82">K37*K38</f>
        <v>171971.06624999989</v>
      </c>
      <c r="L39" s="164">
        <f>L37*L38</f>
        <v>157640.14406249989</v>
      </c>
      <c r="M39" s="164">
        <f t="shared" ref="M39" si="83">M37*M38</f>
        <v>143309.22187499987</v>
      </c>
      <c r="N39" s="164">
        <f t="shared" ref="N39" si="84">N37*N38</f>
        <v>128978.29968749988</v>
      </c>
      <c r="O39" s="164">
        <f t="shared" ref="O39" si="85">O37*O38</f>
        <v>114647.37749999989</v>
      </c>
      <c r="P39" s="164">
        <f t="shared" ref="P39" si="86">P37*P38</f>
        <v>100316.45531249989</v>
      </c>
      <c r="Q39" s="164">
        <f t="shared" ref="Q39" si="87">Q37*Q38</f>
        <v>85985.5331249999</v>
      </c>
      <c r="R39" s="164">
        <f t="shared" ref="R39" si="88">R37*R38</f>
        <v>71654.610937499892</v>
      </c>
      <c r="S39" s="164">
        <f>S37*S38</f>
        <v>57323.688749999907</v>
      </c>
      <c r="T39" s="164">
        <f t="shared" ref="T39" si="89">T37*T38</f>
        <v>42992.766562499906</v>
      </c>
      <c r="U39" s="164">
        <f t="shared" ref="U39" si="90">U37*U38</f>
        <v>28661.84437499991</v>
      </c>
      <c r="V39" s="164">
        <f t="shared" ref="V39" si="91">V37*V38</f>
        <v>14330.922187499909</v>
      </c>
      <c r="W39" s="164">
        <f t="shared" ref="W39" si="92">W37*W38</f>
        <v>0</v>
      </c>
      <c r="X39" s="164">
        <f t="shared" ref="X39" si="93">X37*X38</f>
        <v>0</v>
      </c>
      <c r="Y39" s="164">
        <f>Y37*Y38</f>
        <v>0</v>
      </c>
      <c r="Z39" s="164">
        <f t="shared" ref="Z39" si="94">Z37*Z38</f>
        <v>0</v>
      </c>
      <c r="AA39" s="164">
        <f t="shared" ref="AA39" si="95">AA37*AA38</f>
        <v>0</v>
      </c>
      <c r="AB39" s="164">
        <f t="shared" ref="AB39" si="96">AB37*AB38</f>
        <v>0</v>
      </c>
      <c r="AC39" s="164">
        <f t="shared" ref="AC39" si="97">AC37*AC38</f>
        <v>0</v>
      </c>
      <c r="AD39" s="164">
        <f t="shared" ref="AD39" si="98">AD37*AD38</f>
        <v>0</v>
      </c>
      <c r="AE39" s="164">
        <f t="shared" ref="AE39" si="99">AE37*AE38</f>
        <v>0</v>
      </c>
      <c r="AF39" s="164">
        <f t="shared" ref="AF39" si="100">AF37*AF38</f>
        <v>0</v>
      </c>
      <c r="AG39" s="164">
        <f>AG37*AG38</f>
        <v>0</v>
      </c>
      <c r="AH39" s="164">
        <f t="shared" ref="AH39" si="101">AH37*AH38</f>
        <v>0</v>
      </c>
      <c r="AI39" s="164">
        <f t="shared" ref="AI39" si="102">AI37*AI38</f>
        <v>0</v>
      </c>
      <c r="AJ39" s="164">
        <f t="shared" ref="AJ39" si="103">AJ37*AJ38</f>
        <v>0</v>
      </c>
      <c r="AK39" s="164">
        <f t="shared" ref="AK39" si="104">AK37*AK38</f>
        <v>0</v>
      </c>
      <c r="AL39" s="164">
        <f t="shared" ref="AL39" si="105">AL37*AL38</f>
        <v>0</v>
      </c>
      <c r="AM39" s="164">
        <f t="shared" ref="AM39" si="106">AM37*AM38</f>
        <v>0</v>
      </c>
      <c r="AN39" s="164">
        <f>AN37*AN38</f>
        <v>0</v>
      </c>
      <c r="AO39" s="164">
        <f t="shared" ref="AO39" si="107">AO37*AO38</f>
        <v>0</v>
      </c>
      <c r="AP39" s="164">
        <f t="shared" ref="AP39" si="108">AP37*AP38</f>
        <v>0</v>
      </c>
    </row>
    <row r="40" spans="1:42">
      <c r="A40" s="202" t="s">
        <v>136</v>
      </c>
      <c r="C40" s="209">
        <f>IF(C$2&lt;=AnalysisPeriod,PreFinancingInstalledCostTotal*'Inputs &amp; Results'!$J$12*(1+Inflation)^B$2,0)</f>
        <v>201135.75</v>
      </c>
      <c r="D40" s="209">
        <f>IF(D$2&lt;=AnalysisPeriod,PreFinancingInstalledCostTotal*'Inputs &amp; Results'!$J$12*(1+Inflation)^C$2,0)</f>
        <v>204152.78624999998</v>
      </c>
      <c r="E40" s="209">
        <f>IF(E$2&lt;=AnalysisPeriod,PreFinancingInstalledCostTotal*'Inputs &amp; Results'!$J$12*(1+Inflation)^D$2,0)</f>
        <v>207215.07804374993</v>
      </c>
      <c r="F40" s="209">
        <f>IF(F$2&lt;=AnalysisPeriod,PreFinancingInstalledCostTotal*'Inputs &amp; Results'!$J$12*(1+Inflation)^E$2,0)</f>
        <v>210323.30421440618</v>
      </c>
      <c r="G40" s="209">
        <f>IF(G$2&lt;=AnalysisPeriod,PreFinancingInstalledCostTotal*'Inputs &amp; Results'!$J$12*(1+Inflation)^F$2,0)</f>
        <v>213478.15377762224</v>
      </c>
      <c r="H40" s="209">
        <f>IF(H$2&lt;=AnalysisPeriod,PreFinancingInstalledCostTotal*'Inputs &amp; Results'!$J$12*(1+Inflation)^G$2,0)</f>
        <v>216680.32608428653</v>
      </c>
      <c r="I40" s="209">
        <f>IF(I$2&lt;=AnalysisPeriod,PreFinancingInstalledCostTotal*'Inputs &amp; Results'!$J$12*(1+Inflation)^H$2,0)</f>
        <v>219930.53097555079</v>
      </c>
      <c r="J40" s="209">
        <f>IF(J$2&lt;=AnalysisPeriod,PreFinancingInstalledCostTotal*'Inputs &amp; Results'!$J$12*(1+Inflation)^I$2,0)</f>
        <v>223229.488940184</v>
      </c>
      <c r="K40" s="209">
        <f>IF(K$2&lt;=AnalysisPeriod,PreFinancingInstalledCostTotal*'Inputs &amp; Results'!$J$12*(1+Inflation)^J$2,0)</f>
        <v>226577.93127428676</v>
      </c>
      <c r="L40" s="209">
        <f>IF(L$2&lt;=AnalysisPeriod,PreFinancingInstalledCostTotal*'Inputs &amp; Results'!$J$12*(1+Inflation)^K$2,0)</f>
        <v>229976.60024340104</v>
      </c>
      <c r="M40" s="209">
        <f>IF(M$2&lt;=AnalysisPeriod,PreFinancingInstalledCostTotal*'Inputs &amp; Results'!$J$12*(1+Inflation)^L$2,0)</f>
        <v>233426.24924705201</v>
      </c>
      <c r="N40" s="209">
        <f>IF(N$2&lt;=AnalysisPeriod,PreFinancingInstalledCostTotal*'Inputs &amp; Results'!$J$12*(1+Inflation)^M$2,0)</f>
        <v>236927.64298575779</v>
      </c>
      <c r="O40" s="209">
        <f>IF(O$2&lt;=AnalysisPeriod,PreFinancingInstalledCostTotal*'Inputs &amp; Results'!$J$12*(1+Inflation)^N$2,0)</f>
        <v>240481.55763054409</v>
      </c>
      <c r="P40" s="209">
        <f>IF(P$2&lt;=AnalysisPeriod,PreFinancingInstalledCostTotal*'Inputs &amp; Results'!$J$12*(1+Inflation)^O$2,0)</f>
        <v>244088.78099500225</v>
      </c>
      <c r="Q40" s="209">
        <f>IF(Q$2&lt;=AnalysisPeriod,PreFinancingInstalledCostTotal*'Inputs &amp; Results'!$J$12*(1+Inflation)^P$2,0)</f>
        <v>247750.1127099272</v>
      </c>
      <c r="R40" s="209">
        <f>IF(R$2&lt;=AnalysisPeriod,PreFinancingInstalledCostTotal*'Inputs &amp; Results'!$J$12*(1+Inflation)^Q$2,0)</f>
        <v>251466.36440057607</v>
      </c>
      <c r="S40" s="209">
        <f>IF(S$2&lt;=AnalysisPeriod,PreFinancingInstalledCostTotal*'Inputs &amp; Results'!$J$12*(1+Inflation)^R$2,0)</f>
        <v>255238.35986658468</v>
      </c>
      <c r="T40" s="209">
        <f>IF(T$2&lt;=AnalysisPeriod,PreFinancingInstalledCostTotal*'Inputs &amp; Results'!$J$12*(1+Inflation)^S$2,0)</f>
        <v>259066.93526458342</v>
      </c>
      <c r="U40" s="209">
        <f>IF(U$2&lt;=AnalysisPeriod,PreFinancingInstalledCostTotal*'Inputs &amp; Results'!$J$12*(1+Inflation)^T$2,0)</f>
        <v>262952.93929355213</v>
      </c>
      <c r="V40" s="209">
        <f>IF(V$2&lt;=AnalysisPeriod,PreFinancingInstalledCostTotal*'Inputs &amp; Results'!$J$12*(1+Inflation)^U$2,0)</f>
        <v>266897.23338295543</v>
      </c>
      <c r="W40" s="209">
        <f>IF(W$2&lt;=AnalysisPeriod,PreFinancingInstalledCostTotal*'Inputs &amp; Results'!$J$12*(1+Inflation)^V$2,0)</f>
        <v>270900.69188369968</v>
      </c>
      <c r="X40" s="209">
        <f>IF(X$2&lt;=AnalysisPeriod,PreFinancingInstalledCostTotal*'Inputs &amp; Results'!$J$12*(1+Inflation)^W$2,0)</f>
        <v>274964.20226195513</v>
      </c>
      <c r="Y40" s="209">
        <f>IF(Y$2&lt;=AnalysisPeriod,PreFinancingInstalledCostTotal*'Inputs &amp; Results'!$J$12*(1+Inflation)^X$2,0)</f>
        <v>279088.66529588442</v>
      </c>
      <c r="Z40" s="209">
        <f>IF(Z$2&lt;=AnalysisPeriod,PreFinancingInstalledCostTotal*'Inputs &amp; Results'!$J$12*(1+Inflation)^Y$2,0)</f>
        <v>283274.99527532264</v>
      </c>
      <c r="AA40" s="209">
        <f>IF(AA$2&lt;=AnalysisPeriod,PreFinancingInstalledCostTotal*'Inputs &amp; Results'!$J$12*(1+Inflation)^Z$2,0)</f>
        <v>287524.12020445243</v>
      </c>
      <c r="AB40" s="209">
        <f>IF(AB$2&lt;=AnalysisPeriod,PreFinancingInstalledCostTotal*'Inputs &amp; Results'!$J$12*(1+Inflation)^AA$2,0)</f>
        <v>291836.98200751923</v>
      </c>
      <c r="AC40" s="209">
        <f>IF(AC$2&lt;=AnalysisPeriod,PreFinancingInstalledCostTotal*'Inputs &amp; Results'!$J$12*(1+Inflation)^AB$2,0)</f>
        <v>296214.53673763195</v>
      </c>
      <c r="AD40" s="209">
        <f>IF(AD$2&lt;=AnalysisPeriod,PreFinancingInstalledCostTotal*'Inputs &amp; Results'!$J$12*(1+Inflation)^AC$2,0)</f>
        <v>300657.75478869642</v>
      </c>
      <c r="AE40" s="209">
        <f>IF(AE$2&lt;=AnalysisPeriod,PreFinancingInstalledCostTotal*'Inputs &amp; Results'!$J$12*(1+Inflation)^AD$2,0)</f>
        <v>305167.62111052679</v>
      </c>
      <c r="AF40" s="209">
        <f>IF(AF$2&lt;=AnalysisPeriod,PreFinancingInstalledCostTotal*'Inputs &amp; Results'!$J$12*(1+Inflation)^AE$2,0)</f>
        <v>309745.13542718469</v>
      </c>
      <c r="AG40" s="209">
        <f>IF(AG$2&lt;=AnalysisPeriod,PreFinancingInstalledCostTotal*'Inputs &amp; Results'!$J$12*(1+Inflation)^AF$2,0)</f>
        <v>0</v>
      </c>
      <c r="AH40" s="209">
        <f>IF(AH$2&lt;=AnalysisPeriod,PreFinancingInstalledCostTotal*'Inputs &amp; Results'!$J$12*(1+Inflation)^AG$2,0)</f>
        <v>0</v>
      </c>
      <c r="AI40" s="209">
        <f>IF(AI$2&lt;=AnalysisPeriod,PreFinancingInstalledCostTotal*'Inputs &amp; Results'!$J$12*(1+Inflation)^AH$2,0)</f>
        <v>0</v>
      </c>
      <c r="AJ40" s="209">
        <f>IF(AJ$2&lt;=AnalysisPeriod,PreFinancingInstalledCostTotal*'Inputs &amp; Results'!$J$12*(1+Inflation)^AI$2,0)</f>
        <v>0</v>
      </c>
      <c r="AK40" s="209">
        <f>IF(AK$2&lt;=AnalysisPeriod,PreFinancingInstalledCostTotal*'Inputs &amp; Results'!$J$12*(1+Inflation)^AJ$2,0)</f>
        <v>0</v>
      </c>
      <c r="AL40" s="209">
        <f>IF(AL$2&lt;=AnalysisPeriod,PreFinancingInstalledCostTotal*'Inputs &amp; Results'!$J$12*(1+Inflation)^AK$2,0)</f>
        <v>0</v>
      </c>
      <c r="AM40" s="209">
        <f>IF(AM$2&lt;=AnalysisPeriod,PreFinancingInstalledCostTotal*'Inputs &amp; Results'!$J$12*(1+Inflation)^AL$2,0)</f>
        <v>0</v>
      </c>
      <c r="AN40" s="209">
        <f>IF(AN$2&lt;=AnalysisPeriod,PreFinancingInstalledCostTotal*'Inputs &amp; Results'!$J$12*(1+Inflation)^AM$2,0)</f>
        <v>0</v>
      </c>
      <c r="AO40" s="209">
        <f>IF(AO$2&lt;=AnalysisPeriod,PreFinancingInstalledCostTotal*'Inputs &amp; Results'!$J$12*(1+Inflation)^AN$2,0)</f>
        <v>0</v>
      </c>
      <c r="AP40" s="209">
        <f>IF(AP$2&lt;=AnalysisPeriod,PreFinancingInstalledCostTotal*'Inputs &amp; Results'!$J$12*(1+Inflation)^AO$2,0)</f>
        <v>0</v>
      </c>
    </row>
    <row r="41" spans="1:42">
      <c r="A41" s="37" t="s">
        <v>74</v>
      </c>
      <c r="C41" s="164">
        <f t="shared" ref="C41:AP41" si="109">C23+C27+C31+C39+C40</f>
        <v>777254.19374999998</v>
      </c>
      <c r="D41" s="164">
        <f t="shared" si="109"/>
        <v>771730.84531250002</v>
      </c>
      <c r="E41" s="164">
        <f t="shared" si="109"/>
        <v>766376.23850343737</v>
      </c>
      <c r="F41" s="164">
        <f t="shared" si="109"/>
        <v>761193.77251473407</v>
      </c>
      <c r="G41" s="164">
        <f t="shared" si="109"/>
        <v>756186.91758800286</v>
      </c>
      <c r="H41" s="164">
        <f t="shared" si="109"/>
        <v>751359.21653930179</v>
      </c>
      <c r="I41" s="164">
        <f t="shared" si="109"/>
        <v>746714.28631722322</v>
      </c>
      <c r="J41" s="164">
        <f t="shared" si="109"/>
        <v>742255.81959505379</v>
      </c>
      <c r="K41" s="164">
        <f t="shared" si="109"/>
        <v>737987.58639776008</v>
      </c>
      <c r="L41" s="164">
        <f t="shared" si="109"/>
        <v>733913.4357645741</v>
      </c>
      <c r="M41" s="164">
        <f t="shared" si="109"/>
        <v>730037.29744796408</v>
      </c>
      <c r="N41" s="164">
        <f t="shared" si="109"/>
        <v>726363.18364979955</v>
      </c>
      <c r="O41" s="164">
        <f t="shared" si="109"/>
        <v>722895.19079553359</v>
      </c>
      <c r="P41" s="164">
        <f t="shared" si="109"/>
        <v>719637.50134724576</v>
      </c>
      <c r="Q41" s="164">
        <f t="shared" si="109"/>
        <v>716594.38565640873</v>
      </c>
      <c r="R41" s="164">
        <f t="shared" si="109"/>
        <v>713770.2038572568</v>
      </c>
      <c r="S41" s="164">
        <f t="shared" si="109"/>
        <v>711169.40780165966</v>
      </c>
      <c r="T41" s="164">
        <f t="shared" si="109"/>
        <v>708796.54303642223</v>
      </c>
      <c r="U41" s="164">
        <f t="shared" si="109"/>
        <v>706656.25082394935</v>
      </c>
      <c r="V41" s="164">
        <f t="shared" si="109"/>
        <v>704753.27020724164</v>
      </c>
      <c r="W41" s="164">
        <f t="shared" si="109"/>
        <v>703092.440120204</v>
      </c>
      <c r="X41" s="164">
        <f t="shared" si="109"/>
        <v>716009.62373177486</v>
      </c>
      <c r="Y41" s="164">
        <f t="shared" si="109"/>
        <v>729178.94408740243</v>
      </c>
      <c r="Z41" s="164">
        <f t="shared" si="109"/>
        <v>742605.55292392347</v>
      </c>
      <c r="AA41" s="164">
        <f t="shared" si="109"/>
        <v>756294.71078391466</v>
      </c>
      <c r="AB41" s="164">
        <f t="shared" si="109"/>
        <v>770251.78936812212</v>
      </c>
      <c r="AC41" s="164">
        <f t="shared" si="109"/>
        <v>784482.27393958764</v>
      </c>
      <c r="AD41" s="164">
        <f t="shared" si="109"/>
        <v>798991.765780624</v>
      </c>
      <c r="AE41" s="164">
        <f t="shared" si="109"/>
        <v>813785.98470381368</v>
      </c>
      <c r="AF41" s="164">
        <f t="shared" si="109"/>
        <v>828870.77161823248</v>
      </c>
      <c r="AG41" s="164">
        <f t="shared" si="109"/>
        <v>0</v>
      </c>
      <c r="AH41" s="164">
        <f t="shared" si="109"/>
        <v>0</v>
      </c>
      <c r="AI41" s="164">
        <f t="shared" si="109"/>
        <v>0</v>
      </c>
      <c r="AJ41" s="164">
        <f t="shared" si="109"/>
        <v>0</v>
      </c>
      <c r="AK41" s="164">
        <f t="shared" si="109"/>
        <v>0</v>
      </c>
      <c r="AL41" s="164">
        <f t="shared" si="109"/>
        <v>0</v>
      </c>
      <c r="AM41" s="164">
        <f t="shared" si="109"/>
        <v>0</v>
      </c>
      <c r="AN41" s="164">
        <f t="shared" si="109"/>
        <v>0</v>
      </c>
      <c r="AO41" s="164">
        <f t="shared" si="109"/>
        <v>0</v>
      </c>
      <c r="AP41" s="164">
        <f t="shared" si="109"/>
        <v>0</v>
      </c>
    </row>
    <row r="43" spans="1:42" ht="13.5" thickBot="1">
      <c r="A43" s="204" t="s">
        <v>80</v>
      </c>
      <c r="C43" s="215">
        <f t="shared" ref="C43:AP43" si="110">C20-C41</f>
        <v>5130924.9360721735</v>
      </c>
      <c r="D43" s="215">
        <f t="shared" si="110"/>
        <v>5224480.1535440227</v>
      </c>
      <c r="E43" s="215">
        <f t="shared" si="110"/>
        <v>5319178.3042360479</v>
      </c>
      <c r="F43" s="215">
        <f t="shared" si="110"/>
        <v>5415035.5329115689</v>
      </c>
      <c r="G43" s="215">
        <f t="shared" si="110"/>
        <v>5512068.2044891519</v>
      </c>
      <c r="H43" s="215">
        <f t="shared" si="110"/>
        <v>5610292.9068568042</v>
      </c>
      <c r="I43" s="215">
        <f t="shared" si="110"/>
        <v>5709726.4537174851</v>
      </c>
      <c r="J43" s="215">
        <f t="shared" si="110"/>
        <v>5810385.8874661699</v>
      </c>
      <c r="K43" s="215">
        <f t="shared" si="110"/>
        <v>5912288.4820986763</v>
      </c>
      <c r="L43" s="215">
        <f t="shared" si="110"/>
        <v>6015451.7461524587</v>
      </c>
      <c r="M43" s="215">
        <f t="shared" si="110"/>
        <v>6119893.4256796334</v>
      </c>
      <c r="N43" s="215">
        <f t="shared" si="110"/>
        <v>6225631.5072523979</v>
      </c>
      <c r="O43" s="215">
        <f t="shared" si="110"/>
        <v>6332684.2210011082</v>
      </c>
      <c r="P43" s="215">
        <f t="shared" si="110"/>
        <v>6441070.0436851662</v>
      </c>
      <c r="Q43" s="215">
        <f t="shared" si="110"/>
        <v>6550807.7017969862</v>
      </c>
      <c r="R43" s="215">
        <f t="shared" si="110"/>
        <v>6661916.174699191</v>
      </c>
      <c r="S43" s="215">
        <f t="shared" si="110"/>
        <v>6774414.6977952812</v>
      </c>
      <c r="T43" s="215">
        <f t="shared" si="110"/>
        <v>6888322.7657339126</v>
      </c>
      <c r="U43" s="215">
        <f t="shared" si="110"/>
        <v>7003660.1356470631</v>
      </c>
      <c r="V43" s="215">
        <f t="shared" si="110"/>
        <v>7120446.8304221872</v>
      </c>
      <c r="W43" s="215">
        <f t="shared" si="110"/>
        <v>7238703.1420086045</v>
      </c>
      <c r="X43" s="215">
        <f t="shared" si="110"/>
        <v>7344118.712570752</v>
      </c>
      <c r="Y43" s="215">
        <f t="shared" si="110"/>
        <v>7451045.304426033</v>
      </c>
      <c r="Z43" s="215">
        <f t="shared" si="110"/>
        <v>7559504.0368923601</v>
      </c>
      <c r="AA43" s="215">
        <f t="shared" si="110"/>
        <v>7669516.3119206326</v>
      </c>
      <c r="AB43" s="215">
        <f t="shared" si="110"/>
        <v>7781103.8175747218</v>
      </c>
      <c r="AC43" s="215">
        <f t="shared" si="110"/>
        <v>7894288.5315467063</v>
      </c>
      <c r="AD43" s="215">
        <f t="shared" si="110"/>
        <v>8009092.7247074135</v>
      </c>
      <c r="AE43" s="215">
        <f t="shared" si="110"/>
        <v>8125538.9646924967</v>
      </c>
      <c r="AF43" s="215">
        <f>AF20-AF41</f>
        <v>12266365.119524082</v>
      </c>
      <c r="AG43" s="215">
        <f t="shared" si="110"/>
        <v>0</v>
      </c>
      <c r="AH43" s="215">
        <f t="shared" si="110"/>
        <v>0</v>
      </c>
      <c r="AI43" s="215">
        <f t="shared" si="110"/>
        <v>0</v>
      </c>
      <c r="AJ43" s="215">
        <f t="shared" si="110"/>
        <v>0</v>
      </c>
      <c r="AK43" s="215">
        <f t="shared" si="110"/>
        <v>0</v>
      </c>
      <c r="AL43" s="215">
        <f t="shared" si="110"/>
        <v>0</v>
      </c>
      <c r="AM43" s="215">
        <f t="shared" si="110"/>
        <v>0</v>
      </c>
      <c r="AN43" s="215">
        <f t="shared" si="110"/>
        <v>0</v>
      </c>
      <c r="AO43" s="215">
        <f t="shared" si="110"/>
        <v>0</v>
      </c>
      <c r="AP43" s="215">
        <f t="shared" si="110"/>
        <v>0</v>
      </c>
    </row>
    <row r="44" spans="1:42" ht="13.5" thickTop="1">
      <c r="C44" s="208"/>
      <c r="D44" s="208"/>
      <c r="E44" s="208"/>
      <c r="F44" s="208"/>
      <c r="G44" s="208"/>
      <c r="H44" s="208"/>
      <c r="I44" s="208"/>
      <c r="J44" s="208"/>
      <c r="K44" s="208"/>
      <c r="L44" s="208"/>
      <c r="M44" s="208"/>
      <c r="N44" s="208"/>
      <c r="O44" s="208"/>
      <c r="P44" s="208"/>
      <c r="Q44" s="208"/>
      <c r="R44" s="208"/>
      <c r="S44" s="208"/>
      <c r="T44" s="208"/>
      <c r="U44" s="208"/>
      <c r="V44" s="208"/>
      <c r="W44" s="208"/>
      <c r="X44" s="208"/>
      <c r="Y44" s="208"/>
      <c r="Z44" s="208"/>
      <c r="AA44" s="208"/>
      <c r="AB44" s="208"/>
      <c r="AC44" s="208"/>
      <c r="AD44" s="208"/>
      <c r="AE44" s="208"/>
      <c r="AF44" s="208"/>
      <c r="AG44" s="208"/>
      <c r="AH44" s="208"/>
      <c r="AI44" s="208"/>
      <c r="AJ44" s="208"/>
      <c r="AK44" s="208"/>
      <c r="AL44" s="208"/>
      <c r="AM44" s="208"/>
      <c r="AN44" s="208"/>
      <c r="AO44" s="208"/>
      <c r="AP44" s="208"/>
    </row>
    <row r="45" spans="1:42">
      <c r="A45" s="201" t="s">
        <v>294</v>
      </c>
      <c r="B45" s="119"/>
      <c r="C45" s="146"/>
      <c r="D45" s="146"/>
      <c r="E45" s="208"/>
      <c r="F45" s="208"/>
      <c r="G45" s="208"/>
      <c r="H45" s="208"/>
      <c r="I45" s="208"/>
      <c r="J45" s="208"/>
      <c r="K45" s="208"/>
      <c r="L45" s="208"/>
      <c r="M45" s="208"/>
      <c r="N45" s="208"/>
      <c r="O45" s="208"/>
      <c r="P45" s="208"/>
      <c r="Q45" s="208"/>
      <c r="R45" s="208"/>
      <c r="S45" s="208"/>
      <c r="T45" s="208"/>
      <c r="U45" s="208"/>
      <c r="V45" s="208"/>
      <c r="W45" s="208"/>
      <c r="X45" s="208"/>
      <c r="Y45" s="208"/>
      <c r="Z45" s="208"/>
      <c r="AA45" s="208"/>
      <c r="AB45" s="208"/>
      <c r="AC45" s="208"/>
      <c r="AD45" s="208"/>
      <c r="AE45" s="208"/>
      <c r="AF45" s="208"/>
      <c r="AG45" s="208"/>
      <c r="AH45" s="208"/>
      <c r="AI45" s="208"/>
      <c r="AJ45" s="208"/>
      <c r="AK45" s="208"/>
      <c r="AL45" s="208"/>
      <c r="AM45" s="208"/>
      <c r="AN45" s="208"/>
      <c r="AO45" s="208"/>
      <c r="AP45" s="208"/>
    </row>
    <row r="46" spans="1:42">
      <c r="A46" s="204" t="s">
        <v>198</v>
      </c>
      <c r="B46" s="164"/>
      <c r="C46" s="164"/>
      <c r="D46" s="164"/>
      <c r="E46" s="164"/>
      <c r="F46" s="164"/>
      <c r="G46" s="208"/>
      <c r="H46" s="208"/>
      <c r="I46" s="208"/>
      <c r="J46" s="208"/>
      <c r="K46" s="208"/>
      <c r="L46" s="208"/>
      <c r="M46" s="208"/>
      <c r="N46" s="208"/>
      <c r="O46" s="208"/>
      <c r="P46" s="208"/>
      <c r="Q46" s="208"/>
      <c r="R46" s="208"/>
      <c r="S46" s="208"/>
      <c r="T46" s="208"/>
      <c r="U46" s="208"/>
      <c r="V46" s="208"/>
      <c r="W46" s="208"/>
      <c r="X46" s="208"/>
      <c r="Y46" s="208"/>
      <c r="Z46" s="208"/>
      <c r="AA46" s="208"/>
      <c r="AB46" s="208"/>
      <c r="AC46" s="208"/>
      <c r="AD46" s="208"/>
      <c r="AE46" s="208"/>
      <c r="AF46" s="208"/>
      <c r="AG46" s="208"/>
      <c r="AH46" s="208"/>
      <c r="AI46" s="208"/>
      <c r="AJ46" s="208"/>
      <c r="AK46" s="208"/>
      <c r="AL46" s="208"/>
      <c r="AM46" s="208"/>
      <c r="AN46" s="208"/>
      <c r="AO46" s="208"/>
      <c r="AP46" s="208"/>
    </row>
    <row r="47" spans="1:42">
      <c r="A47" s="202" t="s">
        <v>117</v>
      </c>
      <c r="B47" s="164">
        <v>0</v>
      </c>
      <c r="C47" s="164">
        <f>C43</f>
        <v>5130924.9360721735</v>
      </c>
      <c r="D47" s="164">
        <f t="shared" ref="D47:F47" si="111">D43</f>
        <v>5224480.1535440227</v>
      </c>
      <c r="E47" s="164">
        <f t="shared" si="111"/>
        <v>5319178.3042360479</v>
      </c>
      <c r="F47" s="164">
        <f t="shared" si="111"/>
        <v>5415035.5329115689</v>
      </c>
      <c r="G47" s="164">
        <f t="shared" ref="G47:I47" si="112">G43</f>
        <v>5512068.2044891519</v>
      </c>
      <c r="H47" s="164">
        <f t="shared" si="112"/>
        <v>5610292.9068568042</v>
      </c>
      <c r="I47" s="164">
        <f t="shared" si="112"/>
        <v>5709726.4537174851</v>
      </c>
      <c r="J47" s="164">
        <f t="shared" ref="J47:AP47" si="113">J43</f>
        <v>5810385.8874661699</v>
      </c>
      <c r="K47" s="164">
        <f t="shared" si="113"/>
        <v>5912288.4820986763</v>
      </c>
      <c r="L47" s="164">
        <f t="shared" si="113"/>
        <v>6015451.7461524587</v>
      </c>
      <c r="M47" s="164">
        <f t="shared" si="113"/>
        <v>6119893.4256796334</v>
      </c>
      <c r="N47" s="164">
        <f t="shared" si="113"/>
        <v>6225631.5072523979</v>
      </c>
      <c r="O47" s="164">
        <f t="shared" si="113"/>
        <v>6332684.2210011082</v>
      </c>
      <c r="P47" s="164">
        <f t="shared" si="113"/>
        <v>6441070.0436851662</v>
      </c>
      <c r="Q47" s="164">
        <f t="shared" si="113"/>
        <v>6550807.7017969862</v>
      </c>
      <c r="R47" s="164">
        <f t="shared" si="113"/>
        <v>6661916.174699191</v>
      </c>
      <c r="S47" s="164">
        <f t="shared" si="113"/>
        <v>6774414.6977952812</v>
      </c>
      <c r="T47" s="164">
        <f t="shared" si="113"/>
        <v>6888322.7657339126</v>
      </c>
      <c r="U47" s="164">
        <f t="shared" si="113"/>
        <v>7003660.1356470631</v>
      </c>
      <c r="V47" s="164">
        <f t="shared" si="113"/>
        <v>7120446.8304221872</v>
      </c>
      <c r="W47" s="164">
        <f t="shared" si="113"/>
        <v>7238703.1420086045</v>
      </c>
      <c r="X47" s="164">
        <f t="shared" si="113"/>
        <v>7344118.712570752</v>
      </c>
      <c r="Y47" s="164">
        <f t="shared" si="113"/>
        <v>7451045.304426033</v>
      </c>
      <c r="Z47" s="164">
        <f t="shared" si="113"/>
        <v>7559504.0368923601</v>
      </c>
      <c r="AA47" s="164">
        <f t="shared" si="113"/>
        <v>7669516.3119206326</v>
      </c>
      <c r="AB47" s="164">
        <f t="shared" si="113"/>
        <v>7781103.8175747218</v>
      </c>
      <c r="AC47" s="164">
        <f t="shared" si="113"/>
        <v>7894288.5315467063</v>
      </c>
      <c r="AD47" s="164">
        <f t="shared" si="113"/>
        <v>8009092.7247074135</v>
      </c>
      <c r="AE47" s="164">
        <f t="shared" si="113"/>
        <v>8125538.9646924967</v>
      </c>
      <c r="AF47" s="164">
        <f t="shared" si="113"/>
        <v>12266365.119524082</v>
      </c>
      <c r="AG47" s="164">
        <f t="shared" si="113"/>
        <v>0</v>
      </c>
      <c r="AH47" s="164">
        <f t="shared" si="113"/>
        <v>0</v>
      </c>
      <c r="AI47" s="164">
        <f t="shared" si="113"/>
        <v>0</v>
      </c>
      <c r="AJ47" s="164">
        <f t="shared" si="113"/>
        <v>0</v>
      </c>
      <c r="AK47" s="164">
        <f t="shared" si="113"/>
        <v>0</v>
      </c>
      <c r="AL47" s="164">
        <f t="shared" si="113"/>
        <v>0</v>
      </c>
      <c r="AM47" s="164">
        <f t="shared" si="113"/>
        <v>0</v>
      </c>
      <c r="AN47" s="164">
        <f t="shared" si="113"/>
        <v>0</v>
      </c>
      <c r="AO47" s="164">
        <f t="shared" si="113"/>
        <v>0</v>
      </c>
      <c r="AP47" s="164">
        <f t="shared" si="113"/>
        <v>0</v>
      </c>
    </row>
    <row r="48" spans="1:42">
      <c r="A48" s="202" t="s">
        <v>222</v>
      </c>
      <c r="B48" s="164"/>
      <c r="C48" s="164"/>
      <c r="D48" s="164"/>
      <c r="E48" s="164"/>
      <c r="F48" s="164"/>
      <c r="G48" s="164"/>
      <c r="H48" s="164"/>
      <c r="I48" s="164"/>
      <c r="J48" s="164"/>
      <c r="K48" s="164"/>
      <c r="L48" s="164"/>
      <c r="M48" s="164"/>
      <c r="N48" s="164"/>
      <c r="O48" s="164"/>
      <c r="P48" s="164"/>
      <c r="Q48" s="164"/>
      <c r="R48" s="164"/>
      <c r="S48" s="164"/>
      <c r="T48" s="164"/>
      <c r="U48" s="164"/>
      <c r="V48" s="164"/>
      <c r="W48" s="164"/>
      <c r="X48" s="164"/>
      <c r="Y48" s="164"/>
      <c r="Z48" s="164"/>
      <c r="AA48" s="164"/>
      <c r="AB48" s="164"/>
      <c r="AC48" s="164"/>
      <c r="AD48" s="164"/>
      <c r="AE48" s="164"/>
      <c r="AF48" s="164"/>
      <c r="AG48" s="164"/>
      <c r="AH48" s="164"/>
      <c r="AI48" s="164"/>
      <c r="AJ48" s="164"/>
      <c r="AK48" s="164"/>
      <c r="AL48" s="164"/>
      <c r="AM48" s="164"/>
      <c r="AN48" s="164"/>
      <c r="AO48" s="164"/>
      <c r="AP48" s="164"/>
    </row>
    <row r="49" spans="1:42">
      <c r="A49" s="206" t="str">
        <f>A14</f>
        <v>Federal</v>
      </c>
      <c r="B49" s="164">
        <v>0</v>
      </c>
      <c r="C49" s="208">
        <f t="shared" ref="C49:AP49" si="114">IF(PBIFedDebtSwitch="Yes",0,C652)</f>
        <v>0</v>
      </c>
      <c r="D49" s="208">
        <f t="shared" si="114"/>
        <v>0</v>
      </c>
      <c r="E49" s="208">
        <f t="shared" si="114"/>
        <v>0</v>
      </c>
      <c r="F49" s="208">
        <f t="shared" si="114"/>
        <v>0</v>
      </c>
      <c r="G49" s="208">
        <f t="shared" si="114"/>
        <v>0</v>
      </c>
      <c r="H49" s="208">
        <f t="shared" si="114"/>
        <v>0</v>
      </c>
      <c r="I49" s="208">
        <f t="shared" si="114"/>
        <v>0</v>
      </c>
      <c r="J49" s="208">
        <f t="shared" si="114"/>
        <v>0</v>
      </c>
      <c r="K49" s="208">
        <f t="shared" si="114"/>
        <v>0</v>
      </c>
      <c r="L49" s="208">
        <f t="shared" si="114"/>
        <v>0</v>
      </c>
      <c r="M49" s="208">
        <f t="shared" si="114"/>
        <v>0</v>
      </c>
      <c r="N49" s="208">
        <f t="shared" si="114"/>
        <v>0</v>
      </c>
      <c r="O49" s="208">
        <f t="shared" si="114"/>
        <v>0</v>
      </c>
      <c r="P49" s="208">
        <f t="shared" si="114"/>
        <v>0</v>
      </c>
      <c r="Q49" s="208">
        <f t="shared" si="114"/>
        <v>0</v>
      </c>
      <c r="R49" s="208">
        <f t="shared" si="114"/>
        <v>0</v>
      </c>
      <c r="S49" s="208">
        <f t="shared" si="114"/>
        <v>0</v>
      </c>
      <c r="T49" s="208">
        <f t="shared" si="114"/>
        <v>0</v>
      </c>
      <c r="U49" s="208">
        <f t="shared" si="114"/>
        <v>0</v>
      </c>
      <c r="V49" s="208">
        <f t="shared" si="114"/>
        <v>0</v>
      </c>
      <c r="W49" s="208">
        <f t="shared" si="114"/>
        <v>0</v>
      </c>
      <c r="X49" s="208">
        <f t="shared" si="114"/>
        <v>0</v>
      </c>
      <c r="Y49" s="208">
        <f t="shared" si="114"/>
        <v>0</v>
      </c>
      <c r="Z49" s="208">
        <f t="shared" si="114"/>
        <v>0</v>
      </c>
      <c r="AA49" s="208">
        <f t="shared" si="114"/>
        <v>0</v>
      </c>
      <c r="AB49" s="208">
        <f t="shared" si="114"/>
        <v>0</v>
      </c>
      <c r="AC49" s="208">
        <f t="shared" si="114"/>
        <v>0</v>
      </c>
      <c r="AD49" s="208">
        <f t="shared" si="114"/>
        <v>0</v>
      </c>
      <c r="AE49" s="208">
        <f t="shared" si="114"/>
        <v>0</v>
      </c>
      <c r="AF49" s="208">
        <f t="shared" si="114"/>
        <v>0</v>
      </c>
      <c r="AG49" s="208">
        <f t="shared" si="114"/>
        <v>0</v>
      </c>
      <c r="AH49" s="208">
        <f t="shared" si="114"/>
        <v>0</v>
      </c>
      <c r="AI49" s="208">
        <f t="shared" si="114"/>
        <v>0</v>
      </c>
      <c r="AJ49" s="208">
        <f t="shared" si="114"/>
        <v>0</v>
      </c>
      <c r="AK49" s="208">
        <f t="shared" si="114"/>
        <v>0</v>
      </c>
      <c r="AL49" s="208">
        <f t="shared" si="114"/>
        <v>0</v>
      </c>
      <c r="AM49" s="208">
        <f t="shared" si="114"/>
        <v>0</v>
      </c>
      <c r="AN49" s="208">
        <f t="shared" si="114"/>
        <v>0</v>
      </c>
      <c r="AO49" s="208">
        <f t="shared" si="114"/>
        <v>0</v>
      </c>
      <c r="AP49" s="208">
        <f t="shared" si="114"/>
        <v>0</v>
      </c>
    </row>
    <row r="50" spans="1:42">
      <c r="A50" s="206" t="str">
        <f t="shared" ref="A50:A52" si="115">A15</f>
        <v>State</v>
      </c>
      <c r="B50" s="164">
        <v>0</v>
      </c>
      <c r="C50" s="208">
        <f t="shared" ref="C50:AP50" si="116">IF(PBIStateDebtSwitch="Yes",0,C656)</f>
        <v>0</v>
      </c>
      <c r="D50" s="208">
        <f t="shared" si="116"/>
        <v>0</v>
      </c>
      <c r="E50" s="208">
        <f t="shared" si="116"/>
        <v>0</v>
      </c>
      <c r="F50" s="208">
        <f t="shared" si="116"/>
        <v>0</v>
      </c>
      <c r="G50" s="208">
        <f t="shared" si="116"/>
        <v>0</v>
      </c>
      <c r="H50" s="208">
        <f t="shared" si="116"/>
        <v>0</v>
      </c>
      <c r="I50" s="208">
        <f t="shared" si="116"/>
        <v>0</v>
      </c>
      <c r="J50" s="208">
        <f t="shared" si="116"/>
        <v>0</v>
      </c>
      <c r="K50" s="208">
        <f t="shared" si="116"/>
        <v>0</v>
      </c>
      <c r="L50" s="208">
        <f t="shared" si="116"/>
        <v>0</v>
      </c>
      <c r="M50" s="208">
        <f t="shared" si="116"/>
        <v>0</v>
      </c>
      <c r="N50" s="208">
        <f t="shared" si="116"/>
        <v>0</v>
      </c>
      <c r="O50" s="208">
        <f t="shared" si="116"/>
        <v>0</v>
      </c>
      <c r="P50" s="208">
        <f t="shared" si="116"/>
        <v>0</v>
      </c>
      <c r="Q50" s="208">
        <f t="shared" si="116"/>
        <v>0</v>
      </c>
      <c r="R50" s="208">
        <f t="shared" si="116"/>
        <v>0</v>
      </c>
      <c r="S50" s="208">
        <f t="shared" si="116"/>
        <v>0</v>
      </c>
      <c r="T50" s="208">
        <f t="shared" si="116"/>
        <v>0</v>
      </c>
      <c r="U50" s="208">
        <f t="shared" si="116"/>
        <v>0</v>
      </c>
      <c r="V50" s="208">
        <f t="shared" si="116"/>
        <v>0</v>
      </c>
      <c r="W50" s="208">
        <f t="shared" si="116"/>
        <v>0</v>
      </c>
      <c r="X50" s="208">
        <f t="shared" si="116"/>
        <v>0</v>
      </c>
      <c r="Y50" s="208">
        <f t="shared" si="116"/>
        <v>0</v>
      </c>
      <c r="Z50" s="208">
        <f t="shared" si="116"/>
        <v>0</v>
      </c>
      <c r="AA50" s="208">
        <f t="shared" si="116"/>
        <v>0</v>
      </c>
      <c r="AB50" s="208">
        <f t="shared" si="116"/>
        <v>0</v>
      </c>
      <c r="AC50" s="208">
        <f t="shared" si="116"/>
        <v>0</v>
      </c>
      <c r="AD50" s="208">
        <f t="shared" si="116"/>
        <v>0</v>
      </c>
      <c r="AE50" s="208">
        <f t="shared" si="116"/>
        <v>0</v>
      </c>
      <c r="AF50" s="208">
        <f t="shared" si="116"/>
        <v>0</v>
      </c>
      <c r="AG50" s="208">
        <f t="shared" si="116"/>
        <v>0</v>
      </c>
      <c r="AH50" s="208">
        <f t="shared" si="116"/>
        <v>0</v>
      </c>
      <c r="AI50" s="208">
        <f t="shared" si="116"/>
        <v>0</v>
      </c>
      <c r="AJ50" s="208">
        <f t="shared" si="116"/>
        <v>0</v>
      </c>
      <c r="AK50" s="208">
        <f t="shared" si="116"/>
        <v>0</v>
      </c>
      <c r="AL50" s="208">
        <f t="shared" si="116"/>
        <v>0</v>
      </c>
      <c r="AM50" s="208">
        <f t="shared" si="116"/>
        <v>0</v>
      </c>
      <c r="AN50" s="208">
        <f t="shared" si="116"/>
        <v>0</v>
      </c>
      <c r="AO50" s="208">
        <f t="shared" si="116"/>
        <v>0</v>
      </c>
      <c r="AP50" s="208">
        <f t="shared" si="116"/>
        <v>0</v>
      </c>
    </row>
    <row r="51" spans="1:42">
      <c r="A51" s="206" t="str">
        <f t="shared" si="115"/>
        <v>Utility</v>
      </c>
      <c r="B51" s="164">
        <v>0</v>
      </c>
      <c r="C51" s="208">
        <f t="shared" ref="C51:AP51" si="117">IF(PBIUtilityDebtSwitch="Yes",0,C660)</f>
        <v>0</v>
      </c>
      <c r="D51" s="208">
        <f t="shared" si="117"/>
        <v>0</v>
      </c>
      <c r="E51" s="208">
        <f t="shared" si="117"/>
        <v>0</v>
      </c>
      <c r="F51" s="208">
        <f t="shared" si="117"/>
        <v>0</v>
      </c>
      <c r="G51" s="208">
        <f t="shared" si="117"/>
        <v>0</v>
      </c>
      <c r="H51" s="208">
        <f t="shared" si="117"/>
        <v>0</v>
      </c>
      <c r="I51" s="208">
        <f t="shared" si="117"/>
        <v>0</v>
      </c>
      <c r="J51" s="208">
        <f t="shared" si="117"/>
        <v>0</v>
      </c>
      <c r="K51" s="208">
        <f t="shared" si="117"/>
        <v>0</v>
      </c>
      <c r="L51" s="208">
        <f t="shared" si="117"/>
        <v>0</v>
      </c>
      <c r="M51" s="208">
        <f t="shared" si="117"/>
        <v>0</v>
      </c>
      <c r="N51" s="208">
        <f t="shared" si="117"/>
        <v>0</v>
      </c>
      <c r="O51" s="208">
        <f t="shared" si="117"/>
        <v>0</v>
      </c>
      <c r="P51" s="208">
        <f t="shared" si="117"/>
        <v>0</v>
      </c>
      <c r="Q51" s="208">
        <f t="shared" si="117"/>
        <v>0</v>
      </c>
      <c r="R51" s="208">
        <f t="shared" si="117"/>
        <v>0</v>
      </c>
      <c r="S51" s="208">
        <f t="shared" si="117"/>
        <v>0</v>
      </c>
      <c r="T51" s="208">
        <f t="shared" si="117"/>
        <v>0</v>
      </c>
      <c r="U51" s="208">
        <f t="shared" si="117"/>
        <v>0</v>
      </c>
      <c r="V51" s="208">
        <f t="shared" si="117"/>
        <v>0</v>
      </c>
      <c r="W51" s="208">
        <f t="shared" si="117"/>
        <v>0</v>
      </c>
      <c r="X51" s="208">
        <f t="shared" si="117"/>
        <v>0</v>
      </c>
      <c r="Y51" s="208">
        <f t="shared" si="117"/>
        <v>0</v>
      </c>
      <c r="Z51" s="208">
        <f t="shared" si="117"/>
        <v>0</v>
      </c>
      <c r="AA51" s="208">
        <f t="shared" si="117"/>
        <v>0</v>
      </c>
      <c r="AB51" s="208">
        <f t="shared" si="117"/>
        <v>0</v>
      </c>
      <c r="AC51" s="208">
        <f t="shared" si="117"/>
        <v>0</v>
      </c>
      <c r="AD51" s="208">
        <f t="shared" si="117"/>
        <v>0</v>
      </c>
      <c r="AE51" s="208">
        <f t="shared" si="117"/>
        <v>0</v>
      </c>
      <c r="AF51" s="208">
        <f t="shared" si="117"/>
        <v>0</v>
      </c>
      <c r="AG51" s="208">
        <f t="shared" si="117"/>
        <v>0</v>
      </c>
      <c r="AH51" s="208">
        <f t="shared" si="117"/>
        <v>0</v>
      </c>
      <c r="AI51" s="208">
        <f t="shared" si="117"/>
        <v>0</v>
      </c>
      <c r="AJ51" s="208">
        <f t="shared" si="117"/>
        <v>0</v>
      </c>
      <c r="AK51" s="208">
        <f t="shared" si="117"/>
        <v>0</v>
      </c>
      <c r="AL51" s="208">
        <f t="shared" si="117"/>
        <v>0</v>
      </c>
      <c r="AM51" s="208">
        <f t="shared" si="117"/>
        <v>0</v>
      </c>
      <c r="AN51" s="208">
        <f t="shared" si="117"/>
        <v>0</v>
      </c>
      <c r="AO51" s="208">
        <f t="shared" si="117"/>
        <v>0</v>
      </c>
      <c r="AP51" s="208">
        <f t="shared" si="117"/>
        <v>0</v>
      </c>
    </row>
    <row r="52" spans="1:42">
      <c r="A52" s="206" t="str">
        <f t="shared" si="115"/>
        <v>Other</v>
      </c>
      <c r="B52" s="209">
        <v>0</v>
      </c>
      <c r="C52" s="209">
        <f t="shared" ref="C52:AP52" si="118">IF(PBIOtherDebtSwitch="Yes",0,C664)</f>
        <v>0</v>
      </c>
      <c r="D52" s="209">
        <f t="shared" si="118"/>
        <v>0</v>
      </c>
      <c r="E52" s="209">
        <f t="shared" si="118"/>
        <v>0</v>
      </c>
      <c r="F52" s="209">
        <f t="shared" si="118"/>
        <v>0</v>
      </c>
      <c r="G52" s="209">
        <f t="shared" si="118"/>
        <v>0</v>
      </c>
      <c r="H52" s="209">
        <f t="shared" si="118"/>
        <v>0</v>
      </c>
      <c r="I52" s="209">
        <f t="shared" si="118"/>
        <v>0</v>
      </c>
      <c r="J52" s="209">
        <f t="shared" si="118"/>
        <v>0</v>
      </c>
      <c r="K52" s="209">
        <f t="shared" si="118"/>
        <v>0</v>
      </c>
      <c r="L52" s="209">
        <f t="shared" si="118"/>
        <v>0</v>
      </c>
      <c r="M52" s="209">
        <f t="shared" si="118"/>
        <v>0</v>
      </c>
      <c r="N52" s="209">
        <f t="shared" si="118"/>
        <v>0</v>
      </c>
      <c r="O52" s="209">
        <f t="shared" si="118"/>
        <v>0</v>
      </c>
      <c r="P52" s="209">
        <f t="shared" si="118"/>
        <v>0</v>
      </c>
      <c r="Q52" s="209">
        <f t="shared" si="118"/>
        <v>0</v>
      </c>
      <c r="R52" s="209">
        <f t="shared" si="118"/>
        <v>0</v>
      </c>
      <c r="S52" s="209">
        <f t="shared" si="118"/>
        <v>0</v>
      </c>
      <c r="T52" s="209">
        <f t="shared" si="118"/>
        <v>0</v>
      </c>
      <c r="U52" s="209">
        <f t="shared" si="118"/>
        <v>0</v>
      </c>
      <c r="V52" s="209">
        <f t="shared" si="118"/>
        <v>0</v>
      </c>
      <c r="W52" s="209">
        <f t="shared" si="118"/>
        <v>0</v>
      </c>
      <c r="X52" s="209">
        <f t="shared" si="118"/>
        <v>0</v>
      </c>
      <c r="Y52" s="209">
        <f t="shared" si="118"/>
        <v>0</v>
      </c>
      <c r="Z52" s="209">
        <f t="shared" si="118"/>
        <v>0</v>
      </c>
      <c r="AA52" s="209">
        <f t="shared" si="118"/>
        <v>0</v>
      </c>
      <c r="AB52" s="209">
        <f t="shared" si="118"/>
        <v>0</v>
      </c>
      <c r="AC52" s="209">
        <f t="shared" si="118"/>
        <v>0</v>
      </c>
      <c r="AD52" s="209">
        <f t="shared" si="118"/>
        <v>0</v>
      </c>
      <c r="AE52" s="209">
        <f t="shared" si="118"/>
        <v>0</v>
      </c>
      <c r="AF52" s="209">
        <f t="shared" si="118"/>
        <v>0</v>
      </c>
      <c r="AG52" s="209">
        <f t="shared" si="118"/>
        <v>0</v>
      </c>
      <c r="AH52" s="209">
        <f t="shared" si="118"/>
        <v>0</v>
      </c>
      <c r="AI52" s="209">
        <f t="shared" si="118"/>
        <v>0</v>
      </c>
      <c r="AJ52" s="209">
        <f t="shared" si="118"/>
        <v>0</v>
      </c>
      <c r="AK52" s="209">
        <f t="shared" si="118"/>
        <v>0</v>
      </c>
      <c r="AL52" s="209">
        <f t="shared" si="118"/>
        <v>0</v>
      </c>
      <c r="AM52" s="209">
        <f t="shared" si="118"/>
        <v>0</v>
      </c>
      <c r="AN52" s="209">
        <f t="shared" si="118"/>
        <v>0</v>
      </c>
      <c r="AO52" s="209">
        <f t="shared" si="118"/>
        <v>0</v>
      </c>
      <c r="AP52" s="209">
        <f t="shared" si="118"/>
        <v>0</v>
      </c>
    </row>
    <row r="53" spans="1:42">
      <c r="A53" s="206" t="s">
        <v>53</v>
      </c>
      <c r="B53" s="164">
        <f>SUM(B49:B52)</f>
        <v>0</v>
      </c>
      <c r="C53" s="164">
        <f>SUM(C49:C52)</f>
        <v>0</v>
      </c>
      <c r="D53" s="164">
        <f t="shared" ref="D53:AP53" si="119">SUM(D49:D52)</f>
        <v>0</v>
      </c>
      <c r="E53" s="164">
        <f t="shared" si="119"/>
        <v>0</v>
      </c>
      <c r="F53" s="164">
        <f t="shared" si="119"/>
        <v>0</v>
      </c>
      <c r="G53" s="164">
        <f t="shared" si="119"/>
        <v>0</v>
      </c>
      <c r="H53" s="164">
        <f t="shared" si="119"/>
        <v>0</v>
      </c>
      <c r="I53" s="164">
        <f t="shared" si="119"/>
        <v>0</v>
      </c>
      <c r="J53" s="164">
        <f t="shared" si="119"/>
        <v>0</v>
      </c>
      <c r="K53" s="164">
        <f t="shared" si="119"/>
        <v>0</v>
      </c>
      <c r="L53" s="164">
        <f t="shared" si="119"/>
        <v>0</v>
      </c>
      <c r="M53" s="164">
        <f t="shared" si="119"/>
        <v>0</v>
      </c>
      <c r="N53" s="164">
        <f t="shared" si="119"/>
        <v>0</v>
      </c>
      <c r="O53" s="164">
        <f t="shared" si="119"/>
        <v>0</v>
      </c>
      <c r="P53" s="164">
        <f t="shared" si="119"/>
        <v>0</v>
      </c>
      <c r="Q53" s="164">
        <f t="shared" si="119"/>
        <v>0</v>
      </c>
      <c r="R53" s="164">
        <f t="shared" si="119"/>
        <v>0</v>
      </c>
      <c r="S53" s="164">
        <f t="shared" si="119"/>
        <v>0</v>
      </c>
      <c r="T53" s="164">
        <f t="shared" si="119"/>
        <v>0</v>
      </c>
      <c r="U53" s="164">
        <f t="shared" si="119"/>
        <v>0</v>
      </c>
      <c r="V53" s="164">
        <f t="shared" si="119"/>
        <v>0</v>
      </c>
      <c r="W53" s="164">
        <f t="shared" si="119"/>
        <v>0</v>
      </c>
      <c r="X53" s="164">
        <f t="shared" si="119"/>
        <v>0</v>
      </c>
      <c r="Y53" s="164">
        <f t="shared" si="119"/>
        <v>0</v>
      </c>
      <c r="Z53" s="164">
        <f t="shared" si="119"/>
        <v>0</v>
      </c>
      <c r="AA53" s="164">
        <f t="shared" si="119"/>
        <v>0</v>
      </c>
      <c r="AB53" s="164">
        <f t="shared" si="119"/>
        <v>0</v>
      </c>
      <c r="AC53" s="164">
        <f t="shared" si="119"/>
        <v>0</v>
      </c>
      <c r="AD53" s="164">
        <f t="shared" si="119"/>
        <v>0</v>
      </c>
      <c r="AE53" s="164">
        <f t="shared" si="119"/>
        <v>0</v>
      </c>
      <c r="AF53" s="164">
        <f t="shared" si="119"/>
        <v>0</v>
      </c>
      <c r="AG53" s="164">
        <f t="shared" si="119"/>
        <v>0</v>
      </c>
      <c r="AH53" s="164">
        <f t="shared" si="119"/>
        <v>0</v>
      </c>
      <c r="AI53" s="164">
        <f t="shared" si="119"/>
        <v>0</v>
      </c>
      <c r="AJ53" s="164">
        <f t="shared" si="119"/>
        <v>0</v>
      </c>
      <c r="AK53" s="164">
        <f t="shared" si="119"/>
        <v>0</v>
      </c>
      <c r="AL53" s="164">
        <f t="shared" si="119"/>
        <v>0</v>
      </c>
      <c r="AM53" s="164">
        <f t="shared" si="119"/>
        <v>0</v>
      </c>
      <c r="AN53" s="164">
        <f t="shared" si="119"/>
        <v>0</v>
      </c>
      <c r="AO53" s="164">
        <f t="shared" si="119"/>
        <v>0</v>
      </c>
      <c r="AP53" s="164">
        <f t="shared" si="119"/>
        <v>0</v>
      </c>
    </row>
    <row r="54" spans="1:42">
      <c r="A54" s="202" t="s">
        <v>130</v>
      </c>
      <c r="B54" s="164">
        <v>0</v>
      </c>
      <c r="C54" s="164">
        <f t="shared" ref="C54:AP54" si="120">C805</f>
        <v>28528.458178202964</v>
      </c>
      <c r="D54" s="164">
        <f t="shared" si="120"/>
        <v>41155.008793442925</v>
      </c>
      <c r="E54" s="164">
        <f t="shared" si="120"/>
        <v>53788.226519133903</v>
      </c>
      <c r="F54" s="164">
        <f t="shared" si="120"/>
        <v>64616.161421195538</v>
      </c>
      <c r="G54" s="164">
        <f t="shared" si="120"/>
        <v>77290.448270984838</v>
      </c>
      <c r="H54" s="164">
        <f t="shared" si="120"/>
        <v>89971.688633716185</v>
      </c>
      <c r="I54" s="164">
        <f t="shared" si="120"/>
        <v>100765.16524699876</v>
      </c>
      <c r="J54" s="164">
        <f t="shared" si="120"/>
        <v>113489.31321603422</v>
      </c>
      <c r="K54" s="164">
        <f t="shared" si="120"/>
        <v>126220.7129568919</v>
      </c>
      <c r="L54" s="164">
        <f t="shared" si="120"/>
        <v>136978.09917461986</v>
      </c>
      <c r="M54" s="164">
        <f t="shared" si="120"/>
        <v>118110.60951335869</v>
      </c>
      <c r="N54" s="164">
        <f t="shared" si="120"/>
        <v>130277.59365682983</v>
      </c>
      <c r="O54" s="164">
        <f t="shared" si="120"/>
        <v>88847.901148577046</v>
      </c>
      <c r="P54" s="164">
        <f t="shared" si="120"/>
        <v>101886.37546337843</v>
      </c>
      <c r="Q54" s="164">
        <f t="shared" si="120"/>
        <v>114924.84977817982</v>
      </c>
      <c r="R54" s="164">
        <f t="shared" si="120"/>
        <v>18029.125128545482</v>
      </c>
      <c r="S54" s="164">
        <f t="shared" si="120"/>
        <v>32898.398355727615</v>
      </c>
      <c r="T54" s="164">
        <f t="shared" si="120"/>
        <v>47767.671582909745</v>
      </c>
      <c r="U54" s="164">
        <f t="shared" si="120"/>
        <v>60382.909231071135</v>
      </c>
      <c r="V54" s="164">
        <f t="shared" si="120"/>
        <v>75286.502685733882</v>
      </c>
      <c r="W54" s="164">
        <f t="shared" si="120"/>
        <v>90190.096140396621</v>
      </c>
      <c r="X54" s="164">
        <f t="shared" si="120"/>
        <v>102736.69333359678</v>
      </c>
      <c r="Y54" s="164">
        <f t="shared" si="120"/>
        <v>117676.17470796108</v>
      </c>
      <c r="Z54" s="164">
        <f t="shared" si="120"/>
        <v>132615.65608232541</v>
      </c>
      <c r="AA54" s="164">
        <f t="shared" si="120"/>
        <v>83473.976921940499</v>
      </c>
      <c r="AB54" s="164">
        <f t="shared" si="120"/>
        <v>93316.277141678642</v>
      </c>
      <c r="AC54" s="164">
        <f t="shared" si="120"/>
        <v>103158.57736141678</v>
      </c>
      <c r="AD54" s="164">
        <f t="shared" si="120"/>
        <v>110423.63589592067</v>
      </c>
      <c r="AE54" s="164">
        <f t="shared" si="120"/>
        <v>120305.1775197134</v>
      </c>
      <c r="AF54" s="164">
        <f t="shared" si="120"/>
        <v>130186.71914350611</v>
      </c>
      <c r="AG54" s="164">
        <f t="shared" si="120"/>
        <v>0</v>
      </c>
      <c r="AH54" s="164">
        <f t="shared" si="120"/>
        <v>0</v>
      </c>
      <c r="AI54" s="164">
        <f t="shared" si="120"/>
        <v>0</v>
      </c>
      <c r="AJ54" s="164">
        <f t="shared" si="120"/>
        <v>0</v>
      </c>
      <c r="AK54" s="164">
        <f t="shared" si="120"/>
        <v>0</v>
      </c>
      <c r="AL54" s="164">
        <f t="shared" si="120"/>
        <v>0</v>
      </c>
      <c r="AM54" s="164">
        <f t="shared" si="120"/>
        <v>0</v>
      </c>
      <c r="AN54" s="164">
        <f t="shared" si="120"/>
        <v>0</v>
      </c>
      <c r="AO54" s="164">
        <f t="shared" si="120"/>
        <v>0</v>
      </c>
      <c r="AP54" s="164">
        <f t="shared" si="120"/>
        <v>0</v>
      </c>
    </row>
    <row r="55" spans="1:42">
      <c r="A55" s="202" t="s">
        <v>199</v>
      </c>
      <c r="B55" s="209">
        <v>0</v>
      </c>
      <c r="C55" s="209">
        <f>-C684</f>
        <v>-1787948.5127279796</v>
      </c>
      <c r="D55" s="209">
        <f t="shared" ref="D55:F55" si="121">-D684</f>
        <v>-1688290.5425787433</v>
      </c>
      <c r="E55" s="209">
        <f t="shared" si="121"/>
        <v>-1574860.1826434173</v>
      </c>
      <c r="F55" s="209">
        <f t="shared" si="121"/>
        <v>-1446422.0135743737</v>
      </c>
      <c r="G55" s="209">
        <f t="shared" ref="G55:I55" si="122">-G684</f>
        <v>-1301723.5797390747</v>
      </c>
      <c r="H55" s="209">
        <f t="shared" si="122"/>
        <v>-1139227.2609717124</v>
      </c>
      <c r="I55" s="209">
        <f t="shared" si="122"/>
        <v>-957352.68864162371</v>
      </c>
      <c r="J55" s="209">
        <f t="shared" ref="J55:AP55" si="123">-J684</f>
        <v>-754477.15955315973</v>
      </c>
      <c r="K55" s="209">
        <f t="shared" si="123"/>
        <v>-528653.17591308407</v>
      </c>
      <c r="L55" s="209">
        <f t="shared" si="123"/>
        <v>-277859.67330109322</v>
      </c>
      <c r="M55" s="209">
        <f t="shared" si="123"/>
        <v>0</v>
      </c>
      <c r="N55" s="209">
        <f t="shared" si="123"/>
        <v>0</v>
      </c>
      <c r="O55" s="209">
        <f t="shared" si="123"/>
        <v>0</v>
      </c>
      <c r="P55" s="209">
        <f t="shared" si="123"/>
        <v>0</v>
      </c>
      <c r="Q55" s="209">
        <f t="shared" si="123"/>
        <v>0</v>
      </c>
      <c r="R55" s="209">
        <f t="shared" si="123"/>
        <v>0</v>
      </c>
      <c r="S55" s="209">
        <f t="shared" si="123"/>
        <v>0</v>
      </c>
      <c r="T55" s="209">
        <f t="shared" si="123"/>
        <v>0</v>
      </c>
      <c r="U55" s="209">
        <f t="shared" si="123"/>
        <v>0</v>
      </c>
      <c r="V55" s="209">
        <f t="shared" si="123"/>
        <v>0</v>
      </c>
      <c r="W55" s="209">
        <f t="shared" si="123"/>
        <v>0</v>
      </c>
      <c r="X55" s="209">
        <f t="shared" si="123"/>
        <v>0</v>
      </c>
      <c r="Y55" s="209">
        <f t="shared" si="123"/>
        <v>0</v>
      </c>
      <c r="Z55" s="209">
        <f t="shared" si="123"/>
        <v>0</v>
      </c>
      <c r="AA55" s="209">
        <f t="shared" si="123"/>
        <v>0</v>
      </c>
      <c r="AB55" s="209">
        <f t="shared" si="123"/>
        <v>0</v>
      </c>
      <c r="AC55" s="209">
        <f t="shared" si="123"/>
        <v>0</v>
      </c>
      <c r="AD55" s="209">
        <f t="shared" si="123"/>
        <v>0</v>
      </c>
      <c r="AE55" s="209">
        <f t="shared" si="123"/>
        <v>0</v>
      </c>
      <c r="AF55" s="209">
        <f t="shared" si="123"/>
        <v>0</v>
      </c>
      <c r="AG55" s="209">
        <f t="shared" si="123"/>
        <v>0</v>
      </c>
      <c r="AH55" s="209">
        <f t="shared" si="123"/>
        <v>0</v>
      </c>
      <c r="AI55" s="209">
        <f t="shared" si="123"/>
        <v>0</v>
      </c>
      <c r="AJ55" s="209">
        <f t="shared" si="123"/>
        <v>0</v>
      </c>
      <c r="AK55" s="209">
        <f t="shared" si="123"/>
        <v>0</v>
      </c>
      <c r="AL55" s="209">
        <f t="shared" si="123"/>
        <v>0</v>
      </c>
      <c r="AM55" s="209">
        <f t="shared" si="123"/>
        <v>0</v>
      </c>
      <c r="AN55" s="209">
        <f t="shared" si="123"/>
        <v>0</v>
      </c>
      <c r="AO55" s="209">
        <f t="shared" si="123"/>
        <v>0</v>
      </c>
      <c r="AP55" s="209">
        <f t="shared" si="123"/>
        <v>0</v>
      </c>
    </row>
    <row r="56" spans="1:42">
      <c r="A56" s="202" t="s">
        <v>53</v>
      </c>
      <c r="B56" s="164">
        <f>B47+B53+B54+B55</f>
        <v>0</v>
      </c>
      <c r="C56" s="164">
        <f>C47+C53+C54+C55</f>
        <v>3371504.8815223966</v>
      </c>
      <c r="D56" s="164">
        <f t="shared" ref="D56:AP56" si="124">D47+D53+D54+D55</f>
        <v>3577344.6197587219</v>
      </c>
      <c r="E56" s="164">
        <f t="shared" si="124"/>
        <v>3798106.3481117645</v>
      </c>
      <c r="F56" s="164">
        <f t="shared" si="124"/>
        <v>4033229.6807583906</v>
      </c>
      <c r="G56" s="164">
        <f t="shared" si="124"/>
        <v>4287635.0730210617</v>
      </c>
      <c r="H56" s="164">
        <f t="shared" si="124"/>
        <v>4561037.334518807</v>
      </c>
      <c r="I56" s="164">
        <f t="shared" si="124"/>
        <v>4853138.9303228604</v>
      </c>
      <c r="J56" s="164">
        <f t="shared" si="124"/>
        <v>5169398.0411290443</v>
      </c>
      <c r="K56" s="164">
        <f t="shared" si="124"/>
        <v>5509856.0191424843</v>
      </c>
      <c r="L56" s="164">
        <f t="shared" si="124"/>
        <v>5874570.1720259851</v>
      </c>
      <c r="M56" s="164">
        <f t="shared" si="124"/>
        <v>6238004.0351929925</v>
      </c>
      <c r="N56" s="164">
        <f t="shared" si="124"/>
        <v>6355909.1009092275</v>
      </c>
      <c r="O56" s="164">
        <f t="shared" si="124"/>
        <v>6421532.1221496854</v>
      </c>
      <c r="P56" s="164">
        <f t="shared" si="124"/>
        <v>6542956.4191485448</v>
      </c>
      <c r="Q56" s="164">
        <f t="shared" si="124"/>
        <v>6665732.5515751662</v>
      </c>
      <c r="R56" s="164">
        <f t="shared" si="124"/>
        <v>6679945.2998277368</v>
      </c>
      <c r="S56" s="164">
        <f t="shared" si="124"/>
        <v>6807313.0961510092</v>
      </c>
      <c r="T56" s="164">
        <f t="shared" si="124"/>
        <v>6936090.4373168219</v>
      </c>
      <c r="U56" s="164">
        <f t="shared" si="124"/>
        <v>7064043.0448781345</v>
      </c>
      <c r="V56" s="164">
        <f t="shared" si="124"/>
        <v>7195733.3331079213</v>
      </c>
      <c r="W56" s="164">
        <f t="shared" si="124"/>
        <v>7328893.2381490013</v>
      </c>
      <c r="X56" s="164">
        <f t="shared" si="124"/>
        <v>7446855.4059043489</v>
      </c>
      <c r="Y56" s="164">
        <f t="shared" si="124"/>
        <v>7568721.4791339943</v>
      </c>
      <c r="Z56" s="164">
        <f t="shared" si="124"/>
        <v>7692119.6929746857</v>
      </c>
      <c r="AA56" s="164">
        <f t="shared" si="124"/>
        <v>7752990.2888425728</v>
      </c>
      <c r="AB56" s="164">
        <f t="shared" si="124"/>
        <v>7874420.0947164008</v>
      </c>
      <c r="AC56" s="164">
        <f t="shared" si="124"/>
        <v>7997447.1089081233</v>
      </c>
      <c r="AD56" s="164">
        <f t="shared" si="124"/>
        <v>8119516.3606033344</v>
      </c>
      <c r="AE56" s="164">
        <f t="shared" si="124"/>
        <v>8245844.1422122102</v>
      </c>
      <c r="AF56" s="164">
        <f t="shared" si="124"/>
        <v>12396551.838667588</v>
      </c>
      <c r="AG56" s="164">
        <f t="shared" si="124"/>
        <v>0</v>
      </c>
      <c r="AH56" s="164">
        <f t="shared" si="124"/>
        <v>0</v>
      </c>
      <c r="AI56" s="164">
        <f t="shared" si="124"/>
        <v>0</v>
      </c>
      <c r="AJ56" s="164">
        <f t="shared" si="124"/>
        <v>0</v>
      </c>
      <c r="AK56" s="164">
        <f t="shared" si="124"/>
        <v>0</v>
      </c>
      <c r="AL56" s="164">
        <f t="shared" si="124"/>
        <v>0</v>
      </c>
      <c r="AM56" s="164">
        <f t="shared" si="124"/>
        <v>0</v>
      </c>
      <c r="AN56" s="164">
        <f t="shared" si="124"/>
        <v>0</v>
      </c>
      <c r="AO56" s="164">
        <f t="shared" si="124"/>
        <v>0</v>
      </c>
      <c r="AP56" s="164">
        <f t="shared" si="124"/>
        <v>0</v>
      </c>
    </row>
    <row r="57" spans="1:42">
      <c r="A57" s="202"/>
      <c r="B57" s="164"/>
      <c r="C57" s="164"/>
      <c r="D57" s="164"/>
      <c r="E57" s="164"/>
      <c r="F57" s="164"/>
      <c r="G57" s="164"/>
      <c r="H57" s="164"/>
      <c r="I57" s="164"/>
      <c r="J57" s="164"/>
      <c r="K57" s="164"/>
      <c r="L57" s="164"/>
      <c r="M57" s="164"/>
      <c r="N57" s="164"/>
      <c r="O57" s="164"/>
      <c r="P57" s="164"/>
      <c r="Q57" s="164"/>
      <c r="R57" s="164"/>
      <c r="S57" s="164"/>
      <c r="T57" s="164"/>
      <c r="U57" s="164"/>
      <c r="V57" s="164"/>
      <c r="W57" s="164"/>
      <c r="X57" s="164"/>
      <c r="Y57" s="164"/>
      <c r="Z57" s="164"/>
      <c r="AA57" s="164"/>
      <c r="AB57" s="164"/>
      <c r="AC57" s="164"/>
      <c r="AD57" s="164"/>
      <c r="AE57" s="164"/>
      <c r="AF57" s="164"/>
      <c r="AG57" s="164"/>
      <c r="AH57" s="164"/>
      <c r="AI57" s="164"/>
      <c r="AJ57" s="164"/>
      <c r="AK57" s="164"/>
      <c r="AL57" s="164"/>
      <c r="AM57" s="164"/>
      <c r="AN57" s="164"/>
      <c r="AO57" s="164"/>
      <c r="AP57" s="164"/>
    </row>
    <row r="58" spans="1:42">
      <c r="A58" s="204" t="s">
        <v>191</v>
      </c>
      <c r="B58" s="164"/>
      <c r="C58" s="164"/>
      <c r="D58" s="164"/>
      <c r="E58" s="164"/>
      <c r="F58" s="164"/>
      <c r="G58" s="164"/>
      <c r="H58" s="164"/>
      <c r="I58" s="164"/>
      <c r="J58" s="164"/>
      <c r="K58" s="164"/>
      <c r="L58" s="164"/>
      <c r="M58" s="164"/>
      <c r="N58" s="164"/>
      <c r="O58" s="164"/>
      <c r="P58" s="164"/>
      <c r="Q58" s="164"/>
      <c r="R58" s="164"/>
      <c r="S58" s="164"/>
      <c r="T58" s="164"/>
      <c r="U58" s="164"/>
      <c r="V58" s="164"/>
      <c r="W58" s="164"/>
      <c r="X58" s="164"/>
      <c r="Y58" s="164"/>
      <c r="Z58" s="164"/>
      <c r="AA58" s="164"/>
      <c r="AB58" s="164"/>
      <c r="AC58" s="164"/>
      <c r="AD58" s="164"/>
      <c r="AE58" s="164"/>
      <c r="AF58" s="164"/>
      <c r="AG58" s="164"/>
      <c r="AH58" s="164"/>
      <c r="AI58" s="164"/>
      <c r="AJ58" s="164"/>
      <c r="AK58" s="164"/>
      <c r="AL58" s="164"/>
      <c r="AM58" s="164"/>
      <c r="AN58" s="164"/>
      <c r="AO58" s="164"/>
      <c r="AP58" s="164"/>
    </row>
    <row r="59" spans="1:42">
      <c r="A59" s="202" t="s">
        <v>192</v>
      </c>
      <c r="B59" s="164">
        <f>-LPFInstalledCostTotal+'Inputs &amp; Results'!C144+'Inputs &amp; Results'!C147</f>
        <v>-42856688.500000007</v>
      </c>
      <c r="C59" s="164">
        <v>0</v>
      </c>
      <c r="D59" s="164">
        <v>0</v>
      </c>
      <c r="E59" s="164">
        <v>0</v>
      </c>
      <c r="F59" s="164">
        <v>0</v>
      </c>
      <c r="G59" s="164">
        <v>0</v>
      </c>
      <c r="H59" s="164">
        <v>0</v>
      </c>
      <c r="I59" s="164">
        <v>0</v>
      </c>
      <c r="J59" s="164">
        <v>0</v>
      </c>
      <c r="K59" s="164">
        <v>0</v>
      </c>
      <c r="L59" s="164">
        <v>0</v>
      </c>
      <c r="M59" s="164">
        <v>0</v>
      </c>
      <c r="N59" s="164">
        <v>0</v>
      </c>
      <c r="O59" s="164">
        <v>0</v>
      </c>
      <c r="P59" s="164">
        <v>0</v>
      </c>
      <c r="Q59" s="164">
        <v>0</v>
      </c>
      <c r="R59" s="164">
        <v>0</v>
      </c>
      <c r="S59" s="164">
        <v>0</v>
      </c>
      <c r="T59" s="164">
        <v>0</v>
      </c>
      <c r="U59" s="164">
        <v>0</v>
      </c>
      <c r="V59" s="164">
        <v>0</v>
      </c>
      <c r="W59" s="164">
        <v>0</v>
      </c>
      <c r="X59" s="164">
        <v>0</v>
      </c>
      <c r="Y59" s="164">
        <v>0</v>
      </c>
      <c r="Z59" s="164">
        <v>0</v>
      </c>
      <c r="AA59" s="164">
        <v>0</v>
      </c>
      <c r="AB59" s="164">
        <v>0</v>
      </c>
      <c r="AC59" s="164">
        <v>0</v>
      </c>
      <c r="AD59" s="164">
        <v>0</v>
      </c>
      <c r="AE59" s="164">
        <v>0</v>
      </c>
      <c r="AF59" s="164">
        <v>0</v>
      </c>
      <c r="AG59" s="164">
        <v>0</v>
      </c>
      <c r="AH59" s="164">
        <v>0</v>
      </c>
      <c r="AI59" s="164">
        <v>0</v>
      </c>
      <c r="AJ59" s="164">
        <v>0</v>
      </c>
      <c r="AK59" s="164">
        <v>0</v>
      </c>
      <c r="AL59" s="164">
        <v>0</v>
      </c>
      <c r="AM59" s="164">
        <v>0</v>
      </c>
      <c r="AN59" s="164">
        <v>0</v>
      </c>
      <c r="AO59" s="164">
        <v>0</v>
      </c>
      <c r="AP59" s="164">
        <v>0</v>
      </c>
    </row>
    <row r="60" spans="1:42">
      <c r="A60" s="202" t="s">
        <v>193</v>
      </c>
      <c r="B60" s="164"/>
      <c r="C60" s="164"/>
      <c r="D60" s="164"/>
      <c r="E60" s="164"/>
      <c r="F60" s="164"/>
      <c r="G60" s="164"/>
      <c r="H60" s="164"/>
      <c r="I60" s="164"/>
      <c r="J60" s="164"/>
      <c r="K60" s="164"/>
      <c r="L60" s="164"/>
      <c r="M60" s="164"/>
      <c r="N60" s="164"/>
      <c r="O60" s="164"/>
      <c r="P60" s="164"/>
      <c r="Q60" s="164"/>
      <c r="R60" s="164"/>
      <c r="S60" s="164"/>
      <c r="T60" s="164"/>
      <c r="U60" s="164"/>
      <c r="V60" s="164"/>
      <c r="W60" s="164"/>
      <c r="X60" s="164"/>
      <c r="Y60" s="164"/>
      <c r="Z60" s="164"/>
      <c r="AA60" s="164"/>
      <c r="AB60" s="164"/>
      <c r="AC60" s="164"/>
      <c r="AD60" s="164"/>
      <c r="AE60" s="164"/>
      <c r="AF60" s="164"/>
      <c r="AG60" s="164"/>
      <c r="AH60" s="164"/>
      <c r="AI60" s="164"/>
      <c r="AJ60" s="164"/>
      <c r="AK60" s="164"/>
      <c r="AL60" s="164"/>
      <c r="AM60" s="164"/>
      <c r="AN60" s="164"/>
      <c r="AO60" s="164"/>
      <c r="AP60" s="164"/>
    </row>
    <row r="61" spans="1:42">
      <c r="A61" s="206" t="s">
        <v>194</v>
      </c>
      <c r="B61" s="164">
        <f t="shared" ref="B61:AP61" si="125">-B697-B698</f>
        <v>-1480197.6101830264</v>
      </c>
      <c r="C61" s="164">
        <f t="shared" si="125"/>
        <v>-31185.072490616236</v>
      </c>
      <c r="D61" s="164">
        <f t="shared" si="125"/>
        <v>-31566.050230675144</v>
      </c>
      <c r="E61" s="164">
        <f t="shared" si="125"/>
        <v>-31429.531737569487</v>
      </c>
      <c r="F61" s="164">
        <f t="shared" si="125"/>
        <v>-32344.2238591942</v>
      </c>
      <c r="G61" s="164">
        <f t="shared" si="125"/>
        <v>-32741.567455884069</v>
      </c>
      <c r="H61" s="164">
        <f t="shared" si="125"/>
        <v>-32597.753590105567</v>
      </c>
      <c r="I61" s="164">
        <f t="shared" si="125"/>
        <v>-33553.144582894864</v>
      </c>
      <c r="J61" s="164">
        <f t="shared" si="125"/>
        <v>-33967.531544168713</v>
      </c>
      <c r="K61" s="164">
        <f t="shared" si="125"/>
        <v>-33816.017453425331</v>
      </c>
      <c r="L61" s="164">
        <f t="shared" si="125"/>
        <v>1773398.50312756</v>
      </c>
      <c r="M61" s="164">
        <f t="shared" si="125"/>
        <v>0</v>
      </c>
      <c r="N61" s="164">
        <f t="shared" si="125"/>
        <v>0</v>
      </c>
      <c r="O61" s="164">
        <f t="shared" si="125"/>
        <v>0</v>
      </c>
      <c r="P61" s="164">
        <f t="shared" si="125"/>
        <v>0</v>
      </c>
      <c r="Q61" s="164">
        <f t="shared" si="125"/>
        <v>0</v>
      </c>
      <c r="R61" s="164">
        <f t="shared" si="125"/>
        <v>0</v>
      </c>
      <c r="S61" s="164">
        <f t="shared" si="125"/>
        <v>0</v>
      </c>
      <c r="T61" s="164">
        <f t="shared" si="125"/>
        <v>0</v>
      </c>
      <c r="U61" s="164">
        <f t="shared" si="125"/>
        <v>0</v>
      </c>
      <c r="V61" s="164">
        <f t="shared" si="125"/>
        <v>0</v>
      </c>
      <c r="W61" s="164">
        <f t="shared" si="125"/>
        <v>0</v>
      </c>
      <c r="X61" s="164">
        <f t="shared" si="125"/>
        <v>0</v>
      </c>
      <c r="Y61" s="164">
        <f t="shared" si="125"/>
        <v>0</v>
      </c>
      <c r="Z61" s="164">
        <f t="shared" si="125"/>
        <v>0</v>
      </c>
      <c r="AA61" s="164">
        <f t="shared" si="125"/>
        <v>0</v>
      </c>
      <c r="AB61" s="164">
        <f t="shared" si="125"/>
        <v>0</v>
      </c>
      <c r="AC61" s="164">
        <f t="shared" si="125"/>
        <v>0</v>
      </c>
      <c r="AD61" s="164">
        <f t="shared" si="125"/>
        <v>0</v>
      </c>
      <c r="AE61" s="164">
        <f t="shared" si="125"/>
        <v>0</v>
      </c>
      <c r="AF61" s="164">
        <f t="shared" si="125"/>
        <v>0</v>
      </c>
      <c r="AG61" s="164">
        <f t="shared" si="125"/>
        <v>0</v>
      </c>
      <c r="AH61" s="164">
        <f t="shared" si="125"/>
        <v>0</v>
      </c>
      <c r="AI61" s="164">
        <f t="shared" si="125"/>
        <v>0</v>
      </c>
      <c r="AJ61" s="164">
        <f t="shared" si="125"/>
        <v>0</v>
      </c>
      <c r="AK61" s="164">
        <f t="shared" si="125"/>
        <v>0</v>
      </c>
      <c r="AL61" s="164">
        <f t="shared" si="125"/>
        <v>0</v>
      </c>
      <c r="AM61" s="164">
        <f t="shared" si="125"/>
        <v>0</v>
      </c>
      <c r="AN61" s="164">
        <f t="shared" si="125"/>
        <v>0</v>
      </c>
      <c r="AO61" s="164">
        <f t="shared" si="125"/>
        <v>0</v>
      </c>
      <c r="AP61" s="164">
        <f t="shared" si="125"/>
        <v>0</v>
      </c>
    </row>
    <row r="62" spans="1:42">
      <c r="A62" s="206" t="s">
        <v>200</v>
      </c>
      <c r="B62" s="164">
        <f t="shared" ref="B62:AP62" si="126">-B703-B704</f>
        <v>-150000</v>
      </c>
      <c r="C62" s="164">
        <f t="shared" si="126"/>
        <v>0</v>
      </c>
      <c r="D62" s="164">
        <f t="shared" si="126"/>
        <v>0</v>
      </c>
      <c r="E62" s="164">
        <f t="shared" si="126"/>
        <v>0</v>
      </c>
      <c r="F62" s="164">
        <f t="shared" si="126"/>
        <v>0</v>
      </c>
      <c r="G62" s="164">
        <f t="shared" si="126"/>
        <v>0</v>
      </c>
      <c r="H62" s="164">
        <f t="shared" si="126"/>
        <v>0</v>
      </c>
      <c r="I62" s="164">
        <f t="shared" si="126"/>
        <v>0</v>
      </c>
      <c r="J62" s="164">
        <f t="shared" si="126"/>
        <v>0</v>
      </c>
      <c r="K62" s="164">
        <f t="shared" si="126"/>
        <v>0</v>
      </c>
      <c r="L62" s="164">
        <f t="shared" si="126"/>
        <v>0</v>
      </c>
      <c r="M62" s="164">
        <f t="shared" si="126"/>
        <v>0</v>
      </c>
      <c r="N62" s="164">
        <f t="shared" si="126"/>
        <v>0</v>
      </c>
      <c r="O62" s="164">
        <f t="shared" si="126"/>
        <v>0</v>
      </c>
      <c r="P62" s="164">
        <f t="shared" si="126"/>
        <v>0</v>
      </c>
      <c r="Q62" s="164">
        <f t="shared" si="126"/>
        <v>0</v>
      </c>
      <c r="R62" s="164">
        <f t="shared" si="126"/>
        <v>0</v>
      </c>
      <c r="S62" s="164">
        <f t="shared" si="126"/>
        <v>0</v>
      </c>
      <c r="T62" s="164">
        <f t="shared" si="126"/>
        <v>0</v>
      </c>
      <c r="U62" s="164">
        <f t="shared" si="126"/>
        <v>0</v>
      </c>
      <c r="V62" s="164">
        <f t="shared" si="126"/>
        <v>0</v>
      </c>
      <c r="W62" s="164">
        <f t="shared" si="126"/>
        <v>0</v>
      </c>
      <c r="X62" s="164">
        <f t="shared" si="126"/>
        <v>0</v>
      </c>
      <c r="Y62" s="164">
        <f t="shared" si="126"/>
        <v>0</v>
      </c>
      <c r="Z62" s="164">
        <f t="shared" si="126"/>
        <v>0</v>
      </c>
      <c r="AA62" s="164">
        <f t="shared" si="126"/>
        <v>0</v>
      </c>
      <c r="AB62" s="164">
        <f t="shared" si="126"/>
        <v>0</v>
      </c>
      <c r="AC62" s="164">
        <f t="shared" si="126"/>
        <v>0</v>
      </c>
      <c r="AD62" s="164">
        <f t="shared" si="126"/>
        <v>0</v>
      </c>
      <c r="AE62" s="164">
        <f t="shared" si="126"/>
        <v>0</v>
      </c>
      <c r="AF62" s="164">
        <f t="shared" si="126"/>
        <v>150000</v>
      </c>
      <c r="AG62" s="164">
        <f t="shared" si="126"/>
        <v>0</v>
      </c>
      <c r="AH62" s="164">
        <f t="shared" si="126"/>
        <v>0</v>
      </c>
      <c r="AI62" s="164">
        <f t="shared" si="126"/>
        <v>0</v>
      </c>
      <c r="AJ62" s="164">
        <f t="shared" si="126"/>
        <v>0</v>
      </c>
      <c r="AK62" s="164">
        <f t="shared" si="126"/>
        <v>0</v>
      </c>
      <c r="AL62" s="164">
        <f t="shared" si="126"/>
        <v>0</v>
      </c>
      <c r="AM62" s="164">
        <f t="shared" si="126"/>
        <v>0</v>
      </c>
      <c r="AN62" s="164">
        <f t="shared" si="126"/>
        <v>0</v>
      </c>
      <c r="AO62" s="164">
        <f t="shared" si="126"/>
        <v>0</v>
      </c>
      <c r="AP62" s="164">
        <f t="shared" si="126"/>
        <v>0</v>
      </c>
    </row>
    <row r="63" spans="1:42">
      <c r="A63" s="206" t="s">
        <v>372</v>
      </c>
      <c r="B63" s="208">
        <f>-B709-B710</f>
        <v>0</v>
      </c>
      <c r="C63" s="208">
        <f t="shared" ref="C63:AP63" si="127">-C709-C710</f>
        <v>-245406.02862510949</v>
      </c>
      <c r="D63" s="208">
        <f t="shared" si="127"/>
        <v>-245406.02862510949</v>
      </c>
      <c r="E63" s="208">
        <f t="shared" si="127"/>
        <v>-245406.02862510949</v>
      </c>
      <c r="F63" s="208">
        <f t="shared" si="127"/>
        <v>-245406.02862510949</v>
      </c>
      <c r="G63" s="208">
        <f t="shared" si="127"/>
        <v>-245406.02862510949</v>
      </c>
      <c r="H63" s="208">
        <f t="shared" si="127"/>
        <v>-245406.02862510949</v>
      </c>
      <c r="I63" s="208">
        <f t="shared" si="127"/>
        <v>-245406.02862510949</v>
      </c>
      <c r="J63" s="208">
        <f t="shared" si="127"/>
        <v>-245406.02862510949</v>
      </c>
      <c r="K63" s="208">
        <f t="shared" si="127"/>
        <v>-245406.02862510949</v>
      </c>
      <c r="L63" s="208">
        <f t="shared" si="127"/>
        <v>-245406.02862510949</v>
      </c>
      <c r="M63" s="208">
        <f t="shared" si="127"/>
        <v>-245406.02862510949</v>
      </c>
      <c r="N63" s="208">
        <f t="shared" si="127"/>
        <v>2699466.3148762044</v>
      </c>
      <c r="O63" s="208">
        <f t="shared" si="127"/>
        <v>-293411.90721039008</v>
      </c>
      <c r="P63" s="208">
        <f t="shared" si="127"/>
        <v>-293411.90721039008</v>
      </c>
      <c r="Q63" s="208">
        <f t="shared" si="127"/>
        <v>-293411.90721039008</v>
      </c>
      <c r="R63" s="208">
        <f t="shared" si="127"/>
        <v>-293411.90721039008</v>
      </c>
      <c r="S63" s="208">
        <f t="shared" si="127"/>
        <v>-293411.90721039008</v>
      </c>
      <c r="T63" s="208">
        <f t="shared" si="127"/>
        <v>-293411.90721039008</v>
      </c>
      <c r="U63" s="208">
        <f t="shared" si="127"/>
        <v>-293411.90721039008</v>
      </c>
      <c r="V63" s="208">
        <f t="shared" si="127"/>
        <v>-293411.90721039008</v>
      </c>
      <c r="W63" s="208">
        <f t="shared" si="127"/>
        <v>-293411.90721039008</v>
      </c>
      <c r="X63" s="208">
        <f t="shared" si="127"/>
        <v>-293411.90721039008</v>
      </c>
      <c r="Y63" s="208">
        <f t="shared" si="127"/>
        <v>-293411.90721039008</v>
      </c>
      <c r="Z63" s="208">
        <f t="shared" si="127"/>
        <v>3227530.9793142909</v>
      </c>
      <c r="AA63" s="208">
        <f t="shared" si="127"/>
        <v>0</v>
      </c>
      <c r="AB63" s="208">
        <f t="shared" si="127"/>
        <v>0</v>
      </c>
      <c r="AC63" s="208">
        <f t="shared" si="127"/>
        <v>0</v>
      </c>
      <c r="AD63" s="208">
        <f t="shared" si="127"/>
        <v>0</v>
      </c>
      <c r="AE63" s="208">
        <f t="shared" si="127"/>
        <v>0</v>
      </c>
      <c r="AF63" s="208">
        <f t="shared" si="127"/>
        <v>0</v>
      </c>
      <c r="AG63" s="208">
        <f t="shared" si="127"/>
        <v>0</v>
      </c>
      <c r="AH63" s="208">
        <f t="shared" si="127"/>
        <v>0</v>
      </c>
      <c r="AI63" s="208">
        <f t="shared" si="127"/>
        <v>0</v>
      </c>
      <c r="AJ63" s="208">
        <f t="shared" si="127"/>
        <v>0</v>
      </c>
      <c r="AK63" s="208">
        <f t="shared" si="127"/>
        <v>0</v>
      </c>
      <c r="AL63" s="208">
        <f t="shared" si="127"/>
        <v>0</v>
      </c>
      <c r="AM63" s="208">
        <f t="shared" si="127"/>
        <v>0</v>
      </c>
      <c r="AN63" s="208">
        <f t="shared" si="127"/>
        <v>0</v>
      </c>
      <c r="AO63" s="208">
        <f t="shared" si="127"/>
        <v>0</v>
      </c>
      <c r="AP63" s="208">
        <f t="shared" si="127"/>
        <v>0</v>
      </c>
    </row>
    <row r="64" spans="1:42">
      <c r="A64" s="206" t="s">
        <v>373</v>
      </c>
      <c r="B64" s="208">
        <f>-B741-B742</f>
        <v>0</v>
      </c>
      <c r="C64" s="208">
        <f t="shared" ref="C64:AP64" si="128">-C741-C742</f>
        <v>-410585.24356465257</v>
      </c>
      <c r="D64" s="208">
        <f t="shared" si="128"/>
        <v>-410585.24356465257</v>
      </c>
      <c r="E64" s="208">
        <f t="shared" si="128"/>
        <v>-410585.24356465257</v>
      </c>
      <c r="F64" s="208">
        <f t="shared" si="128"/>
        <v>-410585.24356465257</v>
      </c>
      <c r="G64" s="208">
        <f t="shared" si="128"/>
        <v>-410585.24356465257</v>
      </c>
      <c r="H64" s="208">
        <f t="shared" si="128"/>
        <v>-410585.24356465257</v>
      </c>
      <c r="I64" s="208">
        <f t="shared" si="128"/>
        <v>-410585.24356465257</v>
      </c>
      <c r="J64" s="208">
        <f t="shared" si="128"/>
        <v>-410585.24356465257</v>
      </c>
      <c r="K64" s="208">
        <f t="shared" si="128"/>
        <v>-410585.24356465257</v>
      </c>
      <c r="L64" s="208">
        <f t="shared" si="128"/>
        <v>-410585.24356465257</v>
      </c>
      <c r="M64" s="208">
        <f t="shared" si="128"/>
        <v>-410585.24356465257</v>
      </c>
      <c r="N64" s="208">
        <f t="shared" si="128"/>
        <v>-410585.24356465257</v>
      </c>
      <c r="O64" s="208">
        <f t="shared" si="128"/>
        <v>-410585.24356465257</v>
      </c>
      <c r="P64" s="208">
        <f t="shared" si="128"/>
        <v>-410585.24356465257</v>
      </c>
      <c r="Q64" s="208">
        <f t="shared" si="128"/>
        <v>5748193.4099051366</v>
      </c>
      <c r="R64" s="208">
        <f t="shared" si="128"/>
        <v>-513326.83759962226</v>
      </c>
      <c r="S64" s="208">
        <f t="shared" si="128"/>
        <v>-513326.83759962226</v>
      </c>
      <c r="T64" s="208">
        <f t="shared" si="128"/>
        <v>-513326.83759962226</v>
      </c>
      <c r="U64" s="208">
        <f t="shared" si="128"/>
        <v>-513326.83759962226</v>
      </c>
      <c r="V64" s="208">
        <f t="shared" si="128"/>
        <v>-513326.83759962226</v>
      </c>
      <c r="W64" s="208">
        <f t="shared" si="128"/>
        <v>-513326.83759962226</v>
      </c>
      <c r="X64" s="208">
        <f t="shared" si="128"/>
        <v>-513326.83759962226</v>
      </c>
      <c r="Y64" s="208">
        <f t="shared" si="128"/>
        <v>-513326.83759962226</v>
      </c>
      <c r="Z64" s="208">
        <f t="shared" si="128"/>
        <v>-513326.83759962226</v>
      </c>
      <c r="AA64" s="208">
        <f t="shared" si="128"/>
        <v>-513326.83759962226</v>
      </c>
      <c r="AB64" s="208">
        <f t="shared" si="128"/>
        <v>-513326.83759962226</v>
      </c>
      <c r="AC64" s="208">
        <f t="shared" si="128"/>
        <v>-513326.83759962226</v>
      </c>
      <c r="AD64" s="208">
        <f t="shared" si="128"/>
        <v>-513326.83759962226</v>
      </c>
      <c r="AE64" s="208">
        <f t="shared" si="128"/>
        <v>-513326.83759962226</v>
      </c>
      <c r="AF64" s="208">
        <f t="shared" si="128"/>
        <v>7186575.726394712</v>
      </c>
      <c r="AG64" s="208">
        <f t="shared" si="128"/>
        <v>0</v>
      </c>
      <c r="AH64" s="208">
        <f t="shared" si="128"/>
        <v>0</v>
      </c>
      <c r="AI64" s="208">
        <f t="shared" si="128"/>
        <v>0</v>
      </c>
      <c r="AJ64" s="208">
        <f t="shared" si="128"/>
        <v>0</v>
      </c>
      <c r="AK64" s="208">
        <f t="shared" si="128"/>
        <v>0</v>
      </c>
      <c r="AL64" s="208">
        <f t="shared" si="128"/>
        <v>0</v>
      </c>
      <c r="AM64" s="208">
        <f t="shared" si="128"/>
        <v>0</v>
      </c>
      <c r="AN64" s="208">
        <f t="shared" si="128"/>
        <v>0</v>
      </c>
      <c r="AO64" s="208">
        <f t="shared" si="128"/>
        <v>0</v>
      </c>
      <c r="AP64" s="208">
        <f t="shared" si="128"/>
        <v>0</v>
      </c>
    </row>
    <row r="65" spans="1:42">
      <c r="A65" s="206" t="s">
        <v>374</v>
      </c>
      <c r="B65" s="209">
        <f>-B773-B774</f>
        <v>0</v>
      </c>
      <c r="C65" s="209">
        <f t="shared" ref="C65:AP65" si="129">-C773-C774</f>
        <v>-34340.833333333321</v>
      </c>
      <c r="D65" s="209">
        <f t="shared" si="129"/>
        <v>-34340.833333333321</v>
      </c>
      <c r="E65" s="209">
        <f t="shared" si="129"/>
        <v>68681.666666666657</v>
      </c>
      <c r="F65" s="209">
        <f t="shared" si="129"/>
        <v>-35909.466796145811</v>
      </c>
      <c r="G65" s="209">
        <f t="shared" si="129"/>
        <v>-35909.466796145811</v>
      </c>
      <c r="H65" s="209">
        <f t="shared" si="129"/>
        <v>71818.933592291607</v>
      </c>
      <c r="I65" s="209">
        <f t="shared" si="129"/>
        <v>-37549.752886510192</v>
      </c>
      <c r="J65" s="209">
        <f t="shared" si="129"/>
        <v>-37549.752886510192</v>
      </c>
      <c r="K65" s="209">
        <f t="shared" si="129"/>
        <v>75099.505773020384</v>
      </c>
      <c r="L65" s="209">
        <f t="shared" si="129"/>
        <v>-39264.96458001752</v>
      </c>
      <c r="M65" s="209">
        <f t="shared" si="129"/>
        <v>-39264.96458001752</v>
      </c>
      <c r="N65" s="209">
        <f t="shared" si="129"/>
        <v>78529.929160035041</v>
      </c>
      <c r="O65" s="209">
        <f t="shared" si="129"/>
        <v>-41058.524356465256</v>
      </c>
      <c r="P65" s="209">
        <f t="shared" si="129"/>
        <v>-41058.524356465256</v>
      </c>
      <c r="Q65" s="209">
        <f t="shared" si="129"/>
        <v>82117.048712930526</v>
      </c>
      <c r="R65" s="209">
        <f t="shared" si="129"/>
        <v>-42934.011028966495</v>
      </c>
      <c r="S65" s="209">
        <f t="shared" si="129"/>
        <v>-42934.011028966495</v>
      </c>
      <c r="T65" s="209">
        <f t="shared" si="129"/>
        <v>85868.022057932976</v>
      </c>
      <c r="U65" s="209">
        <f t="shared" si="129"/>
        <v>-44895.166885001738</v>
      </c>
      <c r="V65" s="209">
        <f t="shared" si="129"/>
        <v>-44895.166885001738</v>
      </c>
      <c r="W65" s="209">
        <f t="shared" si="129"/>
        <v>89790.33377000349</v>
      </c>
      <c r="X65" s="209">
        <f t="shared" si="129"/>
        <v>-46945.90515366241</v>
      </c>
      <c r="Y65" s="209">
        <f t="shared" si="129"/>
        <v>-46945.90515366241</v>
      </c>
      <c r="Z65" s="209">
        <f t="shared" si="129"/>
        <v>93891.810307324835</v>
      </c>
      <c r="AA65" s="209">
        <f t="shared" si="129"/>
        <v>-49090.317813985828</v>
      </c>
      <c r="AB65" s="209">
        <f t="shared" si="129"/>
        <v>-49090.317813985828</v>
      </c>
      <c r="AC65" s="209">
        <f t="shared" si="129"/>
        <v>98180.635627971642</v>
      </c>
      <c r="AD65" s="209">
        <f t="shared" si="129"/>
        <v>-51332.68375996223</v>
      </c>
      <c r="AE65" s="209">
        <f t="shared" si="129"/>
        <v>-51332.68375996223</v>
      </c>
      <c r="AF65" s="209">
        <f t="shared" si="129"/>
        <v>102665.36751992445</v>
      </c>
      <c r="AG65" s="209">
        <f t="shared" si="129"/>
        <v>0</v>
      </c>
      <c r="AH65" s="209">
        <f t="shared" si="129"/>
        <v>0</v>
      </c>
      <c r="AI65" s="209">
        <f t="shared" si="129"/>
        <v>0</v>
      </c>
      <c r="AJ65" s="209">
        <f t="shared" si="129"/>
        <v>0</v>
      </c>
      <c r="AK65" s="209">
        <f t="shared" si="129"/>
        <v>0</v>
      </c>
      <c r="AL65" s="209">
        <f t="shared" si="129"/>
        <v>0</v>
      </c>
      <c r="AM65" s="209">
        <f t="shared" si="129"/>
        <v>0</v>
      </c>
      <c r="AN65" s="209">
        <f t="shared" si="129"/>
        <v>0</v>
      </c>
      <c r="AO65" s="209">
        <f t="shared" si="129"/>
        <v>0</v>
      </c>
      <c r="AP65" s="209">
        <f t="shared" si="129"/>
        <v>0</v>
      </c>
    </row>
    <row r="66" spans="1:42">
      <c r="A66" s="206" t="s">
        <v>53</v>
      </c>
      <c r="B66" s="164">
        <f>SUM(B61:B65)</f>
        <v>-1630197.6101830264</v>
      </c>
      <c r="C66" s="164">
        <f t="shared" ref="C66:AP66" si="130">SUM(C61:C65)</f>
        <v>-721517.17801371159</v>
      </c>
      <c r="D66" s="164">
        <f t="shared" si="130"/>
        <v>-721898.15575377049</v>
      </c>
      <c r="E66" s="164">
        <f t="shared" si="130"/>
        <v>-618739.13726066484</v>
      </c>
      <c r="F66" s="164">
        <f t="shared" si="130"/>
        <v>-724244.96284510195</v>
      </c>
      <c r="G66" s="164">
        <f t="shared" si="130"/>
        <v>-724642.30644179182</v>
      </c>
      <c r="H66" s="164">
        <f t="shared" si="130"/>
        <v>-616770.092187576</v>
      </c>
      <c r="I66" s="164">
        <f t="shared" si="130"/>
        <v>-727094.16965916706</v>
      </c>
      <c r="J66" s="164">
        <f t="shared" si="130"/>
        <v>-727508.55662044091</v>
      </c>
      <c r="K66" s="164">
        <f t="shared" si="130"/>
        <v>-614707.78387016687</v>
      </c>
      <c r="L66" s="164">
        <f t="shared" si="130"/>
        <v>1078142.2663577804</v>
      </c>
      <c r="M66" s="164">
        <f t="shared" si="130"/>
        <v>-695256.23676977959</v>
      </c>
      <c r="N66" s="164">
        <f t="shared" si="130"/>
        <v>2367411.0004715868</v>
      </c>
      <c r="O66" s="164">
        <f t="shared" si="130"/>
        <v>-745055.6751315078</v>
      </c>
      <c r="P66" s="164">
        <f t="shared" si="130"/>
        <v>-745055.6751315078</v>
      </c>
      <c r="Q66" s="164">
        <f t="shared" si="130"/>
        <v>5536898.5514076771</v>
      </c>
      <c r="R66" s="164">
        <f t="shared" si="130"/>
        <v>-849672.75583897892</v>
      </c>
      <c r="S66" s="164">
        <f t="shared" si="130"/>
        <v>-849672.75583897892</v>
      </c>
      <c r="T66" s="164">
        <f t="shared" si="130"/>
        <v>-720870.72275207937</v>
      </c>
      <c r="U66" s="164">
        <f t="shared" si="130"/>
        <v>-851633.9116950141</v>
      </c>
      <c r="V66" s="164">
        <f t="shared" si="130"/>
        <v>-851633.9116950141</v>
      </c>
      <c r="W66" s="164">
        <f t="shared" si="130"/>
        <v>-716948.41104000888</v>
      </c>
      <c r="X66" s="164">
        <f t="shared" si="130"/>
        <v>-853684.64996367483</v>
      </c>
      <c r="Y66" s="164">
        <f t="shared" si="130"/>
        <v>-853684.64996367483</v>
      </c>
      <c r="Z66" s="164">
        <f t="shared" si="130"/>
        <v>2808095.9520219937</v>
      </c>
      <c r="AA66" s="164">
        <f t="shared" si="130"/>
        <v>-562417.15541360807</v>
      </c>
      <c r="AB66" s="164">
        <f t="shared" si="130"/>
        <v>-562417.15541360807</v>
      </c>
      <c r="AC66" s="164">
        <f t="shared" si="130"/>
        <v>-415146.20197165059</v>
      </c>
      <c r="AD66" s="164">
        <f t="shared" si="130"/>
        <v>-564659.52135958453</v>
      </c>
      <c r="AE66" s="164">
        <f t="shared" si="130"/>
        <v>-564659.52135958453</v>
      </c>
      <c r="AF66" s="164">
        <f t="shared" si="130"/>
        <v>7439241.0939146364</v>
      </c>
      <c r="AG66" s="164">
        <f t="shared" si="130"/>
        <v>0</v>
      </c>
      <c r="AH66" s="164">
        <f t="shared" si="130"/>
        <v>0</v>
      </c>
      <c r="AI66" s="164">
        <f t="shared" si="130"/>
        <v>0</v>
      </c>
      <c r="AJ66" s="164">
        <f t="shared" si="130"/>
        <v>0</v>
      </c>
      <c r="AK66" s="164">
        <f t="shared" si="130"/>
        <v>0</v>
      </c>
      <c r="AL66" s="164">
        <f t="shared" si="130"/>
        <v>0</v>
      </c>
      <c r="AM66" s="164">
        <f t="shared" si="130"/>
        <v>0</v>
      </c>
      <c r="AN66" s="164">
        <f t="shared" si="130"/>
        <v>0</v>
      </c>
      <c r="AO66" s="164">
        <f t="shared" si="130"/>
        <v>0</v>
      </c>
      <c r="AP66" s="164">
        <f t="shared" si="130"/>
        <v>0</v>
      </c>
    </row>
    <row r="67" spans="1:42">
      <c r="A67" s="202" t="s">
        <v>212</v>
      </c>
    </row>
    <row r="68" spans="1:42">
      <c r="A68" s="206" t="s">
        <v>380</v>
      </c>
      <c r="B68" s="208">
        <f>B710</f>
        <v>0</v>
      </c>
      <c r="C68" s="208">
        <f t="shared" ref="C68:AP68" si="131">C710</f>
        <v>0</v>
      </c>
      <c r="D68" s="208">
        <f t="shared" si="131"/>
        <v>0</v>
      </c>
      <c r="E68" s="208">
        <f t="shared" si="131"/>
        <v>0</v>
      </c>
      <c r="F68" s="208">
        <f t="shared" si="131"/>
        <v>0</v>
      </c>
      <c r="G68" s="208">
        <f t="shared" si="131"/>
        <v>0</v>
      </c>
      <c r="H68" s="208">
        <f t="shared" si="131"/>
        <v>0</v>
      </c>
      <c r="I68" s="208">
        <f t="shared" si="131"/>
        <v>0</v>
      </c>
      <c r="J68" s="208">
        <f t="shared" si="131"/>
        <v>0</v>
      </c>
      <c r="K68" s="208">
        <f t="shared" si="131"/>
        <v>0</v>
      </c>
      <c r="L68" s="208">
        <f t="shared" si="131"/>
        <v>0</v>
      </c>
      <c r="M68" s="208">
        <f t="shared" si="131"/>
        <v>0</v>
      </c>
      <c r="N68" s="208">
        <f t="shared" si="131"/>
        <v>-2944872.3435013141</v>
      </c>
      <c r="O68" s="208">
        <f t="shared" si="131"/>
        <v>0</v>
      </c>
      <c r="P68" s="208">
        <f t="shared" si="131"/>
        <v>0</v>
      </c>
      <c r="Q68" s="208">
        <f t="shared" si="131"/>
        <v>0</v>
      </c>
      <c r="R68" s="208">
        <f t="shared" si="131"/>
        <v>0</v>
      </c>
      <c r="S68" s="208">
        <f t="shared" si="131"/>
        <v>0</v>
      </c>
      <c r="T68" s="208">
        <f t="shared" si="131"/>
        <v>0</v>
      </c>
      <c r="U68" s="208">
        <f t="shared" si="131"/>
        <v>0</v>
      </c>
      <c r="V68" s="208">
        <f t="shared" si="131"/>
        <v>0</v>
      </c>
      <c r="W68" s="208">
        <f t="shared" si="131"/>
        <v>0</v>
      </c>
      <c r="X68" s="208">
        <f t="shared" si="131"/>
        <v>0</v>
      </c>
      <c r="Y68" s="208">
        <f t="shared" si="131"/>
        <v>0</v>
      </c>
      <c r="Z68" s="208">
        <f t="shared" si="131"/>
        <v>-3520942.886524681</v>
      </c>
      <c r="AA68" s="208">
        <f t="shared" si="131"/>
        <v>0</v>
      </c>
      <c r="AB68" s="208">
        <f t="shared" si="131"/>
        <v>0</v>
      </c>
      <c r="AC68" s="208">
        <f t="shared" si="131"/>
        <v>0</v>
      </c>
      <c r="AD68" s="208">
        <f t="shared" si="131"/>
        <v>0</v>
      </c>
      <c r="AE68" s="208">
        <f t="shared" si="131"/>
        <v>0</v>
      </c>
      <c r="AF68" s="208">
        <f t="shared" si="131"/>
        <v>0</v>
      </c>
      <c r="AG68" s="208">
        <f t="shared" si="131"/>
        <v>0</v>
      </c>
      <c r="AH68" s="208">
        <f t="shared" si="131"/>
        <v>0</v>
      </c>
      <c r="AI68" s="208">
        <f t="shared" si="131"/>
        <v>0</v>
      </c>
      <c r="AJ68" s="208">
        <f t="shared" si="131"/>
        <v>0</v>
      </c>
      <c r="AK68" s="208">
        <f t="shared" si="131"/>
        <v>0</v>
      </c>
      <c r="AL68" s="208">
        <f t="shared" si="131"/>
        <v>0</v>
      </c>
      <c r="AM68" s="208">
        <f t="shared" si="131"/>
        <v>0</v>
      </c>
      <c r="AN68" s="208">
        <f t="shared" si="131"/>
        <v>0</v>
      </c>
      <c r="AO68" s="208">
        <f t="shared" si="131"/>
        <v>0</v>
      </c>
      <c r="AP68" s="208">
        <f t="shared" si="131"/>
        <v>0</v>
      </c>
    </row>
    <row r="69" spans="1:42">
      <c r="A69" s="206" t="s">
        <v>381</v>
      </c>
      <c r="B69" s="208">
        <f>B742</f>
        <v>0</v>
      </c>
      <c r="C69" s="208">
        <f t="shared" ref="C69:AP69" si="132">C742</f>
        <v>0</v>
      </c>
      <c r="D69" s="208">
        <f t="shared" si="132"/>
        <v>0</v>
      </c>
      <c r="E69" s="208">
        <f t="shared" si="132"/>
        <v>0</v>
      </c>
      <c r="F69" s="208">
        <f t="shared" si="132"/>
        <v>0</v>
      </c>
      <c r="G69" s="208">
        <f t="shared" si="132"/>
        <v>0</v>
      </c>
      <c r="H69" s="208">
        <f t="shared" si="132"/>
        <v>0</v>
      </c>
      <c r="I69" s="208">
        <f t="shared" si="132"/>
        <v>0</v>
      </c>
      <c r="J69" s="208">
        <f t="shared" si="132"/>
        <v>0</v>
      </c>
      <c r="K69" s="208">
        <f t="shared" si="132"/>
        <v>0</v>
      </c>
      <c r="L69" s="208">
        <f t="shared" si="132"/>
        <v>0</v>
      </c>
      <c r="M69" s="208">
        <f t="shared" si="132"/>
        <v>0</v>
      </c>
      <c r="N69" s="208">
        <f t="shared" si="132"/>
        <v>0</v>
      </c>
      <c r="O69" s="208">
        <f t="shared" si="132"/>
        <v>0</v>
      </c>
      <c r="P69" s="208">
        <f t="shared" si="132"/>
        <v>0</v>
      </c>
      <c r="Q69" s="208">
        <f t="shared" si="132"/>
        <v>-6158778.6534697888</v>
      </c>
      <c r="R69" s="208">
        <f t="shared" si="132"/>
        <v>0</v>
      </c>
      <c r="S69" s="208">
        <f t="shared" si="132"/>
        <v>0</v>
      </c>
      <c r="T69" s="208">
        <f t="shared" si="132"/>
        <v>0</v>
      </c>
      <c r="U69" s="208">
        <f t="shared" si="132"/>
        <v>0</v>
      </c>
      <c r="V69" s="208">
        <f t="shared" si="132"/>
        <v>0</v>
      </c>
      <c r="W69" s="208">
        <f t="shared" si="132"/>
        <v>0</v>
      </c>
      <c r="X69" s="208">
        <f t="shared" si="132"/>
        <v>0</v>
      </c>
      <c r="Y69" s="208">
        <f t="shared" si="132"/>
        <v>0</v>
      </c>
      <c r="Z69" s="208">
        <f t="shared" si="132"/>
        <v>0</v>
      </c>
      <c r="AA69" s="208">
        <f t="shared" si="132"/>
        <v>0</v>
      </c>
      <c r="AB69" s="208">
        <f t="shared" si="132"/>
        <v>0</v>
      </c>
      <c r="AC69" s="208">
        <f t="shared" si="132"/>
        <v>0</v>
      </c>
      <c r="AD69" s="208">
        <f t="shared" si="132"/>
        <v>0</v>
      </c>
      <c r="AE69" s="208">
        <f t="shared" si="132"/>
        <v>0</v>
      </c>
      <c r="AF69" s="208">
        <f t="shared" si="132"/>
        <v>-7699902.5639943341</v>
      </c>
      <c r="AG69" s="208">
        <f t="shared" si="132"/>
        <v>0</v>
      </c>
      <c r="AH69" s="208">
        <f t="shared" si="132"/>
        <v>0</v>
      </c>
      <c r="AI69" s="208">
        <f t="shared" si="132"/>
        <v>0</v>
      </c>
      <c r="AJ69" s="208">
        <f t="shared" si="132"/>
        <v>0</v>
      </c>
      <c r="AK69" s="208">
        <f t="shared" si="132"/>
        <v>0</v>
      </c>
      <c r="AL69" s="208">
        <f t="shared" si="132"/>
        <v>0</v>
      </c>
      <c r="AM69" s="208">
        <f t="shared" si="132"/>
        <v>0</v>
      </c>
      <c r="AN69" s="208">
        <f t="shared" si="132"/>
        <v>0</v>
      </c>
      <c r="AO69" s="208">
        <f t="shared" si="132"/>
        <v>0</v>
      </c>
      <c r="AP69" s="208">
        <f t="shared" si="132"/>
        <v>0</v>
      </c>
    </row>
    <row r="70" spans="1:42">
      <c r="A70" s="206" t="s">
        <v>382</v>
      </c>
      <c r="B70" s="209">
        <f>B774</f>
        <v>0</v>
      </c>
      <c r="C70" s="209">
        <f t="shared" ref="C70:AP70" si="133">C774</f>
        <v>0</v>
      </c>
      <c r="D70" s="209">
        <f t="shared" si="133"/>
        <v>0</v>
      </c>
      <c r="E70" s="209">
        <f t="shared" si="133"/>
        <v>-103022.49999999997</v>
      </c>
      <c r="F70" s="209">
        <f t="shared" si="133"/>
        <v>0</v>
      </c>
      <c r="G70" s="209">
        <f t="shared" si="133"/>
        <v>0</v>
      </c>
      <c r="H70" s="209">
        <f t="shared" si="133"/>
        <v>-107728.40038843743</v>
      </c>
      <c r="I70" s="209">
        <f t="shared" si="133"/>
        <v>0</v>
      </c>
      <c r="J70" s="209">
        <f t="shared" si="133"/>
        <v>0</v>
      </c>
      <c r="K70" s="209">
        <f t="shared" si="133"/>
        <v>-112649.25865953058</v>
      </c>
      <c r="L70" s="209">
        <f t="shared" si="133"/>
        <v>0</v>
      </c>
      <c r="M70" s="209">
        <f t="shared" si="133"/>
        <v>0</v>
      </c>
      <c r="N70" s="209">
        <f t="shared" si="133"/>
        <v>-117794.89374005256</v>
      </c>
      <c r="O70" s="209">
        <f t="shared" si="133"/>
        <v>0</v>
      </c>
      <c r="P70" s="209">
        <f t="shared" si="133"/>
        <v>0</v>
      </c>
      <c r="Q70" s="209">
        <f t="shared" si="133"/>
        <v>-123175.57306939577</v>
      </c>
      <c r="R70" s="209">
        <f t="shared" si="133"/>
        <v>0</v>
      </c>
      <c r="S70" s="209">
        <f t="shared" si="133"/>
        <v>0</v>
      </c>
      <c r="T70" s="209">
        <f t="shared" si="133"/>
        <v>-128802.03308689948</v>
      </c>
      <c r="U70" s="209">
        <f t="shared" si="133"/>
        <v>0</v>
      </c>
      <c r="V70" s="209">
        <f t="shared" si="133"/>
        <v>0</v>
      </c>
      <c r="W70" s="209">
        <f t="shared" si="133"/>
        <v>-134685.50065500522</v>
      </c>
      <c r="X70" s="209">
        <f t="shared" si="133"/>
        <v>0</v>
      </c>
      <c r="Y70" s="209">
        <f t="shared" si="133"/>
        <v>0</v>
      </c>
      <c r="Z70" s="209">
        <f t="shared" si="133"/>
        <v>-140837.71546098724</v>
      </c>
      <c r="AA70" s="209">
        <f t="shared" si="133"/>
        <v>0</v>
      </c>
      <c r="AB70" s="209">
        <f t="shared" si="133"/>
        <v>0</v>
      </c>
      <c r="AC70" s="209">
        <f t="shared" si="133"/>
        <v>-147270.95344195748</v>
      </c>
      <c r="AD70" s="209">
        <f t="shared" si="133"/>
        <v>0</v>
      </c>
      <c r="AE70" s="209">
        <f t="shared" si="133"/>
        <v>0</v>
      </c>
      <c r="AF70" s="209">
        <f t="shared" si="133"/>
        <v>-153998.05127988668</v>
      </c>
      <c r="AG70" s="209">
        <f t="shared" si="133"/>
        <v>0</v>
      </c>
      <c r="AH70" s="209">
        <f t="shared" si="133"/>
        <v>0</v>
      </c>
      <c r="AI70" s="209">
        <f t="shared" si="133"/>
        <v>0</v>
      </c>
      <c r="AJ70" s="209">
        <f t="shared" si="133"/>
        <v>0</v>
      </c>
      <c r="AK70" s="209">
        <f t="shared" si="133"/>
        <v>0</v>
      </c>
      <c r="AL70" s="209">
        <f t="shared" si="133"/>
        <v>0</v>
      </c>
      <c r="AM70" s="209">
        <f t="shared" si="133"/>
        <v>0</v>
      </c>
      <c r="AN70" s="209">
        <f t="shared" si="133"/>
        <v>0</v>
      </c>
      <c r="AO70" s="209">
        <f t="shared" si="133"/>
        <v>0</v>
      </c>
      <c r="AP70" s="209">
        <f t="shared" si="133"/>
        <v>0</v>
      </c>
    </row>
    <row r="71" spans="1:42">
      <c r="A71" s="206" t="s">
        <v>53</v>
      </c>
      <c r="B71" s="291">
        <f>SUM(B68:B70)</f>
        <v>0</v>
      </c>
      <c r="C71" s="291">
        <f t="shared" ref="C71:AP71" si="134">SUM(C68:C70)</f>
        <v>0</v>
      </c>
      <c r="D71" s="291">
        <f t="shared" si="134"/>
        <v>0</v>
      </c>
      <c r="E71" s="291">
        <f t="shared" si="134"/>
        <v>-103022.49999999997</v>
      </c>
      <c r="F71" s="291">
        <f t="shared" si="134"/>
        <v>0</v>
      </c>
      <c r="G71" s="291">
        <f t="shared" si="134"/>
        <v>0</v>
      </c>
      <c r="H71" s="291">
        <f t="shared" si="134"/>
        <v>-107728.40038843743</v>
      </c>
      <c r="I71" s="291">
        <f t="shared" si="134"/>
        <v>0</v>
      </c>
      <c r="J71" s="291">
        <f t="shared" si="134"/>
        <v>0</v>
      </c>
      <c r="K71" s="291">
        <f t="shared" si="134"/>
        <v>-112649.25865953058</v>
      </c>
      <c r="L71" s="291">
        <f t="shared" si="134"/>
        <v>0</v>
      </c>
      <c r="M71" s="291">
        <f t="shared" si="134"/>
        <v>0</v>
      </c>
      <c r="N71" s="291">
        <f t="shared" si="134"/>
        <v>-3062667.2372413664</v>
      </c>
      <c r="O71" s="291">
        <f t="shared" si="134"/>
        <v>0</v>
      </c>
      <c r="P71" s="291">
        <f t="shared" si="134"/>
        <v>0</v>
      </c>
      <c r="Q71" s="291">
        <f t="shared" si="134"/>
        <v>-6281954.2265391843</v>
      </c>
      <c r="R71" s="291">
        <f t="shared" si="134"/>
        <v>0</v>
      </c>
      <c r="S71" s="291">
        <f t="shared" si="134"/>
        <v>0</v>
      </c>
      <c r="T71" s="291">
        <f t="shared" si="134"/>
        <v>-128802.03308689948</v>
      </c>
      <c r="U71" s="291">
        <f t="shared" si="134"/>
        <v>0</v>
      </c>
      <c r="V71" s="291">
        <f t="shared" si="134"/>
        <v>0</v>
      </c>
      <c r="W71" s="291">
        <f t="shared" si="134"/>
        <v>-134685.50065500522</v>
      </c>
      <c r="X71" s="291">
        <f t="shared" si="134"/>
        <v>0</v>
      </c>
      <c r="Y71" s="291">
        <f t="shared" si="134"/>
        <v>0</v>
      </c>
      <c r="Z71" s="291">
        <f t="shared" si="134"/>
        <v>-3661780.6019856683</v>
      </c>
      <c r="AA71" s="291">
        <f t="shared" si="134"/>
        <v>0</v>
      </c>
      <c r="AB71" s="291">
        <f t="shared" si="134"/>
        <v>0</v>
      </c>
      <c r="AC71" s="291">
        <f t="shared" si="134"/>
        <v>-147270.95344195748</v>
      </c>
      <c r="AD71" s="291">
        <f t="shared" si="134"/>
        <v>0</v>
      </c>
      <c r="AE71" s="291">
        <f t="shared" si="134"/>
        <v>0</v>
      </c>
      <c r="AF71" s="291">
        <f t="shared" si="134"/>
        <v>-7853900.6152742207</v>
      </c>
      <c r="AG71" s="291">
        <f t="shared" si="134"/>
        <v>0</v>
      </c>
      <c r="AH71" s="291">
        <f t="shared" si="134"/>
        <v>0</v>
      </c>
      <c r="AI71" s="291">
        <f t="shared" si="134"/>
        <v>0</v>
      </c>
      <c r="AJ71" s="291">
        <f t="shared" si="134"/>
        <v>0</v>
      </c>
      <c r="AK71" s="291">
        <f t="shared" si="134"/>
        <v>0</v>
      </c>
      <c r="AL71" s="291">
        <f t="shared" si="134"/>
        <v>0</v>
      </c>
      <c r="AM71" s="291">
        <f t="shared" si="134"/>
        <v>0</v>
      </c>
      <c r="AN71" s="291">
        <f t="shared" si="134"/>
        <v>0</v>
      </c>
      <c r="AO71" s="291">
        <f t="shared" si="134"/>
        <v>0</v>
      </c>
      <c r="AP71" s="291">
        <f t="shared" si="134"/>
        <v>0</v>
      </c>
    </row>
    <row r="72" spans="1:42">
      <c r="A72" s="202" t="s">
        <v>53</v>
      </c>
      <c r="B72" s="164">
        <f>B59+B66+B71</f>
        <v>-44486886.11018303</v>
      </c>
      <c r="C72" s="164">
        <f t="shared" ref="C72:AP72" si="135">C59+C66+C71</f>
        <v>-721517.17801371159</v>
      </c>
      <c r="D72" s="164">
        <f t="shared" si="135"/>
        <v>-721898.15575377049</v>
      </c>
      <c r="E72" s="164">
        <f t="shared" si="135"/>
        <v>-721761.63726066484</v>
      </c>
      <c r="F72" s="164">
        <f t="shared" si="135"/>
        <v>-724244.96284510195</v>
      </c>
      <c r="G72" s="164">
        <f t="shared" si="135"/>
        <v>-724642.30644179182</v>
      </c>
      <c r="H72" s="164">
        <f t="shared" si="135"/>
        <v>-724498.49257601344</v>
      </c>
      <c r="I72" s="164">
        <f t="shared" si="135"/>
        <v>-727094.16965916706</v>
      </c>
      <c r="J72" s="164">
        <f t="shared" si="135"/>
        <v>-727508.55662044091</v>
      </c>
      <c r="K72" s="164">
        <f t="shared" si="135"/>
        <v>-727357.04252969741</v>
      </c>
      <c r="L72" s="164">
        <f t="shared" si="135"/>
        <v>1078142.2663577804</v>
      </c>
      <c r="M72" s="164">
        <f t="shared" si="135"/>
        <v>-695256.23676977959</v>
      </c>
      <c r="N72" s="164">
        <f t="shared" si="135"/>
        <v>-695256.23676977959</v>
      </c>
      <c r="O72" s="164">
        <f t="shared" si="135"/>
        <v>-745055.6751315078</v>
      </c>
      <c r="P72" s="164">
        <f t="shared" si="135"/>
        <v>-745055.6751315078</v>
      </c>
      <c r="Q72" s="164">
        <f t="shared" si="135"/>
        <v>-745055.67513150722</v>
      </c>
      <c r="R72" s="164">
        <f t="shared" si="135"/>
        <v>-849672.75583897892</v>
      </c>
      <c r="S72" s="164">
        <f t="shared" si="135"/>
        <v>-849672.75583897892</v>
      </c>
      <c r="T72" s="164">
        <f t="shared" si="135"/>
        <v>-849672.7558389788</v>
      </c>
      <c r="U72" s="164">
        <f t="shared" si="135"/>
        <v>-851633.9116950141</v>
      </c>
      <c r="V72" s="164">
        <f t="shared" si="135"/>
        <v>-851633.9116950141</v>
      </c>
      <c r="W72" s="164">
        <f t="shared" si="135"/>
        <v>-851633.9116950141</v>
      </c>
      <c r="X72" s="164">
        <f t="shared" si="135"/>
        <v>-853684.64996367483</v>
      </c>
      <c r="Y72" s="164">
        <f t="shared" si="135"/>
        <v>-853684.64996367483</v>
      </c>
      <c r="Z72" s="164">
        <f t="shared" si="135"/>
        <v>-853684.6499636746</v>
      </c>
      <c r="AA72" s="164">
        <f t="shared" si="135"/>
        <v>-562417.15541360807</v>
      </c>
      <c r="AB72" s="164">
        <f t="shared" si="135"/>
        <v>-562417.15541360807</v>
      </c>
      <c r="AC72" s="164">
        <f t="shared" si="135"/>
        <v>-562417.15541360807</v>
      </c>
      <c r="AD72" s="164">
        <f t="shared" si="135"/>
        <v>-564659.52135958453</v>
      </c>
      <c r="AE72" s="164">
        <f t="shared" si="135"/>
        <v>-564659.52135958453</v>
      </c>
      <c r="AF72" s="164">
        <f t="shared" si="135"/>
        <v>-414659.52135958429</v>
      </c>
      <c r="AG72" s="164">
        <f t="shared" si="135"/>
        <v>0</v>
      </c>
      <c r="AH72" s="164">
        <f t="shared" si="135"/>
        <v>0</v>
      </c>
      <c r="AI72" s="164">
        <f t="shared" si="135"/>
        <v>0</v>
      </c>
      <c r="AJ72" s="164">
        <f t="shared" si="135"/>
        <v>0</v>
      </c>
      <c r="AK72" s="164">
        <f t="shared" si="135"/>
        <v>0</v>
      </c>
      <c r="AL72" s="164">
        <f t="shared" si="135"/>
        <v>0</v>
      </c>
      <c r="AM72" s="164">
        <f t="shared" si="135"/>
        <v>0</v>
      </c>
      <c r="AN72" s="164">
        <f t="shared" si="135"/>
        <v>0</v>
      </c>
      <c r="AO72" s="164">
        <f t="shared" si="135"/>
        <v>0</v>
      </c>
      <c r="AP72" s="164">
        <f t="shared" si="135"/>
        <v>0</v>
      </c>
    </row>
    <row r="73" spans="1:42">
      <c r="A73" s="202"/>
      <c r="B73" s="164"/>
      <c r="C73" s="164"/>
      <c r="D73" s="164"/>
      <c r="E73" s="164"/>
      <c r="F73" s="164"/>
      <c r="G73" s="164"/>
      <c r="H73" s="164"/>
      <c r="I73" s="164"/>
      <c r="J73" s="164"/>
      <c r="K73" s="164"/>
      <c r="L73" s="164"/>
      <c r="M73" s="164"/>
      <c r="N73" s="164"/>
      <c r="O73" s="164"/>
      <c r="P73" s="164"/>
      <c r="Q73" s="164"/>
      <c r="R73" s="164"/>
      <c r="S73" s="164"/>
      <c r="T73" s="164"/>
      <c r="U73" s="164"/>
      <c r="V73" s="164"/>
      <c r="W73" s="164"/>
      <c r="X73" s="164"/>
      <c r="Y73" s="164"/>
      <c r="Z73" s="164"/>
      <c r="AA73" s="164"/>
      <c r="AB73" s="164"/>
      <c r="AC73" s="164"/>
      <c r="AD73" s="164"/>
      <c r="AE73" s="164"/>
      <c r="AF73" s="164"/>
      <c r="AG73" s="164"/>
      <c r="AH73" s="164"/>
      <c r="AI73" s="164"/>
      <c r="AJ73" s="164"/>
      <c r="AK73" s="164"/>
      <c r="AL73" s="164"/>
      <c r="AM73" s="164"/>
      <c r="AN73" s="164"/>
      <c r="AO73" s="164"/>
      <c r="AP73" s="164"/>
    </row>
    <row r="74" spans="1:42">
      <c r="A74" s="204" t="s">
        <v>195</v>
      </c>
      <c r="B74" s="164"/>
      <c r="C74" s="164"/>
      <c r="D74" s="164"/>
      <c r="E74" s="164"/>
      <c r="F74" s="164"/>
      <c r="G74" s="164"/>
      <c r="H74" s="164"/>
      <c r="I74" s="164"/>
      <c r="J74" s="164"/>
      <c r="K74" s="164"/>
      <c r="L74" s="164"/>
      <c r="M74" s="164"/>
      <c r="N74" s="164"/>
      <c r="O74" s="164"/>
      <c r="P74" s="164"/>
      <c r="Q74" s="164"/>
      <c r="R74" s="164"/>
      <c r="S74" s="164"/>
      <c r="T74" s="164"/>
      <c r="U74" s="164"/>
      <c r="V74" s="164"/>
      <c r="W74" s="164"/>
      <c r="X74" s="164"/>
      <c r="Y74" s="164"/>
      <c r="Z74" s="164"/>
      <c r="AA74" s="164"/>
      <c r="AB74" s="164"/>
      <c r="AC74" s="164"/>
      <c r="AD74" s="164"/>
      <c r="AE74" s="164"/>
      <c r="AF74" s="164"/>
      <c r="AG74" s="164"/>
      <c r="AH74" s="164"/>
      <c r="AI74" s="164"/>
      <c r="AJ74" s="164"/>
      <c r="AK74" s="164"/>
      <c r="AL74" s="164"/>
      <c r="AM74" s="164"/>
      <c r="AN74" s="164"/>
      <c r="AO74" s="164"/>
      <c r="AP74" s="164"/>
    </row>
    <row r="75" spans="1:42">
      <c r="A75" s="202" t="s">
        <v>214</v>
      </c>
      <c r="B75" s="164"/>
      <c r="C75" s="164"/>
      <c r="D75" s="164"/>
      <c r="E75" s="164"/>
      <c r="F75" s="164"/>
      <c r="G75" s="164"/>
      <c r="H75" s="164"/>
      <c r="I75" s="164"/>
      <c r="J75" s="164"/>
      <c r="K75" s="164"/>
      <c r="L75" s="164"/>
      <c r="M75" s="164"/>
      <c r="N75" s="164"/>
      <c r="O75" s="164"/>
      <c r="P75" s="164"/>
      <c r="Q75" s="164"/>
      <c r="R75" s="164"/>
      <c r="S75" s="164"/>
      <c r="T75" s="164"/>
      <c r="U75" s="164"/>
      <c r="V75" s="164"/>
      <c r="W75" s="164"/>
      <c r="X75" s="164"/>
      <c r="Y75" s="164"/>
      <c r="Z75" s="164"/>
      <c r="AA75" s="164"/>
      <c r="AB75" s="164"/>
      <c r="AC75" s="164"/>
      <c r="AD75" s="164"/>
      <c r="AE75" s="164"/>
      <c r="AF75" s="164"/>
      <c r="AG75" s="164"/>
      <c r="AH75" s="164"/>
      <c r="AI75" s="164"/>
      <c r="AJ75" s="164"/>
      <c r="AK75" s="164"/>
      <c r="AL75" s="164"/>
      <c r="AM75" s="164"/>
      <c r="AN75" s="164"/>
      <c r="AO75" s="164"/>
      <c r="AP75" s="164"/>
    </row>
    <row r="76" spans="1:42">
      <c r="A76" s="206" t="s">
        <v>215</v>
      </c>
      <c r="B76" s="164">
        <f>'Inputs &amp; Results'!C161+'Inputs &amp; Results'!C162</f>
        <v>6641229.75</v>
      </c>
      <c r="C76" s="164">
        <v>0</v>
      </c>
      <c r="D76" s="164">
        <v>0</v>
      </c>
      <c r="E76" s="164">
        <v>0</v>
      </c>
      <c r="F76" s="164">
        <v>0</v>
      </c>
      <c r="G76" s="164">
        <v>0</v>
      </c>
      <c r="H76" s="164">
        <v>0</v>
      </c>
      <c r="I76" s="164">
        <v>0</v>
      </c>
      <c r="J76" s="164">
        <v>0</v>
      </c>
      <c r="K76" s="164">
        <v>0</v>
      </c>
      <c r="L76" s="164">
        <v>0</v>
      </c>
      <c r="M76" s="164">
        <v>0</v>
      </c>
      <c r="N76" s="164">
        <v>0</v>
      </c>
      <c r="O76" s="164">
        <v>0</v>
      </c>
      <c r="P76" s="164">
        <v>0</v>
      </c>
      <c r="Q76" s="164">
        <v>0</v>
      </c>
      <c r="R76" s="164">
        <v>0</v>
      </c>
      <c r="S76" s="164">
        <v>0</v>
      </c>
      <c r="T76" s="164">
        <v>0</v>
      </c>
      <c r="U76" s="164">
        <v>0</v>
      </c>
      <c r="V76" s="164">
        <v>0</v>
      </c>
      <c r="W76" s="164">
        <v>0</v>
      </c>
      <c r="X76" s="164">
        <v>0</v>
      </c>
      <c r="Y76" s="164">
        <v>0</v>
      </c>
      <c r="Z76" s="164">
        <v>0</v>
      </c>
      <c r="AA76" s="164">
        <v>0</v>
      </c>
      <c r="AB76" s="164">
        <v>0</v>
      </c>
      <c r="AC76" s="164">
        <v>0</v>
      </c>
      <c r="AD76" s="164">
        <v>0</v>
      </c>
      <c r="AE76" s="164">
        <v>0</v>
      </c>
      <c r="AF76" s="164">
        <v>0</v>
      </c>
      <c r="AG76" s="164">
        <v>0</v>
      </c>
      <c r="AH76" s="164">
        <v>0</v>
      </c>
      <c r="AI76" s="164">
        <v>0</v>
      </c>
      <c r="AJ76" s="164">
        <v>0</v>
      </c>
      <c r="AK76" s="164">
        <v>0</v>
      </c>
      <c r="AL76" s="164">
        <v>0</v>
      </c>
      <c r="AM76" s="164">
        <v>0</v>
      </c>
      <c r="AN76" s="164">
        <v>0</v>
      </c>
      <c r="AO76" s="164">
        <v>0</v>
      </c>
      <c r="AP76" s="164">
        <v>0</v>
      </c>
    </row>
    <row r="77" spans="1:42">
      <c r="A77" s="206" t="s">
        <v>189</v>
      </c>
      <c r="B77" s="209">
        <f>'Inputs &amp; Results'!C163</f>
        <v>7150000</v>
      </c>
      <c r="C77" s="209">
        <v>0</v>
      </c>
      <c r="D77" s="209">
        <v>0</v>
      </c>
      <c r="E77" s="209">
        <v>0</v>
      </c>
      <c r="F77" s="209">
        <v>0</v>
      </c>
      <c r="G77" s="209">
        <v>0</v>
      </c>
      <c r="H77" s="209">
        <v>0</v>
      </c>
      <c r="I77" s="209">
        <v>0</v>
      </c>
      <c r="J77" s="209">
        <v>0</v>
      </c>
      <c r="K77" s="209">
        <v>0</v>
      </c>
      <c r="L77" s="209">
        <v>0</v>
      </c>
      <c r="M77" s="209">
        <v>0</v>
      </c>
      <c r="N77" s="209">
        <v>0</v>
      </c>
      <c r="O77" s="209">
        <v>0</v>
      </c>
      <c r="P77" s="209">
        <v>0</v>
      </c>
      <c r="Q77" s="209">
        <v>0</v>
      </c>
      <c r="R77" s="209">
        <v>0</v>
      </c>
      <c r="S77" s="209">
        <v>0</v>
      </c>
      <c r="T77" s="209">
        <v>0</v>
      </c>
      <c r="U77" s="209">
        <v>0</v>
      </c>
      <c r="V77" s="209">
        <v>0</v>
      </c>
      <c r="W77" s="209">
        <v>0</v>
      </c>
      <c r="X77" s="209">
        <v>0</v>
      </c>
      <c r="Y77" s="209">
        <v>0</v>
      </c>
      <c r="Z77" s="209">
        <v>0</v>
      </c>
      <c r="AA77" s="209">
        <v>0</v>
      </c>
      <c r="AB77" s="209">
        <v>0</v>
      </c>
      <c r="AC77" s="209">
        <v>0</v>
      </c>
      <c r="AD77" s="209">
        <v>0</v>
      </c>
      <c r="AE77" s="209">
        <v>0</v>
      </c>
      <c r="AF77" s="209">
        <v>0</v>
      </c>
      <c r="AG77" s="209">
        <v>0</v>
      </c>
      <c r="AH77" s="209">
        <v>0</v>
      </c>
      <c r="AI77" s="209">
        <v>0</v>
      </c>
      <c r="AJ77" s="209">
        <v>0</v>
      </c>
      <c r="AK77" s="209">
        <v>0</v>
      </c>
      <c r="AL77" s="209">
        <v>0</v>
      </c>
      <c r="AM77" s="209">
        <v>0</v>
      </c>
      <c r="AN77" s="209">
        <v>0</v>
      </c>
      <c r="AO77" s="209">
        <v>0</v>
      </c>
      <c r="AP77" s="209">
        <v>0</v>
      </c>
    </row>
    <row r="78" spans="1:42">
      <c r="A78" s="206" t="s">
        <v>53</v>
      </c>
      <c r="B78" s="164">
        <f>SUM(B76:B77)</f>
        <v>13791229.75</v>
      </c>
      <c r="C78" s="164">
        <f t="shared" ref="C78:F78" si="136">SUM(C76:C77)</f>
        <v>0</v>
      </c>
      <c r="D78" s="164">
        <f t="shared" si="136"/>
        <v>0</v>
      </c>
      <c r="E78" s="164">
        <f t="shared" si="136"/>
        <v>0</v>
      </c>
      <c r="F78" s="164">
        <f t="shared" si="136"/>
        <v>0</v>
      </c>
      <c r="G78" s="164">
        <f t="shared" ref="G78" si="137">SUM(G76:G77)</f>
        <v>0</v>
      </c>
      <c r="H78" s="164">
        <f t="shared" ref="H78" si="138">SUM(H76:H77)</f>
        <v>0</v>
      </c>
      <c r="I78" s="164">
        <f t="shared" ref="I78" si="139">SUM(I76:I77)</f>
        <v>0</v>
      </c>
      <c r="J78" s="164">
        <f t="shared" ref="J78" si="140">SUM(J76:J77)</f>
        <v>0</v>
      </c>
      <c r="K78" s="164">
        <f t="shared" ref="K78" si="141">SUM(K76:K77)</f>
        <v>0</v>
      </c>
      <c r="L78" s="164">
        <f t="shared" ref="L78" si="142">SUM(L76:L77)</f>
        <v>0</v>
      </c>
      <c r="M78" s="164">
        <f t="shared" ref="M78" si="143">SUM(M76:M77)</f>
        <v>0</v>
      </c>
      <c r="N78" s="164">
        <f t="shared" ref="N78" si="144">SUM(N76:N77)</f>
        <v>0</v>
      </c>
      <c r="O78" s="164">
        <f t="shared" ref="O78" si="145">SUM(O76:O77)</f>
        <v>0</v>
      </c>
      <c r="P78" s="164">
        <f t="shared" ref="P78" si="146">SUM(P76:P77)</f>
        <v>0</v>
      </c>
      <c r="Q78" s="164">
        <f t="shared" ref="Q78" si="147">SUM(Q76:Q77)</f>
        <v>0</v>
      </c>
      <c r="R78" s="164">
        <f t="shared" ref="R78" si="148">SUM(R76:R77)</f>
        <v>0</v>
      </c>
      <c r="S78" s="164">
        <f t="shared" ref="S78" si="149">SUM(S76:S77)</f>
        <v>0</v>
      </c>
      <c r="T78" s="164">
        <f t="shared" ref="T78" si="150">SUM(T76:T77)</f>
        <v>0</v>
      </c>
      <c r="U78" s="164">
        <f t="shared" ref="U78" si="151">SUM(U76:U77)</f>
        <v>0</v>
      </c>
      <c r="V78" s="164">
        <f t="shared" ref="V78" si="152">SUM(V76:V77)</f>
        <v>0</v>
      </c>
      <c r="W78" s="164">
        <f t="shared" ref="W78" si="153">SUM(W76:W77)</f>
        <v>0</v>
      </c>
      <c r="X78" s="164">
        <f t="shared" ref="X78" si="154">SUM(X76:X77)</f>
        <v>0</v>
      </c>
      <c r="Y78" s="164">
        <f t="shared" ref="Y78" si="155">SUM(Y76:Y77)</f>
        <v>0</v>
      </c>
      <c r="Z78" s="164">
        <f t="shared" ref="Z78" si="156">SUM(Z76:Z77)</f>
        <v>0</v>
      </c>
      <c r="AA78" s="164">
        <f t="shared" ref="AA78" si="157">SUM(AA76:AA77)</f>
        <v>0</v>
      </c>
      <c r="AB78" s="164">
        <f t="shared" ref="AB78" si="158">SUM(AB76:AB77)</f>
        <v>0</v>
      </c>
      <c r="AC78" s="164">
        <f t="shared" ref="AC78" si="159">SUM(AC76:AC77)</f>
        <v>0</v>
      </c>
      <c r="AD78" s="164">
        <f t="shared" ref="AD78" si="160">SUM(AD76:AD77)</f>
        <v>0</v>
      </c>
      <c r="AE78" s="164">
        <f t="shared" ref="AE78" si="161">SUM(AE76:AE77)</f>
        <v>0</v>
      </c>
      <c r="AF78" s="164">
        <f t="shared" ref="AF78" si="162">SUM(AF76:AF77)</f>
        <v>0</v>
      </c>
      <c r="AG78" s="164">
        <f t="shared" ref="AG78" si="163">SUM(AG76:AG77)</f>
        <v>0</v>
      </c>
      <c r="AH78" s="164">
        <f t="shared" ref="AH78" si="164">SUM(AH76:AH77)</f>
        <v>0</v>
      </c>
      <c r="AI78" s="164">
        <f t="shared" ref="AI78" si="165">SUM(AI76:AI77)</f>
        <v>0</v>
      </c>
      <c r="AJ78" s="164">
        <f t="shared" ref="AJ78" si="166">SUM(AJ76:AJ77)</f>
        <v>0</v>
      </c>
      <c r="AK78" s="164">
        <f t="shared" ref="AK78" si="167">SUM(AK76:AK77)</f>
        <v>0</v>
      </c>
      <c r="AL78" s="164">
        <f t="shared" ref="AL78" si="168">SUM(AL76:AL77)</f>
        <v>0</v>
      </c>
      <c r="AM78" s="164">
        <f t="shared" ref="AM78" si="169">SUM(AM76:AM77)</f>
        <v>0</v>
      </c>
      <c r="AN78" s="164">
        <f t="shared" ref="AN78" si="170">SUM(AN76:AN77)</f>
        <v>0</v>
      </c>
      <c r="AO78" s="164">
        <f t="shared" ref="AO78" si="171">SUM(AO76:AO77)</f>
        <v>0</v>
      </c>
      <c r="AP78" s="164">
        <f t="shared" ref="AP78" si="172">SUM(AP76:AP77)</f>
        <v>0</v>
      </c>
    </row>
    <row r="79" spans="1:42">
      <c r="A79" s="202" t="s">
        <v>390</v>
      </c>
      <c r="B79" s="164">
        <f>'Inputs &amp; Results'!$C$159</f>
        <v>9660967.9751479775</v>
      </c>
      <c r="C79" s="164">
        <v>0</v>
      </c>
      <c r="D79" s="164">
        <v>0</v>
      </c>
      <c r="E79" s="164">
        <v>0</v>
      </c>
      <c r="F79" s="164">
        <v>0</v>
      </c>
      <c r="G79" s="164">
        <v>0</v>
      </c>
      <c r="H79" s="164">
        <v>0</v>
      </c>
      <c r="I79" s="164">
        <v>0</v>
      </c>
      <c r="J79" s="164">
        <v>0</v>
      </c>
      <c r="K79" s="164">
        <v>0</v>
      </c>
      <c r="L79" s="164">
        <v>0</v>
      </c>
      <c r="M79" s="164">
        <v>0</v>
      </c>
      <c r="N79" s="164">
        <v>0</v>
      </c>
      <c r="O79" s="164">
        <v>0</v>
      </c>
      <c r="P79" s="164">
        <v>0</v>
      </c>
      <c r="Q79" s="164">
        <v>0</v>
      </c>
      <c r="R79" s="164">
        <v>0</v>
      </c>
      <c r="S79" s="164">
        <v>0</v>
      </c>
      <c r="T79" s="164">
        <v>0</v>
      </c>
      <c r="U79" s="164">
        <v>0</v>
      </c>
      <c r="V79" s="164">
        <v>0</v>
      </c>
      <c r="W79" s="164">
        <v>0</v>
      </c>
      <c r="X79" s="164">
        <v>0</v>
      </c>
      <c r="Y79" s="164">
        <v>0</v>
      </c>
      <c r="Z79" s="164">
        <v>0</v>
      </c>
      <c r="AA79" s="164">
        <v>0</v>
      </c>
      <c r="AB79" s="164">
        <v>0</v>
      </c>
      <c r="AC79" s="164">
        <v>0</v>
      </c>
      <c r="AD79" s="164">
        <v>0</v>
      </c>
      <c r="AE79" s="164">
        <v>0</v>
      </c>
      <c r="AF79" s="164">
        <v>0</v>
      </c>
      <c r="AG79" s="164">
        <v>0</v>
      </c>
      <c r="AH79" s="164">
        <v>0</v>
      </c>
      <c r="AI79" s="164">
        <v>0</v>
      </c>
      <c r="AJ79" s="164">
        <v>0</v>
      </c>
      <c r="AK79" s="164">
        <v>0</v>
      </c>
      <c r="AL79" s="164">
        <v>0</v>
      </c>
      <c r="AM79" s="164">
        <v>0</v>
      </c>
      <c r="AN79" s="164">
        <v>0</v>
      </c>
      <c r="AO79" s="164">
        <v>0</v>
      </c>
      <c r="AP79" s="164">
        <v>0</v>
      </c>
    </row>
    <row r="80" spans="1:42">
      <c r="A80" s="202" t="s">
        <v>196</v>
      </c>
      <c r="B80" s="209">
        <f>'Inputs &amp; Results'!C160</f>
        <v>21034688.385035053</v>
      </c>
      <c r="C80" s="209">
        <f>-C683</f>
        <v>-1172446.7076380732</v>
      </c>
      <c r="D80" s="209">
        <f t="shared" ref="D80:AP80" si="173">-D683</f>
        <v>-1334474.822768542</v>
      </c>
      <c r="E80" s="209">
        <f t="shared" si="173"/>
        <v>-1511037.2831652183</v>
      </c>
      <c r="F80" s="209">
        <f t="shared" si="173"/>
        <v>-1702334.5157094009</v>
      </c>
      <c r="G80" s="209">
        <f t="shared" si="173"/>
        <v>-1911721.3972630883</v>
      </c>
      <c r="H80" s="209">
        <f t="shared" si="173"/>
        <v>-2139700.8509422187</v>
      </c>
      <c r="I80" s="209">
        <f t="shared" si="173"/>
        <v>-2386770.9304525186</v>
      </c>
      <c r="J80" s="209">
        <f t="shared" si="173"/>
        <v>-2656752.748706772</v>
      </c>
      <c r="K80" s="209">
        <f t="shared" si="173"/>
        <v>-2950511.7954351855</v>
      </c>
      <c r="L80" s="209">
        <f t="shared" si="173"/>
        <v>-3268937.3329540268</v>
      </c>
      <c r="M80" s="209">
        <f t="shared" si="173"/>
        <v>0</v>
      </c>
      <c r="N80" s="209">
        <f t="shared" si="173"/>
        <v>0</v>
      </c>
      <c r="O80" s="209">
        <f t="shared" si="173"/>
        <v>0</v>
      </c>
      <c r="P80" s="209">
        <f t="shared" si="173"/>
        <v>0</v>
      </c>
      <c r="Q80" s="209">
        <f t="shared" si="173"/>
        <v>0</v>
      </c>
      <c r="R80" s="209">
        <f t="shared" si="173"/>
        <v>0</v>
      </c>
      <c r="S80" s="209">
        <f t="shared" si="173"/>
        <v>0</v>
      </c>
      <c r="T80" s="209">
        <f t="shared" si="173"/>
        <v>0</v>
      </c>
      <c r="U80" s="209">
        <f t="shared" si="173"/>
        <v>0</v>
      </c>
      <c r="V80" s="209">
        <f t="shared" si="173"/>
        <v>0</v>
      </c>
      <c r="W80" s="209">
        <f t="shared" si="173"/>
        <v>0</v>
      </c>
      <c r="X80" s="209">
        <f t="shared" si="173"/>
        <v>0</v>
      </c>
      <c r="Y80" s="209">
        <f t="shared" si="173"/>
        <v>0</v>
      </c>
      <c r="Z80" s="209">
        <f t="shared" si="173"/>
        <v>0</v>
      </c>
      <c r="AA80" s="209">
        <f t="shared" si="173"/>
        <v>0</v>
      </c>
      <c r="AB80" s="209">
        <f t="shared" si="173"/>
        <v>0</v>
      </c>
      <c r="AC80" s="209">
        <f t="shared" si="173"/>
        <v>0</v>
      </c>
      <c r="AD80" s="209">
        <f t="shared" si="173"/>
        <v>0</v>
      </c>
      <c r="AE80" s="209">
        <f t="shared" si="173"/>
        <v>0</v>
      </c>
      <c r="AF80" s="209">
        <f t="shared" si="173"/>
        <v>0</v>
      </c>
      <c r="AG80" s="209">
        <f t="shared" si="173"/>
        <v>0</v>
      </c>
      <c r="AH80" s="209">
        <f t="shared" si="173"/>
        <v>0</v>
      </c>
      <c r="AI80" s="209">
        <f t="shared" si="173"/>
        <v>0</v>
      </c>
      <c r="AJ80" s="209">
        <f t="shared" si="173"/>
        <v>0</v>
      </c>
      <c r="AK80" s="209">
        <f t="shared" si="173"/>
        <v>0</v>
      </c>
      <c r="AL80" s="209">
        <f t="shared" si="173"/>
        <v>0</v>
      </c>
      <c r="AM80" s="209">
        <f t="shared" si="173"/>
        <v>0</v>
      </c>
      <c r="AN80" s="209">
        <f t="shared" si="173"/>
        <v>0</v>
      </c>
      <c r="AO80" s="209">
        <f t="shared" si="173"/>
        <v>0</v>
      </c>
      <c r="AP80" s="209">
        <f t="shared" si="173"/>
        <v>0</v>
      </c>
    </row>
    <row r="81" spans="1:42">
      <c r="A81" s="202" t="s">
        <v>53</v>
      </c>
      <c r="B81" s="209">
        <f>SUM(B78:B80)</f>
        <v>44486886.11018303</v>
      </c>
      <c r="C81" s="216">
        <f>SUM(C78:C80)</f>
        <v>-1172446.7076380732</v>
      </c>
      <c r="D81" s="216">
        <f t="shared" ref="D81:AP81" si="174">SUM(D78:D80)</f>
        <v>-1334474.822768542</v>
      </c>
      <c r="E81" s="216">
        <f t="shared" si="174"/>
        <v>-1511037.2831652183</v>
      </c>
      <c r="F81" s="216">
        <f t="shared" si="174"/>
        <v>-1702334.5157094009</v>
      </c>
      <c r="G81" s="216">
        <f t="shared" si="174"/>
        <v>-1911721.3972630883</v>
      </c>
      <c r="H81" s="216">
        <f t="shared" si="174"/>
        <v>-2139700.8509422187</v>
      </c>
      <c r="I81" s="216">
        <f t="shared" si="174"/>
        <v>-2386770.9304525186</v>
      </c>
      <c r="J81" s="216">
        <f t="shared" si="174"/>
        <v>-2656752.748706772</v>
      </c>
      <c r="K81" s="216">
        <f t="shared" si="174"/>
        <v>-2950511.7954351855</v>
      </c>
      <c r="L81" s="216">
        <f t="shared" si="174"/>
        <v>-3268937.3329540268</v>
      </c>
      <c r="M81" s="216">
        <f t="shared" si="174"/>
        <v>0</v>
      </c>
      <c r="N81" s="216">
        <f t="shared" si="174"/>
        <v>0</v>
      </c>
      <c r="O81" s="216">
        <f t="shared" si="174"/>
        <v>0</v>
      </c>
      <c r="P81" s="216">
        <f t="shared" si="174"/>
        <v>0</v>
      </c>
      <c r="Q81" s="216">
        <f t="shared" si="174"/>
        <v>0</v>
      </c>
      <c r="R81" s="216">
        <f t="shared" si="174"/>
        <v>0</v>
      </c>
      <c r="S81" s="216">
        <f t="shared" si="174"/>
        <v>0</v>
      </c>
      <c r="T81" s="216">
        <f t="shared" si="174"/>
        <v>0</v>
      </c>
      <c r="U81" s="216">
        <f t="shared" si="174"/>
        <v>0</v>
      </c>
      <c r="V81" s="216">
        <f t="shared" si="174"/>
        <v>0</v>
      </c>
      <c r="W81" s="216">
        <f t="shared" si="174"/>
        <v>0</v>
      </c>
      <c r="X81" s="216">
        <f t="shared" si="174"/>
        <v>0</v>
      </c>
      <c r="Y81" s="216">
        <f t="shared" si="174"/>
        <v>0</v>
      </c>
      <c r="Z81" s="216">
        <f t="shared" si="174"/>
        <v>0</v>
      </c>
      <c r="AA81" s="216">
        <f t="shared" si="174"/>
        <v>0</v>
      </c>
      <c r="AB81" s="216">
        <f t="shared" si="174"/>
        <v>0</v>
      </c>
      <c r="AC81" s="216">
        <f t="shared" si="174"/>
        <v>0</v>
      </c>
      <c r="AD81" s="216">
        <f t="shared" si="174"/>
        <v>0</v>
      </c>
      <c r="AE81" s="216">
        <f t="shared" si="174"/>
        <v>0</v>
      </c>
      <c r="AF81" s="216">
        <f t="shared" si="174"/>
        <v>0</v>
      </c>
      <c r="AG81" s="216">
        <f t="shared" si="174"/>
        <v>0</v>
      </c>
      <c r="AH81" s="216">
        <f t="shared" si="174"/>
        <v>0</v>
      </c>
      <c r="AI81" s="216">
        <f t="shared" si="174"/>
        <v>0</v>
      </c>
      <c r="AJ81" s="216">
        <f t="shared" si="174"/>
        <v>0</v>
      </c>
      <c r="AK81" s="216">
        <f t="shared" si="174"/>
        <v>0</v>
      </c>
      <c r="AL81" s="216">
        <f t="shared" si="174"/>
        <v>0</v>
      </c>
      <c r="AM81" s="216">
        <f t="shared" si="174"/>
        <v>0</v>
      </c>
      <c r="AN81" s="216">
        <f t="shared" si="174"/>
        <v>0</v>
      </c>
      <c r="AO81" s="216">
        <f t="shared" si="174"/>
        <v>0</v>
      </c>
      <c r="AP81" s="216">
        <f t="shared" si="174"/>
        <v>0</v>
      </c>
    </row>
    <row r="82" spans="1:42" ht="13.5" thickBot="1">
      <c r="A82" s="204" t="s">
        <v>197</v>
      </c>
      <c r="B82" s="215">
        <f t="shared" ref="B82:AP82" si="175">B56+B72+B81</f>
        <v>0</v>
      </c>
      <c r="C82" s="215">
        <f t="shared" si="175"/>
        <v>1477540.9958706116</v>
      </c>
      <c r="D82" s="215">
        <f t="shared" si="175"/>
        <v>1520971.6412364095</v>
      </c>
      <c r="E82" s="215">
        <f t="shared" si="175"/>
        <v>1565307.4276858815</v>
      </c>
      <c r="F82" s="215">
        <f t="shared" si="175"/>
        <v>1606650.2022038877</v>
      </c>
      <c r="G82" s="215">
        <f t="shared" si="175"/>
        <v>1651271.3693161816</v>
      </c>
      <c r="H82" s="215">
        <f t="shared" si="175"/>
        <v>1696837.991000575</v>
      </c>
      <c r="I82" s="215">
        <f t="shared" si="175"/>
        <v>1739273.8302111747</v>
      </c>
      <c r="J82" s="215">
        <f t="shared" si="175"/>
        <v>1785136.7358018318</v>
      </c>
      <c r="K82" s="215">
        <f t="shared" si="175"/>
        <v>1831987.1811776012</v>
      </c>
      <c r="L82" s="215">
        <f t="shared" si="175"/>
        <v>3683775.1054297388</v>
      </c>
      <c r="M82" s="215">
        <f t="shared" si="175"/>
        <v>5542747.798423213</v>
      </c>
      <c r="N82" s="215">
        <f t="shared" si="175"/>
        <v>5660652.8641394479</v>
      </c>
      <c r="O82" s="215">
        <f t="shared" si="175"/>
        <v>5676476.4470181772</v>
      </c>
      <c r="P82" s="215">
        <f t="shared" si="175"/>
        <v>5797900.7440170366</v>
      </c>
      <c r="Q82" s="215">
        <f t="shared" si="175"/>
        <v>5920676.876443659</v>
      </c>
      <c r="R82" s="215">
        <f t="shared" si="175"/>
        <v>5830272.5439887578</v>
      </c>
      <c r="S82" s="215">
        <f t="shared" si="175"/>
        <v>5957640.3403120302</v>
      </c>
      <c r="T82" s="215">
        <f t="shared" si="175"/>
        <v>6086417.6814778429</v>
      </c>
      <c r="U82" s="215">
        <f t="shared" si="175"/>
        <v>6212409.1331831207</v>
      </c>
      <c r="V82" s="215">
        <f t="shared" si="175"/>
        <v>6344099.4214129075</v>
      </c>
      <c r="W82" s="215">
        <f t="shared" si="175"/>
        <v>6477259.3264539875</v>
      </c>
      <c r="X82" s="215">
        <f t="shared" si="175"/>
        <v>6593170.7559406739</v>
      </c>
      <c r="Y82" s="215">
        <f t="shared" si="175"/>
        <v>6715036.8291703193</v>
      </c>
      <c r="Z82" s="215">
        <f t="shared" si="175"/>
        <v>6838435.0430110116</v>
      </c>
      <c r="AA82" s="215">
        <f t="shared" si="175"/>
        <v>7190573.1334289648</v>
      </c>
      <c r="AB82" s="215">
        <f t="shared" si="175"/>
        <v>7312002.9393027928</v>
      </c>
      <c r="AC82" s="215">
        <f t="shared" si="175"/>
        <v>7435029.9534945153</v>
      </c>
      <c r="AD82" s="215">
        <f t="shared" si="175"/>
        <v>7554856.8392437501</v>
      </c>
      <c r="AE82" s="215">
        <f t="shared" si="175"/>
        <v>7681184.6208526259</v>
      </c>
      <c r="AF82" s="215">
        <f t="shared" si="175"/>
        <v>11981892.317308005</v>
      </c>
      <c r="AG82" s="215">
        <f t="shared" si="175"/>
        <v>0</v>
      </c>
      <c r="AH82" s="215">
        <f t="shared" si="175"/>
        <v>0</v>
      </c>
      <c r="AI82" s="215">
        <f t="shared" si="175"/>
        <v>0</v>
      </c>
      <c r="AJ82" s="215">
        <f t="shared" si="175"/>
        <v>0</v>
      </c>
      <c r="AK82" s="215">
        <f t="shared" si="175"/>
        <v>0</v>
      </c>
      <c r="AL82" s="215">
        <f t="shared" si="175"/>
        <v>0</v>
      </c>
      <c r="AM82" s="215">
        <f t="shared" si="175"/>
        <v>0</v>
      </c>
      <c r="AN82" s="215">
        <f t="shared" si="175"/>
        <v>0</v>
      </c>
      <c r="AO82" s="215">
        <f t="shared" si="175"/>
        <v>0</v>
      </c>
      <c r="AP82" s="215">
        <f t="shared" si="175"/>
        <v>0</v>
      </c>
    </row>
    <row r="83" spans="1:42" ht="13.5" thickTop="1">
      <c r="B83" s="164"/>
      <c r="C83" s="164"/>
      <c r="D83" s="164"/>
      <c r="E83" s="164"/>
      <c r="F83" s="164"/>
      <c r="G83" s="208"/>
      <c r="H83" s="208"/>
      <c r="I83" s="208"/>
      <c r="J83" s="208"/>
      <c r="K83" s="208"/>
      <c r="L83" s="208"/>
      <c r="M83" s="208"/>
      <c r="N83" s="208"/>
      <c r="O83" s="208"/>
      <c r="P83" s="208"/>
      <c r="Q83" s="208"/>
      <c r="R83" s="208"/>
      <c r="S83" s="208"/>
      <c r="T83" s="208"/>
      <c r="U83" s="208"/>
      <c r="V83" s="208"/>
      <c r="W83" s="208"/>
      <c r="X83" s="208"/>
      <c r="Y83" s="208"/>
      <c r="Z83" s="208"/>
      <c r="AA83" s="208"/>
      <c r="AB83" s="208"/>
      <c r="AC83" s="208"/>
      <c r="AD83" s="208"/>
      <c r="AE83" s="208"/>
      <c r="AF83" s="208"/>
      <c r="AG83" s="208"/>
      <c r="AH83" s="208"/>
      <c r="AI83" s="208"/>
      <c r="AJ83" s="208"/>
      <c r="AK83" s="208"/>
      <c r="AL83" s="208"/>
      <c r="AM83" s="208"/>
      <c r="AN83" s="208"/>
      <c r="AO83" s="208"/>
      <c r="AP83" s="208"/>
    </row>
    <row r="84" spans="1:42">
      <c r="A84" s="201" t="s">
        <v>257</v>
      </c>
      <c r="B84" s="164"/>
      <c r="C84" s="164"/>
      <c r="D84" s="164"/>
      <c r="E84" s="164"/>
      <c r="F84" s="164"/>
      <c r="G84" s="208"/>
      <c r="H84" s="208"/>
      <c r="I84" s="208"/>
      <c r="J84" s="208"/>
      <c r="K84" s="208"/>
      <c r="L84" s="208"/>
      <c r="M84" s="208"/>
      <c r="N84" s="208"/>
      <c r="O84" s="208"/>
      <c r="P84" s="208"/>
      <c r="Q84" s="208"/>
      <c r="R84" s="208"/>
      <c r="S84" s="208"/>
      <c r="T84" s="208"/>
      <c r="U84" s="208"/>
      <c r="V84" s="208"/>
      <c r="W84" s="208"/>
      <c r="X84" s="208"/>
      <c r="Y84" s="208"/>
      <c r="Z84" s="208"/>
      <c r="AA84" s="208"/>
      <c r="AB84" s="208"/>
      <c r="AC84" s="208"/>
      <c r="AD84" s="208"/>
      <c r="AE84" s="208"/>
      <c r="AF84" s="208"/>
      <c r="AG84" s="208"/>
      <c r="AH84" s="208"/>
      <c r="AI84" s="208"/>
      <c r="AJ84" s="208"/>
      <c r="AK84" s="208"/>
      <c r="AL84" s="208"/>
      <c r="AM84" s="208"/>
      <c r="AN84" s="208"/>
      <c r="AO84" s="208"/>
      <c r="AP84" s="208"/>
    </row>
    <row r="85" spans="1:42">
      <c r="A85" s="217" t="s">
        <v>223</v>
      </c>
      <c r="B85" s="164"/>
      <c r="C85" s="164"/>
      <c r="D85" s="164"/>
      <c r="E85" s="164"/>
      <c r="F85" s="164"/>
      <c r="G85" s="208"/>
      <c r="H85" s="208"/>
      <c r="I85" s="208"/>
      <c r="J85" s="208"/>
      <c r="K85" s="208"/>
      <c r="L85" s="208"/>
      <c r="M85" s="208"/>
      <c r="N85" s="208"/>
      <c r="O85" s="208"/>
      <c r="P85" s="208"/>
      <c r="Q85" s="208"/>
      <c r="R85" s="208"/>
      <c r="S85" s="208"/>
      <c r="T85" s="208"/>
      <c r="U85" s="208"/>
      <c r="V85" s="208"/>
      <c r="W85" s="208"/>
      <c r="X85" s="208"/>
      <c r="Y85" s="208"/>
      <c r="Z85" s="208"/>
      <c r="AA85" s="208"/>
      <c r="AB85" s="208"/>
      <c r="AC85" s="208"/>
      <c r="AD85" s="208"/>
      <c r="AE85" s="208"/>
      <c r="AF85" s="208"/>
      <c r="AG85" s="208"/>
      <c r="AH85" s="208"/>
      <c r="AI85" s="208"/>
      <c r="AJ85" s="208"/>
      <c r="AK85" s="208"/>
      <c r="AL85" s="208"/>
      <c r="AM85" s="208"/>
      <c r="AN85" s="208"/>
      <c r="AO85" s="208"/>
      <c r="AP85" s="208"/>
    </row>
    <row r="86" spans="1:42">
      <c r="A86" s="202" t="s">
        <v>224</v>
      </c>
      <c r="B86" s="208">
        <f>-B79</f>
        <v>-9660967.9751479775</v>
      </c>
      <c r="C86" s="208">
        <f t="shared" ref="C86:G86" si="176">-C79</f>
        <v>0</v>
      </c>
      <c r="D86" s="208">
        <f t="shared" si="176"/>
        <v>0</v>
      </c>
      <c r="E86" s="208">
        <f t="shared" si="176"/>
        <v>0</v>
      </c>
      <c r="F86" s="208">
        <f t="shared" si="176"/>
        <v>0</v>
      </c>
      <c r="G86" s="208">
        <f t="shared" si="176"/>
        <v>0</v>
      </c>
      <c r="H86" s="208">
        <f t="shared" ref="H86:AP86" si="177">-H79</f>
        <v>0</v>
      </c>
      <c r="I86" s="208">
        <f t="shared" si="177"/>
        <v>0</v>
      </c>
      <c r="J86" s="208">
        <f t="shared" si="177"/>
        <v>0</v>
      </c>
      <c r="K86" s="208">
        <f t="shared" si="177"/>
        <v>0</v>
      </c>
      <c r="L86" s="208">
        <f t="shared" si="177"/>
        <v>0</v>
      </c>
      <c r="M86" s="208">
        <f t="shared" si="177"/>
        <v>0</v>
      </c>
      <c r="N86" s="208">
        <f t="shared" si="177"/>
        <v>0</v>
      </c>
      <c r="O86" s="208">
        <f t="shared" si="177"/>
        <v>0</v>
      </c>
      <c r="P86" s="208">
        <f t="shared" si="177"/>
        <v>0</v>
      </c>
      <c r="Q86" s="208">
        <f t="shared" si="177"/>
        <v>0</v>
      </c>
      <c r="R86" s="208">
        <f t="shared" si="177"/>
        <v>0</v>
      </c>
      <c r="S86" s="208">
        <f t="shared" si="177"/>
        <v>0</v>
      </c>
      <c r="T86" s="208">
        <f t="shared" si="177"/>
        <v>0</v>
      </c>
      <c r="U86" s="208">
        <f t="shared" si="177"/>
        <v>0</v>
      </c>
      <c r="V86" s="208">
        <f t="shared" si="177"/>
        <v>0</v>
      </c>
      <c r="W86" s="208">
        <f t="shared" si="177"/>
        <v>0</v>
      </c>
      <c r="X86" s="208">
        <f t="shared" si="177"/>
        <v>0</v>
      </c>
      <c r="Y86" s="208">
        <f t="shared" si="177"/>
        <v>0</v>
      </c>
      <c r="Z86" s="208">
        <f t="shared" si="177"/>
        <v>0</v>
      </c>
      <c r="AA86" s="208">
        <f t="shared" si="177"/>
        <v>0</v>
      </c>
      <c r="AB86" s="208">
        <f t="shared" si="177"/>
        <v>0</v>
      </c>
      <c r="AC86" s="208">
        <f t="shared" si="177"/>
        <v>0</v>
      </c>
      <c r="AD86" s="208">
        <f t="shared" si="177"/>
        <v>0</v>
      </c>
      <c r="AE86" s="208">
        <f t="shared" si="177"/>
        <v>0</v>
      </c>
      <c r="AF86" s="208">
        <f t="shared" si="177"/>
        <v>0</v>
      </c>
      <c r="AG86" s="208">
        <f t="shared" si="177"/>
        <v>0</v>
      </c>
      <c r="AH86" s="208">
        <f t="shared" si="177"/>
        <v>0</v>
      </c>
      <c r="AI86" s="208">
        <f t="shared" si="177"/>
        <v>0</v>
      </c>
      <c r="AJ86" s="208">
        <f t="shared" si="177"/>
        <v>0</v>
      </c>
      <c r="AK86" s="208">
        <f t="shared" si="177"/>
        <v>0</v>
      </c>
      <c r="AL86" s="208">
        <f t="shared" si="177"/>
        <v>0</v>
      </c>
      <c r="AM86" s="208">
        <f t="shared" si="177"/>
        <v>0</v>
      </c>
      <c r="AN86" s="208">
        <f t="shared" si="177"/>
        <v>0</v>
      </c>
      <c r="AO86" s="208">
        <f t="shared" si="177"/>
        <v>0</v>
      </c>
      <c r="AP86" s="208">
        <f t="shared" si="177"/>
        <v>0</v>
      </c>
    </row>
    <row r="87" spans="1:42">
      <c r="A87" s="202" t="s">
        <v>225</v>
      </c>
      <c r="B87" s="209">
        <f>B82</f>
        <v>0</v>
      </c>
      <c r="C87" s="209">
        <f t="shared" ref="C87:G87" si="178">C82</f>
        <v>1477540.9958706116</v>
      </c>
      <c r="D87" s="209">
        <f t="shared" si="178"/>
        <v>1520971.6412364095</v>
      </c>
      <c r="E87" s="209">
        <f t="shared" si="178"/>
        <v>1565307.4276858815</v>
      </c>
      <c r="F87" s="209">
        <f t="shared" si="178"/>
        <v>1606650.2022038877</v>
      </c>
      <c r="G87" s="209">
        <f t="shared" si="178"/>
        <v>1651271.3693161816</v>
      </c>
      <c r="H87" s="209">
        <f t="shared" ref="H87:AP87" si="179">H82</f>
        <v>1696837.991000575</v>
      </c>
      <c r="I87" s="209">
        <f t="shared" si="179"/>
        <v>1739273.8302111747</v>
      </c>
      <c r="J87" s="209">
        <f t="shared" si="179"/>
        <v>1785136.7358018318</v>
      </c>
      <c r="K87" s="209">
        <f t="shared" si="179"/>
        <v>1831987.1811776012</v>
      </c>
      <c r="L87" s="209">
        <f t="shared" si="179"/>
        <v>3683775.1054297388</v>
      </c>
      <c r="M87" s="209">
        <f t="shared" si="179"/>
        <v>5542747.798423213</v>
      </c>
      <c r="N87" s="209">
        <f t="shared" si="179"/>
        <v>5660652.8641394479</v>
      </c>
      <c r="O87" s="209">
        <f t="shared" si="179"/>
        <v>5676476.4470181772</v>
      </c>
      <c r="P87" s="209">
        <f t="shared" si="179"/>
        <v>5797900.7440170366</v>
      </c>
      <c r="Q87" s="209">
        <f t="shared" si="179"/>
        <v>5920676.876443659</v>
      </c>
      <c r="R87" s="209">
        <f t="shared" si="179"/>
        <v>5830272.5439887578</v>
      </c>
      <c r="S87" s="209">
        <f t="shared" si="179"/>
        <v>5957640.3403120302</v>
      </c>
      <c r="T87" s="209">
        <f t="shared" si="179"/>
        <v>6086417.6814778429</v>
      </c>
      <c r="U87" s="209">
        <f t="shared" si="179"/>
        <v>6212409.1331831207</v>
      </c>
      <c r="V87" s="209">
        <f t="shared" si="179"/>
        <v>6344099.4214129075</v>
      </c>
      <c r="W87" s="209">
        <f t="shared" si="179"/>
        <v>6477259.3264539875</v>
      </c>
      <c r="X87" s="209">
        <f t="shared" si="179"/>
        <v>6593170.7559406739</v>
      </c>
      <c r="Y87" s="209">
        <f t="shared" si="179"/>
        <v>6715036.8291703193</v>
      </c>
      <c r="Z87" s="209">
        <f t="shared" si="179"/>
        <v>6838435.0430110116</v>
      </c>
      <c r="AA87" s="209">
        <f t="shared" si="179"/>
        <v>7190573.1334289648</v>
      </c>
      <c r="AB87" s="209">
        <f t="shared" si="179"/>
        <v>7312002.9393027928</v>
      </c>
      <c r="AC87" s="209">
        <f t="shared" si="179"/>
        <v>7435029.9534945153</v>
      </c>
      <c r="AD87" s="209">
        <f t="shared" si="179"/>
        <v>7554856.8392437501</v>
      </c>
      <c r="AE87" s="209">
        <f t="shared" si="179"/>
        <v>7681184.6208526259</v>
      </c>
      <c r="AF87" s="209">
        <f t="shared" si="179"/>
        <v>11981892.317308005</v>
      </c>
      <c r="AG87" s="209">
        <f t="shared" si="179"/>
        <v>0</v>
      </c>
      <c r="AH87" s="209">
        <f t="shared" si="179"/>
        <v>0</v>
      </c>
      <c r="AI87" s="209">
        <f t="shared" si="179"/>
        <v>0</v>
      </c>
      <c r="AJ87" s="209">
        <f t="shared" si="179"/>
        <v>0</v>
      </c>
      <c r="AK87" s="209">
        <f t="shared" si="179"/>
        <v>0</v>
      </c>
      <c r="AL87" s="209">
        <f t="shared" si="179"/>
        <v>0</v>
      </c>
      <c r="AM87" s="209">
        <f t="shared" si="179"/>
        <v>0</v>
      </c>
      <c r="AN87" s="209">
        <f t="shared" si="179"/>
        <v>0</v>
      </c>
      <c r="AO87" s="209">
        <f t="shared" si="179"/>
        <v>0</v>
      </c>
      <c r="AP87" s="209">
        <f t="shared" si="179"/>
        <v>0</v>
      </c>
    </row>
    <row r="88" spans="1:42">
      <c r="A88" s="202" t="s">
        <v>53</v>
      </c>
      <c r="B88" s="164">
        <f>SUM(B86:B87)</f>
        <v>-9660967.9751479775</v>
      </c>
      <c r="C88" s="164">
        <f t="shared" ref="C88:G88" si="180">SUM(C86:C87)</f>
        <v>1477540.9958706116</v>
      </c>
      <c r="D88" s="164">
        <f t="shared" si="180"/>
        <v>1520971.6412364095</v>
      </c>
      <c r="E88" s="164">
        <f t="shared" si="180"/>
        <v>1565307.4276858815</v>
      </c>
      <c r="F88" s="164">
        <f t="shared" si="180"/>
        <v>1606650.2022038877</v>
      </c>
      <c r="G88" s="164">
        <f t="shared" si="180"/>
        <v>1651271.3693161816</v>
      </c>
      <c r="H88" s="164">
        <f t="shared" ref="H88" si="181">SUM(H86:H87)</f>
        <v>1696837.991000575</v>
      </c>
      <c r="I88" s="164">
        <f t="shared" ref="I88" si="182">SUM(I86:I87)</f>
        <v>1739273.8302111747</v>
      </c>
      <c r="J88" s="164">
        <f t="shared" ref="J88" si="183">SUM(J86:J87)</f>
        <v>1785136.7358018318</v>
      </c>
      <c r="K88" s="164">
        <f t="shared" ref="K88:L88" si="184">SUM(K86:K87)</f>
        <v>1831987.1811776012</v>
      </c>
      <c r="L88" s="164">
        <f t="shared" si="184"/>
        <v>3683775.1054297388</v>
      </c>
      <c r="M88" s="164">
        <f t="shared" ref="M88" si="185">SUM(M86:M87)</f>
        <v>5542747.798423213</v>
      </c>
      <c r="N88" s="164">
        <f t="shared" ref="N88" si="186">SUM(N86:N87)</f>
        <v>5660652.8641394479</v>
      </c>
      <c r="O88" s="164">
        <f t="shared" ref="O88" si="187">SUM(O86:O87)</f>
        <v>5676476.4470181772</v>
      </c>
      <c r="P88" s="164">
        <f t="shared" ref="P88:Q88" si="188">SUM(P86:P87)</f>
        <v>5797900.7440170366</v>
      </c>
      <c r="Q88" s="164">
        <f t="shared" si="188"/>
        <v>5920676.876443659</v>
      </c>
      <c r="R88" s="164">
        <f t="shared" ref="R88" si="189">SUM(R86:R87)</f>
        <v>5830272.5439887578</v>
      </c>
      <c r="S88" s="164">
        <f t="shared" ref="S88" si="190">SUM(S86:S87)</f>
        <v>5957640.3403120302</v>
      </c>
      <c r="T88" s="164">
        <f t="shared" ref="T88" si="191">SUM(T86:T87)</f>
        <v>6086417.6814778429</v>
      </c>
      <c r="U88" s="164">
        <f t="shared" ref="U88:V88" si="192">SUM(U86:U87)</f>
        <v>6212409.1331831207</v>
      </c>
      <c r="V88" s="164">
        <f t="shared" si="192"/>
        <v>6344099.4214129075</v>
      </c>
      <c r="W88" s="164">
        <f t="shared" ref="W88" si="193">SUM(W86:W87)</f>
        <v>6477259.3264539875</v>
      </c>
      <c r="X88" s="164">
        <f t="shared" ref="X88" si="194">SUM(X86:X87)</f>
        <v>6593170.7559406739</v>
      </c>
      <c r="Y88" s="164">
        <f t="shared" ref="Y88" si="195">SUM(Y86:Y87)</f>
        <v>6715036.8291703193</v>
      </c>
      <c r="Z88" s="164">
        <f t="shared" ref="Z88:AA88" si="196">SUM(Z86:Z87)</f>
        <v>6838435.0430110116</v>
      </c>
      <c r="AA88" s="164">
        <f t="shared" si="196"/>
        <v>7190573.1334289648</v>
      </c>
      <c r="AB88" s="164">
        <f t="shared" ref="AB88" si="197">SUM(AB86:AB87)</f>
        <v>7312002.9393027928</v>
      </c>
      <c r="AC88" s="164">
        <f t="shared" ref="AC88" si="198">SUM(AC86:AC87)</f>
        <v>7435029.9534945153</v>
      </c>
      <c r="AD88" s="164">
        <f t="shared" ref="AD88" si="199">SUM(AD86:AD87)</f>
        <v>7554856.8392437501</v>
      </c>
      <c r="AE88" s="164">
        <f t="shared" ref="AE88:AF88" si="200">SUM(AE86:AE87)</f>
        <v>7681184.6208526259</v>
      </c>
      <c r="AF88" s="164">
        <f t="shared" si="200"/>
        <v>11981892.317308005</v>
      </c>
      <c r="AG88" s="164">
        <f t="shared" ref="AG88" si="201">SUM(AG86:AG87)</f>
        <v>0</v>
      </c>
      <c r="AH88" s="164">
        <f t="shared" ref="AH88" si="202">SUM(AH86:AH87)</f>
        <v>0</v>
      </c>
      <c r="AI88" s="164">
        <f t="shared" ref="AI88" si="203">SUM(AI86:AI87)</f>
        <v>0</v>
      </c>
      <c r="AJ88" s="164">
        <f t="shared" ref="AJ88:AK88" si="204">SUM(AJ86:AJ87)</f>
        <v>0</v>
      </c>
      <c r="AK88" s="164">
        <f t="shared" si="204"/>
        <v>0</v>
      </c>
      <c r="AL88" s="164">
        <f t="shared" ref="AL88" si="205">SUM(AL86:AL87)</f>
        <v>0</v>
      </c>
      <c r="AM88" s="164">
        <f t="shared" ref="AM88" si="206">SUM(AM86:AM87)</f>
        <v>0</v>
      </c>
      <c r="AN88" s="164">
        <f t="shared" ref="AN88" si="207">SUM(AN86:AN87)</f>
        <v>0</v>
      </c>
      <c r="AO88" s="164">
        <f t="shared" ref="AO88:AP88" si="208">SUM(AO86:AO87)</f>
        <v>0</v>
      </c>
      <c r="AP88" s="164">
        <f t="shared" si="208"/>
        <v>0</v>
      </c>
    </row>
    <row r="89" spans="1:42">
      <c r="A89" s="202"/>
      <c r="B89" s="164"/>
      <c r="C89" s="164"/>
      <c r="D89" s="164"/>
      <c r="E89" s="164"/>
      <c r="F89" s="164"/>
      <c r="G89" s="164"/>
      <c r="H89" s="164"/>
      <c r="I89" s="164"/>
      <c r="J89" s="164"/>
      <c r="K89" s="164"/>
      <c r="L89" s="164"/>
      <c r="M89" s="164"/>
      <c r="N89" s="164"/>
      <c r="O89" s="164"/>
      <c r="P89" s="164"/>
      <c r="Q89" s="164"/>
      <c r="R89" s="164"/>
      <c r="S89" s="164"/>
      <c r="T89" s="164"/>
      <c r="U89" s="164"/>
      <c r="V89" s="164"/>
      <c r="W89" s="164"/>
      <c r="X89" s="164"/>
      <c r="Y89" s="164"/>
      <c r="Z89" s="164"/>
      <c r="AA89" s="164"/>
      <c r="AB89" s="164"/>
      <c r="AC89" s="164"/>
      <c r="AD89" s="164"/>
      <c r="AE89" s="164"/>
      <c r="AF89" s="164"/>
      <c r="AG89" s="164"/>
      <c r="AH89" s="164"/>
      <c r="AI89" s="164"/>
      <c r="AJ89" s="164"/>
      <c r="AK89" s="164"/>
      <c r="AL89" s="164"/>
      <c r="AM89" s="164"/>
      <c r="AN89" s="164"/>
      <c r="AO89" s="164"/>
      <c r="AP89" s="164"/>
    </row>
    <row r="90" spans="1:42">
      <c r="A90" s="202" t="s">
        <v>418</v>
      </c>
      <c r="B90" s="223">
        <f>ROUND(IF(ISERROR(IRR($B88:B$88)),0,IRR($B88:B$88)),4)</f>
        <v>0</v>
      </c>
      <c r="C90" s="223">
        <f>ROUND(IF(ISERROR(IRR($B88:C$88)),0,IRR($B88:C$88)),4)</f>
        <v>0</v>
      </c>
      <c r="D90" s="223">
        <f>ROUND(IF(ISERROR(IRR($B88:D$88)),0,IRR($B88:D$88)),4)</f>
        <v>0</v>
      </c>
      <c r="E90" s="223">
        <f>ROUND(IF(ISERROR(IRR($B88:E$88)),0,IRR($B88:E$88)),4)</f>
        <v>-0.29620000000000002</v>
      </c>
      <c r="F90" s="223">
        <f>ROUND(IF(ISERROR(IRR($B88:F$88)),0,IRR($B88:F$88)),4)</f>
        <v>-0.15620000000000001</v>
      </c>
      <c r="G90" s="223">
        <f>ROUND(IF(ISERROR(IRR($B88:G$88)),0,IRR($B88:G$88)),4)</f>
        <v>-6.54E-2</v>
      </c>
      <c r="H90" s="223">
        <f>ROUND(IF(ISERROR(IRR($B88:H$88)),0,IRR($B88:H$88)),4)</f>
        <v>-4.1000000000000003E-3</v>
      </c>
      <c r="I90" s="223">
        <f>ROUND(IF(ISERROR(IRR($B88:I$88)),0,IRR($B88:I$88)),4)</f>
        <v>3.8699999999999998E-2</v>
      </c>
      <c r="J90" s="223">
        <f>ROUND(IF(ISERROR(IRR($B88:J$88)),0,IRR($B88:J$88)),4)</f>
        <v>6.9500000000000006E-2</v>
      </c>
      <c r="K90" s="223">
        <f>ROUND(IF(ISERROR(IRR($B88:K$88)),0,IRR($B88:K$88)),4)</f>
        <v>9.2399999999999996E-2</v>
      </c>
      <c r="L90" s="223">
        <f>ROUND(IF(ISERROR(IRR($B88:L$88)),0,IRR($B88:L$88)),4)</f>
        <v>0.1236</v>
      </c>
      <c r="M90" s="223">
        <f>ROUND(IF(ISERROR(IRR($B88:M$88)),0,IRR($B88:M$88)),4)</f>
        <v>0.15290000000000001</v>
      </c>
      <c r="N90" s="223">
        <f>ROUND(IF(ISERROR(IRR($B88:N$88)),0,IRR($B88:N$88)),4)</f>
        <v>0.17219999999999999</v>
      </c>
      <c r="O90" s="223">
        <f>ROUND(IF(ISERROR(IRR($B88:O$88)),0,IRR($B88:O$88)),4)</f>
        <v>0.1855</v>
      </c>
      <c r="P90" s="223">
        <f>ROUND(IF(ISERROR(IRR($B88:P$88)),0,IRR($B88:P$88)),4)</f>
        <v>0.19520000000000001</v>
      </c>
      <c r="Q90" s="223">
        <f>ROUND(IF(ISERROR(IRR($B88:Q$88)),0,IRR($B88:Q$88)),4)</f>
        <v>0.20250000000000001</v>
      </c>
      <c r="R90" s="223">
        <f>ROUND(IF(ISERROR(IRR($B88:R$88)),0,IRR($B88:R$88)),4)</f>
        <v>0.2079</v>
      </c>
      <c r="S90" s="223">
        <f>ROUND(IF(ISERROR(IRR($B88:S$88)),0,IRR($B88:S$88)),4)</f>
        <v>0.21199999999999999</v>
      </c>
      <c r="T90" s="223">
        <f>ROUND(IF(ISERROR(IRR($B88:T$88)),0,IRR($B88:T$88)),4)</f>
        <v>0.21529999999999999</v>
      </c>
      <c r="U90" s="223">
        <f>ROUND(IF(ISERROR(IRR($B88:U$88)),0,IRR($B88:U$88)),4)</f>
        <v>0.21790000000000001</v>
      </c>
      <c r="V90" s="223">
        <f>ROUND(IF(ISERROR(IRR($B88:V$88)),0,IRR($B88:V$88)),4)</f>
        <v>0.21990000000000001</v>
      </c>
      <c r="W90" s="223">
        <f>ROUND(IF(ISERROR(IRR($B88:W$88)),0,IRR($B88:W$88)),4)</f>
        <v>0.22159999999999999</v>
      </c>
      <c r="X90" s="223">
        <f>ROUND(IF(ISERROR(IRR($B88:X$88)),0,IRR($B88:X$88)),4)</f>
        <v>0.22289999999999999</v>
      </c>
      <c r="Y90" s="223">
        <f>ROUND(IF(ISERROR(IRR($B88:Y$88)),0,IRR($B88:Y$88)),4)</f>
        <v>0.224</v>
      </c>
      <c r="Z90" s="223">
        <f>ROUND(IF(ISERROR(IRR($B88:Z$88)),0,IRR($B88:Z$88)),4)</f>
        <v>0.2248</v>
      </c>
      <c r="AA90" s="223">
        <f>ROUND(IF(ISERROR(IRR($B88:AA$88)),0,IRR($B88:AA$88)),4)</f>
        <v>0.22559999999999999</v>
      </c>
      <c r="AB90" s="223">
        <f>ROUND(IF(ISERROR(IRR($B88:AB$88)),0,IRR($B88:AB$88)),4)</f>
        <v>0.2261</v>
      </c>
      <c r="AC90" s="223">
        <f>ROUND(IF(ISERROR(IRR($B88:AC$88)),0,IRR($B88:AC$88)),4)</f>
        <v>0.2266</v>
      </c>
      <c r="AD90" s="223">
        <f>ROUND(IF(ISERROR(IRR($B88:AD$88)),0,IRR($B88:AD$88)),4)</f>
        <v>0.22700000000000001</v>
      </c>
      <c r="AE90" s="223">
        <f>ROUND(IF(ISERROR(IRR($B88:AE$88)),0,IRR($B88:AE$88)),4)</f>
        <v>0.2273</v>
      </c>
      <c r="AF90" s="223">
        <f>ROUND(IF(ISERROR(IRR($B88:AF$88)),0,IRR($B88:AF$88)),4)</f>
        <v>0.22770000000000001</v>
      </c>
      <c r="AG90" s="223">
        <f>ROUND(IF(ISERROR(IRR($B88:AG$88)),0,IRR($B88:AG$88)),4)</f>
        <v>0.22770000000000001</v>
      </c>
      <c r="AH90" s="223">
        <f>ROUND(IF(ISERROR(IRR($B88:AH$88)),0,IRR($B88:AH$88)),4)</f>
        <v>0.22770000000000001</v>
      </c>
      <c r="AI90" s="223">
        <f>ROUND(IF(ISERROR(IRR($B88:AI$88)),0,IRR($B88:AI$88)),4)</f>
        <v>0.22770000000000001</v>
      </c>
      <c r="AJ90" s="223">
        <f>ROUND(IF(ISERROR(IRR($B88:AJ$88)),0,IRR($B88:AJ$88)),4)</f>
        <v>0.22770000000000001</v>
      </c>
      <c r="AK90" s="223">
        <f>ROUND(IF(ISERROR(IRR($B88:AK$88)),0,IRR($B88:AK$88)),4)</f>
        <v>0.22770000000000001</v>
      </c>
      <c r="AL90" s="223">
        <f>ROUND(IF(ISERROR(IRR($B88:AL$88)),0,IRR($B88:AL$88)),4)</f>
        <v>0.22770000000000001</v>
      </c>
      <c r="AM90" s="223">
        <f>ROUND(IF(ISERROR(IRR($B88:AM$88)),0,IRR($B88:AM$88)),4)</f>
        <v>0.22770000000000001</v>
      </c>
      <c r="AN90" s="223">
        <f>ROUND(IF(ISERROR(IRR($B88:AN$88)),0,IRR($B88:AN$88)),4)</f>
        <v>0.22770000000000001</v>
      </c>
      <c r="AO90" s="223">
        <f>ROUND(IF(ISERROR(IRR($B88:AO$88)),0,IRR($B88:AO$88)),4)</f>
        <v>0.22770000000000001</v>
      </c>
      <c r="AP90" s="223">
        <f>ROUND(IF(ISERROR(IRR($B88:AP$88)),0,IRR($B88:AP$88)),4)</f>
        <v>0.22770000000000001</v>
      </c>
    </row>
    <row r="91" spans="1:42">
      <c r="A91" s="202" t="s">
        <v>419</v>
      </c>
      <c r="B91" s="291">
        <f>B88</f>
        <v>-9660967.9751479775</v>
      </c>
      <c r="C91" s="291">
        <f>NPV(DiscountRate,$C88:C88)+$B$88</f>
        <v>-8292874.4604529664</v>
      </c>
      <c r="D91" s="291">
        <f>NPV(DiscountRate,$C88:D88)+$B$88</f>
        <v>-6988886.4278428769</v>
      </c>
      <c r="E91" s="291">
        <f>NPV(DiscountRate,$C88:E88)+$B$88</f>
        <v>-5746294.924637476</v>
      </c>
      <c r="F91" s="291">
        <f>NPV(DiscountRate,$C88:F88)+$B$88</f>
        <v>-4565359.0630161613</v>
      </c>
      <c r="G91" s="291">
        <f>NPV(DiscountRate,$C88:G88)+$B$88</f>
        <v>-3441531.5153166521</v>
      </c>
      <c r="H91" s="291">
        <f>NPV(DiscountRate,$C88:H88)+$B$88</f>
        <v>-2372235.7516467432</v>
      </c>
      <c r="I91" s="291">
        <f>NPV(DiscountRate,$C88:I88)+$B$88</f>
        <v>-1357386.1769877402</v>
      </c>
      <c r="J91" s="291">
        <f>NPV(DiscountRate,$C88:J88)+$B$88</f>
        <v>-392932.3440525867</v>
      </c>
      <c r="K91" s="291">
        <f>NPV(DiscountRate,$C88:K88)+$B$88</f>
        <v>523517.35112958215</v>
      </c>
      <c r="L91" s="291">
        <f>NPV(DiscountRate,$C88:L88)+$B$88</f>
        <v>2229817.9915331081</v>
      </c>
      <c r="M91" s="291">
        <f>NPV(DiscountRate,$C88:M88)+$B$88</f>
        <v>4607007.5159084331</v>
      </c>
      <c r="N91" s="291">
        <f>NPV(DiscountRate,$C88:N88)+$B$88</f>
        <v>6854930.651177045</v>
      </c>
      <c r="O91" s="291">
        <f>NPV(DiscountRate,$C88:O88)+$B$88</f>
        <v>8942159.2601963319</v>
      </c>
      <c r="P91" s="291">
        <f>NPV(DiscountRate,$C88:P88)+$B$88</f>
        <v>10916118.585224617</v>
      </c>
      <c r="Q91" s="291">
        <f>NPV(DiscountRate,$C88:Q88)+$B$88</f>
        <v>12782562.858306836</v>
      </c>
      <c r="R91" s="291">
        <f>NPV(DiscountRate,$C88:R88)+$B$88</f>
        <v>14484363.837179832</v>
      </c>
      <c r="S91" s="291">
        <f>NPV(DiscountRate,$C88:S88)+$B$88</f>
        <v>16094529.045044653</v>
      </c>
      <c r="T91" s="291">
        <f>NPV(DiscountRate,$C88:T88)+$B$88</f>
        <v>17617649.160629496</v>
      </c>
      <c r="U91" s="291">
        <f>NPV(DiscountRate,$C88:U88)+$B$88</f>
        <v>19057139.303269327</v>
      </c>
      <c r="V91" s="291">
        <f>NPV(DiscountRate,$C88:V88)+$B$88</f>
        <v>20418254.461726576</v>
      </c>
      <c r="W91" s="291">
        <f>NPV(DiscountRate,$C88:W88)+$B$88</f>
        <v>21704999.255598716</v>
      </c>
      <c r="X91" s="291">
        <f>NPV(DiscountRate,$C88:X88)+$B$88</f>
        <v>22917750.427405916</v>
      </c>
      <c r="Y91" s="291">
        <f>NPV(DiscountRate,$C88:Y88)+$B$88</f>
        <v>24061423.833986714</v>
      </c>
      <c r="Z91" s="291">
        <f>NPV(DiscountRate,$C88:Z88)+$B$88</f>
        <v>25139840.508479312</v>
      </c>
      <c r="AA91" s="291">
        <f>NPV(DiscountRate,$C88:AA88)+$B$88</f>
        <v>26189792.932545699</v>
      </c>
      <c r="AB91" s="291">
        <f>NPV(DiscountRate,$C88:AB88)+$B$88</f>
        <v>27178388.626910567</v>
      </c>
      <c r="AC91" s="291">
        <f>NPV(DiscountRate,$C88:AC88)+$B$88</f>
        <v>28109156.37105839</v>
      </c>
      <c r="AD91" s="291">
        <f>NPV(DiscountRate,$C88:AD88)+$B$88</f>
        <v>28984867.936545871</v>
      </c>
      <c r="AE91" s="291">
        <f>NPV(DiscountRate,$C88:AE88)+$B$88</f>
        <v>29809270.426064193</v>
      </c>
      <c r="AF91" s="291">
        <f>NPV(DiscountRate,$C88:AF88)+$B$88</f>
        <v>30999998.923457213</v>
      </c>
      <c r="AG91" s="291">
        <f>NPV(DiscountRate,$C88:AG88)+$B$88</f>
        <v>30999998.923457213</v>
      </c>
      <c r="AH91" s="291">
        <f>NPV(DiscountRate,$C88:AH88)+$B$88</f>
        <v>30999998.923457213</v>
      </c>
      <c r="AI91" s="291">
        <f>NPV(DiscountRate,$C88:AI88)+$B$88</f>
        <v>30999998.923457213</v>
      </c>
      <c r="AJ91" s="291">
        <f>NPV(DiscountRate,$C88:AJ88)+$B$88</f>
        <v>30999998.923457213</v>
      </c>
      <c r="AK91" s="291">
        <f>NPV(DiscountRate,$C88:AK88)+$B$88</f>
        <v>30999998.923457213</v>
      </c>
      <c r="AL91" s="291">
        <f>NPV(DiscountRate,$C88:AL88)+$B$88</f>
        <v>30999998.923457213</v>
      </c>
      <c r="AM91" s="291">
        <f>NPV(DiscountRate,$C88:AM88)+$B$88</f>
        <v>30999998.923457213</v>
      </c>
      <c r="AN91" s="291">
        <f>NPV(DiscountRate,$C88:AN88)+$B$88</f>
        <v>30999998.923457213</v>
      </c>
      <c r="AO91" s="291">
        <f>NPV(DiscountRate,$C88:AO88)+$B$88</f>
        <v>30999998.923457213</v>
      </c>
      <c r="AP91" s="291">
        <f>NPV(DiscountRate,$C88:AP88)+$B$88</f>
        <v>30999998.923457213</v>
      </c>
    </row>
    <row r="92" spans="1:42">
      <c r="A92" s="202"/>
      <c r="B92" s="164"/>
      <c r="C92" s="164"/>
      <c r="D92" s="164"/>
      <c r="E92" s="164"/>
      <c r="F92" s="164"/>
      <c r="G92" s="208"/>
      <c r="H92" s="208"/>
      <c r="I92" s="208"/>
      <c r="J92" s="208"/>
      <c r="K92" s="208"/>
      <c r="L92" s="208"/>
      <c r="M92" s="208"/>
      <c r="N92" s="208"/>
      <c r="O92" s="208"/>
      <c r="P92" s="208"/>
      <c r="Q92" s="208"/>
      <c r="R92" s="208"/>
      <c r="S92" s="208"/>
      <c r="T92" s="208"/>
      <c r="U92" s="208"/>
      <c r="V92" s="208"/>
      <c r="W92" s="208"/>
      <c r="X92" s="208"/>
      <c r="Y92" s="208"/>
      <c r="Z92" s="208"/>
      <c r="AA92" s="208"/>
      <c r="AB92" s="208"/>
      <c r="AC92" s="208"/>
      <c r="AD92" s="208"/>
      <c r="AE92" s="208"/>
      <c r="AF92" s="208"/>
      <c r="AG92" s="208"/>
      <c r="AH92" s="208"/>
      <c r="AI92" s="208"/>
      <c r="AJ92" s="208"/>
      <c r="AK92" s="208"/>
      <c r="AL92" s="208"/>
      <c r="AM92" s="208"/>
      <c r="AN92" s="208"/>
      <c r="AO92" s="208"/>
      <c r="AP92" s="208"/>
    </row>
    <row r="93" spans="1:42">
      <c r="A93" s="217" t="s">
        <v>228</v>
      </c>
      <c r="B93" s="164"/>
      <c r="C93" s="164"/>
      <c r="D93" s="164"/>
      <c r="E93" s="164"/>
      <c r="F93" s="164"/>
      <c r="G93" s="208"/>
      <c r="H93" s="208"/>
      <c r="I93" s="208"/>
      <c r="J93" s="208"/>
      <c r="K93" s="208"/>
      <c r="L93" s="208"/>
      <c r="M93" s="208"/>
      <c r="N93" s="208"/>
      <c r="O93" s="208"/>
      <c r="P93" s="208"/>
      <c r="Q93" s="208"/>
      <c r="R93" s="208"/>
      <c r="S93" s="208"/>
      <c r="T93" s="208"/>
      <c r="U93" s="208"/>
      <c r="V93" s="208"/>
      <c r="W93" s="208"/>
      <c r="X93" s="208"/>
      <c r="Y93" s="208"/>
      <c r="Z93" s="208"/>
      <c r="AA93" s="208"/>
      <c r="AB93" s="208"/>
      <c r="AC93" s="208"/>
      <c r="AD93" s="208"/>
      <c r="AE93" s="208"/>
      <c r="AF93" s="208"/>
      <c r="AG93" s="208"/>
      <c r="AH93" s="208"/>
      <c r="AI93" s="208"/>
      <c r="AJ93" s="208"/>
      <c r="AK93" s="208"/>
      <c r="AL93" s="208"/>
      <c r="AM93" s="208"/>
      <c r="AN93" s="208"/>
      <c r="AO93" s="208"/>
      <c r="AP93" s="208"/>
    </row>
    <row r="94" spans="1:42" s="119" customFormat="1">
      <c r="A94" s="219" t="s">
        <v>229</v>
      </c>
      <c r="B94" s="220"/>
      <c r="C94" s="220"/>
      <c r="D94" s="220"/>
      <c r="E94" s="220"/>
      <c r="F94" s="220"/>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46"/>
      <c r="AK94" s="146"/>
      <c r="AL94" s="146"/>
      <c r="AM94" s="146"/>
      <c r="AN94" s="146"/>
      <c r="AO94" s="146"/>
      <c r="AP94" s="146"/>
    </row>
    <row r="95" spans="1:42">
      <c r="A95" s="206" t="s">
        <v>224</v>
      </c>
      <c r="B95" s="208">
        <f>B86</f>
        <v>-9660967.9751479775</v>
      </c>
      <c r="C95" s="208">
        <f t="shared" ref="C95:AP95" si="209">C86</f>
        <v>0</v>
      </c>
      <c r="D95" s="208">
        <f t="shared" si="209"/>
        <v>0</v>
      </c>
      <c r="E95" s="208">
        <f t="shared" si="209"/>
        <v>0</v>
      </c>
      <c r="F95" s="208">
        <f t="shared" si="209"/>
        <v>0</v>
      </c>
      <c r="G95" s="208">
        <f t="shared" si="209"/>
        <v>0</v>
      </c>
      <c r="H95" s="208">
        <f t="shared" si="209"/>
        <v>0</v>
      </c>
      <c r="I95" s="208">
        <f t="shared" si="209"/>
        <v>0</v>
      </c>
      <c r="J95" s="208">
        <f t="shared" si="209"/>
        <v>0</v>
      </c>
      <c r="K95" s="208">
        <f t="shared" si="209"/>
        <v>0</v>
      </c>
      <c r="L95" s="208">
        <f t="shared" si="209"/>
        <v>0</v>
      </c>
      <c r="M95" s="208">
        <f t="shared" si="209"/>
        <v>0</v>
      </c>
      <c r="N95" s="208">
        <f t="shared" si="209"/>
        <v>0</v>
      </c>
      <c r="O95" s="208">
        <f t="shared" si="209"/>
        <v>0</v>
      </c>
      <c r="P95" s="208">
        <f t="shared" si="209"/>
        <v>0</v>
      </c>
      <c r="Q95" s="208">
        <f t="shared" si="209"/>
        <v>0</v>
      </c>
      <c r="R95" s="208">
        <f t="shared" si="209"/>
        <v>0</v>
      </c>
      <c r="S95" s="208">
        <f t="shared" si="209"/>
        <v>0</v>
      </c>
      <c r="T95" s="208">
        <f t="shared" si="209"/>
        <v>0</v>
      </c>
      <c r="U95" s="208">
        <f t="shared" si="209"/>
        <v>0</v>
      </c>
      <c r="V95" s="208">
        <f t="shared" si="209"/>
        <v>0</v>
      </c>
      <c r="W95" s="208">
        <f t="shared" si="209"/>
        <v>0</v>
      </c>
      <c r="X95" s="208">
        <f t="shared" si="209"/>
        <v>0</v>
      </c>
      <c r="Y95" s="208">
        <f t="shared" si="209"/>
        <v>0</v>
      </c>
      <c r="Z95" s="208">
        <f t="shared" si="209"/>
        <v>0</v>
      </c>
      <c r="AA95" s="208">
        <f t="shared" si="209"/>
        <v>0</v>
      </c>
      <c r="AB95" s="208">
        <f t="shared" si="209"/>
        <v>0</v>
      </c>
      <c r="AC95" s="208">
        <f t="shared" si="209"/>
        <v>0</v>
      </c>
      <c r="AD95" s="208">
        <f t="shared" si="209"/>
        <v>0</v>
      </c>
      <c r="AE95" s="208">
        <f t="shared" si="209"/>
        <v>0</v>
      </c>
      <c r="AF95" s="208">
        <f t="shared" si="209"/>
        <v>0</v>
      </c>
      <c r="AG95" s="208">
        <f t="shared" si="209"/>
        <v>0</v>
      </c>
      <c r="AH95" s="208">
        <f t="shared" si="209"/>
        <v>0</v>
      </c>
      <c r="AI95" s="208">
        <f t="shared" si="209"/>
        <v>0</v>
      </c>
      <c r="AJ95" s="208">
        <f t="shared" si="209"/>
        <v>0</v>
      </c>
      <c r="AK95" s="208">
        <f t="shared" si="209"/>
        <v>0</v>
      </c>
      <c r="AL95" s="208">
        <f t="shared" si="209"/>
        <v>0</v>
      </c>
      <c r="AM95" s="208">
        <f t="shared" si="209"/>
        <v>0</v>
      </c>
      <c r="AN95" s="208">
        <f t="shared" si="209"/>
        <v>0</v>
      </c>
      <c r="AO95" s="208">
        <f t="shared" si="209"/>
        <v>0</v>
      </c>
      <c r="AP95" s="208">
        <f t="shared" si="209"/>
        <v>0</v>
      </c>
    </row>
    <row r="96" spans="1:42">
      <c r="A96" s="206" t="s">
        <v>225</v>
      </c>
      <c r="B96" s="209">
        <f>B87</f>
        <v>0</v>
      </c>
      <c r="C96" s="209">
        <f t="shared" ref="C96:AP96" si="210">C87</f>
        <v>1477540.9958706116</v>
      </c>
      <c r="D96" s="209">
        <f t="shared" si="210"/>
        <v>1520971.6412364095</v>
      </c>
      <c r="E96" s="209">
        <f t="shared" si="210"/>
        <v>1565307.4276858815</v>
      </c>
      <c r="F96" s="209">
        <f t="shared" si="210"/>
        <v>1606650.2022038877</v>
      </c>
      <c r="G96" s="209">
        <f t="shared" si="210"/>
        <v>1651271.3693161816</v>
      </c>
      <c r="H96" s="209">
        <f t="shared" si="210"/>
        <v>1696837.991000575</v>
      </c>
      <c r="I96" s="209">
        <f t="shared" si="210"/>
        <v>1739273.8302111747</v>
      </c>
      <c r="J96" s="209">
        <f t="shared" si="210"/>
        <v>1785136.7358018318</v>
      </c>
      <c r="K96" s="209">
        <f t="shared" si="210"/>
        <v>1831987.1811776012</v>
      </c>
      <c r="L96" s="209">
        <f t="shared" si="210"/>
        <v>3683775.1054297388</v>
      </c>
      <c r="M96" s="209">
        <f t="shared" si="210"/>
        <v>5542747.798423213</v>
      </c>
      <c r="N96" s="209">
        <f t="shared" si="210"/>
        <v>5660652.8641394479</v>
      </c>
      <c r="O96" s="209">
        <f t="shared" si="210"/>
        <v>5676476.4470181772</v>
      </c>
      <c r="P96" s="209">
        <f t="shared" si="210"/>
        <v>5797900.7440170366</v>
      </c>
      <c r="Q96" s="209">
        <f t="shared" si="210"/>
        <v>5920676.876443659</v>
      </c>
      <c r="R96" s="209">
        <f t="shared" si="210"/>
        <v>5830272.5439887578</v>
      </c>
      <c r="S96" s="209">
        <f t="shared" si="210"/>
        <v>5957640.3403120302</v>
      </c>
      <c r="T96" s="209">
        <f t="shared" si="210"/>
        <v>6086417.6814778429</v>
      </c>
      <c r="U96" s="209">
        <f t="shared" si="210"/>
        <v>6212409.1331831207</v>
      </c>
      <c r="V96" s="209">
        <f t="shared" si="210"/>
        <v>6344099.4214129075</v>
      </c>
      <c r="W96" s="209">
        <f t="shared" si="210"/>
        <v>6477259.3264539875</v>
      </c>
      <c r="X96" s="209">
        <f t="shared" si="210"/>
        <v>6593170.7559406739</v>
      </c>
      <c r="Y96" s="209">
        <f t="shared" si="210"/>
        <v>6715036.8291703193</v>
      </c>
      <c r="Z96" s="209">
        <f t="shared" si="210"/>
        <v>6838435.0430110116</v>
      </c>
      <c r="AA96" s="209">
        <f t="shared" si="210"/>
        <v>7190573.1334289648</v>
      </c>
      <c r="AB96" s="209">
        <f t="shared" si="210"/>
        <v>7312002.9393027928</v>
      </c>
      <c r="AC96" s="209">
        <f t="shared" si="210"/>
        <v>7435029.9534945153</v>
      </c>
      <c r="AD96" s="209">
        <f t="shared" si="210"/>
        <v>7554856.8392437501</v>
      </c>
      <c r="AE96" s="209">
        <f t="shared" si="210"/>
        <v>7681184.6208526259</v>
      </c>
      <c r="AF96" s="209">
        <f t="shared" si="210"/>
        <v>11981892.317308005</v>
      </c>
      <c r="AG96" s="209">
        <f t="shared" si="210"/>
        <v>0</v>
      </c>
      <c r="AH96" s="209">
        <f t="shared" si="210"/>
        <v>0</v>
      </c>
      <c r="AI96" s="209">
        <f t="shared" si="210"/>
        <v>0</v>
      </c>
      <c r="AJ96" s="209">
        <f t="shared" si="210"/>
        <v>0</v>
      </c>
      <c r="AK96" s="209">
        <f t="shared" si="210"/>
        <v>0</v>
      </c>
      <c r="AL96" s="209">
        <f t="shared" si="210"/>
        <v>0</v>
      </c>
      <c r="AM96" s="209">
        <f t="shared" si="210"/>
        <v>0</v>
      </c>
      <c r="AN96" s="209">
        <f t="shared" si="210"/>
        <v>0</v>
      </c>
      <c r="AO96" s="209">
        <f t="shared" si="210"/>
        <v>0</v>
      </c>
      <c r="AP96" s="209">
        <f t="shared" si="210"/>
        <v>0</v>
      </c>
    </row>
    <row r="97" spans="1:42">
      <c r="A97" s="206" t="s">
        <v>230</v>
      </c>
      <c r="B97" s="164">
        <f>SUM(B95:B96)</f>
        <v>-9660967.9751479775</v>
      </c>
      <c r="C97" s="164">
        <f t="shared" ref="C97" si="211">SUM(C95:C96)</f>
        <v>1477540.9958706116</v>
      </c>
      <c r="D97" s="164">
        <f t="shared" ref="D97" si="212">SUM(D95:D96)</f>
        <v>1520971.6412364095</v>
      </c>
      <c r="E97" s="164">
        <f t="shared" ref="E97" si="213">SUM(E95:E96)</f>
        <v>1565307.4276858815</v>
      </c>
      <c r="F97" s="164">
        <f t="shared" ref="F97" si="214">SUM(F95:F96)</f>
        <v>1606650.2022038877</v>
      </c>
      <c r="G97" s="164">
        <f t="shared" ref="G97" si="215">SUM(G95:G96)</f>
        <v>1651271.3693161816</v>
      </c>
      <c r="H97" s="164">
        <f t="shared" ref="H97" si="216">SUM(H95:H96)</f>
        <v>1696837.991000575</v>
      </c>
      <c r="I97" s="164">
        <f t="shared" ref="I97" si="217">SUM(I95:I96)</f>
        <v>1739273.8302111747</v>
      </c>
      <c r="J97" s="164">
        <f t="shared" ref="J97" si="218">SUM(J95:J96)</f>
        <v>1785136.7358018318</v>
      </c>
      <c r="K97" s="164">
        <f t="shared" ref="K97" si="219">SUM(K95:K96)</f>
        <v>1831987.1811776012</v>
      </c>
      <c r="L97" s="164">
        <f t="shared" ref="L97" si="220">SUM(L95:L96)</f>
        <v>3683775.1054297388</v>
      </c>
      <c r="M97" s="164">
        <f t="shared" ref="M97" si="221">SUM(M95:M96)</f>
        <v>5542747.798423213</v>
      </c>
      <c r="N97" s="164">
        <f t="shared" ref="N97" si="222">SUM(N95:N96)</f>
        <v>5660652.8641394479</v>
      </c>
      <c r="O97" s="164">
        <f t="shared" ref="O97" si="223">SUM(O95:O96)</f>
        <v>5676476.4470181772</v>
      </c>
      <c r="P97" s="164">
        <f t="shared" ref="P97" si="224">SUM(P95:P96)</f>
        <v>5797900.7440170366</v>
      </c>
      <c r="Q97" s="164">
        <f t="shared" ref="Q97" si="225">SUM(Q95:Q96)</f>
        <v>5920676.876443659</v>
      </c>
      <c r="R97" s="164">
        <f t="shared" ref="R97" si="226">SUM(R95:R96)</f>
        <v>5830272.5439887578</v>
      </c>
      <c r="S97" s="164">
        <f t="shared" ref="S97" si="227">SUM(S95:S96)</f>
        <v>5957640.3403120302</v>
      </c>
      <c r="T97" s="164">
        <f t="shared" ref="T97" si="228">SUM(T95:T96)</f>
        <v>6086417.6814778429</v>
      </c>
      <c r="U97" s="164">
        <f t="shared" ref="U97" si="229">SUM(U95:U96)</f>
        <v>6212409.1331831207</v>
      </c>
      <c r="V97" s="164">
        <f t="shared" ref="V97" si="230">SUM(V95:V96)</f>
        <v>6344099.4214129075</v>
      </c>
      <c r="W97" s="164">
        <f t="shared" ref="W97" si="231">SUM(W95:W96)</f>
        <v>6477259.3264539875</v>
      </c>
      <c r="X97" s="164">
        <f t="shared" ref="X97" si="232">SUM(X95:X96)</f>
        <v>6593170.7559406739</v>
      </c>
      <c r="Y97" s="164">
        <f t="shared" ref="Y97" si="233">SUM(Y95:Y96)</f>
        <v>6715036.8291703193</v>
      </c>
      <c r="Z97" s="164">
        <f t="shared" ref="Z97" si="234">SUM(Z95:Z96)</f>
        <v>6838435.0430110116</v>
      </c>
      <c r="AA97" s="164">
        <f t="shared" ref="AA97" si="235">SUM(AA95:AA96)</f>
        <v>7190573.1334289648</v>
      </c>
      <c r="AB97" s="164">
        <f t="shared" ref="AB97" si="236">SUM(AB95:AB96)</f>
        <v>7312002.9393027928</v>
      </c>
      <c r="AC97" s="164">
        <f t="shared" ref="AC97" si="237">SUM(AC95:AC96)</f>
        <v>7435029.9534945153</v>
      </c>
      <c r="AD97" s="164">
        <f t="shared" ref="AD97" si="238">SUM(AD95:AD96)</f>
        <v>7554856.8392437501</v>
      </c>
      <c r="AE97" s="164">
        <f t="shared" ref="AE97" si="239">SUM(AE95:AE96)</f>
        <v>7681184.6208526259</v>
      </c>
      <c r="AF97" s="164">
        <f t="shared" ref="AF97" si="240">SUM(AF95:AF96)</f>
        <v>11981892.317308005</v>
      </c>
      <c r="AG97" s="164">
        <f t="shared" ref="AG97" si="241">SUM(AG95:AG96)</f>
        <v>0</v>
      </c>
      <c r="AH97" s="164">
        <f t="shared" ref="AH97" si="242">SUM(AH95:AH96)</f>
        <v>0</v>
      </c>
      <c r="AI97" s="164">
        <f t="shared" ref="AI97" si="243">SUM(AI95:AI96)</f>
        <v>0</v>
      </c>
      <c r="AJ97" s="164">
        <f t="shared" ref="AJ97" si="244">SUM(AJ95:AJ96)</f>
        <v>0</v>
      </c>
      <c r="AK97" s="164">
        <f t="shared" ref="AK97" si="245">SUM(AK95:AK96)</f>
        <v>0</v>
      </c>
      <c r="AL97" s="164">
        <f t="shared" ref="AL97" si="246">SUM(AL95:AL96)</f>
        <v>0</v>
      </c>
      <c r="AM97" s="164">
        <f t="shared" ref="AM97" si="247">SUM(AM95:AM96)</f>
        <v>0</v>
      </c>
      <c r="AN97" s="164">
        <f t="shared" ref="AN97" si="248">SUM(AN95:AN96)</f>
        <v>0</v>
      </c>
      <c r="AO97" s="164">
        <f t="shared" ref="AO97" si="249">SUM(AO95:AO96)</f>
        <v>0</v>
      </c>
      <c r="AP97" s="164">
        <f t="shared" ref="AP97" si="250">SUM(AP95:AP96)</f>
        <v>0</v>
      </c>
    </row>
    <row r="98" spans="1:42">
      <c r="A98" s="202" t="s">
        <v>33</v>
      </c>
      <c r="B98" s="164"/>
      <c r="C98" s="164"/>
      <c r="D98" s="164"/>
      <c r="E98" s="164"/>
      <c r="F98" s="164"/>
      <c r="G98" s="208"/>
      <c r="H98" s="208"/>
      <c r="I98" s="208"/>
      <c r="J98" s="208"/>
      <c r="K98" s="208"/>
      <c r="L98" s="208"/>
      <c r="M98" s="208"/>
      <c r="N98" s="208"/>
      <c r="O98" s="208"/>
      <c r="P98" s="208"/>
      <c r="Q98" s="208"/>
      <c r="R98" s="208"/>
      <c r="S98" s="208"/>
      <c r="T98" s="208"/>
      <c r="U98" s="208"/>
      <c r="V98" s="208"/>
      <c r="W98" s="208"/>
      <c r="X98" s="208"/>
      <c r="Y98" s="208"/>
      <c r="Z98" s="208"/>
      <c r="AA98" s="208"/>
      <c r="AB98" s="208"/>
      <c r="AC98" s="208"/>
      <c r="AD98" s="208"/>
      <c r="AE98" s="208"/>
      <c r="AF98" s="208"/>
      <c r="AG98" s="208"/>
      <c r="AH98" s="208"/>
      <c r="AI98" s="208"/>
      <c r="AJ98" s="208"/>
      <c r="AK98" s="208"/>
      <c r="AL98" s="208"/>
      <c r="AM98" s="208"/>
      <c r="AN98" s="208"/>
      <c r="AO98" s="208"/>
      <c r="AP98" s="208"/>
    </row>
    <row r="99" spans="1:42">
      <c r="A99" s="206" t="s">
        <v>37</v>
      </c>
      <c r="B99" s="164">
        <v>0</v>
      </c>
      <c r="C99" s="164">
        <f>H555+J555</f>
        <v>20000</v>
      </c>
      <c r="D99" s="164">
        <v>0</v>
      </c>
      <c r="E99" s="164">
        <v>0</v>
      </c>
      <c r="F99" s="164">
        <v>0</v>
      </c>
      <c r="G99" s="164">
        <v>0</v>
      </c>
      <c r="H99" s="164">
        <v>0</v>
      </c>
      <c r="I99" s="164">
        <v>0</v>
      </c>
      <c r="J99" s="164">
        <v>0</v>
      </c>
      <c r="K99" s="164">
        <v>0</v>
      </c>
      <c r="L99" s="164">
        <v>0</v>
      </c>
      <c r="M99" s="164">
        <v>0</v>
      </c>
      <c r="N99" s="164">
        <v>0</v>
      </c>
      <c r="O99" s="164">
        <v>0</v>
      </c>
      <c r="P99" s="164">
        <v>0</v>
      </c>
      <c r="Q99" s="164">
        <v>0</v>
      </c>
      <c r="R99" s="164">
        <v>0</v>
      </c>
      <c r="S99" s="164">
        <v>0</v>
      </c>
      <c r="T99" s="164">
        <v>0</v>
      </c>
      <c r="U99" s="164">
        <v>0</v>
      </c>
      <c r="V99" s="164">
        <v>0</v>
      </c>
      <c r="W99" s="164">
        <v>0</v>
      </c>
      <c r="X99" s="164">
        <v>0</v>
      </c>
      <c r="Y99" s="164">
        <v>0</v>
      </c>
      <c r="Z99" s="164">
        <v>0</v>
      </c>
      <c r="AA99" s="164">
        <v>0</v>
      </c>
      <c r="AB99" s="164">
        <v>0</v>
      </c>
      <c r="AC99" s="164">
        <v>0</v>
      </c>
      <c r="AD99" s="164">
        <v>0</v>
      </c>
      <c r="AE99" s="164">
        <v>0</v>
      </c>
      <c r="AF99" s="164">
        <v>0</v>
      </c>
      <c r="AG99" s="164">
        <v>0</v>
      </c>
      <c r="AH99" s="164">
        <v>0</v>
      </c>
      <c r="AI99" s="164">
        <v>0</v>
      </c>
      <c r="AJ99" s="164">
        <v>0</v>
      </c>
      <c r="AK99" s="164">
        <v>0</v>
      </c>
      <c r="AL99" s="164">
        <v>0</v>
      </c>
      <c r="AM99" s="164">
        <v>0</v>
      </c>
      <c r="AN99" s="164">
        <v>0</v>
      </c>
      <c r="AO99" s="164">
        <v>0</v>
      </c>
      <c r="AP99" s="164">
        <v>0</v>
      </c>
    </row>
    <row r="100" spans="1:42">
      <c r="A100" s="206" t="s">
        <v>36</v>
      </c>
      <c r="B100" s="209">
        <v>0</v>
      </c>
      <c r="C100" s="209">
        <f>H590+J590</f>
        <v>10000</v>
      </c>
      <c r="D100" s="209">
        <v>0</v>
      </c>
      <c r="E100" s="209">
        <v>0</v>
      </c>
      <c r="F100" s="209">
        <v>0</v>
      </c>
      <c r="G100" s="209">
        <v>0</v>
      </c>
      <c r="H100" s="209">
        <v>0</v>
      </c>
      <c r="I100" s="209">
        <v>0</v>
      </c>
      <c r="J100" s="209">
        <v>0</v>
      </c>
      <c r="K100" s="209">
        <v>0</v>
      </c>
      <c r="L100" s="209">
        <v>0</v>
      </c>
      <c r="M100" s="209">
        <v>0</v>
      </c>
      <c r="N100" s="209">
        <v>0</v>
      </c>
      <c r="O100" s="209">
        <v>0</v>
      </c>
      <c r="P100" s="209">
        <v>0</v>
      </c>
      <c r="Q100" s="209">
        <v>0</v>
      </c>
      <c r="R100" s="209">
        <v>0</v>
      </c>
      <c r="S100" s="209">
        <v>0</v>
      </c>
      <c r="T100" s="209">
        <v>0</v>
      </c>
      <c r="U100" s="209">
        <v>0</v>
      </c>
      <c r="V100" s="209">
        <v>0</v>
      </c>
      <c r="W100" s="209">
        <v>0</v>
      </c>
      <c r="X100" s="209">
        <v>0</v>
      </c>
      <c r="Y100" s="209">
        <v>0</v>
      </c>
      <c r="Z100" s="209">
        <v>0</v>
      </c>
      <c r="AA100" s="209">
        <v>0</v>
      </c>
      <c r="AB100" s="209">
        <v>0</v>
      </c>
      <c r="AC100" s="209">
        <v>0</v>
      </c>
      <c r="AD100" s="209">
        <v>0</v>
      </c>
      <c r="AE100" s="209">
        <v>0</v>
      </c>
      <c r="AF100" s="209">
        <v>0</v>
      </c>
      <c r="AG100" s="209">
        <v>0</v>
      </c>
      <c r="AH100" s="209">
        <v>0</v>
      </c>
      <c r="AI100" s="209">
        <v>0</v>
      </c>
      <c r="AJ100" s="209">
        <v>0</v>
      </c>
      <c r="AK100" s="209">
        <v>0</v>
      </c>
      <c r="AL100" s="209">
        <v>0</v>
      </c>
      <c r="AM100" s="209">
        <v>0</v>
      </c>
      <c r="AN100" s="209">
        <v>0</v>
      </c>
      <c r="AO100" s="209">
        <v>0</v>
      </c>
      <c r="AP100" s="209">
        <v>0</v>
      </c>
    </row>
    <row r="101" spans="1:42">
      <c r="A101" s="206" t="s">
        <v>53</v>
      </c>
      <c r="B101" s="164">
        <f>SUM(B99:B100)</f>
        <v>0</v>
      </c>
      <c r="C101" s="164">
        <f>SUM(C99:C100)</f>
        <v>30000</v>
      </c>
      <c r="D101" s="164">
        <f>SUM(D99:D100)</f>
        <v>0</v>
      </c>
      <c r="E101" s="164">
        <f t="shared" ref="E101:AP101" si="251">SUM(E99:E100)</f>
        <v>0</v>
      </c>
      <c r="F101" s="164">
        <f t="shared" si="251"/>
        <v>0</v>
      </c>
      <c r="G101" s="164">
        <f t="shared" si="251"/>
        <v>0</v>
      </c>
      <c r="H101" s="164">
        <f t="shared" si="251"/>
        <v>0</v>
      </c>
      <c r="I101" s="164">
        <f t="shared" si="251"/>
        <v>0</v>
      </c>
      <c r="J101" s="164">
        <f t="shared" si="251"/>
        <v>0</v>
      </c>
      <c r="K101" s="164">
        <f t="shared" si="251"/>
        <v>0</v>
      </c>
      <c r="L101" s="164">
        <f t="shared" si="251"/>
        <v>0</v>
      </c>
      <c r="M101" s="164">
        <f t="shared" si="251"/>
        <v>0</v>
      </c>
      <c r="N101" s="164">
        <f t="shared" si="251"/>
        <v>0</v>
      </c>
      <c r="O101" s="164">
        <f t="shared" si="251"/>
        <v>0</v>
      </c>
      <c r="P101" s="164">
        <f t="shared" si="251"/>
        <v>0</v>
      </c>
      <c r="Q101" s="164">
        <f t="shared" si="251"/>
        <v>0</v>
      </c>
      <c r="R101" s="164">
        <f t="shared" si="251"/>
        <v>0</v>
      </c>
      <c r="S101" s="164">
        <f t="shared" si="251"/>
        <v>0</v>
      </c>
      <c r="T101" s="164">
        <f t="shared" si="251"/>
        <v>0</v>
      </c>
      <c r="U101" s="164">
        <f t="shared" si="251"/>
        <v>0</v>
      </c>
      <c r="V101" s="164">
        <f t="shared" si="251"/>
        <v>0</v>
      </c>
      <c r="W101" s="164">
        <f t="shared" si="251"/>
        <v>0</v>
      </c>
      <c r="X101" s="164">
        <f t="shared" si="251"/>
        <v>0</v>
      </c>
      <c r="Y101" s="164">
        <f t="shared" si="251"/>
        <v>0</v>
      </c>
      <c r="Z101" s="164">
        <f t="shared" si="251"/>
        <v>0</v>
      </c>
      <c r="AA101" s="164">
        <f t="shared" si="251"/>
        <v>0</v>
      </c>
      <c r="AB101" s="164">
        <f t="shared" si="251"/>
        <v>0</v>
      </c>
      <c r="AC101" s="164">
        <f t="shared" si="251"/>
        <v>0</v>
      </c>
      <c r="AD101" s="164">
        <f t="shared" si="251"/>
        <v>0</v>
      </c>
      <c r="AE101" s="164">
        <f t="shared" si="251"/>
        <v>0</v>
      </c>
      <c r="AF101" s="164">
        <f t="shared" si="251"/>
        <v>0</v>
      </c>
      <c r="AG101" s="164">
        <f t="shared" si="251"/>
        <v>0</v>
      </c>
      <c r="AH101" s="164">
        <f t="shared" si="251"/>
        <v>0</v>
      </c>
      <c r="AI101" s="164">
        <f t="shared" si="251"/>
        <v>0</v>
      </c>
      <c r="AJ101" s="164">
        <f t="shared" si="251"/>
        <v>0</v>
      </c>
      <c r="AK101" s="164">
        <f t="shared" si="251"/>
        <v>0</v>
      </c>
      <c r="AL101" s="164">
        <f t="shared" si="251"/>
        <v>0</v>
      </c>
      <c r="AM101" s="164">
        <f t="shared" si="251"/>
        <v>0</v>
      </c>
      <c r="AN101" s="164">
        <f t="shared" si="251"/>
        <v>0</v>
      </c>
      <c r="AO101" s="164">
        <f t="shared" si="251"/>
        <v>0</v>
      </c>
      <c r="AP101" s="164">
        <f t="shared" si="251"/>
        <v>0</v>
      </c>
    </row>
    <row r="102" spans="1:42">
      <c r="A102" s="202" t="s">
        <v>38</v>
      </c>
      <c r="B102" s="164"/>
      <c r="C102" s="164"/>
      <c r="D102" s="164"/>
      <c r="E102" s="164"/>
      <c r="F102" s="164"/>
      <c r="G102" s="208"/>
      <c r="H102" s="208"/>
      <c r="I102" s="208"/>
      <c r="J102" s="208"/>
      <c r="K102" s="208"/>
      <c r="L102" s="208"/>
      <c r="M102" s="208"/>
      <c r="N102" s="208"/>
      <c r="O102" s="208"/>
      <c r="P102" s="208"/>
      <c r="Q102" s="208"/>
      <c r="R102" s="208"/>
      <c r="S102" s="208"/>
      <c r="T102" s="208"/>
      <c r="U102" s="208"/>
      <c r="V102" s="208"/>
      <c r="W102" s="208"/>
      <c r="X102" s="208"/>
      <c r="Y102" s="208"/>
      <c r="Z102" s="208"/>
      <c r="AA102" s="208"/>
      <c r="AB102" s="208"/>
      <c r="AC102" s="208"/>
      <c r="AD102" s="208"/>
      <c r="AE102" s="208"/>
      <c r="AF102" s="208"/>
      <c r="AG102" s="208"/>
      <c r="AH102" s="208"/>
      <c r="AI102" s="208"/>
      <c r="AJ102" s="208"/>
      <c r="AK102" s="208"/>
      <c r="AL102" s="208"/>
      <c r="AM102" s="208"/>
      <c r="AN102" s="208"/>
      <c r="AO102" s="208"/>
      <c r="AP102" s="208"/>
    </row>
    <row r="103" spans="1:42">
      <c r="A103" s="206" t="s">
        <v>37</v>
      </c>
      <c r="B103" s="164">
        <f>B620</f>
        <v>0</v>
      </c>
      <c r="C103" s="164">
        <f t="shared" ref="C103:G103" si="252">C620</f>
        <v>0</v>
      </c>
      <c r="D103" s="164">
        <f t="shared" si="252"/>
        <v>0</v>
      </c>
      <c r="E103" s="164">
        <f t="shared" si="252"/>
        <v>0</v>
      </c>
      <c r="F103" s="164">
        <f t="shared" si="252"/>
        <v>0</v>
      </c>
      <c r="G103" s="164">
        <f t="shared" si="252"/>
        <v>0</v>
      </c>
      <c r="H103" s="164">
        <f t="shared" ref="H103:AO103" si="253">H620</f>
        <v>0</v>
      </c>
      <c r="I103" s="164">
        <f t="shared" si="253"/>
        <v>0</v>
      </c>
      <c r="J103" s="164">
        <f t="shared" si="253"/>
        <v>0</v>
      </c>
      <c r="K103" s="164">
        <f t="shared" si="253"/>
        <v>0</v>
      </c>
      <c r="L103" s="164">
        <f t="shared" si="253"/>
        <v>0</v>
      </c>
      <c r="M103" s="164">
        <f t="shared" si="253"/>
        <v>0</v>
      </c>
      <c r="N103" s="164">
        <f t="shared" si="253"/>
        <v>0</v>
      </c>
      <c r="O103" s="164">
        <f t="shared" si="253"/>
        <v>0</v>
      </c>
      <c r="P103" s="164">
        <f t="shared" si="253"/>
        <v>0</v>
      </c>
      <c r="Q103" s="164">
        <f t="shared" si="253"/>
        <v>0</v>
      </c>
      <c r="R103" s="164">
        <f t="shared" si="253"/>
        <v>0</v>
      </c>
      <c r="S103" s="164">
        <f t="shared" si="253"/>
        <v>0</v>
      </c>
      <c r="T103" s="164">
        <f t="shared" si="253"/>
        <v>0</v>
      </c>
      <c r="U103" s="164">
        <f t="shared" si="253"/>
        <v>0</v>
      </c>
      <c r="V103" s="164">
        <f t="shared" si="253"/>
        <v>0</v>
      </c>
      <c r="W103" s="164">
        <f t="shared" si="253"/>
        <v>0</v>
      </c>
      <c r="X103" s="164">
        <f t="shared" si="253"/>
        <v>0</v>
      </c>
      <c r="Y103" s="164">
        <f t="shared" si="253"/>
        <v>0</v>
      </c>
      <c r="Z103" s="164">
        <f t="shared" si="253"/>
        <v>0</v>
      </c>
      <c r="AA103" s="164">
        <f t="shared" si="253"/>
        <v>0</v>
      </c>
      <c r="AB103" s="164">
        <f t="shared" si="253"/>
        <v>0</v>
      </c>
      <c r="AC103" s="164">
        <f t="shared" si="253"/>
        <v>0</v>
      </c>
      <c r="AD103" s="164">
        <f t="shared" si="253"/>
        <v>0</v>
      </c>
      <c r="AE103" s="164">
        <f t="shared" si="253"/>
        <v>0</v>
      </c>
      <c r="AF103" s="164">
        <f t="shared" si="253"/>
        <v>0</v>
      </c>
      <c r="AG103" s="164">
        <f t="shared" si="253"/>
        <v>0</v>
      </c>
      <c r="AH103" s="164">
        <f t="shared" si="253"/>
        <v>0</v>
      </c>
      <c r="AI103" s="164">
        <f t="shared" si="253"/>
        <v>0</v>
      </c>
      <c r="AJ103" s="164">
        <f t="shared" si="253"/>
        <v>0</v>
      </c>
      <c r="AK103" s="164">
        <f t="shared" si="253"/>
        <v>0</v>
      </c>
      <c r="AL103" s="164">
        <f t="shared" si="253"/>
        <v>0</v>
      </c>
      <c r="AM103" s="164">
        <f t="shared" si="253"/>
        <v>0</v>
      </c>
      <c r="AN103" s="164">
        <f t="shared" si="253"/>
        <v>0</v>
      </c>
      <c r="AO103" s="164">
        <f t="shared" si="253"/>
        <v>0</v>
      </c>
      <c r="AP103" s="164">
        <f>AP620</f>
        <v>0</v>
      </c>
    </row>
    <row r="104" spans="1:42">
      <c r="A104" s="206" t="s">
        <v>36</v>
      </c>
      <c r="B104" s="209">
        <f>B626</f>
        <v>0</v>
      </c>
      <c r="C104" s="209">
        <f t="shared" ref="C104:G104" si="254">C626</f>
        <v>0</v>
      </c>
      <c r="D104" s="209">
        <f t="shared" si="254"/>
        <v>0</v>
      </c>
      <c r="E104" s="209">
        <f t="shared" si="254"/>
        <v>0</v>
      </c>
      <c r="F104" s="209">
        <f t="shared" si="254"/>
        <v>0</v>
      </c>
      <c r="G104" s="209">
        <f t="shared" si="254"/>
        <v>0</v>
      </c>
      <c r="H104" s="209">
        <f t="shared" ref="H104:AO104" si="255">H626</f>
        <v>0</v>
      </c>
      <c r="I104" s="209">
        <f t="shared" si="255"/>
        <v>0</v>
      </c>
      <c r="J104" s="209">
        <f t="shared" si="255"/>
        <v>0</v>
      </c>
      <c r="K104" s="209">
        <f t="shared" si="255"/>
        <v>0</v>
      </c>
      <c r="L104" s="209">
        <f t="shared" si="255"/>
        <v>0</v>
      </c>
      <c r="M104" s="209">
        <f t="shared" si="255"/>
        <v>0</v>
      </c>
      <c r="N104" s="209">
        <f t="shared" si="255"/>
        <v>0</v>
      </c>
      <c r="O104" s="209">
        <f t="shared" si="255"/>
        <v>0</v>
      </c>
      <c r="P104" s="209">
        <f t="shared" si="255"/>
        <v>0</v>
      </c>
      <c r="Q104" s="209">
        <f t="shared" si="255"/>
        <v>0</v>
      </c>
      <c r="R104" s="209">
        <f t="shared" si="255"/>
        <v>0</v>
      </c>
      <c r="S104" s="209">
        <f t="shared" si="255"/>
        <v>0</v>
      </c>
      <c r="T104" s="209">
        <f t="shared" si="255"/>
        <v>0</v>
      </c>
      <c r="U104" s="209">
        <f t="shared" si="255"/>
        <v>0</v>
      </c>
      <c r="V104" s="209">
        <f t="shared" si="255"/>
        <v>0</v>
      </c>
      <c r="W104" s="209">
        <f t="shared" si="255"/>
        <v>0</v>
      </c>
      <c r="X104" s="209">
        <f t="shared" si="255"/>
        <v>0</v>
      </c>
      <c r="Y104" s="209">
        <f t="shared" si="255"/>
        <v>0</v>
      </c>
      <c r="Z104" s="209">
        <f t="shared" si="255"/>
        <v>0</v>
      </c>
      <c r="AA104" s="209">
        <f t="shared" si="255"/>
        <v>0</v>
      </c>
      <c r="AB104" s="209">
        <f t="shared" si="255"/>
        <v>0</v>
      </c>
      <c r="AC104" s="209">
        <f t="shared" si="255"/>
        <v>0</v>
      </c>
      <c r="AD104" s="209">
        <f t="shared" si="255"/>
        <v>0</v>
      </c>
      <c r="AE104" s="209">
        <f t="shared" si="255"/>
        <v>0</v>
      </c>
      <c r="AF104" s="209">
        <f t="shared" si="255"/>
        <v>0</v>
      </c>
      <c r="AG104" s="209">
        <f t="shared" si="255"/>
        <v>0</v>
      </c>
      <c r="AH104" s="209">
        <f t="shared" si="255"/>
        <v>0</v>
      </c>
      <c r="AI104" s="209">
        <f t="shared" si="255"/>
        <v>0</v>
      </c>
      <c r="AJ104" s="209">
        <f t="shared" si="255"/>
        <v>0</v>
      </c>
      <c r="AK104" s="209">
        <f t="shared" si="255"/>
        <v>0</v>
      </c>
      <c r="AL104" s="209">
        <f t="shared" si="255"/>
        <v>0</v>
      </c>
      <c r="AM104" s="209">
        <f t="shared" si="255"/>
        <v>0</v>
      </c>
      <c r="AN104" s="209">
        <f t="shared" si="255"/>
        <v>0</v>
      </c>
      <c r="AO104" s="209">
        <f t="shared" si="255"/>
        <v>0</v>
      </c>
      <c r="AP104" s="209">
        <f>AP626</f>
        <v>0</v>
      </c>
    </row>
    <row r="105" spans="1:42">
      <c r="A105" s="206" t="s">
        <v>53</v>
      </c>
      <c r="B105" s="164">
        <f>SUM(B103:B104)</f>
        <v>0</v>
      </c>
      <c r="C105" s="164">
        <f>SUM(C103:C104)</f>
        <v>0</v>
      </c>
      <c r="D105" s="164">
        <f>SUM(D103:D104)</f>
        <v>0</v>
      </c>
      <c r="E105" s="164">
        <f t="shared" ref="E105" si="256">SUM(E103:E104)</f>
        <v>0</v>
      </c>
      <c r="F105" s="164">
        <f t="shared" ref="F105" si="257">SUM(F103:F104)</f>
        <v>0</v>
      </c>
      <c r="G105" s="164">
        <f t="shared" ref="G105" si="258">SUM(G103:G104)</f>
        <v>0</v>
      </c>
      <c r="H105" s="164">
        <f t="shared" ref="H105" si="259">SUM(H103:H104)</f>
        <v>0</v>
      </c>
      <c r="I105" s="164">
        <f t="shared" ref="I105" si="260">SUM(I103:I104)</f>
        <v>0</v>
      </c>
      <c r="J105" s="164">
        <f t="shared" ref="J105" si="261">SUM(J103:J104)</f>
        <v>0</v>
      </c>
      <c r="K105" s="164">
        <f t="shared" ref="K105" si="262">SUM(K103:K104)</f>
        <v>0</v>
      </c>
      <c r="L105" s="164">
        <f t="shared" ref="L105" si="263">SUM(L103:L104)</f>
        <v>0</v>
      </c>
      <c r="M105" s="164">
        <f t="shared" ref="M105" si="264">SUM(M103:M104)</f>
        <v>0</v>
      </c>
      <c r="N105" s="164">
        <f t="shared" ref="N105" si="265">SUM(N103:N104)</f>
        <v>0</v>
      </c>
      <c r="O105" s="164">
        <f t="shared" ref="O105" si="266">SUM(O103:O104)</f>
        <v>0</v>
      </c>
      <c r="P105" s="164">
        <f t="shared" ref="P105" si="267">SUM(P103:P104)</f>
        <v>0</v>
      </c>
      <c r="Q105" s="164">
        <f t="shared" ref="Q105" si="268">SUM(Q103:Q104)</f>
        <v>0</v>
      </c>
      <c r="R105" s="164">
        <f t="shared" ref="R105" si="269">SUM(R103:R104)</f>
        <v>0</v>
      </c>
      <c r="S105" s="164">
        <f t="shared" ref="S105" si="270">SUM(S103:S104)</f>
        <v>0</v>
      </c>
      <c r="T105" s="164">
        <f t="shared" ref="T105" si="271">SUM(T103:T104)</f>
        <v>0</v>
      </c>
      <c r="U105" s="164">
        <f t="shared" ref="U105" si="272">SUM(U103:U104)</f>
        <v>0</v>
      </c>
      <c r="V105" s="164">
        <f t="shared" ref="V105" si="273">SUM(V103:V104)</f>
        <v>0</v>
      </c>
      <c r="W105" s="164">
        <f t="shared" ref="W105" si="274">SUM(W103:W104)</f>
        <v>0</v>
      </c>
      <c r="X105" s="164">
        <f t="shared" ref="X105" si="275">SUM(X103:X104)</f>
        <v>0</v>
      </c>
      <c r="Y105" s="164">
        <f t="shared" ref="Y105" si="276">SUM(Y103:Y104)</f>
        <v>0</v>
      </c>
      <c r="Z105" s="164">
        <f t="shared" ref="Z105" si="277">SUM(Z103:Z104)</f>
        <v>0</v>
      </c>
      <c r="AA105" s="164">
        <f t="shared" ref="AA105" si="278">SUM(AA103:AA104)</f>
        <v>0</v>
      </c>
      <c r="AB105" s="164">
        <f t="shared" ref="AB105" si="279">SUM(AB103:AB104)</f>
        <v>0</v>
      </c>
      <c r="AC105" s="164">
        <f t="shared" ref="AC105" si="280">SUM(AC103:AC104)</f>
        <v>0</v>
      </c>
      <c r="AD105" s="164">
        <f t="shared" ref="AD105" si="281">SUM(AD103:AD104)</f>
        <v>0</v>
      </c>
      <c r="AE105" s="164">
        <f t="shared" ref="AE105" si="282">SUM(AE103:AE104)</f>
        <v>0</v>
      </c>
      <c r="AF105" s="164">
        <f t="shared" ref="AF105" si="283">SUM(AF103:AF104)</f>
        <v>0</v>
      </c>
      <c r="AG105" s="164">
        <f t="shared" ref="AG105" si="284">SUM(AG103:AG104)</f>
        <v>0</v>
      </c>
      <c r="AH105" s="164">
        <f t="shared" ref="AH105" si="285">SUM(AH103:AH104)</f>
        <v>0</v>
      </c>
      <c r="AI105" s="164">
        <f t="shared" ref="AI105" si="286">SUM(AI103:AI104)</f>
        <v>0</v>
      </c>
      <c r="AJ105" s="164">
        <f t="shared" ref="AJ105" si="287">SUM(AJ103:AJ104)</f>
        <v>0</v>
      </c>
      <c r="AK105" s="164">
        <f t="shared" ref="AK105" si="288">SUM(AK103:AK104)</f>
        <v>0</v>
      </c>
      <c r="AL105" s="164">
        <f t="shared" ref="AL105" si="289">SUM(AL103:AL104)</f>
        <v>0</v>
      </c>
      <c r="AM105" s="164">
        <f t="shared" ref="AM105" si="290">SUM(AM103:AM104)</f>
        <v>0</v>
      </c>
      <c r="AN105" s="164">
        <f t="shared" ref="AN105" si="291">SUM(AN103:AN104)</f>
        <v>0</v>
      </c>
      <c r="AO105" s="164">
        <f t="shared" ref="AO105" si="292">SUM(AO103:AO104)</f>
        <v>0</v>
      </c>
      <c r="AP105" s="164">
        <f t="shared" ref="AP105" si="293">SUM(AP103:AP104)</f>
        <v>0</v>
      </c>
    </row>
    <row r="106" spans="1:42">
      <c r="A106" s="202" t="s">
        <v>233</v>
      </c>
      <c r="B106" s="164"/>
      <c r="C106" s="164"/>
      <c r="D106" s="164"/>
      <c r="E106" s="164"/>
      <c r="F106" s="164"/>
      <c r="G106" s="164"/>
      <c r="H106" s="164"/>
      <c r="I106" s="164"/>
      <c r="J106" s="164"/>
      <c r="K106" s="164"/>
      <c r="L106" s="164"/>
      <c r="M106" s="164"/>
      <c r="N106" s="164"/>
      <c r="O106" s="164"/>
      <c r="P106" s="164"/>
      <c r="Q106" s="164"/>
      <c r="R106" s="164"/>
      <c r="S106" s="164"/>
      <c r="T106" s="164"/>
      <c r="U106" s="164"/>
      <c r="V106" s="164"/>
      <c r="W106" s="164"/>
      <c r="X106" s="164"/>
      <c r="Y106" s="164"/>
      <c r="Z106" s="164"/>
      <c r="AA106" s="164"/>
      <c r="AB106" s="164"/>
      <c r="AC106" s="164"/>
      <c r="AD106" s="164"/>
      <c r="AE106" s="164"/>
      <c r="AF106" s="164"/>
      <c r="AG106" s="164"/>
      <c r="AH106" s="164"/>
      <c r="AI106" s="164"/>
      <c r="AJ106" s="164"/>
      <c r="AK106" s="164"/>
      <c r="AL106" s="164"/>
      <c r="AM106" s="164"/>
      <c r="AN106" s="164"/>
      <c r="AO106" s="164"/>
      <c r="AP106" s="164"/>
    </row>
    <row r="107" spans="1:42">
      <c r="A107" s="206" t="s">
        <v>37</v>
      </c>
      <c r="B107" s="164">
        <f>B235</f>
        <v>0</v>
      </c>
      <c r="C107" s="164">
        <f>C235</f>
        <v>-415179.12185911438</v>
      </c>
      <c r="D107" s="164">
        <f t="shared" ref="D107:G107" si="294">D235</f>
        <v>477445.8223770599</v>
      </c>
      <c r="E107" s="164">
        <f t="shared" si="294"/>
        <v>201355.20691638938</v>
      </c>
      <c r="F107" s="164">
        <f t="shared" si="294"/>
        <v>29951.426673158516</v>
      </c>
      <c r="G107" s="164">
        <f t="shared" si="294"/>
        <v>14951.248754696631</v>
      </c>
      <c r="H107" s="164">
        <f t="shared" ref="H107:AP107" si="295">H235</f>
        <v>-118722.92789980689</v>
      </c>
      <c r="I107" s="164">
        <f t="shared" si="295"/>
        <v>-253328.6096430152</v>
      </c>
      <c r="J107" s="164">
        <f t="shared" si="295"/>
        <v>-271814.98429229815</v>
      </c>
      <c r="K107" s="164">
        <f t="shared" si="295"/>
        <v>-290071.44077671098</v>
      </c>
      <c r="L107" s="164">
        <f t="shared" si="295"/>
        <v>-309398.24458246288</v>
      </c>
      <c r="M107" s="164">
        <f t="shared" si="295"/>
        <v>-330510.43090572965</v>
      </c>
      <c r="N107" s="164">
        <f t="shared" si="295"/>
        <v>-304133.99445578828</v>
      </c>
      <c r="O107" s="164">
        <f t="shared" si="295"/>
        <v>-287518.64635390817</v>
      </c>
      <c r="P107" s="164">
        <f t="shared" si="295"/>
        <v>-316126.0433947703</v>
      </c>
      <c r="Q107" s="164">
        <f t="shared" si="295"/>
        <v>-267059.80294353212</v>
      </c>
      <c r="R107" s="164">
        <f t="shared" si="295"/>
        <v>-229918.64825460775</v>
      </c>
      <c r="S107" s="164">
        <f t="shared" si="295"/>
        <v>-294378.39616283478</v>
      </c>
      <c r="T107" s="164">
        <f t="shared" si="295"/>
        <v>-336281.83202348079</v>
      </c>
      <c r="U107" s="164">
        <f t="shared" si="295"/>
        <v>-342469.13202097942</v>
      </c>
      <c r="V107" s="164">
        <f t="shared" si="295"/>
        <v>-370520.09517622559</v>
      </c>
      <c r="W107" s="164">
        <f t="shared" si="295"/>
        <v>-398642.72427576018</v>
      </c>
      <c r="X107" s="164">
        <f t="shared" si="295"/>
        <v>-406076.80325002631</v>
      </c>
      <c r="Y107" s="164">
        <f t="shared" si="295"/>
        <v>-414135.66804308741</v>
      </c>
      <c r="Z107" s="164">
        <f t="shared" si="295"/>
        <v>-381619.93957806908</v>
      </c>
      <c r="AA107" s="164">
        <f t="shared" si="295"/>
        <v>-360800.07037769747</v>
      </c>
      <c r="AB107" s="164">
        <f t="shared" si="295"/>
        <v>-393684.32880481222</v>
      </c>
      <c r="AC107" s="164">
        <f t="shared" si="295"/>
        <v>-414724.8790263579</v>
      </c>
      <c r="AD107" s="164">
        <f t="shared" si="295"/>
        <v>-420466.69957687758</v>
      </c>
      <c r="AE107" s="164">
        <f t="shared" si="295"/>
        <v>-440052.03602468775</v>
      </c>
      <c r="AF107" s="164">
        <f t="shared" si="295"/>
        <v>-594170.64601614652</v>
      </c>
      <c r="AG107" s="164">
        <f t="shared" si="295"/>
        <v>0</v>
      </c>
      <c r="AH107" s="164">
        <f t="shared" si="295"/>
        <v>0</v>
      </c>
      <c r="AI107" s="164">
        <f t="shared" si="295"/>
        <v>0</v>
      </c>
      <c r="AJ107" s="164">
        <f t="shared" si="295"/>
        <v>0</v>
      </c>
      <c r="AK107" s="164">
        <f t="shared" si="295"/>
        <v>0</v>
      </c>
      <c r="AL107" s="164">
        <f t="shared" si="295"/>
        <v>0</v>
      </c>
      <c r="AM107" s="164">
        <f t="shared" si="295"/>
        <v>0</v>
      </c>
      <c r="AN107" s="164">
        <f t="shared" si="295"/>
        <v>0</v>
      </c>
      <c r="AO107" s="164">
        <f t="shared" si="295"/>
        <v>0</v>
      </c>
      <c r="AP107" s="164">
        <f t="shared" si="295"/>
        <v>0</v>
      </c>
    </row>
    <row r="108" spans="1:42">
      <c r="A108" s="206" t="s">
        <v>36</v>
      </c>
      <c r="B108" s="209">
        <f>B272</f>
        <v>0</v>
      </c>
      <c r="C108" s="209">
        <f>C272</f>
        <v>-1942079.6637017024</v>
      </c>
      <c r="D108" s="209">
        <f t="shared" ref="D108:G108" si="296">D272</f>
        <v>2650022.9187398031</v>
      </c>
      <c r="E108" s="209">
        <f t="shared" si="296"/>
        <v>1078179.4100960318</v>
      </c>
      <c r="F108" s="209">
        <f t="shared" si="296"/>
        <v>100498.43805015931</v>
      </c>
      <c r="G108" s="209">
        <f t="shared" si="296"/>
        <v>10292.822658682064</v>
      </c>
      <c r="H108" s="209">
        <f t="shared" ref="H108:AP108" si="297">H272</f>
        <v>-753765.79168282438</v>
      </c>
      <c r="I108" s="209">
        <f t="shared" si="297"/>
        <v>-1523426.1388986777</v>
      </c>
      <c r="J108" s="209">
        <f t="shared" si="297"/>
        <v>-1634596.4737214106</v>
      </c>
      <c r="K108" s="209">
        <f t="shared" si="297"/>
        <v>-1744384.1643072206</v>
      </c>
      <c r="L108" s="209">
        <f t="shared" si="297"/>
        <v>-1860608.534466356</v>
      </c>
      <c r="M108" s="209">
        <f t="shared" si="297"/>
        <v>-1987569.5458558197</v>
      </c>
      <c r="N108" s="209">
        <f t="shared" si="297"/>
        <v>-1828951.2484773085</v>
      </c>
      <c r="O108" s="209">
        <f t="shared" si="297"/>
        <v>-1729032.5869373658</v>
      </c>
      <c r="P108" s="209">
        <f t="shared" si="297"/>
        <v>-1901067.0700512775</v>
      </c>
      <c r="Q108" s="209">
        <f t="shared" si="297"/>
        <v>-1606000.5422467862</v>
      </c>
      <c r="R108" s="209">
        <f t="shared" si="297"/>
        <v>-1382647.1438220274</v>
      </c>
      <c r="S108" s="209">
        <f t="shared" si="297"/>
        <v>-1770284.6278337745</v>
      </c>
      <c r="T108" s="209">
        <f t="shared" si="297"/>
        <v>-2022276.6534866593</v>
      </c>
      <c r="U108" s="209">
        <f t="shared" si="297"/>
        <v>-2059484.8257443444</v>
      </c>
      <c r="V108" s="209">
        <f t="shared" si="297"/>
        <v>-2228173.1178097567</v>
      </c>
      <c r="W108" s="209">
        <f t="shared" si="297"/>
        <v>-2397292.3828037758</v>
      </c>
      <c r="X108" s="209">
        <f t="shared" si="297"/>
        <v>-2441998.2304535676</v>
      </c>
      <c r="Y108" s="209">
        <f t="shared" si="297"/>
        <v>-2490461.312822748</v>
      </c>
      <c r="Z108" s="209">
        <f t="shared" si="297"/>
        <v>-2294923.5457353881</v>
      </c>
      <c r="AA108" s="209">
        <f t="shared" si="297"/>
        <v>-2169720.4232258806</v>
      </c>
      <c r="AB108" s="209">
        <f t="shared" si="297"/>
        <v>-2367474.3954943931</v>
      </c>
      <c r="AC108" s="209">
        <f t="shared" si="297"/>
        <v>-2494004.6134175975</v>
      </c>
      <c r="AD108" s="209">
        <f t="shared" si="297"/>
        <v>-2528533.8342736769</v>
      </c>
      <c r="AE108" s="209">
        <f t="shared" si="297"/>
        <v>-2646312.925730281</v>
      </c>
      <c r="AF108" s="209">
        <f t="shared" si="297"/>
        <v>-3573126.2030880079</v>
      </c>
      <c r="AG108" s="209">
        <f t="shared" si="297"/>
        <v>0</v>
      </c>
      <c r="AH108" s="209">
        <f t="shared" si="297"/>
        <v>0</v>
      </c>
      <c r="AI108" s="209">
        <f t="shared" si="297"/>
        <v>0</v>
      </c>
      <c r="AJ108" s="209">
        <f t="shared" si="297"/>
        <v>0</v>
      </c>
      <c r="AK108" s="209">
        <f t="shared" si="297"/>
        <v>0</v>
      </c>
      <c r="AL108" s="209">
        <f t="shared" si="297"/>
        <v>0</v>
      </c>
      <c r="AM108" s="209">
        <f t="shared" si="297"/>
        <v>0</v>
      </c>
      <c r="AN108" s="209">
        <f t="shared" si="297"/>
        <v>0</v>
      </c>
      <c r="AO108" s="209">
        <f t="shared" si="297"/>
        <v>0</v>
      </c>
      <c r="AP108" s="209">
        <f t="shared" si="297"/>
        <v>0</v>
      </c>
    </row>
    <row r="109" spans="1:42">
      <c r="A109" s="206" t="s">
        <v>53</v>
      </c>
      <c r="B109" s="216">
        <f>SUM(B107:B108)</f>
        <v>0</v>
      </c>
      <c r="C109" s="216">
        <f>SUM(C107:C108)</f>
        <v>-2357258.7855608165</v>
      </c>
      <c r="D109" s="216">
        <f>SUM(D107:D108)</f>
        <v>3127468.7411168632</v>
      </c>
      <c r="E109" s="216">
        <f t="shared" ref="E109" si="298">SUM(E107:E108)</f>
        <v>1279534.6170124211</v>
      </c>
      <c r="F109" s="216">
        <f t="shared" ref="F109" si="299">SUM(F107:F108)</f>
        <v>130449.86472331782</v>
      </c>
      <c r="G109" s="216">
        <f t="shared" ref="G109" si="300">SUM(G107:G108)</f>
        <v>25244.071413378697</v>
      </c>
      <c r="H109" s="216">
        <f t="shared" ref="H109" si="301">SUM(H107:H108)</f>
        <v>-872488.71958263125</v>
      </c>
      <c r="I109" s="216">
        <f t="shared" ref="I109" si="302">SUM(I107:I108)</f>
        <v>-1776754.7485416927</v>
      </c>
      <c r="J109" s="216">
        <f t="shared" ref="J109" si="303">SUM(J107:J108)</f>
        <v>-1906411.4580137087</v>
      </c>
      <c r="K109" s="216">
        <f t="shared" ref="K109" si="304">SUM(K107:K108)</f>
        <v>-2034455.6050839317</v>
      </c>
      <c r="L109" s="216">
        <f t="shared" ref="L109" si="305">SUM(L107:L108)</f>
        <v>-2170006.7790488191</v>
      </c>
      <c r="M109" s="216">
        <f t="shared" ref="M109" si="306">SUM(M107:M108)</f>
        <v>-2318079.9767615492</v>
      </c>
      <c r="N109" s="216">
        <f t="shared" ref="N109" si="307">SUM(N107:N108)</f>
        <v>-2133085.2429330968</v>
      </c>
      <c r="O109" s="216">
        <f t="shared" ref="O109" si="308">SUM(O107:O108)</f>
        <v>-2016551.2332912739</v>
      </c>
      <c r="P109" s="216">
        <f t="shared" ref="P109" si="309">SUM(P107:P108)</f>
        <v>-2217193.113446048</v>
      </c>
      <c r="Q109" s="216">
        <f t="shared" ref="Q109" si="310">SUM(Q107:Q108)</f>
        <v>-1873060.3451903183</v>
      </c>
      <c r="R109" s="216">
        <f t="shared" ref="R109" si="311">SUM(R107:R108)</f>
        <v>-1612565.7920766352</v>
      </c>
      <c r="S109" s="216">
        <f t="shared" ref="S109" si="312">SUM(S107:S108)</f>
        <v>-2064663.0239966093</v>
      </c>
      <c r="T109" s="216">
        <f t="shared" ref="T109" si="313">SUM(T107:T108)</f>
        <v>-2358558.4855101402</v>
      </c>
      <c r="U109" s="216">
        <f t="shared" ref="U109" si="314">SUM(U107:U108)</f>
        <v>-2401953.957765324</v>
      </c>
      <c r="V109" s="216">
        <f t="shared" ref="V109" si="315">SUM(V107:V108)</f>
        <v>-2598693.2129859822</v>
      </c>
      <c r="W109" s="216">
        <f t="shared" ref="W109" si="316">SUM(W107:W108)</f>
        <v>-2795935.1070795362</v>
      </c>
      <c r="X109" s="216">
        <f t="shared" ref="X109" si="317">SUM(X107:X108)</f>
        <v>-2848075.033703594</v>
      </c>
      <c r="Y109" s="216">
        <f t="shared" ref="Y109" si="318">SUM(Y107:Y108)</f>
        <v>-2904596.9808658352</v>
      </c>
      <c r="Z109" s="216">
        <f t="shared" ref="Z109" si="319">SUM(Z107:Z108)</f>
        <v>-2676543.485313457</v>
      </c>
      <c r="AA109" s="216">
        <f t="shared" ref="AA109" si="320">SUM(AA107:AA108)</f>
        <v>-2530520.4936035778</v>
      </c>
      <c r="AB109" s="216">
        <f t="shared" ref="AB109" si="321">SUM(AB107:AB108)</f>
        <v>-2761158.7242992055</v>
      </c>
      <c r="AC109" s="216">
        <f t="shared" ref="AC109" si="322">SUM(AC107:AC108)</f>
        <v>-2908729.4924439555</v>
      </c>
      <c r="AD109" s="216">
        <f t="shared" ref="AD109" si="323">SUM(AD107:AD108)</f>
        <v>-2949000.5338505544</v>
      </c>
      <c r="AE109" s="216">
        <f t="shared" ref="AE109" si="324">SUM(AE107:AE108)</f>
        <v>-3086364.9617549689</v>
      </c>
      <c r="AF109" s="216">
        <f t="shared" ref="AF109" si="325">SUM(AF107:AF108)</f>
        <v>-4167296.8491041544</v>
      </c>
      <c r="AG109" s="216">
        <f t="shared" ref="AG109" si="326">SUM(AG107:AG108)</f>
        <v>0</v>
      </c>
      <c r="AH109" s="216">
        <f t="shared" ref="AH109" si="327">SUM(AH107:AH108)</f>
        <v>0</v>
      </c>
      <c r="AI109" s="216">
        <f t="shared" ref="AI109" si="328">SUM(AI107:AI108)</f>
        <v>0</v>
      </c>
      <c r="AJ109" s="216">
        <f t="shared" ref="AJ109" si="329">SUM(AJ107:AJ108)</f>
        <v>0</v>
      </c>
      <c r="AK109" s="216">
        <f t="shared" ref="AK109" si="330">SUM(AK107:AK108)</f>
        <v>0</v>
      </c>
      <c r="AL109" s="216">
        <f t="shared" ref="AL109" si="331">SUM(AL107:AL108)</f>
        <v>0</v>
      </c>
      <c r="AM109" s="216">
        <f t="shared" ref="AM109" si="332">SUM(AM107:AM108)</f>
        <v>0</v>
      </c>
      <c r="AN109" s="216">
        <f t="shared" ref="AN109" si="333">SUM(AN107:AN108)</f>
        <v>0</v>
      </c>
      <c r="AO109" s="216">
        <f t="shared" ref="AO109" si="334">SUM(AO107:AO108)</f>
        <v>0</v>
      </c>
      <c r="AP109" s="216">
        <f t="shared" ref="AP109" si="335">SUM(AP107:AP108)</f>
        <v>0</v>
      </c>
    </row>
    <row r="110" spans="1:42">
      <c r="A110" s="202" t="s">
        <v>53</v>
      </c>
      <c r="B110" s="164">
        <f>B97+B101+B105+B109</f>
        <v>-9660967.9751479775</v>
      </c>
      <c r="C110" s="164">
        <f t="shared" ref="C110:AP110" si="336">C97+C101+C105+C109</f>
        <v>-849717.7896902049</v>
      </c>
      <c r="D110" s="164">
        <f t="shared" si="336"/>
        <v>4648440.3823532723</v>
      </c>
      <c r="E110" s="164">
        <f t="shared" si="336"/>
        <v>2844842.0446983026</v>
      </c>
      <c r="F110" s="164">
        <f t="shared" si="336"/>
        <v>1737100.0669272055</v>
      </c>
      <c r="G110" s="164">
        <f t="shared" si="336"/>
        <v>1676515.4407295603</v>
      </c>
      <c r="H110" s="164">
        <f t="shared" si="336"/>
        <v>824349.27141794376</v>
      </c>
      <c r="I110" s="164">
        <f t="shared" si="336"/>
        <v>-37480.918330518063</v>
      </c>
      <c r="J110" s="164">
        <f t="shared" si="336"/>
        <v>-121274.72221187688</v>
      </c>
      <c r="K110" s="164">
        <f t="shared" si="336"/>
        <v>-202468.42390633048</v>
      </c>
      <c r="L110" s="164">
        <f t="shared" si="336"/>
        <v>1513768.3263809197</v>
      </c>
      <c r="M110" s="164">
        <f t="shared" si="336"/>
        <v>3224667.8216616637</v>
      </c>
      <c r="N110" s="164">
        <f t="shared" si="336"/>
        <v>3527567.6212063511</v>
      </c>
      <c r="O110" s="164">
        <f t="shared" si="336"/>
        <v>3659925.2137269033</v>
      </c>
      <c r="P110" s="164">
        <f t="shared" si="336"/>
        <v>3580707.6305709886</v>
      </c>
      <c r="Q110" s="164">
        <f t="shared" si="336"/>
        <v>4047616.5312533407</v>
      </c>
      <c r="R110" s="164">
        <f t="shared" si="336"/>
        <v>4217706.7519121226</v>
      </c>
      <c r="S110" s="164">
        <f t="shared" si="336"/>
        <v>3892977.3163154209</v>
      </c>
      <c r="T110" s="164">
        <f t="shared" si="336"/>
        <v>3727859.1959677027</v>
      </c>
      <c r="U110" s="164">
        <f t="shared" si="336"/>
        <v>3810455.1754177967</v>
      </c>
      <c r="V110" s="164">
        <f t="shared" si="336"/>
        <v>3745406.2084269254</v>
      </c>
      <c r="W110" s="164">
        <f t="shared" si="336"/>
        <v>3681324.2193744513</v>
      </c>
      <c r="X110" s="164">
        <f t="shared" si="336"/>
        <v>3745095.7222370799</v>
      </c>
      <c r="Y110" s="164">
        <f t="shared" si="336"/>
        <v>3810439.848304484</v>
      </c>
      <c r="Z110" s="164">
        <f t="shared" si="336"/>
        <v>4161891.5576975546</v>
      </c>
      <c r="AA110" s="164">
        <f t="shared" si="336"/>
        <v>4660052.6398253869</v>
      </c>
      <c r="AB110" s="164">
        <f t="shared" si="336"/>
        <v>4550844.2150035873</v>
      </c>
      <c r="AC110" s="164">
        <f t="shared" si="336"/>
        <v>4526300.4610505598</v>
      </c>
      <c r="AD110" s="164">
        <f t="shared" si="336"/>
        <v>4605856.3053931957</v>
      </c>
      <c r="AE110" s="164">
        <f t="shared" si="336"/>
        <v>4594819.6590976566</v>
      </c>
      <c r="AF110" s="164">
        <f t="shared" si="336"/>
        <v>7814595.4682038501</v>
      </c>
      <c r="AG110" s="164">
        <f t="shared" si="336"/>
        <v>0</v>
      </c>
      <c r="AH110" s="164">
        <f t="shared" si="336"/>
        <v>0</v>
      </c>
      <c r="AI110" s="164">
        <f t="shared" si="336"/>
        <v>0</v>
      </c>
      <c r="AJ110" s="164">
        <f t="shared" si="336"/>
        <v>0</v>
      </c>
      <c r="AK110" s="164">
        <f t="shared" si="336"/>
        <v>0</v>
      </c>
      <c r="AL110" s="164">
        <f t="shared" si="336"/>
        <v>0</v>
      </c>
      <c r="AM110" s="164">
        <f t="shared" si="336"/>
        <v>0</v>
      </c>
      <c r="AN110" s="164">
        <f t="shared" si="336"/>
        <v>0</v>
      </c>
      <c r="AO110" s="164">
        <f t="shared" si="336"/>
        <v>0</v>
      </c>
      <c r="AP110" s="164">
        <f t="shared" si="336"/>
        <v>0</v>
      </c>
    </row>
    <row r="111" spans="1:42">
      <c r="A111" s="206"/>
      <c r="B111" s="164"/>
      <c r="C111" s="164"/>
      <c r="D111" s="164"/>
      <c r="E111" s="164"/>
      <c r="F111" s="164"/>
      <c r="G111" s="164"/>
      <c r="H111" s="164"/>
      <c r="I111" s="164"/>
      <c r="J111" s="164"/>
      <c r="K111" s="164"/>
      <c r="L111" s="164"/>
      <c r="M111" s="164"/>
      <c r="N111" s="164"/>
      <c r="O111" s="164"/>
      <c r="P111" s="164"/>
      <c r="Q111" s="164"/>
      <c r="R111" s="164"/>
      <c r="S111" s="164"/>
      <c r="T111" s="164"/>
      <c r="U111" s="164"/>
      <c r="V111" s="164"/>
      <c r="W111" s="164"/>
      <c r="X111" s="164"/>
      <c r="Y111" s="164"/>
      <c r="Z111" s="164"/>
      <c r="AA111" s="164"/>
      <c r="AB111" s="164"/>
      <c r="AC111" s="164"/>
      <c r="AD111" s="164"/>
      <c r="AE111" s="164"/>
      <c r="AF111" s="164"/>
      <c r="AG111" s="164"/>
      <c r="AH111" s="164"/>
      <c r="AI111" s="164"/>
      <c r="AJ111" s="164"/>
      <c r="AK111" s="164"/>
      <c r="AL111" s="164"/>
      <c r="AM111" s="164"/>
      <c r="AN111" s="164"/>
      <c r="AO111" s="164"/>
      <c r="AP111" s="164"/>
    </row>
    <row r="112" spans="1:42">
      <c r="A112" s="202" t="s">
        <v>418</v>
      </c>
      <c r="B112" s="223">
        <f>ROUND(IF(ISERROR(IRR($B110:B110)),0,IRR($B110:B110)),4)</f>
        <v>0</v>
      </c>
      <c r="C112" s="223">
        <f>ROUND(IF(ISERROR(IRR($B110:C110)),0,IRR($B110:C110)),4)</f>
        <v>0</v>
      </c>
      <c r="D112" s="223">
        <f>ROUND(IF(ISERROR(IRR($B110:D110)),0,IRR($B110:D110)),4)</f>
        <v>-0.34889999999999999</v>
      </c>
      <c r="E112" s="223">
        <f>ROUND(IF(ISERROR(IRR($B110:E110)),0,IRR($B110:E110)),4)</f>
        <v>-0.13619999999999999</v>
      </c>
      <c r="F112" s="223">
        <f>ROUND(IF(ISERROR(IRR($B110:F110)),0,IRR($B110:F110)),4)</f>
        <v>-4.8399999999999999E-2</v>
      </c>
      <c r="G112" s="223">
        <f>ROUND(IF(ISERROR(IRR($B110:G110)),0,IRR($B110:G110)),4)</f>
        <v>1.26E-2</v>
      </c>
      <c r="H112" s="223">
        <f>ROUND(IF(ISERROR(IRR($B110:H110)),0,IRR($B110:H110)),4)</f>
        <v>3.56E-2</v>
      </c>
      <c r="I112" s="223">
        <f>ROUND(IF(ISERROR(IRR($B110:I110)),0,IRR($B110:I110)),4)</f>
        <v>3.4700000000000002E-2</v>
      </c>
      <c r="J112" s="223">
        <f>ROUND(IF(ISERROR(IRR($B110:J110)),0,IRR($B110:J110)),4)</f>
        <v>3.1699999999999999E-2</v>
      </c>
      <c r="K112" s="223">
        <f>ROUND(IF(ISERROR(IRR($B110:K110)),0,IRR($B110:K110)),4)</f>
        <v>2.6599999999999999E-2</v>
      </c>
      <c r="L112" s="223">
        <f>ROUND(IF(ISERROR(IRR($B110:L110)),0,IRR($B110:L110)),4)</f>
        <v>5.7000000000000002E-2</v>
      </c>
      <c r="M112" s="223">
        <f>ROUND(IF(ISERROR(IRR($B110:M110)),0,IRR($B110:M110)),4)</f>
        <v>9.4700000000000006E-2</v>
      </c>
      <c r="N112" s="223">
        <f>ROUND(IF(ISERROR(IRR($B110:N110)),0,IRR($B110:N110)),4)</f>
        <v>0.1192</v>
      </c>
      <c r="O112" s="223">
        <f>ROUND(IF(ISERROR(IRR($B110:O110)),0,IRR($B110:O110)),4)</f>
        <v>0.13600000000000001</v>
      </c>
      <c r="P112" s="223">
        <f>ROUND(IF(ISERROR(IRR($B110:P110)),0,IRR($B110:P110)),4)</f>
        <v>0.14760000000000001</v>
      </c>
      <c r="Q112" s="223">
        <f>ROUND(IF(ISERROR(IRR($B110:Q110)),0,IRR($B110:Q110)),4)</f>
        <v>0.15720000000000001</v>
      </c>
      <c r="R112" s="223">
        <f>ROUND(IF(ISERROR(IRR($B110:R110)),0,IRR($B110:R110)),4)</f>
        <v>0.16470000000000001</v>
      </c>
      <c r="S112" s="223">
        <f>ROUND(IF(ISERROR(IRR($B110:S110)),0,IRR($B110:S110)),4)</f>
        <v>0.1699</v>
      </c>
      <c r="T112" s="223">
        <f>ROUND(IF(ISERROR(IRR($B110:T110)),0,IRR($B110:T110)),4)</f>
        <v>0.17380000000000001</v>
      </c>
      <c r="U112" s="223">
        <f>ROUND(IF(ISERROR(IRR($B110:U110)),0,IRR($B110:U110)),4)</f>
        <v>0.17699999999999999</v>
      </c>
      <c r="V112" s="223">
        <f>ROUND(IF(ISERROR(IRR($B110:V110)),0,IRR($B110:V110)),4)</f>
        <v>0.1794</v>
      </c>
      <c r="W112" s="223">
        <f>ROUND(IF(ISERROR(IRR($B110:W110)),0,IRR($B110:W110)),4)</f>
        <v>0.18140000000000001</v>
      </c>
      <c r="X112" s="223">
        <f>ROUND(IF(ISERROR(IRR($B110:X110)),0,IRR($B110:X110)),4)</f>
        <v>0.183</v>
      </c>
      <c r="Y112" s="223">
        <f>ROUND(IF(ISERROR(IRR($B110:Y110)),0,IRR($B110:Y110)),4)</f>
        <v>0.18429999999999999</v>
      </c>
      <c r="Z112" s="223">
        <f>ROUND(IF(ISERROR(IRR($B110:Z110)),0,IRR($B110:Z110)),4)</f>
        <v>0.1855</v>
      </c>
      <c r="AA112" s="223">
        <f>ROUND(IF(ISERROR(IRR($B110:AA110)),0,IRR($B110:AA110)),4)</f>
        <v>0.18659999999999999</v>
      </c>
      <c r="AB112" s="223">
        <f>ROUND(IF(ISERROR(IRR($B110:AB110)),0,IRR($B110:AB110)),4)</f>
        <v>0.18740000000000001</v>
      </c>
      <c r="AC112" s="223">
        <f>ROUND(IF(ISERROR(IRR($B110:AC110)),0,IRR($B110:AC110)),4)</f>
        <v>0.18809999999999999</v>
      </c>
      <c r="AD112" s="223">
        <f>ROUND(IF(ISERROR(IRR($B110:AD110)),0,IRR($B110:AD110)),4)</f>
        <v>0.18870000000000001</v>
      </c>
      <c r="AE112" s="223">
        <f>ROUND(IF(ISERROR(IRR($B110:AE110)),0,IRR($B110:AE110)),4)</f>
        <v>0.18920000000000001</v>
      </c>
      <c r="AF112" s="223">
        <f>ROUND(IF(ISERROR(IRR($B110:AF110)),0,IRR($B110:AF110)),4)</f>
        <v>0.18990000000000001</v>
      </c>
      <c r="AG112" s="223">
        <f>ROUND(IF(ISERROR(IRR($B110:AG110)),0,IRR($B110:AG110)),4)</f>
        <v>0.18990000000000001</v>
      </c>
      <c r="AH112" s="223">
        <f>ROUND(IF(ISERROR(IRR($B110:AH110)),0,IRR($B110:AH110)),4)</f>
        <v>0.18990000000000001</v>
      </c>
      <c r="AI112" s="223">
        <f>ROUND(IF(ISERROR(IRR($B110:AI110)),0,IRR($B110:AI110)),4)</f>
        <v>0.18990000000000001</v>
      </c>
      <c r="AJ112" s="223">
        <f>ROUND(IF(ISERROR(IRR($B110:AJ110)),0,IRR($B110:AJ110)),4)</f>
        <v>0.18990000000000001</v>
      </c>
      <c r="AK112" s="223">
        <f>ROUND(IF(ISERROR(IRR($B110:AK110)),0,IRR($B110:AK110)),4)</f>
        <v>0.18990000000000001</v>
      </c>
      <c r="AL112" s="223">
        <f>ROUND(IF(ISERROR(IRR($B110:AL110)),0,IRR($B110:AL110)),4)</f>
        <v>0.18990000000000001</v>
      </c>
      <c r="AM112" s="223">
        <f>ROUND(IF(ISERROR(IRR($B110:AM110)),0,IRR($B110:AM110)),4)</f>
        <v>0.18990000000000001</v>
      </c>
      <c r="AN112" s="223">
        <f>ROUND(IF(ISERROR(IRR($B110:AN110)),0,IRR($B110:AN110)),4)</f>
        <v>0.18990000000000001</v>
      </c>
      <c r="AO112" s="223">
        <f>ROUND(IF(ISERROR(IRR($B110:AO110)),0,IRR($B110:AO110)),4)</f>
        <v>0.18990000000000001</v>
      </c>
      <c r="AP112" s="223">
        <f>ROUND(IF(ISERROR(IRR($B110:AP110)),0,IRR($B110:AP110)),4)</f>
        <v>0.18990000000000001</v>
      </c>
    </row>
    <row r="113" spans="1:42">
      <c r="A113" s="202" t="s">
        <v>419</v>
      </c>
      <c r="B113" s="291">
        <f>B110</f>
        <v>-9660967.9751479775</v>
      </c>
      <c r="C113" s="291">
        <f>NPV(DiscountRate,$C110:C110)+$B110</f>
        <v>-10447743.706342611</v>
      </c>
      <c r="D113" s="291">
        <f>NPV(DiscountRate,$C110:D110)+$B110</f>
        <v>-6462455.3126926869</v>
      </c>
      <c r="E113" s="291">
        <f>NPV(DiscountRate,$C110:E110)+$B110</f>
        <v>-4204127.9770014333</v>
      </c>
      <c r="F113" s="291">
        <f>NPV(DiscountRate,$C110:F110)+$B110</f>
        <v>-2927307.5705152201</v>
      </c>
      <c r="G113" s="291">
        <f>NPV(DiscountRate,$C110:G110)+$B110</f>
        <v>-1786299.3319870448</v>
      </c>
      <c r="H113" s="291">
        <f>NPV(DiscountRate,$C110:H110)+$B110</f>
        <v>-1266819.4591962397</v>
      </c>
      <c r="I113" s="291">
        <f>NPV(DiscountRate,$C110:I110)+$B110</f>
        <v>-1288689.2150477013</v>
      </c>
      <c r="J113" s="291">
        <f>NPV(DiscountRate,$C110:J110)+$B110</f>
        <v>-1354210.1739353994</v>
      </c>
      <c r="K113" s="291">
        <f>NPV(DiscountRate,$C110:K110)+$B110</f>
        <v>-1455494.7938712751</v>
      </c>
      <c r="L113" s="291">
        <f>NPV(DiscountRate,$C110:L110)+$B110</f>
        <v>-754327.16262278147</v>
      </c>
      <c r="M113" s="291">
        <f>NPV(DiscountRate,$C110:M110)+$B110</f>
        <v>628677.59314564988</v>
      </c>
      <c r="N113" s="291">
        <f>NPV(DiscountRate,$C110:N110)+$B110</f>
        <v>2029523.230080802</v>
      </c>
      <c r="O113" s="291">
        <f>NPV(DiscountRate,$C110:O110)+$B110</f>
        <v>3375270.1356236935</v>
      </c>
      <c r="P113" s="291">
        <f>NPV(DiscountRate,$C110:P110)+$B110</f>
        <v>4594361.5843449086</v>
      </c>
      <c r="Q113" s="291">
        <f>NPV(DiscountRate,$C110:Q110)+$B110</f>
        <v>5870339.1207053326</v>
      </c>
      <c r="R113" s="291">
        <f>NPV(DiscountRate,$C110:R110)+$B110</f>
        <v>7101447.5165561885</v>
      </c>
      <c r="S113" s="291">
        <f>NPV(DiscountRate,$C110:S110)+$B110</f>
        <v>8153598.4138374031</v>
      </c>
      <c r="T113" s="291">
        <f>NPV(DiscountRate,$C110:T110)+$B110</f>
        <v>9086491.5583098121</v>
      </c>
      <c r="U113" s="291">
        <f>NPV(DiscountRate,$C110:U110)+$B110</f>
        <v>9969419.9917715639</v>
      </c>
      <c r="V113" s="291">
        <f>NPV(DiscountRate,$C110:V110)+$B110</f>
        <v>10772990.179789584</v>
      </c>
      <c r="W113" s="291">
        <f>NPV(DiscountRate,$C110:W110)+$B110</f>
        <v>11504306.394733962</v>
      </c>
      <c r="X113" s="291">
        <f>NPV(DiscountRate,$C110:X110)+$B110</f>
        <v>12193181.200771827</v>
      </c>
      <c r="Y113" s="291">
        <f>NPV(DiscountRate,$C110:Y110)+$B110</f>
        <v>12842157.346807357</v>
      </c>
      <c r="Z113" s="291">
        <f>NPV(DiscountRate,$C110:Z110)+$B110</f>
        <v>13498484.887395475</v>
      </c>
      <c r="AA113" s="291">
        <f>NPV(DiscountRate,$C110:AA110)+$B110</f>
        <v>14178936.010646667</v>
      </c>
      <c r="AB113" s="291">
        <f>NPV(DiscountRate,$C110:AB110)+$B110</f>
        <v>14794218.175331738</v>
      </c>
      <c r="AC113" s="291">
        <f>NPV(DiscountRate,$C110:AC110)+$B110</f>
        <v>15360851.328905948</v>
      </c>
      <c r="AD113" s="291">
        <f>NPV(DiscountRate,$C110:AD110)+$B110</f>
        <v>15894733.270209551</v>
      </c>
      <c r="AE113" s="291">
        <f>NPV(DiscountRate,$C110:AE110)+$B110</f>
        <v>16387883.865179546</v>
      </c>
      <c r="AF113" s="291">
        <f>NPV(DiscountRate,$C110:AF110)+$B110</f>
        <v>17164477.51776541</v>
      </c>
      <c r="AG113" s="291">
        <f>NPV(DiscountRate,$C110:AG110)+$B110</f>
        <v>17164477.51776541</v>
      </c>
      <c r="AH113" s="291">
        <f>NPV(DiscountRate,$C110:AH110)+$B110</f>
        <v>17164477.51776541</v>
      </c>
      <c r="AI113" s="291">
        <f>NPV(DiscountRate,$C110:AI110)+$B110</f>
        <v>17164477.51776541</v>
      </c>
      <c r="AJ113" s="291">
        <f>NPV(DiscountRate,$C110:AJ110)+$B110</f>
        <v>17164477.51776541</v>
      </c>
      <c r="AK113" s="291">
        <f>NPV(DiscountRate,$C110:AK110)+$B110</f>
        <v>17164477.51776541</v>
      </c>
      <c r="AL113" s="291">
        <f>NPV(DiscountRate,$C110:AL110)+$B110</f>
        <v>17164477.51776541</v>
      </c>
      <c r="AM113" s="291">
        <f>NPV(DiscountRate,$C110:AM110)+$B110</f>
        <v>17164477.51776541</v>
      </c>
      <c r="AN113" s="291">
        <f>NPV(DiscountRate,$C110:AN110)+$B110</f>
        <v>17164477.51776541</v>
      </c>
      <c r="AO113" s="291">
        <f>NPV(DiscountRate,$C110:AO110)+$B110</f>
        <v>17164477.51776541</v>
      </c>
      <c r="AP113" s="291">
        <f>NPV(DiscountRate,$C110:AP110)+$B110</f>
        <v>17164477.51776541</v>
      </c>
    </row>
    <row r="114" spans="1:42">
      <c r="A114" s="206"/>
      <c r="B114" s="164"/>
      <c r="C114" s="164"/>
      <c r="D114" s="164"/>
      <c r="E114" s="164"/>
      <c r="F114" s="164"/>
      <c r="G114" s="164"/>
      <c r="H114" s="164"/>
      <c r="I114" s="164"/>
      <c r="J114" s="164"/>
      <c r="K114" s="164"/>
      <c r="L114" s="164"/>
      <c r="M114" s="164"/>
      <c r="N114" s="164"/>
      <c r="O114" s="164"/>
      <c r="P114" s="164"/>
      <c r="Q114" s="164"/>
      <c r="R114" s="164"/>
      <c r="S114" s="164"/>
      <c r="T114" s="164"/>
      <c r="U114" s="164"/>
      <c r="V114" s="164"/>
      <c r="W114" s="164"/>
      <c r="X114" s="164"/>
      <c r="Y114" s="164"/>
      <c r="Z114" s="164"/>
      <c r="AA114" s="164"/>
      <c r="AB114" s="164"/>
      <c r="AC114" s="164"/>
      <c r="AD114" s="164"/>
      <c r="AE114" s="164"/>
      <c r="AF114" s="164"/>
      <c r="AG114" s="164"/>
      <c r="AH114" s="164"/>
      <c r="AI114" s="164"/>
      <c r="AJ114" s="164"/>
      <c r="AK114" s="164"/>
      <c r="AL114" s="164"/>
      <c r="AM114" s="164"/>
      <c r="AN114" s="164"/>
      <c r="AO114" s="164"/>
      <c r="AP114" s="164"/>
    </row>
    <row r="115" spans="1:42">
      <c r="A115" s="201" t="s">
        <v>261</v>
      </c>
      <c r="B115" s="164"/>
      <c r="C115" s="164"/>
      <c r="D115" s="164"/>
      <c r="E115" s="164"/>
      <c r="F115" s="164"/>
      <c r="G115" s="208"/>
      <c r="H115" s="208"/>
      <c r="I115" s="208"/>
      <c r="J115" s="208"/>
      <c r="K115" s="208"/>
      <c r="L115" s="208"/>
      <c r="M115" s="208"/>
      <c r="N115" s="208"/>
      <c r="O115" s="208"/>
      <c r="P115" s="208"/>
      <c r="Q115" s="208"/>
      <c r="R115" s="208"/>
      <c r="S115" s="208"/>
      <c r="T115" s="208"/>
      <c r="U115" s="208"/>
      <c r="V115" s="208"/>
      <c r="W115" s="208"/>
      <c r="X115" s="208"/>
      <c r="Y115" s="208"/>
      <c r="Z115" s="208"/>
      <c r="AA115" s="208"/>
      <c r="AB115" s="208"/>
      <c r="AC115" s="208"/>
      <c r="AD115" s="208"/>
      <c r="AE115" s="208"/>
      <c r="AF115" s="208"/>
      <c r="AG115" s="208"/>
      <c r="AH115" s="208"/>
      <c r="AI115" s="208"/>
      <c r="AJ115" s="208"/>
      <c r="AK115" s="208"/>
      <c r="AL115" s="208"/>
      <c r="AM115" s="208"/>
      <c r="AN115" s="208"/>
      <c r="AO115" s="208"/>
      <c r="AP115" s="208"/>
    </row>
    <row r="116" spans="1:42">
      <c r="A116" s="202" t="s">
        <v>459</v>
      </c>
      <c r="B116" s="218">
        <f>SUM(C116:AP116)</f>
        <v>221444451.18108493</v>
      </c>
      <c r="C116" s="164">
        <f t="shared" ref="C116:AP116" si="337">C12</f>
        <v>5908179.1298221732</v>
      </c>
      <c r="D116" s="164">
        <f t="shared" si="337"/>
        <v>5996210.9988565231</v>
      </c>
      <c r="E116" s="164">
        <f t="shared" si="337"/>
        <v>6085554.5427394854</v>
      </c>
      <c r="F116" s="164">
        <f t="shared" si="337"/>
        <v>6176229.3054263033</v>
      </c>
      <c r="G116" s="164">
        <f t="shared" si="337"/>
        <v>6268255.1220771549</v>
      </c>
      <c r="H116" s="164">
        <f t="shared" si="337"/>
        <v>6361652.1233961061</v>
      </c>
      <c r="I116" s="164">
        <f t="shared" si="337"/>
        <v>6456440.7400347078</v>
      </c>
      <c r="J116" s="164">
        <f t="shared" si="337"/>
        <v>6552641.7070612237</v>
      </c>
      <c r="K116" s="164">
        <f t="shared" si="337"/>
        <v>6650276.0684964359</v>
      </c>
      <c r="L116" s="164">
        <f t="shared" si="337"/>
        <v>6749365.1819170332</v>
      </c>
      <c r="M116" s="164">
        <f t="shared" si="337"/>
        <v>6849930.7231275979</v>
      </c>
      <c r="N116" s="164">
        <f t="shared" si="337"/>
        <v>6951994.6909021977</v>
      </c>
      <c r="O116" s="164">
        <f t="shared" si="337"/>
        <v>7055579.4117966415</v>
      </c>
      <c r="P116" s="164">
        <f t="shared" si="337"/>
        <v>7160707.5450324118</v>
      </c>
      <c r="Q116" s="164">
        <f t="shared" si="337"/>
        <v>7267402.0874533951</v>
      </c>
      <c r="R116" s="164">
        <f t="shared" si="337"/>
        <v>7375686.378556448</v>
      </c>
      <c r="S116" s="164">
        <f t="shared" si="337"/>
        <v>7485584.105596941</v>
      </c>
      <c r="T116" s="164">
        <f t="shared" si="337"/>
        <v>7597119.3087703343</v>
      </c>
      <c r="U116" s="164">
        <f t="shared" si="337"/>
        <v>7710316.3864710126</v>
      </c>
      <c r="V116" s="164">
        <f t="shared" si="337"/>
        <v>7825200.1006294284</v>
      </c>
      <c r="W116" s="164">
        <f t="shared" si="337"/>
        <v>7941795.5821288088</v>
      </c>
      <c r="X116" s="164">
        <f t="shared" si="337"/>
        <v>8060128.3363025272</v>
      </c>
      <c r="Y116" s="164">
        <f t="shared" si="337"/>
        <v>8180224.248513435</v>
      </c>
      <c r="Z116" s="164">
        <f t="shared" si="337"/>
        <v>8302109.5898162834</v>
      </c>
      <c r="AA116" s="164">
        <f t="shared" si="337"/>
        <v>8425811.0227045473</v>
      </c>
      <c r="AB116" s="164">
        <f t="shared" si="337"/>
        <v>8551355.6069428436</v>
      </c>
      <c r="AC116" s="164">
        <f t="shared" si="337"/>
        <v>8678770.8054862935</v>
      </c>
      <c r="AD116" s="164">
        <f t="shared" si="337"/>
        <v>8808084.4904880375</v>
      </c>
      <c r="AE116" s="164">
        <f t="shared" si="337"/>
        <v>8939324.9493963104</v>
      </c>
      <c r="AF116" s="164">
        <f t="shared" si="337"/>
        <v>9072520.8911423143</v>
      </c>
      <c r="AG116" s="164">
        <f t="shared" si="337"/>
        <v>0</v>
      </c>
      <c r="AH116" s="164">
        <f t="shared" si="337"/>
        <v>0</v>
      </c>
      <c r="AI116" s="164">
        <f t="shared" si="337"/>
        <v>0</v>
      </c>
      <c r="AJ116" s="164">
        <f t="shared" si="337"/>
        <v>0</v>
      </c>
      <c r="AK116" s="164">
        <f t="shared" si="337"/>
        <v>0</v>
      </c>
      <c r="AL116" s="164">
        <f t="shared" si="337"/>
        <v>0</v>
      </c>
      <c r="AM116" s="164">
        <f t="shared" si="337"/>
        <v>0</v>
      </c>
      <c r="AN116" s="164">
        <f t="shared" si="337"/>
        <v>0</v>
      </c>
      <c r="AO116" s="164">
        <f t="shared" si="337"/>
        <v>0</v>
      </c>
      <c r="AP116" s="164">
        <f t="shared" si="337"/>
        <v>0</v>
      </c>
    </row>
    <row r="117" spans="1:42">
      <c r="A117" s="202" t="s">
        <v>128</v>
      </c>
      <c r="B117" s="218">
        <f>SUM(C117:AP117)</f>
        <v>474693747.49003303</v>
      </c>
      <c r="C117" s="164">
        <f t="shared" ref="C117:AP117" si="338">C5</f>
        <v>17000000</v>
      </c>
      <c r="D117" s="164">
        <f t="shared" si="338"/>
        <v>16915000</v>
      </c>
      <c r="E117" s="164">
        <f t="shared" si="338"/>
        <v>16830425</v>
      </c>
      <c r="F117" s="164">
        <f t="shared" si="338"/>
        <v>16746272.875</v>
      </c>
      <c r="G117" s="164">
        <f t="shared" si="338"/>
        <v>16662541.510624999</v>
      </c>
      <c r="H117" s="164">
        <f t="shared" si="338"/>
        <v>16579228.803071873</v>
      </c>
      <c r="I117" s="164">
        <f t="shared" si="338"/>
        <v>16496332.659056515</v>
      </c>
      <c r="J117" s="164">
        <f t="shared" si="338"/>
        <v>16413850.995761232</v>
      </c>
      <c r="K117" s="164">
        <f t="shared" si="338"/>
        <v>16331781.740782427</v>
      </c>
      <c r="L117" s="164">
        <f t="shared" si="338"/>
        <v>16250122.832078515</v>
      </c>
      <c r="M117" s="164">
        <f t="shared" si="338"/>
        <v>16168872.217918122</v>
      </c>
      <c r="N117" s="164">
        <f t="shared" si="338"/>
        <v>16088027.856828531</v>
      </c>
      <c r="O117" s="164">
        <f t="shared" si="338"/>
        <v>16007587.717544388</v>
      </c>
      <c r="P117" s="164">
        <f t="shared" si="338"/>
        <v>15927549.778956667</v>
      </c>
      <c r="Q117" s="164">
        <f t="shared" si="338"/>
        <v>15847912.030061884</v>
      </c>
      <c r="R117" s="164">
        <f t="shared" si="338"/>
        <v>15768672.469911573</v>
      </c>
      <c r="S117" s="164">
        <f t="shared" si="338"/>
        <v>15689829.107562015</v>
      </c>
      <c r="T117" s="164">
        <f t="shared" si="338"/>
        <v>15611379.962024204</v>
      </c>
      <c r="U117" s="164">
        <f t="shared" si="338"/>
        <v>15533323.062214084</v>
      </c>
      <c r="V117" s="164">
        <f t="shared" si="338"/>
        <v>15455656.446903013</v>
      </c>
      <c r="W117" s="164">
        <f t="shared" si="338"/>
        <v>15378378.164668497</v>
      </c>
      <c r="X117" s="164">
        <f t="shared" si="338"/>
        <v>15301486.273845155</v>
      </c>
      <c r="Y117" s="164">
        <f t="shared" si="338"/>
        <v>15224978.842475928</v>
      </c>
      <c r="Z117" s="164">
        <f t="shared" si="338"/>
        <v>15148853.948263548</v>
      </c>
      <c r="AA117" s="164">
        <f t="shared" si="338"/>
        <v>15073109.678522231</v>
      </c>
      <c r="AB117" s="164">
        <f t="shared" si="338"/>
        <v>14997744.13012962</v>
      </c>
      <c r="AC117" s="164">
        <f t="shared" si="338"/>
        <v>14922755.409478972</v>
      </c>
      <c r="AD117" s="164">
        <f t="shared" si="338"/>
        <v>14848141.632431576</v>
      </c>
      <c r="AE117" s="164">
        <f t="shared" si="338"/>
        <v>14773900.924269417</v>
      </c>
      <c r="AF117" s="164">
        <f t="shared" si="338"/>
        <v>14700031.41964807</v>
      </c>
      <c r="AG117" s="164">
        <f t="shared" si="338"/>
        <v>0</v>
      </c>
      <c r="AH117" s="164">
        <f t="shared" si="338"/>
        <v>0</v>
      </c>
      <c r="AI117" s="164">
        <f t="shared" si="338"/>
        <v>0</v>
      </c>
      <c r="AJ117" s="164">
        <f t="shared" si="338"/>
        <v>0</v>
      </c>
      <c r="AK117" s="164">
        <f t="shared" si="338"/>
        <v>0</v>
      </c>
      <c r="AL117" s="164">
        <f t="shared" si="338"/>
        <v>0</v>
      </c>
      <c r="AM117" s="164">
        <f t="shared" si="338"/>
        <v>0</v>
      </c>
      <c r="AN117" s="164">
        <f t="shared" si="338"/>
        <v>0</v>
      </c>
      <c r="AO117" s="164">
        <f t="shared" si="338"/>
        <v>0</v>
      </c>
      <c r="AP117" s="164">
        <f t="shared" si="338"/>
        <v>0</v>
      </c>
    </row>
    <row r="118" spans="1:42">
      <c r="B118" s="164"/>
      <c r="C118" s="164"/>
      <c r="D118" s="164"/>
      <c r="E118" s="164"/>
      <c r="F118" s="164"/>
      <c r="G118" s="208"/>
      <c r="H118" s="208"/>
      <c r="I118" s="208"/>
      <c r="J118" s="208"/>
      <c r="K118" s="208"/>
      <c r="L118" s="208"/>
      <c r="M118" s="208"/>
      <c r="N118" s="208"/>
      <c r="O118" s="208"/>
      <c r="P118" s="208"/>
      <c r="Q118" s="208"/>
      <c r="R118" s="208"/>
      <c r="S118" s="208"/>
      <c r="T118" s="208"/>
      <c r="U118" s="208"/>
      <c r="V118" s="208"/>
      <c r="W118" s="208"/>
      <c r="X118" s="208"/>
      <c r="Y118" s="208"/>
      <c r="Z118" s="208"/>
      <c r="AA118" s="208"/>
      <c r="AB118" s="208"/>
      <c r="AC118" s="208"/>
      <c r="AD118" s="208"/>
      <c r="AE118" s="208"/>
      <c r="AF118" s="208"/>
      <c r="AG118" s="208"/>
      <c r="AH118" s="208"/>
      <c r="AI118" s="208"/>
      <c r="AJ118" s="208"/>
      <c r="AK118" s="208"/>
      <c r="AL118" s="208"/>
      <c r="AM118" s="208"/>
      <c r="AN118" s="208"/>
      <c r="AO118" s="208"/>
      <c r="AP118" s="208"/>
    </row>
    <row r="119" spans="1:42">
      <c r="A119" s="37" t="s">
        <v>457</v>
      </c>
      <c r="B119" s="218">
        <f>NPV(DiscountRate,C116:AP116)</f>
        <v>76699574.816677481</v>
      </c>
      <c r="C119" s="164"/>
      <c r="D119" s="164"/>
      <c r="E119" s="164"/>
      <c r="F119" s="164"/>
      <c r="G119" s="208"/>
      <c r="H119" s="208"/>
      <c r="I119" s="208"/>
      <c r="J119" s="208"/>
      <c r="K119" s="208"/>
      <c r="L119" s="208"/>
      <c r="M119" s="208"/>
      <c r="N119" s="208"/>
      <c r="O119" s="208"/>
      <c r="P119" s="208"/>
      <c r="Q119" s="208"/>
      <c r="R119" s="208"/>
      <c r="S119" s="208"/>
      <c r="T119" s="208"/>
      <c r="U119" s="208"/>
      <c r="V119" s="208"/>
      <c r="W119" s="208"/>
      <c r="X119" s="208"/>
      <c r="Y119" s="208"/>
      <c r="Z119" s="208"/>
      <c r="AA119" s="208"/>
      <c r="AB119" s="208"/>
      <c r="AC119" s="208"/>
      <c r="AD119" s="208"/>
      <c r="AE119" s="208"/>
      <c r="AF119" s="208"/>
      <c r="AG119" s="208"/>
      <c r="AH119" s="208"/>
      <c r="AI119" s="208"/>
      <c r="AJ119" s="208"/>
      <c r="AK119" s="208"/>
      <c r="AL119" s="208"/>
      <c r="AM119" s="208"/>
      <c r="AN119" s="208"/>
      <c r="AO119" s="208"/>
      <c r="AP119" s="208"/>
    </row>
    <row r="120" spans="1:42">
      <c r="A120" s="37" t="s">
        <v>458</v>
      </c>
      <c r="B120" s="218">
        <f>NPV(DiscountRate,C117:AP117)</f>
        <v>182899462.80790007</v>
      </c>
      <c r="C120" s="164"/>
      <c r="D120" s="164"/>
      <c r="E120" s="164"/>
      <c r="F120" s="164"/>
      <c r="G120" s="208"/>
      <c r="H120" s="208"/>
      <c r="I120" s="208"/>
      <c r="J120" s="208"/>
      <c r="K120" s="208"/>
      <c r="L120" s="208"/>
      <c r="M120" s="208"/>
      <c r="N120" s="208"/>
      <c r="O120" s="208"/>
      <c r="P120" s="208"/>
      <c r="Q120" s="208"/>
      <c r="R120" s="208"/>
      <c r="S120" s="208"/>
      <c r="T120" s="208"/>
      <c r="U120" s="208"/>
      <c r="V120" s="208"/>
      <c r="W120" s="208"/>
      <c r="X120" s="208"/>
      <c r="Y120" s="208"/>
      <c r="Z120" s="208"/>
      <c r="AA120" s="208"/>
      <c r="AB120" s="208"/>
      <c r="AC120" s="208"/>
      <c r="AD120" s="208"/>
      <c r="AE120" s="208"/>
      <c r="AF120" s="208"/>
      <c r="AG120" s="208"/>
      <c r="AH120" s="208"/>
      <c r="AI120" s="208"/>
      <c r="AJ120" s="208"/>
      <c r="AK120" s="208"/>
      <c r="AL120" s="208"/>
      <c r="AM120" s="208"/>
      <c r="AN120" s="208"/>
      <c r="AO120" s="208"/>
      <c r="AP120" s="208"/>
    </row>
    <row r="121" spans="1:42">
      <c r="A121" s="37" t="s">
        <v>389</v>
      </c>
      <c r="B121" s="221">
        <f>B119/B120</f>
        <v>0.41935374570911294</v>
      </c>
      <c r="C121" s="164"/>
      <c r="D121" s="164"/>
      <c r="E121" s="164"/>
      <c r="F121" s="164"/>
      <c r="G121" s="208"/>
      <c r="H121" s="208"/>
      <c r="I121" s="208"/>
      <c r="J121" s="208"/>
      <c r="K121" s="208"/>
      <c r="L121" s="208"/>
      <c r="M121" s="208"/>
      <c r="N121" s="208"/>
      <c r="O121" s="208"/>
      <c r="P121" s="208"/>
      <c r="Q121" s="208"/>
      <c r="R121" s="208"/>
      <c r="S121" s="208"/>
      <c r="T121" s="208"/>
      <c r="U121" s="208"/>
      <c r="V121" s="208"/>
      <c r="W121" s="208"/>
      <c r="X121" s="208"/>
      <c r="Y121" s="208"/>
      <c r="Z121" s="208"/>
      <c r="AA121" s="208"/>
      <c r="AB121" s="208"/>
      <c r="AC121" s="208"/>
      <c r="AD121" s="208"/>
      <c r="AE121" s="208"/>
      <c r="AF121" s="208"/>
      <c r="AG121" s="208"/>
      <c r="AH121" s="208"/>
      <c r="AI121" s="208"/>
      <c r="AJ121" s="208"/>
      <c r="AK121" s="208"/>
      <c r="AL121" s="208"/>
      <c r="AM121" s="208"/>
      <c r="AN121" s="208"/>
      <c r="AO121" s="208"/>
      <c r="AP121" s="208"/>
    </row>
    <row r="122" spans="1:42">
      <c r="B122" s="164"/>
      <c r="C122" s="164"/>
      <c r="D122" s="164"/>
      <c r="E122" s="164"/>
      <c r="F122" s="164"/>
      <c r="G122" s="208"/>
      <c r="H122" s="208"/>
      <c r="I122" s="208"/>
      <c r="J122" s="208"/>
      <c r="K122" s="208"/>
      <c r="L122" s="208"/>
      <c r="M122" s="208"/>
      <c r="N122" s="208"/>
      <c r="O122" s="208"/>
      <c r="P122" s="208"/>
      <c r="Q122" s="208"/>
      <c r="R122" s="208"/>
      <c r="S122" s="208"/>
      <c r="T122" s="208"/>
      <c r="U122" s="208"/>
      <c r="V122" s="208"/>
      <c r="W122" s="208"/>
      <c r="X122" s="208"/>
      <c r="Y122" s="208"/>
      <c r="Z122" s="208"/>
      <c r="AA122" s="208"/>
      <c r="AB122" s="208"/>
      <c r="AC122" s="208"/>
      <c r="AD122" s="208"/>
      <c r="AE122" s="208"/>
      <c r="AF122" s="208"/>
      <c r="AG122" s="208"/>
      <c r="AH122" s="208"/>
      <c r="AI122" s="208"/>
      <c r="AJ122" s="208"/>
      <c r="AK122" s="208"/>
      <c r="AL122" s="208"/>
      <c r="AM122" s="208"/>
      <c r="AN122" s="208"/>
      <c r="AO122" s="208"/>
      <c r="AP122" s="208"/>
    </row>
    <row r="123" spans="1:42">
      <c r="A123" s="201" t="s">
        <v>258</v>
      </c>
      <c r="B123" s="164"/>
      <c r="C123" s="164"/>
      <c r="D123" s="164"/>
      <c r="E123" s="164"/>
      <c r="F123" s="164"/>
      <c r="G123" s="208"/>
      <c r="H123" s="208"/>
      <c r="I123" s="208"/>
      <c r="J123" s="208"/>
      <c r="K123" s="208"/>
      <c r="L123" s="208"/>
      <c r="M123" s="208"/>
      <c r="N123" s="208"/>
      <c r="O123" s="208"/>
      <c r="P123" s="208"/>
      <c r="Q123" s="208"/>
      <c r="R123" s="208"/>
      <c r="S123" s="208"/>
      <c r="T123" s="208"/>
      <c r="U123" s="208"/>
      <c r="V123" s="208"/>
      <c r="W123" s="208"/>
      <c r="X123" s="208"/>
      <c r="Y123" s="208"/>
      <c r="Z123" s="208"/>
      <c r="AA123" s="208"/>
      <c r="AB123" s="208"/>
      <c r="AC123" s="208"/>
      <c r="AD123" s="208"/>
      <c r="AE123" s="208"/>
      <c r="AF123" s="208"/>
      <c r="AG123" s="208"/>
      <c r="AH123" s="208"/>
      <c r="AI123" s="208"/>
      <c r="AJ123" s="208"/>
      <c r="AK123" s="208"/>
      <c r="AL123" s="208"/>
      <c r="AM123" s="208"/>
      <c r="AN123" s="208"/>
      <c r="AO123" s="208"/>
      <c r="AP123" s="208"/>
    </row>
    <row r="124" spans="1:42" s="119" customFormat="1">
      <c r="A124" s="217" t="s">
        <v>254</v>
      </c>
      <c r="B124" s="220"/>
      <c r="C124" s="220"/>
      <c r="D124" s="220"/>
      <c r="E124" s="220"/>
      <c r="F124" s="220"/>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46"/>
      <c r="AK124" s="146"/>
      <c r="AL124" s="146"/>
      <c r="AM124" s="146"/>
      <c r="AN124" s="146"/>
      <c r="AO124" s="146"/>
      <c r="AP124" s="146"/>
    </row>
    <row r="125" spans="1:42">
      <c r="A125" s="202" t="s">
        <v>224</v>
      </c>
      <c r="B125" s="208">
        <f>B134</f>
        <v>-9467748.6156450175</v>
      </c>
      <c r="C125" s="208">
        <f t="shared" ref="C125:AP125" si="339">C134</f>
        <v>0</v>
      </c>
      <c r="D125" s="208">
        <f t="shared" si="339"/>
        <v>0</v>
      </c>
      <c r="E125" s="208">
        <f t="shared" si="339"/>
        <v>0</v>
      </c>
      <c r="F125" s="208">
        <f t="shared" si="339"/>
        <v>0</v>
      </c>
      <c r="G125" s="208">
        <f t="shared" si="339"/>
        <v>0</v>
      </c>
      <c r="H125" s="208">
        <f t="shared" si="339"/>
        <v>0</v>
      </c>
      <c r="I125" s="208">
        <f t="shared" si="339"/>
        <v>0</v>
      </c>
      <c r="J125" s="208">
        <f t="shared" si="339"/>
        <v>0</v>
      </c>
      <c r="K125" s="208">
        <f t="shared" si="339"/>
        <v>0</v>
      </c>
      <c r="L125" s="208">
        <f t="shared" si="339"/>
        <v>0</v>
      </c>
      <c r="M125" s="208">
        <f t="shared" si="339"/>
        <v>0</v>
      </c>
      <c r="N125" s="208">
        <f t="shared" si="339"/>
        <v>0</v>
      </c>
      <c r="O125" s="208">
        <f t="shared" si="339"/>
        <v>0</v>
      </c>
      <c r="P125" s="208">
        <f t="shared" si="339"/>
        <v>0</v>
      </c>
      <c r="Q125" s="208">
        <f t="shared" si="339"/>
        <v>0</v>
      </c>
      <c r="R125" s="208">
        <f t="shared" si="339"/>
        <v>0</v>
      </c>
      <c r="S125" s="208">
        <f t="shared" si="339"/>
        <v>0</v>
      </c>
      <c r="T125" s="208">
        <f t="shared" si="339"/>
        <v>0</v>
      </c>
      <c r="U125" s="208">
        <f t="shared" si="339"/>
        <v>0</v>
      </c>
      <c r="V125" s="208">
        <f t="shared" si="339"/>
        <v>0</v>
      </c>
      <c r="W125" s="208">
        <f t="shared" si="339"/>
        <v>0</v>
      </c>
      <c r="X125" s="208">
        <f t="shared" si="339"/>
        <v>0</v>
      </c>
      <c r="Y125" s="208">
        <f t="shared" si="339"/>
        <v>0</v>
      </c>
      <c r="Z125" s="208">
        <f t="shared" si="339"/>
        <v>0</v>
      </c>
      <c r="AA125" s="208">
        <f t="shared" si="339"/>
        <v>0</v>
      </c>
      <c r="AB125" s="208">
        <f t="shared" si="339"/>
        <v>0</v>
      </c>
      <c r="AC125" s="208">
        <f t="shared" si="339"/>
        <v>0</v>
      </c>
      <c r="AD125" s="208">
        <f t="shared" si="339"/>
        <v>0</v>
      </c>
      <c r="AE125" s="208">
        <f t="shared" si="339"/>
        <v>0</v>
      </c>
      <c r="AF125" s="208">
        <f t="shared" si="339"/>
        <v>0</v>
      </c>
      <c r="AG125" s="208">
        <f t="shared" si="339"/>
        <v>0</v>
      </c>
      <c r="AH125" s="208">
        <f t="shared" si="339"/>
        <v>0</v>
      </c>
      <c r="AI125" s="208">
        <f t="shared" si="339"/>
        <v>0</v>
      </c>
      <c r="AJ125" s="208">
        <f t="shared" si="339"/>
        <v>0</v>
      </c>
      <c r="AK125" s="208">
        <f t="shared" si="339"/>
        <v>0</v>
      </c>
      <c r="AL125" s="208">
        <f t="shared" si="339"/>
        <v>0</v>
      </c>
      <c r="AM125" s="208">
        <f t="shared" si="339"/>
        <v>0</v>
      </c>
      <c r="AN125" s="208">
        <f t="shared" si="339"/>
        <v>0</v>
      </c>
      <c r="AO125" s="208">
        <f t="shared" si="339"/>
        <v>0</v>
      </c>
      <c r="AP125" s="208">
        <f t="shared" si="339"/>
        <v>0</v>
      </c>
    </row>
    <row r="126" spans="1:42">
      <c r="A126" s="202" t="s">
        <v>225</v>
      </c>
      <c r="B126" s="209">
        <f>B135</f>
        <v>0</v>
      </c>
      <c r="C126" s="209">
        <f t="shared" ref="C126:AP126" si="340">C135</f>
        <v>1447990.1759531994</v>
      </c>
      <c r="D126" s="209">
        <f t="shared" si="340"/>
        <v>1490552.2084116812</v>
      </c>
      <c r="E126" s="209">
        <f t="shared" si="340"/>
        <v>1534001.2791321639</v>
      </c>
      <c r="F126" s="209">
        <f t="shared" si="340"/>
        <v>1574517.1981598099</v>
      </c>
      <c r="G126" s="209">
        <f t="shared" si="340"/>
        <v>1618245.9419298579</v>
      </c>
      <c r="H126" s="209">
        <f t="shared" si="340"/>
        <v>1662901.2311805636</v>
      </c>
      <c r="I126" s="209">
        <f t="shared" si="340"/>
        <v>1704488.3536069512</v>
      </c>
      <c r="J126" s="209">
        <f t="shared" si="340"/>
        <v>1749434.0010857952</v>
      </c>
      <c r="K126" s="209">
        <f t="shared" si="340"/>
        <v>1795347.4375540491</v>
      </c>
      <c r="L126" s="209">
        <f t="shared" si="340"/>
        <v>3610099.6033211439</v>
      </c>
      <c r="M126" s="209">
        <f t="shared" si="340"/>
        <v>5431892.8424547482</v>
      </c>
      <c r="N126" s="209">
        <f t="shared" si="340"/>
        <v>5547439.8068566592</v>
      </c>
      <c r="O126" s="209">
        <f t="shared" si="340"/>
        <v>851471.46705272654</v>
      </c>
      <c r="P126" s="209">
        <f t="shared" si="340"/>
        <v>869685.11160255549</v>
      </c>
      <c r="Q126" s="209">
        <f t="shared" si="340"/>
        <v>888101.5314665488</v>
      </c>
      <c r="R126" s="209">
        <f t="shared" si="340"/>
        <v>874540.88159831369</v>
      </c>
      <c r="S126" s="209">
        <f t="shared" si="340"/>
        <v>893646.05104680452</v>
      </c>
      <c r="T126" s="209">
        <f t="shared" si="340"/>
        <v>912962.65222167643</v>
      </c>
      <c r="U126" s="209">
        <f t="shared" si="340"/>
        <v>931861.36997746804</v>
      </c>
      <c r="V126" s="209">
        <f t="shared" si="340"/>
        <v>951614.91321193613</v>
      </c>
      <c r="W126" s="209">
        <f t="shared" si="340"/>
        <v>971588.8989680981</v>
      </c>
      <c r="X126" s="209">
        <f t="shared" si="340"/>
        <v>988975.61339110101</v>
      </c>
      <c r="Y126" s="209">
        <f t="shared" si="340"/>
        <v>1007255.5243755479</v>
      </c>
      <c r="Z126" s="209">
        <f t="shared" si="340"/>
        <v>1025765.2564516517</v>
      </c>
      <c r="AA126" s="209">
        <f t="shared" si="340"/>
        <v>1078585.9700143447</v>
      </c>
      <c r="AB126" s="209">
        <f t="shared" si="340"/>
        <v>1096800.4408954189</v>
      </c>
      <c r="AC126" s="209">
        <f t="shared" si="340"/>
        <v>1115254.4930241772</v>
      </c>
      <c r="AD126" s="209">
        <f t="shared" si="340"/>
        <v>1133228.5258865624</v>
      </c>
      <c r="AE126" s="209">
        <f t="shared" si="340"/>
        <v>1152177.6931278938</v>
      </c>
      <c r="AF126" s="209">
        <f t="shared" si="340"/>
        <v>1797283.8475962006</v>
      </c>
      <c r="AG126" s="209">
        <f t="shared" si="340"/>
        <v>0</v>
      </c>
      <c r="AH126" s="209">
        <f t="shared" si="340"/>
        <v>0</v>
      </c>
      <c r="AI126" s="209">
        <f t="shared" si="340"/>
        <v>0</v>
      </c>
      <c r="AJ126" s="209">
        <f t="shared" si="340"/>
        <v>0</v>
      </c>
      <c r="AK126" s="209">
        <f t="shared" si="340"/>
        <v>0</v>
      </c>
      <c r="AL126" s="209">
        <f t="shared" si="340"/>
        <v>0</v>
      </c>
      <c r="AM126" s="209">
        <f t="shared" si="340"/>
        <v>0</v>
      </c>
      <c r="AN126" s="209">
        <f t="shared" si="340"/>
        <v>0</v>
      </c>
      <c r="AO126" s="209">
        <f t="shared" si="340"/>
        <v>0</v>
      </c>
      <c r="AP126" s="209">
        <f t="shared" si="340"/>
        <v>0</v>
      </c>
    </row>
    <row r="127" spans="1:42">
      <c r="A127" s="202" t="s">
        <v>53</v>
      </c>
      <c r="B127" s="164">
        <f>SUM(B125:B126)</f>
        <v>-9467748.6156450175</v>
      </c>
      <c r="C127" s="164">
        <f t="shared" ref="C127" si="341">SUM(C125:C126)</f>
        <v>1447990.1759531994</v>
      </c>
      <c r="D127" s="164">
        <f t="shared" ref="D127" si="342">SUM(D125:D126)</f>
        <v>1490552.2084116812</v>
      </c>
      <c r="E127" s="164">
        <f t="shared" ref="E127" si="343">SUM(E125:E126)</f>
        <v>1534001.2791321639</v>
      </c>
      <c r="F127" s="164">
        <f t="shared" ref="F127" si="344">SUM(F125:F126)</f>
        <v>1574517.1981598099</v>
      </c>
      <c r="G127" s="164">
        <f t="shared" ref="G127" si="345">SUM(G125:G126)</f>
        <v>1618245.9419298579</v>
      </c>
      <c r="H127" s="164">
        <f t="shared" ref="H127" si="346">SUM(H125:H126)</f>
        <v>1662901.2311805636</v>
      </c>
      <c r="I127" s="164">
        <f t="shared" ref="I127" si="347">SUM(I125:I126)</f>
        <v>1704488.3536069512</v>
      </c>
      <c r="J127" s="164">
        <f t="shared" ref="J127" si="348">SUM(J125:J126)</f>
        <v>1749434.0010857952</v>
      </c>
      <c r="K127" s="164">
        <f t="shared" ref="K127" si="349">SUM(K125:K126)</f>
        <v>1795347.4375540491</v>
      </c>
      <c r="L127" s="164">
        <f t="shared" ref="L127" si="350">SUM(L125:L126)</f>
        <v>3610099.6033211439</v>
      </c>
      <c r="M127" s="164">
        <f t="shared" ref="M127" si="351">SUM(M125:M126)</f>
        <v>5431892.8424547482</v>
      </c>
      <c r="N127" s="164">
        <f t="shared" ref="N127" si="352">SUM(N125:N126)</f>
        <v>5547439.8068566592</v>
      </c>
      <c r="O127" s="164">
        <f t="shared" ref="O127" si="353">SUM(O125:O126)</f>
        <v>851471.46705272654</v>
      </c>
      <c r="P127" s="164">
        <f t="shared" ref="P127" si="354">SUM(P125:P126)</f>
        <v>869685.11160255549</v>
      </c>
      <c r="Q127" s="164">
        <f t="shared" ref="Q127" si="355">SUM(Q125:Q126)</f>
        <v>888101.5314665488</v>
      </c>
      <c r="R127" s="164">
        <f t="shared" ref="R127" si="356">SUM(R125:R126)</f>
        <v>874540.88159831369</v>
      </c>
      <c r="S127" s="164">
        <f t="shared" ref="S127" si="357">SUM(S125:S126)</f>
        <v>893646.05104680452</v>
      </c>
      <c r="T127" s="164">
        <f t="shared" ref="T127" si="358">SUM(T125:T126)</f>
        <v>912962.65222167643</v>
      </c>
      <c r="U127" s="164">
        <f t="shared" ref="U127" si="359">SUM(U125:U126)</f>
        <v>931861.36997746804</v>
      </c>
      <c r="V127" s="164">
        <f t="shared" ref="V127" si="360">SUM(V125:V126)</f>
        <v>951614.91321193613</v>
      </c>
      <c r="W127" s="164">
        <f t="shared" ref="W127" si="361">SUM(W125:W126)</f>
        <v>971588.8989680981</v>
      </c>
      <c r="X127" s="164">
        <f t="shared" ref="X127" si="362">SUM(X125:X126)</f>
        <v>988975.61339110101</v>
      </c>
      <c r="Y127" s="164">
        <f t="shared" ref="Y127" si="363">SUM(Y125:Y126)</f>
        <v>1007255.5243755479</v>
      </c>
      <c r="Z127" s="164">
        <f t="shared" ref="Z127" si="364">SUM(Z125:Z126)</f>
        <v>1025765.2564516517</v>
      </c>
      <c r="AA127" s="164">
        <f t="shared" ref="AA127" si="365">SUM(AA125:AA126)</f>
        <v>1078585.9700143447</v>
      </c>
      <c r="AB127" s="164">
        <f t="shared" ref="AB127" si="366">SUM(AB125:AB126)</f>
        <v>1096800.4408954189</v>
      </c>
      <c r="AC127" s="164">
        <f t="shared" ref="AC127" si="367">SUM(AC125:AC126)</f>
        <v>1115254.4930241772</v>
      </c>
      <c r="AD127" s="164">
        <f t="shared" ref="AD127" si="368">SUM(AD125:AD126)</f>
        <v>1133228.5258865624</v>
      </c>
      <c r="AE127" s="164">
        <f t="shared" ref="AE127" si="369">SUM(AE125:AE126)</f>
        <v>1152177.6931278938</v>
      </c>
      <c r="AF127" s="164">
        <f t="shared" ref="AF127" si="370">SUM(AF125:AF126)</f>
        <v>1797283.8475962006</v>
      </c>
      <c r="AG127" s="164">
        <f t="shared" ref="AG127" si="371">SUM(AG125:AG126)</f>
        <v>0</v>
      </c>
      <c r="AH127" s="164">
        <f t="shared" ref="AH127" si="372">SUM(AH125:AH126)</f>
        <v>0</v>
      </c>
      <c r="AI127" s="164">
        <f t="shared" ref="AI127" si="373">SUM(AI125:AI126)</f>
        <v>0</v>
      </c>
      <c r="AJ127" s="164">
        <f t="shared" ref="AJ127" si="374">SUM(AJ125:AJ126)</f>
        <v>0</v>
      </c>
      <c r="AK127" s="164">
        <f t="shared" ref="AK127" si="375">SUM(AK125:AK126)</f>
        <v>0</v>
      </c>
      <c r="AL127" s="164">
        <f t="shared" ref="AL127" si="376">SUM(AL125:AL126)</f>
        <v>0</v>
      </c>
      <c r="AM127" s="164">
        <f t="shared" ref="AM127" si="377">SUM(AM125:AM126)</f>
        <v>0</v>
      </c>
      <c r="AN127" s="164">
        <f t="shared" ref="AN127" si="378">SUM(AN125:AN126)</f>
        <v>0</v>
      </c>
      <c r="AO127" s="164">
        <f t="shared" ref="AO127" si="379">SUM(AO125:AO126)</f>
        <v>0</v>
      </c>
      <c r="AP127" s="164">
        <f t="shared" ref="AP127" si="380">SUM(AP125:AP126)</f>
        <v>0</v>
      </c>
    </row>
    <row r="128" spans="1:42">
      <c r="A128" s="202"/>
      <c r="B128" s="164"/>
      <c r="C128" s="164"/>
      <c r="D128" s="164"/>
      <c r="E128" s="164"/>
      <c r="F128" s="164"/>
      <c r="G128" s="208"/>
      <c r="H128" s="208"/>
      <c r="I128" s="208"/>
      <c r="J128" s="208"/>
      <c r="K128" s="208"/>
      <c r="L128" s="208"/>
      <c r="M128" s="208"/>
      <c r="N128" s="208"/>
      <c r="O128" s="208"/>
      <c r="P128" s="208"/>
      <c r="Q128" s="208"/>
      <c r="R128" s="208"/>
      <c r="S128" s="208"/>
      <c r="T128" s="208"/>
      <c r="U128" s="208"/>
      <c r="V128" s="208"/>
      <c r="W128" s="208"/>
      <c r="X128" s="208"/>
      <c r="Y128" s="208"/>
      <c r="Z128" s="208"/>
      <c r="AA128" s="208"/>
      <c r="AB128" s="208"/>
      <c r="AC128" s="208"/>
      <c r="AD128" s="208"/>
      <c r="AE128" s="208"/>
      <c r="AF128" s="208"/>
      <c r="AG128" s="208"/>
      <c r="AH128" s="208"/>
      <c r="AI128" s="208"/>
      <c r="AJ128" s="208"/>
      <c r="AK128" s="208"/>
      <c r="AL128" s="208"/>
      <c r="AM128" s="208"/>
      <c r="AN128" s="208"/>
      <c r="AO128" s="208"/>
      <c r="AP128" s="208"/>
    </row>
    <row r="129" spans="1:42">
      <c r="A129" s="202" t="s">
        <v>418</v>
      </c>
      <c r="B129" s="223">
        <f>ROUND(IF(ISERROR(IRR($B127:B127)),0,IRR($B127:B127)),4)</f>
        <v>0</v>
      </c>
      <c r="C129" s="223">
        <f>ROUND(IF(ISERROR(IRR($B127:C127)),0,IRR($B127:C127)),4)</f>
        <v>0</v>
      </c>
      <c r="D129" s="223">
        <f>ROUND(IF(ISERROR(IRR($B127:D127)),0,IRR($B127:D127)),4)</f>
        <v>0</v>
      </c>
      <c r="E129" s="223">
        <f>ROUND(IF(ISERROR(IRR($B127:E127)),0,IRR($B127:E127)),4)</f>
        <v>-0.29620000000000002</v>
      </c>
      <c r="F129" s="223">
        <f>ROUND(IF(ISERROR(IRR($B127:F127)),0,IRR($B127:F127)),4)</f>
        <v>-0.15620000000000001</v>
      </c>
      <c r="G129" s="223">
        <f>ROUND(IF(ISERROR(IRR($B127:G127)),0,IRR($B127:G127)),4)</f>
        <v>-6.54E-2</v>
      </c>
      <c r="H129" s="223">
        <f>ROUND(IF(ISERROR(IRR($B127:H127)),0,IRR($B127:H127)),4)</f>
        <v>-4.1000000000000003E-3</v>
      </c>
      <c r="I129" s="223">
        <f>ROUND(IF(ISERROR(IRR($B127:I127)),0,IRR($B127:I127)),4)</f>
        <v>3.8699999999999998E-2</v>
      </c>
      <c r="J129" s="223">
        <f>ROUND(IF(ISERROR(IRR($B127:J127)),0,IRR($B127:J127)),4)</f>
        <v>6.9500000000000006E-2</v>
      </c>
      <c r="K129" s="223">
        <f>ROUND(IF(ISERROR(IRR($B127:K127)),0,IRR($B127:K127)),4)</f>
        <v>9.2399999999999996E-2</v>
      </c>
      <c r="L129" s="223">
        <f>ROUND(IF(ISERROR(IRR($B127:L127)),0,IRR($B127:L127)),4)</f>
        <v>0.1236</v>
      </c>
      <c r="M129" s="223">
        <f>ROUND(IF(ISERROR(IRR($B127:M127)),0,IRR($B127:M127)),4)</f>
        <v>0.15290000000000001</v>
      </c>
      <c r="N129" s="223">
        <f>ROUND(IF(ISERROR(IRR($B127:N127)),0,IRR($B127:N127)),4)</f>
        <v>0.17219999999999999</v>
      </c>
      <c r="O129" s="223">
        <f>ROUND(IF(ISERROR(IRR($B127:O127)),0,IRR($B127:O127)),4)</f>
        <v>0.1744</v>
      </c>
      <c r="P129" s="223">
        <f>ROUND(IF(ISERROR(IRR($B127:P127)),0,IRR($B127:P127)),4)</f>
        <v>0.1762</v>
      </c>
      <c r="Q129" s="223">
        <f>ROUND(IF(ISERROR(IRR($B127:Q127)),0,IRR($B127:Q127)),4)</f>
        <v>0.17780000000000001</v>
      </c>
      <c r="R129" s="223">
        <f>ROUND(IF(ISERROR(IRR($B127:R127)),0,IRR($B127:R127)),4)</f>
        <v>0.17910000000000001</v>
      </c>
      <c r="S129" s="223">
        <f>ROUND(IF(ISERROR(IRR($B127:S127)),0,IRR($B127:S127)),4)</f>
        <v>0.1802</v>
      </c>
      <c r="T129" s="223">
        <f>ROUND(IF(ISERROR(IRR($B127:T127)),0,IRR($B127:T127)),4)</f>
        <v>0.18110000000000001</v>
      </c>
      <c r="U129" s="223">
        <f>ROUND(IF(ISERROR(IRR($B127:U127)),0,IRR($B127:U127)),4)</f>
        <v>0.18190000000000001</v>
      </c>
      <c r="V129" s="223">
        <f>ROUND(IF(ISERROR(IRR($B127:V127)),0,IRR($B127:V127)),4)</f>
        <v>0.1825</v>
      </c>
      <c r="W129" s="223">
        <f>ROUND(IF(ISERROR(IRR($B127:W127)),0,IRR($B127:W127)),4)</f>
        <v>0.18310000000000001</v>
      </c>
      <c r="X129" s="223">
        <f>ROUND(IF(ISERROR(IRR($B127:X127)),0,IRR($B127:X127)),4)</f>
        <v>0.18360000000000001</v>
      </c>
      <c r="Y129" s="223">
        <f>ROUND(IF(ISERROR(IRR($B127:Y127)),0,IRR($B127:Y127)),4)</f>
        <v>0.184</v>
      </c>
      <c r="Z129" s="223">
        <f>ROUND(IF(ISERROR(IRR($B127:Z127)),0,IRR($B127:Z127)),4)</f>
        <v>0.18429999999999999</v>
      </c>
      <c r="AA129" s="223">
        <f>ROUND(IF(ISERROR(IRR($B127:AA127)),0,IRR($B127:AA127)),4)</f>
        <v>0.18459999999999999</v>
      </c>
      <c r="AB129" s="223">
        <f>ROUND(IF(ISERROR(IRR($B127:AB127)),0,IRR($B127:AB127)),4)</f>
        <v>0.18490000000000001</v>
      </c>
      <c r="AC129" s="223">
        <f>ROUND(IF(ISERROR(IRR($B127:AC127)),0,IRR($B127:AC127)),4)</f>
        <v>0.18509999999999999</v>
      </c>
      <c r="AD129" s="223">
        <f>ROUND(IF(ISERROR(IRR($B127:AD127)),0,IRR($B127:AD127)),4)</f>
        <v>0.18529999999999999</v>
      </c>
      <c r="AE129" s="223">
        <f>ROUND(IF(ISERROR(IRR($B127:AE127)),0,IRR($B127:AE127)),4)</f>
        <v>0.18540000000000001</v>
      </c>
      <c r="AF129" s="223">
        <f>ROUND(IF(ISERROR(IRR($B127:AF127)),0,IRR($B127:AF127)),4)</f>
        <v>0.1857</v>
      </c>
      <c r="AG129" s="223">
        <f>ROUND(IF(ISERROR(IRR($B127:AG127)),0,IRR($B127:AG127)),4)</f>
        <v>0.1857</v>
      </c>
      <c r="AH129" s="223">
        <f>ROUND(IF(ISERROR(IRR($B127:AH127)),0,IRR($B127:AH127)),4)</f>
        <v>0.1857</v>
      </c>
      <c r="AI129" s="223">
        <f>ROUND(IF(ISERROR(IRR($B127:AI127)),0,IRR($B127:AI127)),4)</f>
        <v>0.1857</v>
      </c>
      <c r="AJ129" s="223">
        <f>ROUND(IF(ISERROR(IRR($B127:AJ127)),0,IRR($B127:AJ127)),4)</f>
        <v>0.1857</v>
      </c>
      <c r="AK129" s="223">
        <f>ROUND(IF(ISERROR(IRR($B127:AK127)),0,IRR($B127:AK127)),4)</f>
        <v>0.1857</v>
      </c>
      <c r="AL129" s="223">
        <f>ROUND(IF(ISERROR(IRR($B127:AL127)),0,IRR($B127:AL127)),4)</f>
        <v>0.1857</v>
      </c>
      <c r="AM129" s="223">
        <f>ROUND(IF(ISERROR(IRR($B127:AM127)),0,IRR($B127:AM127)),4)</f>
        <v>0.1857</v>
      </c>
      <c r="AN129" s="223">
        <f>ROUND(IF(ISERROR(IRR($B127:AN127)),0,IRR($B127:AN127)),4)</f>
        <v>0.1857</v>
      </c>
      <c r="AO129" s="223">
        <f>ROUND(IF(ISERROR(IRR($B127:AO127)),0,IRR($B127:AO127)),4)</f>
        <v>0.1857</v>
      </c>
      <c r="AP129" s="223">
        <f>ROUND(IF(ISERROR(IRR($B127:AP127)),0,IRR($B127:AP127)),4)</f>
        <v>0.1857</v>
      </c>
    </row>
    <row r="130" spans="1:42">
      <c r="A130" s="202" t="s">
        <v>419</v>
      </c>
      <c r="B130" s="291">
        <f>B127</f>
        <v>-9467748.6156450175</v>
      </c>
      <c r="C130" s="291">
        <f>NPV(DiscountRate,$C127:C127)+$B$127</f>
        <v>-8127016.9712439068</v>
      </c>
      <c r="D130" s="291">
        <f>NPV(DiscountRate,$C127:D127)+$B$127</f>
        <v>-6849108.6992860185</v>
      </c>
      <c r="E130" s="291">
        <f>NPV(DiscountRate,$C127:E127)+$B$127</f>
        <v>-5631369.0261447262</v>
      </c>
      <c r="F130" s="291">
        <f>NPV(DiscountRate,$C127:F127)+$B$127</f>
        <v>-4474051.8817558372</v>
      </c>
      <c r="G130" s="291">
        <f>NPV(DiscountRate,$C127:G127)+$B$127</f>
        <v>-3372700.8850103179</v>
      </c>
      <c r="H130" s="291">
        <f>NPV(DiscountRate,$C127:H127)+$B$127</f>
        <v>-2324791.0366138062</v>
      </c>
      <c r="I130" s="291">
        <f>NPV(DiscountRate,$C127:I127)+$B$127</f>
        <v>-1330238.4534479817</v>
      </c>
      <c r="J130" s="291">
        <f>NPV(DiscountRate,$C127:J127)+$B$127</f>
        <v>-385073.69717152975</v>
      </c>
      <c r="K130" s="291">
        <f>NPV(DiscountRate,$C127:K127)+$B$127</f>
        <v>513047.00410699472</v>
      </c>
      <c r="L130" s="291">
        <f>NPV(DiscountRate,$C127:L127)+$B$127</f>
        <v>2185221.631702451</v>
      </c>
      <c r="M130" s="291">
        <f>NPV(DiscountRate,$C127:M127)+$B$127</f>
        <v>4514867.3655902687</v>
      </c>
      <c r="N130" s="291">
        <f>NPV(DiscountRate,$C127:N127)+$B$127</f>
        <v>6717832.0381535105</v>
      </c>
      <c r="O130" s="291">
        <f>NPV(DiscountRate,$C127:O127)+$B$127</f>
        <v>7030916.3295064028</v>
      </c>
      <c r="P130" s="291">
        <f>NPV(DiscountRate,$C127:P127)+$B$127</f>
        <v>7327010.2282606475</v>
      </c>
      <c r="Q130" s="291">
        <f>NPV(DiscountRate,$C127:Q127)+$B$127</f>
        <v>7606976.86922298</v>
      </c>
      <c r="R130" s="291">
        <f>NPV(DiscountRate,$C127:R127)+$B$127</f>
        <v>7862247.0160539299</v>
      </c>
      <c r="S130" s="291">
        <f>NPV(DiscountRate,$C127:S127)+$B$127</f>
        <v>8103771.7972336523</v>
      </c>
      <c r="T130" s="291">
        <f>NPV(DiscountRate,$C127:T127)+$B$127</f>
        <v>8332239.8145713806</v>
      </c>
      <c r="U130" s="291">
        <f>NPV(DiscountRate,$C127:U127)+$B$127</f>
        <v>8548163.3359673508</v>
      </c>
      <c r="V130" s="291">
        <f>NPV(DiscountRate,$C127:V127)+$B$127</f>
        <v>8752330.6097359397</v>
      </c>
      <c r="W130" s="291">
        <f>NPV(DiscountRate,$C127:W127)+$B$127</f>
        <v>8945342.3288167566</v>
      </c>
      <c r="X130" s="291">
        <f>NPV(DiscountRate,$C127:X127)+$B$127</f>
        <v>9127255.0045878366</v>
      </c>
      <c r="Y130" s="291">
        <f>NPV(DiscountRate,$C127:Y127)+$B$127</f>
        <v>9298806.0155749582</v>
      </c>
      <c r="Z130" s="291">
        <f>NPV(DiscountRate,$C127:Z127)+$B$127</f>
        <v>9460568.5167488493</v>
      </c>
      <c r="AA130" s="291">
        <f>NPV(DiscountRate,$C127:AA127)+$B$127</f>
        <v>9618061.380358804</v>
      </c>
      <c r="AB130" s="291">
        <f>NPV(DiscountRate,$C127:AB127)+$B$127</f>
        <v>9766350.7345135324</v>
      </c>
      <c r="AC130" s="291">
        <f>NPV(DiscountRate,$C127:AC127)+$B$127</f>
        <v>9905965.8961357102</v>
      </c>
      <c r="AD130" s="291">
        <f>NPV(DiscountRate,$C127:AD127)+$B$127</f>
        <v>10037322.630958829</v>
      </c>
      <c r="AE130" s="291">
        <f>NPV(DiscountRate,$C127:AE127)+$B$127</f>
        <v>10160983.004386578</v>
      </c>
      <c r="AF130" s="291">
        <f>NPV(DiscountRate,$C127:AF127)+$B$127</f>
        <v>10339592.278995529</v>
      </c>
      <c r="AG130" s="291">
        <f>NPV(DiscountRate,$C127:AG127)+$B$127</f>
        <v>10339592.278995529</v>
      </c>
      <c r="AH130" s="291">
        <f>NPV(DiscountRate,$C127:AH127)+$B$127</f>
        <v>10339592.278995529</v>
      </c>
      <c r="AI130" s="291">
        <f>NPV(DiscountRate,$C127:AI127)+$B$127</f>
        <v>10339592.278995529</v>
      </c>
      <c r="AJ130" s="291">
        <f>NPV(DiscountRate,$C127:AJ127)+$B$127</f>
        <v>10339592.278995529</v>
      </c>
      <c r="AK130" s="291">
        <f>NPV(DiscountRate,$C127:AK127)+$B$127</f>
        <v>10339592.278995529</v>
      </c>
      <c r="AL130" s="291">
        <f>NPV(DiscountRate,$C127:AL127)+$B$127</f>
        <v>10339592.278995529</v>
      </c>
      <c r="AM130" s="291">
        <f>NPV(DiscountRate,$C127:AM127)+$B$127</f>
        <v>10339592.278995529</v>
      </c>
      <c r="AN130" s="291">
        <f>NPV(DiscountRate,$C127:AN127)+$B$127</f>
        <v>10339592.278995529</v>
      </c>
      <c r="AO130" s="291">
        <f>NPV(DiscountRate,$C127:AO127)+$B$127</f>
        <v>10339592.278995529</v>
      </c>
      <c r="AP130" s="291">
        <f>NPV(DiscountRate,$C127:AP127)+$B$127</f>
        <v>10339592.278995529</v>
      </c>
    </row>
    <row r="131" spans="1:42">
      <c r="A131" s="202"/>
      <c r="B131" s="164"/>
      <c r="C131" s="164"/>
      <c r="D131" s="164"/>
      <c r="E131" s="164"/>
      <c r="F131" s="164"/>
      <c r="G131" s="208"/>
      <c r="H131" s="208"/>
      <c r="I131" s="208"/>
      <c r="J131" s="208"/>
      <c r="K131" s="208"/>
      <c r="L131" s="208"/>
      <c r="M131" s="208"/>
      <c r="N131" s="208"/>
      <c r="O131" s="208"/>
      <c r="P131" s="208"/>
      <c r="Q131" s="208"/>
      <c r="R131" s="208"/>
      <c r="S131" s="208"/>
      <c r="T131" s="208"/>
      <c r="U131" s="208"/>
      <c r="V131" s="208"/>
      <c r="W131" s="208"/>
      <c r="X131" s="208"/>
      <c r="Y131" s="208"/>
      <c r="Z131" s="208"/>
      <c r="AA131" s="208"/>
      <c r="AB131" s="208"/>
      <c r="AC131" s="208"/>
      <c r="AD131" s="208"/>
      <c r="AE131" s="208"/>
      <c r="AF131" s="208"/>
      <c r="AG131" s="208"/>
      <c r="AH131" s="208"/>
      <c r="AI131" s="208"/>
      <c r="AJ131" s="208"/>
      <c r="AK131" s="208"/>
      <c r="AL131" s="208"/>
      <c r="AM131" s="208"/>
      <c r="AN131" s="208"/>
      <c r="AO131" s="208"/>
      <c r="AP131" s="208"/>
    </row>
    <row r="132" spans="1:42">
      <c r="A132" s="204" t="s">
        <v>253</v>
      </c>
      <c r="B132" s="164"/>
      <c r="C132" s="164"/>
      <c r="D132" s="164"/>
      <c r="E132" s="164"/>
      <c r="F132" s="164"/>
      <c r="G132" s="208"/>
      <c r="H132" s="208"/>
      <c r="I132" s="208"/>
      <c r="J132" s="208"/>
      <c r="K132" s="208"/>
      <c r="L132" s="208"/>
      <c r="M132" s="208"/>
      <c r="N132" s="208"/>
      <c r="O132" s="208"/>
      <c r="P132" s="208"/>
      <c r="Q132" s="208"/>
      <c r="R132" s="208"/>
      <c r="S132" s="208"/>
      <c r="T132" s="208"/>
      <c r="U132" s="208"/>
      <c r="V132" s="208"/>
      <c r="W132" s="208"/>
      <c r="X132" s="208"/>
      <c r="Y132" s="208"/>
      <c r="Z132" s="208"/>
      <c r="AA132" s="208"/>
      <c r="AB132" s="208"/>
      <c r="AC132" s="208"/>
      <c r="AD132" s="208"/>
      <c r="AE132" s="208"/>
      <c r="AF132" s="208"/>
      <c r="AG132" s="208"/>
      <c r="AH132" s="208"/>
      <c r="AI132" s="208"/>
      <c r="AJ132" s="208"/>
      <c r="AK132" s="208"/>
      <c r="AL132" s="208"/>
      <c r="AM132" s="208"/>
      <c r="AN132" s="208"/>
      <c r="AO132" s="208"/>
      <c r="AP132" s="208"/>
    </row>
    <row r="133" spans="1:42" s="119" customFormat="1">
      <c r="A133" s="219" t="s">
        <v>229</v>
      </c>
      <c r="B133" s="220"/>
      <c r="C133" s="220"/>
      <c r="D133" s="220"/>
      <c r="E133" s="220"/>
      <c r="F133" s="220"/>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46"/>
      <c r="AK133" s="146"/>
      <c r="AL133" s="146"/>
      <c r="AM133" s="146"/>
      <c r="AN133" s="146"/>
      <c r="AO133" s="146"/>
      <c r="AP133" s="146"/>
    </row>
    <row r="134" spans="1:42">
      <c r="A134" s="206" t="s">
        <v>224</v>
      </c>
      <c r="B134" s="208">
        <f>-'Inputs &amp; Results'!$C$177</f>
        <v>-9467748.6156450175</v>
      </c>
      <c r="C134" s="208">
        <v>0</v>
      </c>
      <c r="D134" s="208">
        <v>0</v>
      </c>
      <c r="E134" s="208">
        <v>0</v>
      </c>
      <c r="F134" s="208">
        <v>0</v>
      </c>
      <c r="G134" s="208">
        <v>0</v>
      </c>
      <c r="H134" s="208">
        <v>0</v>
      </c>
      <c r="I134" s="208">
        <v>0</v>
      </c>
      <c r="J134" s="208">
        <v>0</v>
      </c>
      <c r="K134" s="208">
        <v>0</v>
      </c>
      <c r="L134" s="208">
        <v>0</v>
      </c>
      <c r="M134" s="208">
        <v>0</v>
      </c>
      <c r="N134" s="208">
        <v>0</v>
      </c>
      <c r="O134" s="208">
        <v>0</v>
      </c>
      <c r="P134" s="208">
        <v>0</v>
      </c>
      <c r="Q134" s="208">
        <v>0</v>
      </c>
      <c r="R134" s="208">
        <v>0</v>
      </c>
      <c r="S134" s="208">
        <v>0</v>
      </c>
      <c r="T134" s="208">
        <v>0</v>
      </c>
      <c r="U134" s="208">
        <v>0</v>
      </c>
      <c r="V134" s="208">
        <v>0</v>
      </c>
      <c r="W134" s="208">
        <v>0</v>
      </c>
      <c r="X134" s="208">
        <v>0</v>
      </c>
      <c r="Y134" s="208">
        <v>0</v>
      </c>
      <c r="Z134" s="208">
        <v>0</v>
      </c>
      <c r="AA134" s="208">
        <v>0</v>
      </c>
      <c r="AB134" s="208">
        <v>0</v>
      </c>
      <c r="AC134" s="208">
        <v>0</v>
      </c>
      <c r="AD134" s="208">
        <v>0</v>
      </c>
      <c r="AE134" s="208">
        <v>0</v>
      </c>
      <c r="AF134" s="208">
        <v>0</v>
      </c>
      <c r="AG134" s="208">
        <v>0</v>
      </c>
      <c r="AH134" s="208">
        <v>0</v>
      </c>
      <c r="AI134" s="208">
        <v>0</v>
      </c>
      <c r="AJ134" s="208">
        <v>0</v>
      </c>
      <c r="AK134" s="208">
        <v>0</v>
      </c>
      <c r="AL134" s="208">
        <v>0</v>
      </c>
      <c r="AM134" s="208">
        <v>0</v>
      </c>
      <c r="AN134" s="208">
        <v>0</v>
      </c>
      <c r="AO134" s="208">
        <v>0</v>
      </c>
      <c r="AP134" s="208">
        <v>0</v>
      </c>
    </row>
    <row r="135" spans="1:42">
      <c r="A135" s="206" t="s">
        <v>225</v>
      </c>
      <c r="B135" s="209">
        <v>0</v>
      </c>
      <c r="C135" s="209">
        <f>IF(B$152&lt;LPFFlipTarget,LPFTEPreFlipCash*C96,LPFTEPostFlipCash*C96)</f>
        <v>1447990.1759531994</v>
      </c>
      <c r="D135" s="209">
        <f t="shared" ref="D135:AP135" si="381">IF(C$152&lt;LPFFlipTarget,LPFTEPreFlipCash*D96,LPFTEPostFlipCash*D96)</f>
        <v>1490552.2084116812</v>
      </c>
      <c r="E135" s="209">
        <f t="shared" si="381"/>
        <v>1534001.2791321639</v>
      </c>
      <c r="F135" s="209">
        <f t="shared" si="381"/>
        <v>1574517.1981598099</v>
      </c>
      <c r="G135" s="209">
        <f t="shared" si="381"/>
        <v>1618245.9419298579</v>
      </c>
      <c r="H135" s="209">
        <f t="shared" si="381"/>
        <v>1662901.2311805636</v>
      </c>
      <c r="I135" s="209">
        <f t="shared" si="381"/>
        <v>1704488.3536069512</v>
      </c>
      <c r="J135" s="209">
        <f t="shared" si="381"/>
        <v>1749434.0010857952</v>
      </c>
      <c r="K135" s="209">
        <f t="shared" si="381"/>
        <v>1795347.4375540491</v>
      </c>
      <c r="L135" s="209">
        <f t="shared" si="381"/>
        <v>3610099.6033211439</v>
      </c>
      <c r="M135" s="209">
        <f t="shared" si="381"/>
        <v>5431892.8424547482</v>
      </c>
      <c r="N135" s="209">
        <f t="shared" si="381"/>
        <v>5547439.8068566592</v>
      </c>
      <c r="O135" s="209">
        <f t="shared" si="381"/>
        <v>851471.46705272654</v>
      </c>
      <c r="P135" s="209">
        <f t="shared" si="381"/>
        <v>869685.11160255549</v>
      </c>
      <c r="Q135" s="209">
        <f t="shared" si="381"/>
        <v>888101.5314665488</v>
      </c>
      <c r="R135" s="209">
        <f t="shared" si="381"/>
        <v>874540.88159831369</v>
      </c>
      <c r="S135" s="209">
        <f t="shared" si="381"/>
        <v>893646.05104680452</v>
      </c>
      <c r="T135" s="209">
        <f t="shared" si="381"/>
        <v>912962.65222167643</v>
      </c>
      <c r="U135" s="209">
        <f t="shared" si="381"/>
        <v>931861.36997746804</v>
      </c>
      <c r="V135" s="209">
        <f t="shared" si="381"/>
        <v>951614.91321193613</v>
      </c>
      <c r="W135" s="209">
        <f t="shared" si="381"/>
        <v>971588.8989680981</v>
      </c>
      <c r="X135" s="209">
        <f t="shared" si="381"/>
        <v>988975.61339110101</v>
      </c>
      <c r="Y135" s="209">
        <f t="shared" si="381"/>
        <v>1007255.5243755479</v>
      </c>
      <c r="Z135" s="209">
        <f t="shared" si="381"/>
        <v>1025765.2564516517</v>
      </c>
      <c r="AA135" s="209">
        <f t="shared" si="381"/>
        <v>1078585.9700143447</v>
      </c>
      <c r="AB135" s="209">
        <f t="shared" si="381"/>
        <v>1096800.4408954189</v>
      </c>
      <c r="AC135" s="209">
        <f t="shared" si="381"/>
        <v>1115254.4930241772</v>
      </c>
      <c r="AD135" s="209">
        <f t="shared" si="381"/>
        <v>1133228.5258865624</v>
      </c>
      <c r="AE135" s="209">
        <f t="shared" si="381"/>
        <v>1152177.6931278938</v>
      </c>
      <c r="AF135" s="209">
        <f t="shared" si="381"/>
        <v>1797283.8475962006</v>
      </c>
      <c r="AG135" s="209">
        <f t="shared" si="381"/>
        <v>0</v>
      </c>
      <c r="AH135" s="209">
        <f t="shared" si="381"/>
        <v>0</v>
      </c>
      <c r="AI135" s="209">
        <f t="shared" si="381"/>
        <v>0</v>
      </c>
      <c r="AJ135" s="209">
        <f t="shared" si="381"/>
        <v>0</v>
      </c>
      <c r="AK135" s="209">
        <f t="shared" si="381"/>
        <v>0</v>
      </c>
      <c r="AL135" s="209">
        <f t="shared" si="381"/>
        <v>0</v>
      </c>
      <c r="AM135" s="209">
        <f t="shared" si="381"/>
        <v>0</v>
      </c>
      <c r="AN135" s="209">
        <f t="shared" si="381"/>
        <v>0</v>
      </c>
      <c r="AO135" s="209">
        <f t="shared" si="381"/>
        <v>0</v>
      </c>
      <c r="AP135" s="209">
        <f t="shared" si="381"/>
        <v>0</v>
      </c>
    </row>
    <row r="136" spans="1:42">
      <c r="A136" s="206" t="s">
        <v>230</v>
      </c>
      <c r="B136" s="164">
        <f>SUM(B134:B135)</f>
        <v>-9467748.6156450175</v>
      </c>
      <c r="C136" s="164">
        <f t="shared" ref="C136" si="382">SUM(C134:C135)</f>
        <v>1447990.1759531994</v>
      </c>
      <c r="D136" s="164">
        <f t="shared" ref="D136" si="383">SUM(D134:D135)</f>
        <v>1490552.2084116812</v>
      </c>
      <c r="E136" s="164">
        <f t="shared" ref="E136" si="384">SUM(E134:E135)</f>
        <v>1534001.2791321639</v>
      </c>
      <c r="F136" s="164">
        <f t="shared" ref="F136" si="385">SUM(F134:F135)</f>
        <v>1574517.1981598099</v>
      </c>
      <c r="G136" s="164">
        <f t="shared" ref="G136" si="386">SUM(G134:G135)</f>
        <v>1618245.9419298579</v>
      </c>
      <c r="H136" s="164">
        <f t="shared" ref="H136" si="387">SUM(H134:H135)</f>
        <v>1662901.2311805636</v>
      </c>
      <c r="I136" s="164">
        <f t="shared" ref="I136" si="388">SUM(I134:I135)</f>
        <v>1704488.3536069512</v>
      </c>
      <c r="J136" s="164">
        <f t="shared" ref="J136" si="389">SUM(J134:J135)</f>
        <v>1749434.0010857952</v>
      </c>
      <c r="K136" s="164">
        <f t="shared" ref="K136" si="390">SUM(K134:K135)</f>
        <v>1795347.4375540491</v>
      </c>
      <c r="L136" s="164">
        <f t="shared" ref="L136" si="391">SUM(L134:L135)</f>
        <v>3610099.6033211439</v>
      </c>
      <c r="M136" s="164">
        <f t="shared" ref="M136" si="392">SUM(M134:M135)</f>
        <v>5431892.8424547482</v>
      </c>
      <c r="N136" s="164">
        <f t="shared" ref="N136" si="393">SUM(N134:N135)</f>
        <v>5547439.8068566592</v>
      </c>
      <c r="O136" s="164">
        <f t="shared" ref="O136" si="394">SUM(O134:O135)</f>
        <v>851471.46705272654</v>
      </c>
      <c r="P136" s="164">
        <f t="shared" ref="P136" si="395">SUM(P134:P135)</f>
        <v>869685.11160255549</v>
      </c>
      <c r="Q136" s="164">
        <f t="shared" ref="Q136" si="396">SUM(Q134:Q135)</f>
        <v>888101.5314665488</v>
      </c>
      <c r="R136" s="164">
        <f t="shared" ref="R136" si="397">SUM(R134:R135)</f>
        <v>874540.88159831369</v>
      </c>
      <c r="S136" s="164">
        <f t="shared" ref="S136" si="398">SUM(S134:S135)</f>
        <v>893646.05104680452</v>
      </c>
      <c r="T136" s="164">
        <f t="shared" ref="T136" si="399">SUM(T134:T135)</f>
        <v>912962.65222167643</v>
      </c>
      <c r="U136" s="164">
        <f t="shared" ref="U136" si="400">SUM(U134:U135)</f>
        <v>931861.36997746804</v>
      </c>
      <c r="V136" s="164">
        <f t="shared" ref="V136" si="401">SUM(V134:V135)</f>
        <v>951614.91321193613</v>
      </c>
      <c r="W136" s="164">
        <f t="shared" ref="W136" si="402">SUM(W134:W135)</f>
        <v>971588.8989680981</v>
      </c>
      <c r="X136" s="164">
        <f t="shared" ref="X136" si="403">SUM(X134:X135)</f>
        <v>988975.61339110101</v>
      </c>
      <c r="Y136" s="164">
        <f t="shared" ref="Y136" si="404">SUM(Y134:Y135)</f>
        <v>1007255.5243755479</v>
      </c>
      <c r="Z136" s="164">
        <f t="shared" ref="Z136" si="405">SUM(Z134:Z135)</f>
        <v>1025765.2564516517</v>
      </c>
      <c r="AA136" s="164">
        <f t="shared" ref="AA136" si="406">SUM(AA134:AA135)</f>
        <v>1078585.9700143447</v>
      </c>
      <c r="AB136" s="164">
        <f t="shared" ref="AB136" si="407">SUM(AB134:AB135)</f>
        <v>1096800.4408954189</v>
      </c>
      <c r="AC136" s="164">
        <f t="shared" ref="AC136" si="408">SUM(AC134:AC135)</f>
        <v>1115254.4930241772</v>
      </c>
      <c r="AD136" s="164">
        <f t="shared" ref="AD136" si="409">SUM(AD134:AD135)</f>
        <v>1133228.5258865624</v>
      </c>
      <c r="AE136" s="164">
        <f t="shared" ref="AE136" si="410">SUM(AE134:AE135)</f>
        <v>1152177.6931278938</v>
      </c>
      <c r="AF136" s="164">
        <f t="shared" ref="AF136" si="411">SUM(AF134:AF135)</f>
        <v>1797283.8475962006</v>
      </c>
      <c r="AG136" s="164">
        <f t="shared" ref="AG136" si="412">SUM(AG134:AG135)</f>
        <v>0</v>
      </c>
      <c r="AH136" s="164">
        <f t="shared" ref="AH136" si="413">SUM(AH134:AH135)</f>
        <v>0</v>
      </c>
      <c r="AI136" s="164">
        <f t="shared" ref="AI136" si="414">SUM(AI134:AI135)</f>
        <v>0</v>
      </c>
      <c r="AJ136" s="164">
        <f t="shared" ref="AJ136" si="415">SUM(AJ134:AJ135)</f>
        <v>0</v>
      </c>
      <c r="AK136" s="164">
        <f t="shared" ref="AK136" si="416">SUM(AK134:AK135)</f>
        <v>0</v>
      </c>
      <c r="AL136" s="164">
        <f t="shared" ref="AL136" si="417">SUM(AL134:AL135)</f>
        <v>0</v>
      </c>
      <c r="AM136" s="164">
        <f t="shared" ref="AM136" si="418">SUM(AM134:AM135)</f>
        <v>0</v>
      </c>
      <c r="AN136" s="164">
        <f t="shared" ref="AN136" si="419">SUM(AN134:AN135)</f>
        <v>0</v>
      </c>
      <c r="AO136" s="164">
        <f t="shared" ref="AO136" si="420">SUM(AO134:AO135)</f>
        <v>0</v>
      </c>
      <c r="AP136" s="164">
        <f t="shared" ref="AP136" si="421">SUM(AP134:AP135)</f>
        <v>0</v>
      </c>
    </row>
    <row r="137" spans="1:42">
      <c r="A137" s="202" t="s">
        <v>33</v>
      </c>
      <c r="B137" s="164"/>
      <c r="C137" s="164"/>
      <c r="D137" s="164"/>
      <c r="E137" s="164"/>
      <c r="F137" s="164"/>
      <c r="G137" s="208"/>
      <c r="H137" s="208"/>
      <c r="I137" s="208"/>
      <c r="J137" s="208"/>
      <c r="K137" s="208"/>
      <c r="L137" s="208"/>
      <c r="M137" s="208"/>
      <c r="N137" s="208"/>
      <c r="O137" s="208"/>
      <c r="P137" s="208"/>
      <c r="Q137" s="208"/>
      <c r="R137" s="208"/>
      <c r="S137" s="208"/>
      <c r="T137" s="208"/>
      <c r="U137" s="208"/>
      <c r="V137" s="208"/>
      <c r="W137" s="208"/>
      <c r="X137" s="208"/>
      <c r="Y137" s="208"/>
      <c r="Z137" s="208"/>
      <c r="AA137" s="208"/>
      <c r="AB137" s="208"/>
      <c r="AC137" s="208"/>
      <c r="AD137" s="208"/>
      <c r="AE137" s="208"/>
      <c r="AF137" s="208"/>
      <c r="AG137" s="208"/>
      <c r="AH137" s="208"/>
      <c r="AI137" s="208"/>
      <c r="AJ137" s="208"/>
      <c r="AK137" s="208"/>
      <c r="AL137" s="208"/>
      <c r="AM137" s="208"/>
      <c r="AN137" s="208"/>
      <c r="AO137" s="208"/>
      <c r="AP137" s="208"/>
    </row>
    <row r="138" spans="1:42">
      <c r="A138" s="206" t="s">
        <v>37</v>
      </c>
      <c r="B138" s="164">
        <v>0</v>
      </c>
      <c r="C138" s="164">
        <f t="shared" ref="C138:AP138" si="422">IF(B$152&lt;LPFFlipTarget,LPFTEPreFlipTax*C99,LPFTEPostFlipTax*C99)</f>
        <v>19600</v>
      </c>
      <c r="D138" s="164">
        <f t="shared" si="422"/>
        <v>0</v>
      </c>
      <c r="E138" s="164">
        <f t="shared" si="422"/>
        <v>0</v>
      </c>
      <c r="F138" s="164">
        <f t="shared" si="422"/>
        <v>0</v>
      </c>
      <c r="G138" s="164">
        <f t="shared" si="422"/>
        <v>0</v>
      </c>
      <c r="H138" s="164">
        <f t="shared" si="422"/>
        <v>0</v>
      </c>
      <c r="I138" s="164">
        <f t="shared" si="422"/>
        <v>0</v>
      </c>
      <c r="J138" s="164">
        <f t="shared" si="422"/>
        <v>0</v>
      </c>
      <c r="K138" s="164">
        <f t="shared" si="422"/>
        <v>0</v>
      </c>
      <c r="L138" s="164">
        <f t="shared" si="422"/>
        <v>0</v>
      </c>
      <c r="M138" s="164">
        <f t="shared" si="422"/>
        <v>0</v>
      </c>
      <c r="N138" s="164">
        <f t="shared" si="422"/>
        <v>0</v>
      </c>
      <c r="O138" s="164">
        <f t="shared" si="422"/>
        <v>0</v>
      </c>
      <c r="P138" s="164">
        <f t="shared" si="422"/>
        <v>0</v>
      </c>
      <c r="Q138" s="164">
        <f t="shared" si="422"/>
        <v>0</v>
      </c>
      <c r="R138" s="164">
        <f t="shared" si="422"/>
        <v>0</v>
      </c>
      <c r="S138" s="164">
        <f t="shared" si="422"/>
        <v>0</v>
      </c>
      <c r="T138" s="164">
        <f t="shared" si="422"/>
        <v>0</v>
      </c>
      <c r="U138" s="164">
        <f t="shared" si="422"/>
        <v>0</v>
      </c>
      <c r="V138" s="164">
        <f t="shared" si="422"/>
        <v>0</v>
      </c>
      <c r="W138" s="164">
        <f t="shared" si="422"/>
        <v>0</v>
      </c>
      <c r="X138" s="164">
        <f t="shared" si="422"/>
        <v>0</v>
      </c>
      <c r="Y138" s="164">
        <f t="shared" si="422"/>
        <v>0</v>
      </c>
      <c r="Z138" s="164">
        <f t="shared" si="422"/>
        <v>0</v>
      </c>
      <c r="AA138" s="164">
        <f t="shared" si="422"/>
        <v>0</v>
      </c>
      <c r="AB138" s="164">
        <f t="shared" si="422"/>
        <v>0</v>
      </c>
      <c r="AC138" s="164">
        <f t="shared" si="422"/>
        <v>0</v>
      </c>
      <c r="AD138" s="164">
        <f t="shared" si="422"/>
        <v>0</v>
      </c>
      <c r="AE138" s="164">
        <f t="shared" si="422"/>
        <v>0</v>
      </c>
      <c r="AF138" s="164">
        <f t="shared" si="422"/>
        <v>0</v>
      </c>
      <c r="AG138" s="164">
        <f t="shared" si="422"/>
        <v>0</v>
      </c>
      <c r="AH138" s="164">
        <f t="shared" si="422"/>
        <v>0</v>
      </c>
      <c r="AI138" s="164">
        <f t="shared" si="422"/>
        <v>0</v>
      </c>
      <c r="AJ138" s="164">
        <f t="shared" si="422"/>
        <v>0</v>
      </c>
      <c r="AK138" s="164">
        <f t="shared" si="422"/>
        <v>0</v>
      </c>
      <c r="AL138" s="164">
        <f t="shared" si="422"/>
        <v>0</v>
      </c>
      <c r="AM138" s="164">
        <f t="shared" si="422"/>
        <v>0</v>
      </c>
      <c r="AN138" s="164">
        <f t="shared" si="422"/>
        <v>0</v>
      </c>
      <c r="AO138" s="164">
        <f t="shared" si="422"/>
        <v>0</v>
      </c>
      <c r="AP138" s="164">
        <f t="shared" si="422"/>
        <v>0</v>
      </c>
    </row>
    <row r="139" spans="1:42">
      <c r="A139" s="206" t="s">
        <v>36</v>
      </c>
      <c r="B139" s="209">
        <v>0</v>
      </c>
      <c r="C139" s="209">
        <f t="shared" ref="C139:AP139" si="423">IF(B$152&lt;LPFFlipTarget,LPFTEPreFlipTax*C100,LPFTEPostFlipTax*C100)</f>
        <v>9800</v>
      </c>
      <c r="D139" s="209">
        <f t="shared" si="423"/>
        <v>0</v>
      </c>
      <c r="E139" s="209">
        <f t="shared" si="423"/>
        <v>0</v>
      </c>
      <c r="F139" s="209">
        <f t="shared" si="423"/>
        <v>0</v>
      </c>
      <c r="G139" s="209">
        <f t="shared" si="423"/>
        <v>0</v>
      </c>
      <c r="H139" s="209">
        <f t="shared" si="423"/>
        <v>0</v>
      </c>
      <c r="I139" s="209">
        <f t="shared" si="423"/>
        <v>0</v>
      </c>
      <c r="J139" s="209">
        <f t="shared" si="423"/>
        <v>0</v>
      </c>
      <c r="K139" s="209">
        <f t="shared" si="423"/>
        <v>0</v>
      </c>
      <c r="L139" s="209">
        <f t="shared" si="423"/>
        <v>0</v>
      </c>
      <c r="M139" s="209">
        <f t="shared" si="423"/>
        <v>0</v>
      </c>
      <c r="N139" s="209">
        <f t="shared" si="423"/>
        <v>0</v>
      </c>
      <c r="O139" s="209">
        <f t="shared" si="423"/>
        <v>0</v>
      </c>
      <c r="P139" s="209">
        <f t="shared" si="423"/>
        <v>0</v>
      </c>
      <c r="Q139" s="209">
        <f t="shared" si="423"/>
        <v>0</v>
      </c>
      <c r="R139" s="209">
        <f t="shared" si="423"/>
        <v>0</v>
      </c>
      <c r="S139" s="209">
        <f t="shared" si="423"/>
        <v>0</v>
      </c>
      <c r="T139" s="209">
        <f t="shared" si="423"/>
        <v>0</v>
      </c>
      <c r="U139" s="209">
        <f t="shared" si="423"/>
        <v>0</v>
      </c>
      <c r="V139" s="209">
        <f t="shared" si="423"/>
        <v>0</v>
      </c>
      <c r="W139" s="209">
        <f t="shared" si="423"/>
        <v>0</v>
      </c>
      <c r="X139" s="209">
        <f t="shared" si="423"/>
        <v>0</v>
      </c>
      <c r="Y139" s="209">
        <f t="shared" si="423"/>
        <v>0</v>
      </c>
      <c r="Z139" s="209">
        <f t="shared" si="423"/>
        <v>0</v>
      </c>
      <c r="AA139" s="209">
        <f t="shared" si="423"/>
        <v>0</v>
      </c>
      <c r="AB139" s="209">
        <f t="shared" si="423"/>
        <v>0</v>
      </c>
      <c r="AC139" s="209">
        <f t="shared" si="423"/>
        <v>0</v>
      </c>
      <c r="AD139" s="209">
        <f t="shared" si="423"/>
        <v>0</v>
      </c>
      <c r="AE139" s="209">
        <f t="shared" si="423"/>
        <v>0</v>
      </c>
      <c r="AF139" s="209">
        <f t="shared" si="423"/>
        <v>0</v>
      </c>
      <c r="AG139" s="209">
        <f t="shared" si="423"/>
        <v>0</v>
      </c>
      <c r="AH139" s="209">
        <f t="shared" si="423"/>
        <v>0</v>
      </c>
      <c r="AI139" s="209">
        <f t="shared" si="423"/>
        <v>0</v>
      </c>
      <c r="AJ139" s="209">
        <f t="shared" si="423"/>
        <v>0</v>
      </c>
      <c r="AK139" s="209">
        <f t="shared" si="423"/>
        <v>0</v>
      </c>
      <c r="AL139" s="209">
        <f t="shared" si="423"/>
        <v>0</v>
      </c>
      <c r="AM139" s="209">
        <f t="shared" si="423"/>
        <v>0</v>
      </c>
      <c r="AN139" s="209">
        <f t="shared" si="423"/>
        <v>0</v>
      </c>
      <c r="AO139" s="209">
        <f t="shared" si="423"/>
        <v>0</v>
      </c>
      <c r="AP139" s="209">
        <f t="shared" si="423"/>
        <v>0</v>
      </c>
    </row>
    <row r="140" spans="1:42">
      <c r="A140" s="206" t="s">
        <v>53</v>
      </c>
      <c r="B140" s="164">
        <f>SUM(B138:B139)</f>
        <v>0</v>
      </c>
      <c r="C140" s="164">
        <f>SUM(C138:C139)</f>
        <v>29400</v>
      </c>
      <c r="D140" s="164">
        <f>SUM(D138:D139)</f>
        <v>0</v>
      </c>
      <c r="E140" s="164">
        <f t="shared" ref="E140" si="424">SUM(E138:E139)</f>
        <v>0</v>
      </c>
      <c r="F140" s="164">
        <f t="shared" ref="F140" si="425">SUM(F138:F139)</f>
        <v>0</v>
      </c>
      <c r="G140" s="164">
        <f t="shared" ref="G140" si="426">SUM(G138:G139)</f>
        <v>0</v>
      </c>
      <c r="H140" s="164">
        <f t="shared" ref="H140" si="427">SUM(H138:H139)</f>
        <v>0</v>
      </c>
      <c r="I140" s="164">
        <f t="shared" ref="I140" si="428">SUM(I138:I139)</f>
        <v>0</v>
      </c>
      <c r="J140" s="164">
        <f t="shared" ref="J140" si="429">SUM(J138:J139)</f>
        <v>0</v>
      </c>
      <c r="K140" s="164">
        <f t="shared" ref="K140" si="430">SUM(K138:K139)</f>
        <v>0</v>
      </c>
      <c r="L140" s="164">
        <f t="shared" ref="L140" si="431">SUM(L138:L139)</f>
        <v>0</v>
      </c>
      <c r="M140" s="164">
        <f t="shared" ref="M140" si="432">SUM(M138:M139)</f>
        <v>0</v>
      </c>
      <c r="N140" s="164">
        <f t="shared" ref="N140" si="433">SUM(N138:N139)</f>
        <v>0</v>
      </c>
      <c r="O140" s="164">
        <f t="shared" ref="O140" si="434">SUM(O138:O139)</f>
        <v>0</v>
      </c>
      <c r="P140" s="164">
        <f t="shared" ref="P140" si="435">SUM(P138:P139)</f>
        <v>0</v>
      </c>
      <c r="Q140" s="164">
        <f t="shared" ref="Q140" si="436">SUM(Q138:Q139)</f>
        <v>0</v>
      </c>
      <c r="R140" s="164">
        <f t="shared" ref="R140" si="437">SUM(R138:R139)</f>
        <v>0</v>
      </c>
      <c r="S140" s="164">
        <f t="shared" ref="S140" si="438">SUM(S138:S139)</f>
        <v>0</v>
      </c>
      <c r="T140" s="164">
        <f t="shared" ref="T140" si="439">SUM(T138:T139)</f>
        <v>0</v>
      </c>
      <c r="U140" s="164">
        <f t="shared" ref="U140" si="440">SUM(U138:U139)</f>
        <v>0</v>
      </c>
      <c r="V140" s="164">
        <f t="shared" ref="V140" si="441">SUM(V138:V139)</f>
        <v>0</v>
      </c>
      <c r="W140" s="164">
        <f t="shared" ref="W140" si="442">SUM(W138:W139)</f>
        <v>0</v>
      </c>
      <c r="X140" s="164">
        <f t="shared" ref="X140" si="443">SUM(X138:X139)</f>
        <v>0</v>
      </c>
      <c r="Y140" s="164">
        <f t="shared" ref="Y140" si="444">SUM(Y138:Y139)</f>
        <v>0</v>
      </c>
      <c r="Z140" s="164">
        <f t="shared" ref="Z140" si="445">SUM(Z138:Z139)</f>
        <v>0</v>
      </c>
      <c r="AA140" s="164">
        <f t="shared" ref="AA140" si="446">SUM(AA138:AA139)</f>
        <v>0</v>
      </c>
      <c r="AB140" s="164">
        <f t="shared" ref="AB140" si="447">SUM(AB138:AB139)</f>
        <v>0</v>
      </c>
      <c r="AC140" s="164">
        <f t="shared" ref="AC140" si="448">SUM(AC138:AC139)</f>
        <v>0</v>
      </c>
      <c r="AD140" s="164">
        <f t="shared" ref="AD140" si="449">SUM(AD138:AD139)</f>
        <v>0</v>
      </c>
      <c r="AE140" s="164">
        <f t="shared" ref="AE140" si="450">SUM(AE138:AE139)</f>
        <v>0</v>
      </c>
      <c r="AF140" s="164">
        <f t="shared" ref="AF140" si="451">SUM(AF138:AF139)</f>
        <v>0</v>
      </c>
      <c r="AG140" s="164">
        <f t="shared" ref="AG140" si="452">SUM(AG138:AG139)</f>
        <v>0</v>
      </c>
      <c r="AH140" s="164">
        <f t="shared" ref="AH140" si="453">SUM(AH138:AH139)</f>
        <v>0</v>
      </c>
      <c r="AI140" s="164">
        <f t="shared" ref="AI140" si="454">SUM(AI138:AI139)</f>
        <v>0</v>
      </c>
      <c r="AJ140" s="164">
        <f t="shared" ref="AJ140" si="455">SUM(AJ138:AJ139)</f>
        <v>0</v>
      </c>
      <c r="AK140" s="164">
        <f t="shared" ref="AK140" si="456">SUM(AK138:AK139)</f>
        <v>0</v>
      </c>
      <c r="AL140" s="164">
        <f t="shared" ref="AL140" si="457">SUM(AL138:AL139)</f>
        <v>0</v>
      </c>
      <c r="AM140" s="164">
        <f t="shared" ref="AM140" si="458">SUM(AM138:AM139)</f>
        <v>0</v>
      </c>
      <c r="AN140" s="164">
        <f t="shared" ref="AN140" si="459">SUM(AN138:AN139)</f>
        <v>0</v>
      </c>
      <c r="AO140" s="164">
        <f t="shared" ref="AO140" si="460">SUM(AO138:AO139)</f>
        <v>0</v>
      </c>
      <c r="AP140" s="164">
        <f t="shared" ref="AP140" si="461">SUM(AP138:AP139)</f>
        <v>0</v>
      </c>
    </row>
    <row r="141" spans="1:42">
      <c r="A141" s="202" t="s">
        <v>38</v>
      </c>
      <c r="B141" s="164"/>
      <c r="C141" s="164"/>
      <c r="D141" s="164"/>
      <c r="E141" s="164"/>
      <c r="F141" s="164"/>
      <c r="G141" s="208"/>
      <c r="H141" s="208"/>
      <c r="I141" s="208"/>
      <c r="J141" s="208"/>
      <c r="K141" s="208"/>
      <c r="L141" s="208"/>
      <c r="M141" s="208"/>
      <c r="N141" s="208"/>
      <c r="O141" s="208"/>
      <c r="P141" s="208"/>
      <c r="Q141" s="208"/>
      <c r="R141" s="208"/>
      <c r="S141" s="208"/>
      <c r="T141" s="208"/>
      <c r="U141" s="208"/>
      <c r="V141" s="208"/>
      <c r="W141" s="208"/>
      <c r="X141" s="208"/>
      <c r="Y141" s="208"/>
      <c r="Z141" s="208"/>
      <c r="AA141" s="208"/>
      <c r="AB141" s="208"/>
      <c r="AC141" s="208"/>
      <c r="AD141" s="208"/>
      <c r="AE141" s="208"/>
      <c r="AF141" s="208"/>
      <c r="AG141" s="208"/>
      <c r="AH141" s="208"/>
      <c r="AI141" s="208"/>
      <c r="AJ141" s="208"/>
      <c r="AK141" s="208"/>
      <c r="AL141" s="208"/>
      <c r="AM141" s="208"/>
      <c r="AN141" s="208"/>
      <c r="AO141" s="208"/>
      <c r="AP141" s="208"/>
    </row>
    <row r="142" spans="1:42">
      <c r="A142" s="206" t="s">
        <v>37</v>
      </c>
      <c r="B142" s="164">
        <f>B644</f>
        <v>0</v>
      </c>
      <c r="C142" s="164">
        <f t="shared" ref="C142:AP142" si="462">IF(B$152&lt;LPFFlipTarget,LPFTEPreFlipTax*C103,LPFTEPostFlipTax*C103)</f>
        <v>0</v>
      </c>
      <c r="D142" s="164">
        <f t="shared" si="462"/>
        <v>0</v>
      </c>
      <c r="E142" s="164">
        <f t="shared" si="462"/>
        <v>0</v>
      </c>
      <c r="F142" s="164">
        <f t="shared" si="462"/>
        <v>0</v>
      </c>
      <c r="G142" s="164">
        <f t="shared" si="462"/>
        <v>0</v>
      </c>
      <c r="H142" s="164">
        <f t="shared" si="462"/>
        <v>0</v>
      </c>
      <c r="I142" s="164">
        <f t="shared" si="462"/>
        <v>0</v>
      </c>
      <c r="J142" s="164">
        <f t="shared" si="462"/>
        <v>0</v>
      </c>
      <c r="K142" s="164">
        <f t="shared" si="462"/>
        <v>0</v>
      </c>
      <c r="L142" s="164">
        <f t="shared" si="462"/>
        <v>0</v>
      </c>
      <c r="M142" s="164">
        <f t="shared" si="462"/>
        <v>0</v>
      </c>
      <c r="N142" s="164">
        <f t="shared" si="462"/>
        <v>0</v>
      </c>
      <c r="O142" s="164">
        <f t="shared" si="462"/>
        <v>0</v>
      </c>
      <c r="P142" s="164">
        <f t="shared" si="462"/>
        <v>0</v>
      </c>
      <c r="Q142" s="164">
        <f t="shared" si="462"/>
        <v>0</v>
      </c>
      <c r="R142" s="164">
        <f t="shared" si="462"/>
        <v>0</v>
      </c>
      <c r="S142" s="164">
        <f t="shared" si="462"/>
        <v>0</v>
      </c>
      <c r="T142" s="164">
        <f t="shared" si="462"/>
        <v>0</v>
      </c>
      <c r="U142" s="164">
        <f t="shared" si="462"/>
        <v>0</v>
      </c>
      <c r="V142" s="164">
        <f t="shared" si="462"/>
        <v>0</v>
      </c>
      <c r="W142" s="164">
        <f t="shared" si="462"/>
        <v>0</v>
      </c>
      <c r="X142" s="164">
        <f t="shared" si="462"/>
        <v>0</v>
      </c>
      <c r="Y142" s="164">
        <f t="shared" si="462"/>
        <v>0</v>
      </c>
      <c r="Z142" s="164">
        <f t="shared" si="462"/>
        <v>0</v>
      </c>
      <c r="AA142" s="164">
        <f t="shared" si="462"/>
        <v>0</v>
      </c>
      <c r="AB142" s="164">
        <f t="shared" si="462"/>
        <v>0</v>
      </c>
      <c r="AC142" s="164">
        <f t="shared" si="462"/>
        <v>0</v>
      </c>
      <c r="AD142" s="164">
        <f t="shared" si="462"/>
        <v>0</v>
      </c>
      <c r="AE142" s="164">
        <f t="shared" si="462"/>
        <v>0</v>
      </c>
      <c r="AF142" s="164">
        <f t="shared" si="462"/>
        <v>0</v>
      </c>
      <c r="AG142" s="164">
        <f t="shared" si="462"/>
        <v>0</v>
      </c>
      <c r="AH142" s="164">
        <f t="shared" si="462"/>
        <v>0</v>
      </c>
      <c r="AI142" s="164">
        <f t="shared" si="462"/>
        <v>0</v>
      </c>
      <c r="AJ142" s="164">
        <f t="shared" si="462"/>
        <v>0</v>
      </c>
      <c r="AK142" s="164">
        <f t="shared" si="462"/>
        <v>0</v>
      </c>
      <c r="AL142" s="164">
        <f t="shared" si="462"/>
        <v>0</v>
      </c>
      <c r="AM142" s="164">
        <f t="shared" si="462"/>
        <v>0</v>
      </c>
      <c r="AN142" s="164">
        <f t="shared" si="462"/>
        <v>0</v>
      </c>
      <c r="AO142" s="164">
        <f t="shared" si="462"/>
        <v>0</v>
      </c>
      <c r="AP142" s="164">
        <f t="shared" si="462"/>
        <v>0</v>
      </c>
    </row>
    <row r="143" spans="1:42">
      <c r="A143" s="206" t="s">
        <v>36</v>
      </c>
      <c r="B143" s="209">
        <f>B650</f>
        <v>0</v>
      </c>
      <c r="C143" s="209">
        <f t="shared" ref="C143:AP143" si="463">IF(B$152&lt;LPFFlipTarget,LPFTEPreFlipTax*C104,LPFTEPostFlipTax*C104)</f>
        <v>0</v>
      </c>
      <c r="D143" s="209">
        <f t="shared" si="463"/>
        <v>0</v>
      </c>
      <c r="E143" s="209">
        <f t="shared" si="463"/>
        <v>0</v>
      </c>
      <c r="F143" s="209">
        <f t="shared" si="463"/>
        <v>0</v>
      </c>
      <c r="G143" s="209">
        <f t="shared" si="463"/>
        <v>0</v>
      </c>
      <c r="H143" s="209">
        <f t="shared" si="463"/>
        <v>0</v>
      </c>
      <c r="I143" s="209">
        <f t="shared" si="463"/>
        <v>0</v>
      </c>
      <c r="J143" s="209">
        <f t="shared" si="463"/>
        <v>0</v>
      </c>
      <c r="K143" s="209">
        <f t="shared" si="463"/>
        <v>0</v>
      </c>
      <c r="L143" s="209">
        <f t="shared" si="463"/>
        <v>0</v>
      </c>
      <c r="M143" s="209">
        <f t="shared" si="463"/>
        <v>0</v>
      </c>
      <c r="N143" s="209">
        <f t="shared" si="463"/>
        <v>0</v>
      </c>
      <c r="O143" s="209">
        <f t="shared" si="463"/>
        <v>0</v>
      </c>
      <c r="P143" s="209">
        <f t="shared" si="463"/>
        <v>0</v>
      </c>
      <c r="Q143" s="209">
        <f t="shared" si="463"/>
        <v>0</v>
      </c>
      <c r="R143" s="209">
        <f t="shared" si="463"/>
        <v>0</v>
      </c>
      <c r="S143" s="209">
        <f t="shared" si="463"/>
        <v>0</v>
      </c>
      <c r="T143" s="209">
        <f t="shared" si="463"/>
        <v>0</v>
      </c>
      <c r="U143" s="209">
        <f t="shared" si="463"/>
        <v>0</v>
      </c>
      <c r="V143" s="209">
        <f t="shared" si="463"/>
        <v>0</v>
      </c>
      <c r="W143" s="209">
        <f t="shared" si="463"/>
        <v>0</v>
      </c>
      <c r="X143" s="209">
        <f t="shared" si="463"/>
        <v>0</v>
      </c>
      <c r="Y143" s="209">
        <f t="shared" si="463"/>
        <v>0</v>
      </c>
      <c r="Z143" s="209">
        <f t="shared" si="463"/>
        <v>0</v>
      </c>
      <c r="AA143" s="209">
        <f t="shared" si="463"/>
        <v>0</v>
      </c>
      <c r="AB143" s="209">
        <f t="shared" si="463"/>
        <v>0</v>
      </c>
      <c r="AC143" s="209">
        <f t="shared" si="463"/>
        <v>0</v>
      </c>
      <c r="AD143" s="209">
        <f t="shared" si="463"/>
        <v>0</v>
      </c>
      <c r="AE143" s="209">
        <f t="shared" si="463"/>
        <v>0</v>
      </c>
      <c r="AF143" s="209">
        <f t="shared" si="463"/>
        <v>0</v>
      </c>
      <c r="AG143" s="209">
        <f t="shared" si="463"/>
        <v>0</v>
      </c>
      <c r="AH143" s="209">
        <f t="shared" si="463"/>
        <v>0</v>
      </c>
      <c r="AI143" s="209">
        <f t="shared" si="463"/>
        <v>0</v>
      </c>
      <c r="AJ143" s="209">
        <f t="shared" si="463"/>
        <v>0</v>
      </c>
      <c r="AK143" s="209">
        <f t="shared" si="463"/>
        <v>0</v>
      </c>
      <c r="AL143" s="209">
        <f t="shared" si="463"/>
        <v>0</v>
      </c>
      <c r="AM143" s="209">
        <f t="shared" si="463"/>
        <v>0</v>
      </c>
      <c r="AN143" s="209">
        <f t="shared" si="463"/>
        <v>0</v>
      </c>
      <c r="AO143" s="209">
        <f t="shared" si="463"/>
        <v>0</v>
      </c>
      <c r="AP143" s="209">
        <f t="shared" si="463"/>
        <v>0</v>
      </c>
    </row>
    <row r="144" spans="1:42">
      <c r="A144" s="206" t="s">
        <v>53</v>
      </c>
      <c r="B144" s="164">
        <f>SUM(B142:B143)</f>
        <v>0</v>
      </c>
      <c r="C144" s="164">
        <f>SUM(C142:C143)</f>
        <v>0</v>
      </c>
      <c r="D144" s="164">
        <f>SUM(D142:D143)</f>
        <v>0</v>
      </c>
      <c r="E144" s="164">
        <f t="shared" ref="E144" si="464">SUM(E142:E143)</f>
        <v>0</v>
      </c>
      <c r="F144" s="164">
        <f t="shared" ref="F144" si="465">SUM(F142:F143)</f>
        <v>0</v>
      </c>
      <c r="G144" s="164">
        <f t="shared" ref="G144" si="466">SUM(G142:G143)</f>
        <v>0</v>
      </c>
      <c r="H144" s="164">
        <f t="shared" ref="H144" si="467">SUM(H142:H143)</f>
        <v>0</v>
      </c>
      <c r="I144" s="164">
        <f t="shared" ref="I144" si="468">SUM(I142:I143)</f>
        <v>0</v>
      </c>
      <c r="J144" s="164">
        <f t="shared" ref="J144" si="469">SUM(J142:J143)</f>
        <v>0</v>
      </c>
      <c r="K144" s="164">
        <f t="shared" ref="K144" si="470">SUM(K142:K143)</f>
        <v>0</v>
      </c>
      <c r="L144" s="164">
        <f t="shared" ref="L144" si="471">SUM(L142:L143)</f>
        <v>0</v>
      </c>
      <c r="M144" s="164">
        <f t="shared" ref="M144" si="472">SUM(M142:M143)</f>
        <v>0</v>
      </c>
      <c r="N144" s="164">
        <f t="shared" ref="N144" si="473">SUM(N142:N143)</f>
        <v>0</v>
      </c>
      <c r="O144" s="164">
        <f t="shared" ref="O144" si="474">SUM(O142:O143)</f>
        <v>0</v>
      </c>
      <c r="P144" s="164">
        <f t="shared" ref="P144" si="475">SUM(P142:P143)</f>
        <v>0</v>
      </c>
      <c r="Q144" s="164">
        <f t="shared" ref="Q144" si="476">SUM(Q142:Q143)</f>
        <v>0</v>
      </c>
      <c r="R144" s="164">
        <f t="shared" ref="R144" si="477">SUM(R142:R143)</f>
        <v>0</v>
      </c>
      <c r="S144" s="164">
        <f t="shared" ref="S144" si="478">SUM(S142:S143)</f>
        <v>0</v>
      </c>
      <c r="T144" s="164">
        <f t="shared" ref="T144" si="479">SUM(T142:T143)</f>
        <v>0</v>
      </c>
      <c r="U144" s="164">
        <f t="shared" ref="U144" si="480">SUM(U142:U143)</f>
        <v>0</v>
      </c>
      <c r="V144" s="164">
        <f t="shared" ref="V144" si="481">SUM(V142:V143)</f>
        <v>0</v>
      </c>
      <c r="W144" s="164">
        <f t="shared" ref="W144" si="482">SUM(W142:W143)</f>
        <v>0</v>
      </c>
      <c r="X144" s="164">
        <f t="shared" ref="X144" si="483">SUM(X142:X143)</f>
        <v>0</v>
      </c>
      <c r="Y144" s="164">
        <f t="shared" ref="Y144" si="484">SUM(Y142:Y143)</f>
        <v>0</v>
      </c>
      <c r="Z144" s="164">
        <f t="shared" ref="Z144" si="485">SUM(Z142:Z143)</f>
        <v>0</v>
      </c>
      <c r="AA144" s="164">
        <f t="shared" ref="AA144" si="486">SUM(AA142:AA143)</f>
        <v>0</v>
      </c>
      <c r="AB144" s="164">
        <f t="shared" ref="AB144" si="487">SUM(AB142:AB143)</f>
        <v>0</v>
      </c>
      <c r="AC144" s="164">
        <f t="shared" ref="AC144" si="488">SUM(AC142:AC143)</f>
        <v>0</v>
      </c>
      <c r="AD144" s="164">
        <f t="shared" ref="AD144" si="489">SUM(AD142:AD143)</f>
        <v>0</v>
      </c>
      <c r="AE144" s="164">
        <f t="shared" ref="AE144" si="490">SUM(AE142:AE143)</f>
        <v>0</v>
      </c>
      <c r="AF144" s="164">
        <f t="shared" ref="AF144" si="491">SUM(AF142:AF143)</f>
        <v>0</v>
      </c>
      <c r="AG144" s="164">
        <f t="shared" ref="AG144" si="492">SUM(AG142:AG143)</f>
        <v>0</v>
      </c>
      <c r="AH144" s="164">
        <f t="shared" ref="AH144" si="493">SUM(AH142:AH143)</f>
        <v>0</v>
      </c>
      <c r="AI144" s="164">
        <f t="shared" ref="AI144" si="494">SUM(AI142:AI143)</f>
        <v>0</v>
      </c>
      <c r="AJ144" s="164">
        <f t="shared" ref="AJ144" si="495">SUM(AJ142:AJ143)</f>
        <v>0</v>
      </c>
      <c r="AK144" s="164">
        <f t="shared" ref="AK144" si="496">SUM(AK142:AK143)</f>
        <v>0</v>
      </c>
      <c r="AL144" s="164">
        <f t="shared" ref="AL144" si="497">SUM(AL142:AL143)</f>
        <v>0</v>
      </c>
      <c r="AM144" s="164">
        <f t="shared" ref="AM144" si="498">SUM(AM142:AM143)</f>
        <v>0</v>
      </c>
      <c r="AN144" s="164">
        <f t="shared" ref="AN144" si="499">SUM(AN142:AN143)</f>
        <v>0</v>
      </c>
      <c r="AO144" s="164">
        <f t="shared" ref="AO144" si="500">SUM(AO142:AO143)</f>
        <v>0</v>
      </c>
      <c r="AP144" s="164">
        <f t="shared" ref="AP144" si="501">SUM(AP142:AP143)</f>
        <v>0</v>
      </c>
    </row>
    <row r="145" spans="1:42">
      <c r="A145" s="202" t="s">
        <v>449</v>
      </c>
      <c r="B145" s="164"/>
      <c r="C145" s="164"/>
      <c r="D145" s="164"/>
      <c r="E145" s="164"/>
      <c r="F145" s="164"/>
      <c r="G145" s="164"/>
      <c r="H145" s="164"/>
      <c r="I145" s="164"/>
      <c r="J145" s="164"/>
      <c r="K145" s="164"/>
      <c r="L145" s="164"/>
      <c r="M145" s="164"/>
      <c r="N145" s="164"/>
      <c r="O145" s="164"/>
      <c r="P145" s="164"/>
      <c r="Q145" s="164"/>
      <c r="R145" s="164"/>
      <c r="S145" s="164"/>
      <c r="T145" s="164"/>
      <c r="U145" s="164"/>
      <c r="V145" s="164"/>
      <c r="W145" s="164"/>
      <c r="X145" s="164"/>
      <c r="Y145" s="164"/>
      <c r="Z145" s="164"/>
      <c r="AA145" s="164"/>
      <c r="AB145" s="164"/>
      <c r="AC145" s="164"/>
      <c r="AD145" s="164"/>
      <c r="AE145" s="164"/>
      <c r="AF145" s="164"/>
      <c r="AG145" s="164"/>
      <c r="AH145" s="164"/>
      <c r="AI145" s="164"/>
      <c r="AJ145" s="164"/>
      <c r="AK145" s="164"/>
      <c r="AL145" s="164"/>
      <c r="AM145" s="164"/>
      <c r="AN145" s="164"/>
      <c r="AO145" s="164"/>
      <c r="AP145" s="164"/>
    </row>
    <row r="146" spans="1:42">
      <c r="A146" s="206" t="s">
        <v>37</v>
      </c>
      <c r="B146" s="164">
        <v>0</v>
      </c>
      <c r="C146" s="164">
        <f t="shared" ref="C146:AP146" si="502">IF(B$152&lt;LPFFlipTarget,LPFTEPreFlipTax*C107,LPFTEPostFlipTax*C107)</f>
        <v>-406875.53942193207</v>
      </c>
      <c r="D146" s="164">
        <f t="shared" si="502"/>
        <v>467896.90592951869</v>
      </c>
      <c r="E146" s="164">
        <f t="shared" si="502"/>
        <v>197328.10277806158</v>
      </c>
      <c r="F146" s="164">
        <f t="shared" si="502"/>
        <v>29352.398139695346</v>
      </c>
      <c r="G146" s="164">
        <f t="shared" si="502"/>
        <v>14652.223779602698</v>
      </c>
      <c r="H146" s="164">
        <f t="shared" si="502"/>
        <v>-116348.46934181075</v>
      </c>
      <c r="I146" s="164">
        <f t="shared" si="502"/>
        <v>-248262.03745015489</v>
      </c>
      <c r="J146" s="164">
        <f t="shared" si="502"/>
        <v>-266378.68460645218</v>
      </c>
      <c r="K146" s="164">
        <f t="shared" si="502"/>
        <v>-284270.01196117676</v>
      </c>
      <c r="L146" s="164">
        <f t="shared" si="502"/>
        <v>-303210.27969081362</v>
      </c>
      <c r="M146" s="164">
        <f t="shared" si="502"/>
        <v>-323900.22228761506</v>
      </c>
      <c r="N146" s="164">
        <f t="shared" si="502"/>
        <v>-298051.31456667249</v>
      </c>
      <c r="O146" s="164">
        <f t="shared" si="502"/>
        <v>-43127.796953086225</v>
      </c>
      <c r="P146" s="164">
        <f t="shared" si="502"/>
        <v>-47418.906509215543</v>
      </c>
      <c r="Q146" s="164">
        <f t="shared" si="502"/>
        <v>-40058.970441529818</v>
      </c>
      <c r="R146" s="164">
        <f t="shared" si="502"/>
        <v>-34487.79723819116</v>
      </c>
      <c r="S146" s="164">
        <f t="shared" si="502"/>
        <v>-44156.759424425218</v>
      </c>
      <c r="T146" s="164">
        <f t="shared" si="502"/>
        <v>-50442.274803522116</v>
      </c>
      <c r="U146" s="164">
        <f t="shared" si="502"/>
        <v>-51370.36980314691</v>
      </c>
      <c r="V146" s="164">
        <f t="shared" si="502"/>
        <v>-55578.014276433838</v>
      </c>
      <c r="W146" s="164">
        <f t="shared" si="502"/>
        <v>-59796.408641364025</v>
      </c>
      <c r="X146" s="164">
        <f t="shared" si="502"/>
        <v>-60911.520487503942</v>
      </c>
      <c r="Y146" s="164">
        <f t="shared" si="502"/>
        <v>-62120.35020646311</v>
      </c>
      <c r="Z146" s="164">
        <f t="shared" si="502"/>
        <v>-57242.990936710361</v>
      </c>
      <c r="AA146" s="164">
        <f t="shared" si="502"/>
        <v>-54120.010556654619</v>
      </c>
      <c r="AB146" s="164">
        <f t="shared" si="502"/>
        <v>-59052.64932072183</v>
      </c>
      <c r="AC146" s="164">
        <f t="shared" si="502"/>
        <v>-62208.731853953679</v>
      </c>
      <c r="AD146" s="164">
        <f t="shared" si="502"/>
        <v>-63070.004936531637</v>
      </c>
      <c r="AE146" s="164">
        <f t="shared" si="502"/>
        <v>-66007.805403703154</v>
      </c>
      <c r="AF146" s="164">
        <f t="shared" si="502"/>
        <v>-89125.596902421981</v>
      </c>
      <c r="AG146" s="164">
        <f t="shared" si="502"/>
        <v>0</v>
      </c>
      <c r="AH146" s="164">
        <f t="shared" si="502"/>
        <v>0</v>
      </c>
      <c r="AI146" s="164">
        <f t="shared" si="502"/>
        <v>0</v>
      </c>
      <c r="AJ146" s="164">
        <f t="shared" si="502"/>
        <v>0</v>
      </c>
      <c r="AK146" s="164">
        <f t="shared" si="502"/>
        <v>0</v>
      </c>
      <c r="AL146" s="164">
        <f t="shared" si="502"/>
        <v>0</v>
      </c>
      <c r="AM146" s="164">
        <f t="shared" si="502"/>
        <v>0</v>
      </c>
      <c r="AN146" s="164">
        <f t="shared" si="502"/>
        <v>0</v>
      </c>
      <c r="AO146" s="164">
        <f t="shared" si="502"/>
        <v>0</v>
      </c>
      <c r="AP146" s="164">
        <f t="shared" si="502"/>
        <v>0</v>
      </c>
    </row>
    <row r="147" spans="1:42">
      <c r="A147" s="206" t="s">
        <v>36</v>
      </c>
      <c r="B147" s="209">
        <v>0</v>
      </c>
      <c r="C147" s="209">
        <f t="shared" ref="C147:AP147" si="503">IF(B$152&lt;LPFFlipTarget,LPFTEPreFlipTax*C108,LPFTEPostFlipTax*C108)</f>
        <v>-1903238.0704276683</v>
      </c>
      <c r="D147" s="209">
        <f t="shared" si="503"/>
        <v>2597022.4603650072</v>
      </c>
      <c r="E147" s="209">
        <f t="shared" si="503"/>
        <v>1056615.8218941111</v>
      </c>
      <c r="F147" s="209">
        <f t="shared" si="503"/>
        <v>98488.469289156128</v>
      </c>
      <c r="G147" s="209">
        <f t="shared" si="503"/>
        <v>10086.966205508423</v>
      </c>
      <c r="H147" s="209">
        <f t="shared" si="503"/>
        <v>-738690.47584916791</v>
      </c>
      <c r="I147" s="209">
        <f t="shared" si="503"/>
        <v>-1492957.616120704</v>
      </c>
      <c r="J147" s="209">
        <f t="shared" si="503"/>
        <v>-1601904.5442469823</v>
      </c>
      <c r="K147" s="209">
        <f t="shared" si="503"/>
        <v>-1709496.4810210762</v>
      </c>
      <c r="L147" s="209">
        <f t="shared" si="503"/>
        <v>-1823396.3637770289</v>
      </c>
      <c r="M147" s="209">
        <f t="shared" si="503"/>
        <v>-1947818.1549387032</v>
      </c>
      <c r="N147" s="209">
        <f t="shared" si="503"/>
        <v>-1792372.2235077624</v>
      </c>
      <c r="O147" s="209">
        <f t="shared" si="503"/>
        <v>-259354.88804060486</v>
      </c>
      <c r="P147" s="209">
        <f t="shared" si="503"/>
        <v>-285160.06050769164</v>
      </c>
      <c r="Q147" s="209">
        <f t="shared" si="503"/>
        <v>-240900.08133701791</v>
      </c>
      <c r="R147" s="209">
        <f t="shared" si="503"/>
        <v>-207397.0715733041</v>
      </c>
      <c r="S147" s="209">
        <f t="shared" si="503"/>
        <v>-265542.69417506619</v>
      </c>
      <c r="T147" s="209">
        <f t="shared" si="503"/>
        <v>-303341.49802299886</v>
      </c>
      <c r="U147" s="209">
        <f t="shared" si="503"/>
        <v>-308922.72386165167</v>
      </c>
      <c r="V147" s="209">
        <f t="shared" si="503"/>
        <v>-334225.9676714635</v>
      </c>
      <c r="W147" s="209">
        <f t="shared" si="503"/>
        <v>-359593.85742056638</v>
      </c>
      <c r="X147" s="209">
        <f t="shared" si="503"/>
        <v>-366299.73456803511</v>
      </c>
      <c r="Y147" s="209">
        <f t="shared" si="503"/>
        <v>-373569.19692341221</v>
      </c>
      <c r="Z147" s="209">
        <f t="shared" si="503"/>
        <v>-344238.5318603082</v>
      </c>
      <c r="AA147" s="209">
        <f t="shared" si="503"/>
        <v>-325458.06348388206</v>
      </c>
      <c r="AB147" s="209">
        <f t="shared" si="503"/>
        <v>-355121.15932415897</v>
      </c>
      <c r="AC147" s="209">
        <f t="shared" si="503"/>
        <v>-374100.6920126396</v>
      </c>
      <c r="AD147" s="209">
        <f t="shared" si="503"/>
        <v>-379280.07514105149</v>
      </c>
      <c r="AE147" s="209">
        <f t="shared" si="503"/>
        <v>-396946.93885954213</v>
      </c>
      <c r="AF147" s="209">
        <f t="shared" si="503"/>
        <v>-535968.93046320113</v>
      </c>
      <c r="AG147" s="209">
        <f t="shared" si="503"/>
        <v>0</v>
      </c>
      <c r="AH147" s="209">
        <f t="shared" si="503"/>
        <v>0</v>
      </c>
      <c r="AI147" s="209">
        <f t="shared" si="503"/>
        <v>0</v>
      </c>
      <c r="AJ147" s="209">
        <f t="shared" si="503"/>
        <v>0</v>
      </c>
      <c r="AK147" s="209">
        <f t="shared" si="503"/>
        <v>0</v>
      </c>
      <c r="AL147" s="209">
        <f t="shared" si="503"/>
        <v>0</v>
      </c>
      <c r="AM147" s="209">
        <f t="shared" si="503"/>
        <v>0</v>
      </c>
      <c r="AN147" s="209">
        <f t="shared" si="503"/>
        <v>0</v>
      </c>
      <c r="AO147" s="209">
        <f t="shared" si="503"/>
        <v>0</v>
      </c>
      <c r="AP147" s="209">
        <f t="shared" si="503"/>
        <v>0</v>
      </c>
    </row>
    <row r="148" spans="1:42">
      <c r="A148" s="206" t="s">
        <v>53</v>
      </c>
      <c r="B148" s="216">
        <f>SUM(B146:B147)</f>
        <v>0</v>
      </c>
      <c r="C148" s="216">
        <f>SUM(C146:C147)</f>
        <v>-2310113.6098496001</v>
      </c>
      <c r="D148" s="216">
        <f>SUM(D146:D147)</f>
        <v>3064919.366294526</v>
      </c>
      <c r="E148" s="216">
        <f t="shared" ref="E148" si="504">SUM(E146:E147)</f>
        <v>1253943.9246721726</v>
      </c>
      <c r="F148" s="216">
        <f t="shared" ref="F148" si="505">SUM(F146:F147)</f>
        <v>127840.86742885147</v>
      </c>
      <c r="G148" s="216">
        <f t="shared" ref="G148" si="506">SUM(G146:G147)</f>
        <v>24739.189985111123</v>
      </c>
      <c r="H148" s="216">
        <f t="shared" ref="H148" si="507">SUM(H146:H147)</f>
        <v>-855038.9451909787</v>
      </c>
      <c r="I148" s="216">
        <f t="shared" ref="I148" si="508">SUM(I146:I147)</f>
        <v>-1741219.6535708588</v>
      </c>
      <c r="J148" s="216">
        <f t="shared" ref="J148" si="509">SUM(J146:J147)</f>
        <v>-1868283.2288534346</v>
      </c>
      <c r="K148" s="216">
        <f t="shared" ref="K148" si="510">SUM(K146:K147)</f>
        <v>-1993766.492982253</v>
      </c>
      <c r="L148" s="216">
        <f t="shared" ref="L148" si="511">SUM(L146:L147)</f>
        <v>-2126606.6434678426</v>
      </c>
      <c r="M148" s="216">
        <f t="shared" ref="M148" si="512">SUM(M146:M147)</f>
        <v>-2271718.3772263182</v>
      </c>
      <c r="N148" s="216">
        <f t="shared" ref="N148" si="513">SUM(N146:N147)</f>
        <v>-2090423.538074435</v>
      </c>
      <c r="O148" s="216">
        <f t="shared" ref="O148" si="514">SUM(O146:O147)</f>
        <v>-302482.6849936911</v>
      </c>
      <c r="P148" s="216">
        <f t="shared" ref="P148" si="515">SUM(P146:P147)</f>
        <v>-332578.96701690718</v>
      </c>
      <c r="Q148" s="216">
        <f t="shared" ref="Q148" si="516">SUM(Q146:Q147)</f>
        <v>-280959.0517785477</v>
      </c>
      <c r="R148" s="216">
        <f t="shared" ref="R148" si="517">SUM(R146:R147)</f>
        <v>-241884.86881149525</v>
      </c>
      <c r="S148" s="216">
        <f t="shared" ref="S148" si="518">SUM(S146:S147)</f>
        <v>-309699.45359949139</v>
      </c>
      <c r="T148" s="216">
        <f t="shared" ref="T148" si="519">SUM(T146:T147)</f>
        <v>-353783.77282652096</v>
      </c>
      <c r="U148" s="216">
        <f t="shared" ref="U148" si="520">SUM(U146:U147)</f>
        <v>-360293.09366479859</v>
      </c>
      <c r="V148" s="216">
        <f t="shared" ref="V148" si="521">SUM(V146:V147)</f>
        <v>-389803.98194789735</v>
      </c>
      <c r="W148" s="216">
        <f t="shared" ref="W148" si="522">SUM(W146:W147)</f>
        <v>-419390.26606193039</v>
      </c>
      <c r="X148" s="216">
        <f t="shared" ref="X148" si="523">SUM(X146:X147)</f>
        <v>-427211.25505553908</v>
      </c>
      <c r="Y148" s="216">
        <f t="shared" ref="Y148" si="524">SUM(Y146:Y147)</f>
        <v>-435689.54712987534</v>
      </c>
      <c r="Z148" s="216">
        <f t="shared" ref="Z148" si="525">SUM(Z146:Z147)</f>
        <v>-401481.52279701858</v>
      </c>
      <c r="AA148" s="216">
        <f t="shared" ref="AA148" si="526">SUM(AA146:AA147)</f>
        <v>-379578.07404053665</v>
      </c>
      <c r="AB148" s="216">
        <f t="shared" ref="AB148" si="527">SUM(AB146:AB147)</f>
        <v>-414173.80864488077</v>
      </c>
      <c r="AC148" s="216">
        <f t="shared" ref="AC148" si="528">SUM(AC146:AC147)</f>
        <v>-436309.42386659328</v>
      </c>
      <c r="AD148" s="216">
        <f t="shared" ref="AD148" si="529">SUM(AD146:AD147)</f>
        <v>-442350.08007758314</v>
      </c>
      <c r="AE148" s="216">
        <f t="shared" ref="AE148" si="530">SUM(AE146:AE147)</f>
        <v>-462954.74426324526</v>
      </c>
      <c r="AF148" s="216">
        <f t="shared" ref="AF148" si="531">SUM(AF146:AF147)</f>
        <v>-625094.52736562316</v>
      </c>
      <c r="AG148" s="216">
        <f t="shared" ref="AG148" si="532">SUM(AG146:AG147)</f>
        <v>0</v>
      </c>
      <c r="AH148" s="216">
        <f t="shared" ref="AH148" si="533">SUM(AH146:AH147)</f>
        <v>0</v>
      </c>
      <c r="AI148" s="216">
        <f t="shared" ref="AI148" si="534">SUM(AI146:AI147)</f>
        <v>0</v>
      </c>
      <c r="AJ148" s="216">
        <f t="shared" ref="AJ148" si="535">SUM(AJ146:AJ147)</f>
        <v>0</v>
      </c>
      <c r="AK148" s="216">
        <f t="shared" ref="AK148" si="536">SUM(AK146:AK147)</f>
        <v>0</v>
      </c>
      <c r="AL148" s="216">
        <f t="shared" ref="AL148" si="537">SUM(AL146:AL147)</f>
        <v>0</v>
      </c>
      <c r="AM148" s="216">
        <f t="shared" ref="AM148" si="538">SUM(AM146:AM147)</f>
        <v>0</v>
      </c>
      <c r="AN148" s="216">
        <f t="shared" ref="AN148" si="539">SUM(AN146:AN147)</f>
        <v>0</v>
      </c>
      <c r="AO148" s="216">
        <f t="shared" ref="AO148" si="540">SUM(AO146:AO147)</f>
        <v>0</v>
      </c>
      <c r="AP148" s="216">
        <f t="shared" ref="AP148" si="541">SUM(AP146:AP147)</f>
        <v>0</v>
      </c>
    </row>
    <row r="149" spans="1:42">
      <c r="A149" s="202" t="s">
        <v>53</v>
      </c>
      <c r="B149" s="164">
        <f>B136+B140+B144+B148</f>
        <v>-9467748.6156450175</v>
      </c>
      <c r="C149" s="164">
        <f t="shared" ref="C149" si="542">C136+C140+C144+C148</f>
        <v>-832723.43389640073</v>
      </c>
      <c r="D149" s="164">
        <f t="shared" ref="D149" si="543">D136+D140+D144+D148</f>
        <v>4555471.574706207</v>
      </c>
      <c r="E149" s="164">
        <f t="shared" ref="E149" si="544">E136+E140+E144+E148</f>
        <v>2787945.2038043365</v>
      </c>
      <c r="F149" s="164">
        <f t="shared" ref="F149" si="545">F136+F140+F144+F148</f>
        <v>1702358.0655886615</v>
      </c>
      <c r="G149" s="164">
        <f t="shared" ref="G149" si="546">G136+G140+G144+G148</f>
        <v>1642985.1319149691</v>
      </c>
      <c r="H149" s="164">
        <f t="shared" ref="H149" si="547">H136+H140+H144+H148</f>
        <v>807862.28598958487</v>
      </c>
      <c r="I149" s="164">
        <f t="shared" ref="I149" si="548">I136+I140+I144+I148</f>
        <v>-36731.299963907572</v>
      </c>
      <c r="J149" s="164">
        <f t="shared" ref="J149" si="549">J136+J140+J144+J148</f>
        <v>-118849.22776763933</v>
      </c>
      <c r="K149" s="164">
        <f t="shared" ref="K149" si="550">K136+K140+K144+K148</f>
        <v>-198419.05542820389</v>
      </c>
      <c r="L149" s="164">
        <f t="shared" ref="L149" si="551">L136+L140+L144+L148</f>
        <v>1483492.9598533013</v>
      </c>
      <c r="M149" s="164">
        <f t="shared" ref="M149" si="552">M136+M140+M144+M148</f>
        <v>3160174.46522843</v>
      </c>
      <c r="N149" s="164">
        <f t="shared" ref="N149" si="553">N136+N140+N144+N148</f>
        <v>3457016.2687822245</v>
      </c>
      <c r="O149" s="164">
        <f t="shared" ref="O149" si="554">O136+O140+O144+O148</f>
        <v>548988.7820590355</v>
      </c>
      <c r="P149" s="164">
        <f t="shared" ref="P149" si="555">P136+P140+P144+P148</f>
        <v>537106.14458564832</v>
      </c>
      <c r="Q149" s="164">
        <f t="shared" ref="Q149" si="556">Q136+Q140+Q144+Q148</f>
        <v>607142.4796880011</v>
      </c>
      <c r="R149" s="164">
        <f t="shared" ref="R149" si="557">R136+R140+R144+R148</f>
        <v>632656.01278681844</v>
      </c>
      <c r="S149" s="164">
        <f t="shared" ref="S149" si="558">S136+S140+S144+S148</f>
        <v>583946.59744731314</v>
      </c>
      <c r="T149" s="164">
        <f t="shared" ref="T149" si="559">T136+T140+T144+T148</f>
        <v>559178.87939515547</v>
      </c>
      <c r="U149" s="164">
        <f t="shared" ref="U149" si="560">U136+U140+U144+U148</f>
        <v>571568.27631266951</v>
      </c>
      <c r="V149" s="164">
        <f t="shared" ref="V149" si="561">V136+V140+V144+V148</f>
        <v>561810.93126403878</v>
      </c>
      <c r="W149" s="164">
        <f t="shared" ref="W149" si="562">W136+W140+W144+W148</f>
        <v>552198.63290616777</v>
      </c>
      <c r="X149" s="164">
        <f t="shared" ref="X149" si="563">X136+X140+X144+X148</f>
        <v>561764.35833556193</v>
      </c>
      <c r="Y149" s="164">
        <f t="shared" ref="Y149" si="564">Y136+Y140+Y144+Y148</f>
        <v>571565.97724567261</v>
      </c>
      <c r="Z149" s="164">
        <f t="shared" ref="Z149" si="565">Z136+Z140+Z144+Z148</f>
        <v>624283.73365463316</v>
      </c>
      <c r="AA149" s="164">
        <f t="shared" ref="AA149" si="566">AA136+AA140+AA144+AA148</f>
        <v>699007.89597380802</v>
      </c>
      <c r="AB149" s="164">
        <f t="shared" ref="AB149" si="567">AB136+AB140+AB144+AB148</f>
        <v>682626.6322505381</v>
      </c>
      <c r="AC149" s="164">
        <f t="shared" ref="AC149" si="568">AC136+AC140+AC144+AC148</f>
        <v>678945.06915758387</v>
      </c>
      <c r="AD149" s="164">
        <f t="shared" ref="AD149" si="569">AD136+AD140+AD144+AD148</f>
        <v>690878.44580897922</v>
      </c>
      <c r="AE149" s="164">
        <f t="shared" ref="AE149" si="570">AE136+AE140+AE144+AE148</f>
        <v>689222.94886464858</v>
      </c>
      <c r="AF149" s="164">
        <f t="shared" ref="AF149" si="571">AF136+AF140+AF144+AF148</f>
        <v>1172189.3202305776</v>
      </c>
      <c r="AG149" s="164">
        <f t="shared" ref="AG149" si="572">AG136+AG140+AG144+AG148</f>
        <v>0</v>
      </c>
      <c r="AH149" s="164">
        <f t="shared" ref="AH149" si="573">AH136+AH140+AH144+AH148</f>
        <v>0</v>
      </c>
      <c r="AI149" s="164">
        <f t="shared" ref="AI149" si="574">AI136+AI140+AI144+AI148</f>
        <v>0</v>
      </c>
      <c r="AJ149" s="164">
        <f t="shared" ref="AJ149" si="575">AJ136+AJ140+AJ144+AJ148</f>
        <v>0</v>
      </c>
      <c r="AK149" s="164">
        <f t="shared" ref="AK149" si="576">AK136+AK140+AK144+AK148</f>
        <v>0</v>
      </c>
      <c r="AL149" s="164">
        <f t="shared" ref="AL149" si="577">AL136+AL140+AL144+AL148</f>
        <v>0</v>
      </c>
      <c r="AM149" s="164">
        <f t="shared" ref="AM149" si="578">AM136+AM140+AM144+AM148</f>
        <v>0</v>
      </c>
      <c r="AN149" s="164">
        <f t="shared" ref="AN149" si="579">AN136+AN140+AN144+AN148</f>
        <v>0</v>
      </c>
      <c r="AO149" s="164">
        <f t="shared" ref="AO149" si="580">AO136+AO140+AO144+AO148</f>
        <v>0</v>
      </c>
      <c r="AP149" s="164">
        <f t="shared" ref="AP149" si="581">AP136+AP140+AP144+AP148</f>
        <v>0</v>
      </c>
    </row>
    <row r="150" spans="1:42">
      <c r="A150" s="222"/>
      <c r="B150" s="164"/>
      <c r="C150" s="164"/>
      <c r="D150" s="164"/>
      <c r="E150" s="164"/>
      <c r="F150" s="164"/>
      <c r="G150" s="164"/>
      <c r="H150" s="164"/>
      <c r="I150" s="164"/>
      <c r="J150" s="164"/>
      <c r="K150" s="164"/>
      <c r="L150" s="164"/>
      <c r="M150" s="164"/>
      <c r="N150" s="164"/>
      <c r="O150" s="164"/>
      <c r="P150" s="164"/>
      <c r="Q150" s="164"/>
      <c r="R150" s="164"/>
      <c r="S150" s="164"/>
      <c r="T150" s="164"/>
      <c r="U150" s="164"/>
      <c r="V150" s="164"/>
      <c r="W150" s="164"/>
      <c r="X150" s="164"/>
      <c r="Y150" s="164"/>
      <c r="Z150" s="164"/>
      <c r="AA150" s="164"/>
      <c r="AB150" s="164"/>
      <c r="AC150" s="164"/>
      <c r="AD150" s="164"/>
      <c r="AE150" s="164"/>
      <c r="AF150" s="164"/>
      <c r="AG150" s="164"/>
      <c r="AH150" s="164"/>
      <c r="AI150" s="164"/>
      <c r="AJ150" s="164"/>
      <c r="AK150" s="164"/>
      <c r="AL150" s="164"/>
      <c r="AM150" s="164"/>
      <c r="AN150" s="164"/>
      <c r="AO150" s="164"/>
      <c r="AP150" s="164"/>
    </row>
    <row r="151" spans="1:42">
      <c r="A151" s="202" t="s">
        <v>418</v>
      </c>
      <c r="B151" s="223">
        <f>ROUND(IF(ISERROR(IRR($B$149:B149)),0,IRR($B$149:B149)),4)</f>
        <v>0</v>
      </c>
      <c r="C151" s="223">
        <f>ROUND(IF(ISERROR(IRR($B$149:C149)),0,IRR($B$149:C149)),4)</f>
        <v>0</v>
      </c>
      <c r="D151" s="223">
        <f>ROUND(IF(ISERROR(IRR($B$149:D149)),0,IRR($B$149:D149)),4)</f>
        <v>-0.34889999999999999</v>
      </c>
      <c r="E151" s="223">
        <f>ROUND(IF(ISERROR(IRR($B$149:E149)),0,IRR($B$149:E149)),4)</f>
        <v>-0.13619999999999999</v>
      </c>
      <c r="F151" s="223">
        <f>ROUND(IF(ISERROR(IRR($B$149:F149)),0,IRR($B$149:F149)),4)</f>
        <v>-4.8399999999999999E-2</v>
      </c>
      <c r="G151" s="223">
        <f>ROUND(IF(ISERROR(IRR($B$149:G149)),0,IRR($B$149:G149)),4)</f>
        <v>1.26E-2</v>
      </c>
      <c r="H151" s="223">
        <f>ROUND(IF(ISERROR(IRR($B$149:H149)),0,IRR($B$149:H149)),4)</f>
        <v>3.56E-2</v>
      </c>
      <c r="I151" s="223">
        <f>ROUND(IF(ISERROR(IRR($B$149:I149)),0,IRR($B$149:I149)),4)</f>
        <v>3.4700000000000002E-2</v>
      </c>
      <c r="J151" s="223">
        <f>ROUND(IF(ISERROR(IRR($B$149:J149)),0,IRR($B$149:J149)),4)</f>
        <v>3.1699999999999999E-2</v>
      </c>
      <c r="K151" s="223">
        <f>ROUND(IF(ISERROR(IRR($B$149:K149)),0,IRR($B$149:K149)),4)</f>
        <v>2.6599999999999999E-2</v>
      </c>
      <c r="L151" s="223">
        <f>ROUND(IF(ISERROR(IRR($B$149:L149)),0,IRR($B$149:L149)),4)</f>
        <v>5.7000000000000002E-2</v>
      </c>
      <c r="M151" s="223">
        <f>ROUND(IF(ISERROR(IRR($B$149:M149)),0,IRR($B$149:M149)),4)</f>
        <v>9.4700000000000006E-2</v>
      </c>
      <c r="N151" s="223">
        <f>ROUND(IF(ISERROR(IRR($B$149:N149)),0,IRR($B$149:N149)),4)</f>
        <v>0.1192</v>
      </c>
      <c r="O151" s="223">
        <f>ROUND(IF(ISERROR(IRR($B$149:O149)),0,IRR($B$149:O149)),4)</f>
        <v>0.1221</v>
      </c>
      <c r="P151" s="223">
        <f>ROUND(IF(ISERROR(IRR($B$149:P149)),0,IRR($B$149:P149)),4)</f>
        <v>0.1245</v>
      </c>
      <c r="Q151" s="223">
        <f>ROUND(IF(ISERROR(IRR($B$149:Q149)),0,IRR($B$149:Q149)),4)</f>
        <v>0.1268</v>
      </c>
      <c r="R151" s="223">
        <f>ROUND(IF(ISERROR(IRR($B$149:R149)),0,IRR($B$149:R149)),4)</f>
        <v>0.1288</v>
      </c>
      <c r="S151" s="223">
        <f>ROUND(IF(ISERROR(IRR($B$149:S149)),0,IRR($B$149:S149)),4)</f>
        <v>0.13039999999999999</v>
      </c>
      <c r="T151" s="223">
        <f>ROUND(IF(ISERROR(IRR($B$149:T149)),0,IRR($B$149:T149)),4)</f>
        <v>0.1318</v>
      </c>
      <c r="U151" s="223">
        <f>ROUND(IF(ISERROR(IRR($B$149:U149)),0,IRR($B$149:U149)),4)</f>
        <v>0.13289999999999999</v>
      </c>
      <c r="V151" s="223">
        <f>ROUND(IF(ISERROR(IRR($B$149:V149)),0,IRR($B$149:V149)),4)</f>
        <v>0.13389999999999999</v>
      </c>
      <c r="W151" s="223">
        <f>ROUND(IF(ISERROR(IRR($B$149:W149)),0,IRR($B$149:W149)),4)</f>
        <v>0.13469999999999999</v>
      </c>
      <c r="X151" s="223">
        <f>ROUND(IF(ISERROR(IRR($B$149:X149)),0,IRR($B$149:X149)),4)</f>
        <v>0.13539999999999999</v>
      </c>
      <c r="Y151" s="223">
        <f>ROUND(IF(ISERROR(IRR($B$149:Y149)),0,IRR($B$149:Y149)),4)</f>
        <v>0.1361</v>
      </c>
      <c r="Z151" s="223">
        <f>ROUND(IF(ISERROR(IRR($B$149:Z149)),0,IRR($B$149:Z149)),4)</f>
        <v>0.13669999999999999</v>
      </c>
      <c r="AA151" s="223">
        <f>ROUND(IF(ISERROR(IRR($B$149:AA149)),0,IRR($B$149:AA149)),4)</f>
        <v>0.13719999999999999</v>
      </c>
      <c r="AB151" s="223">
        <f>ROUND(IF(ISERROR(IRR($B$149:AB149)),0,IRR($B$149:AB149)),4)</f>
        <v>0.13769999999999999</v>
      </c>
      <c r="AC151" s="223">
        <f>ROUND(IF(ISERROR(IRR($B$149:AC149)),0,IRR($B$149:AC149)),4)</f>
        <v>0.13819999999999999</v>
      </c>
      <c r="AD151" s="223">
        <f>ROUND(IF(ISERROR(IRR($B$149:AD149)),0,IRR($B$149:AD149)),4)</f>
        <v>0.13850000000000001</v>
      </c>
      <c r="AE151" s="223">
        <f>ROUND(IF(ISERROR(IRR($B$149:AE149)),0,IRR($B$149:AE149)),4)</f>
        <v>0.13880000000000001</v>
      </c>
      <c r="AF151" s="223">
        <f>ROUND(IF(ISERROR(IRR($B$149:AF149)),0,IRR($B$149:AF149)),4)</f>
        <v>0.13930000000000001</v>
      </c>
      <c r="AG151" s="223">
        <f>ROUND(IF(ISERROR(IRR($B$149:AG149)),0,IRR($B$149:AG149)),4)</f>
        <v>0.13930000000000001</v>
      </c>
      <c r="AH151" s="223">
        <f>ROUND(IF(ISERROR(IRR($B$149:AH149)),0,IRR($B$149:AH149)),4)</f>
        <v>0.13930000000000001</v>
      </c>
      <c r="AI151" s="223">
        <f>ROUND(IF(ISERROR(IRR($B$149:AI149)),0,IRR($B$149:AI149)),4)</f>
        <v>0.13930000000000001</v>
      </c>
      <c r="AJ151" s="223">
        <f>ROUND(IF(ISERROR(IRR($B$149:AJ149)),0,IRR($B$149:AJ149)),4)</f>
        <v>0.13930000000000001</v>
      </c>
      <c r="AK151" s="223">
        <f>ROUND(IF(ISERROR(IRR($B$149:AK149)),0,IRR($B$149:AK149)),4)</f>
        <v>0.13930000000000001</v>
      </c>
      <c r="AL151" s="223">
        <f>ROUND(IF(ISERROR(IRR($B$149:AL149)),0,IRR($B$149:AL149)),4)</f>
        <v>0.13930000000000001</v>
      </c>
      <c r="AM151" s="223">
        <f>ROUND(IF(ISERROR(IRR($B$149:AM149)),0,IRR($B$149:AM149)),4)</f>
        <v>0.13930000000000001</v>
      </c>
      <c r="AN151" s="223">
        <f>ROUND(IF(ISERROR(IRR($B$149:AN149)),0,IRR($B$149:AN149)),4)</f>
        <v>0.13930000000000001</v>
      </c>
      <c r="AO151" s="223">
        <f>ROUND(IF(ISERROR(IRR($B$149:AO149)),0,IRR($B$149:AO149)),4)</f>
        <v>0.13930000000000001</v>
      </c>
      <c r="AP151" s="223">
        <f>ROUND(IF(ISERROR(IRR($B$149:AP149)),0,IRR($B$149:AP149)),4)</f>
        <v>0.13930000000000001</v>
      </c>
    </row>
    <row r="152" spans="1:42">
      <c r="A152" s="202" t="s">
        <v>247</v>
      </c>
      <c r="B152" s="224">
        <f>MAX($B$151:B151)</f>
        <v>0</v>
      </c>
      <c r="C152" s="224">
        <f>MAX($B$151:C151)</f>
        <v>0</v>
      </c>
      <c r="D152" s="224">
        <f>MAX($B$151:D151)</f>
        <v>0</v>
      </c>
      <c r="E152" s="224">
        <f>MAX($B$151:E151)</f>
        <v>0</v>
      </c>
      <c r="F152" s="224">
        <f>MAX($B$151:F151)</f>
        <v>0</v>
      </c>
      <c r="G152" s="224">
        <f>MAX($B$151:G151)</f>
        <v>1.26E-2</v>
      </c>
      <c r="H152" s="224">
        <f>MAX($B$151:H151)</f>
        <v>3.56E-2</v>
      </c>
      <c r="I152" s="224">
        <f>MAX($B$151:I151)</f>
        <v>3.56E-2</v>
      </c>
      <c r="J152" s="224">
        <f>MAX($B$151:J151)</f>
        <v>3.56E-2</v>
      </c>
      <c r="K152" s="224">
        <f>MAX($B$151:K151)</f>
        <v>3.56E-2</v>
      </c>
      <c r="L152" s="224">
        <f>MAX($B$151:L151)</f>
        <v>5.7000000000000002E-2</v>
      </c>
      <c r="M152" s="224">
        <f>MAX($B$151:M151)</f>
        <v>9.4700000000000006E-2</v>
      </c>
      <c r="N152" s="224">
        <f>MAX($B$151:N151)</f>
        <v>0.1192</v>
      </c>
      <c r="O152" s="224">
        <f>MAX($B$151:O151)</f>
        <v>0.1221</v>
      </c>
      <c r="P152" s="224">
        <f>MAX($B$151:P151)</f>
        <v>0.1245</v>
      </c>
      <c r="Q152" s="224">
        <f>MAX($B$151:Q151)</f>
        <v>0.1268</v>
      </c>
      <c r="R152" s="224">
        <f>MAX($B$151:R151)</f>
        <v>0.1288</v>
      </c>
      <c r="S152" s="224">
        <f>MAX($B$151:S151)</f>
        <v>0.13039999999999999</v>
      </c>
      <c r="T152" s="224">
        <f>MAX($B$151:T151)</f>
        <v>0.1318</v>
      </c>
      <c r="U152" s="224">
        <f>MAX($B$151:U151)</f>
        <v>0.13289999999999999</v>
      </c>
      <c r="V152" s="224">
        <f>MAX($B$151:V151)</f>
        <v>0.13389999999999999</v>
      </c>
      <c r="W152" s="224">
        <f>MAX($B$151:W151)</f>
        <v>0.13469999999999999</v>
      </c>
      <c r="X152" s="224">
        <f>MAX($B$151:X151)</f>
        <v>0.13539999999999999</v>
      </c>
      <c r="Y152" s="224">
        <f>MAX($B$151:Y151)</f>
        <v>0.1361</v>
      </c>
      <c r="Z152" s="224">
        <f>MAX($B$151:Z151)</f>
        <v>0.13669999999999999</v>
      </c>
      <c r="AA152" s="224">
        <f>MAX($B$151:AA151)</f>
        <v>0.13719999999999999</v>
      </c>
      <c r="AB152" s="224">
        <f>MAX($B$151:AB151)</f>
        <v>0.13769999999999999</v>
      </c>
      <c r="AC152" s="224">
        <f>MAX($B$151:AC151)</f>
        <v>0.13819999999999999</v>
      </c>
      <c r="AD152" s="224">
        <f>MAX($B$151:AD151)</f>
        <v>0.13850000000000001</v>
      </c>
      <c r="AE152" s="224">
        <f>MAX($B$151:AE151)</f>
        <v>0.13880000000000001</v>
      </c>
      <c r="AF152" s="224">
        <f>MAX($B$151:AF151)</f>
        <v>0.13930000000000001</v>
      </c>
      <c r="AG152" s="224">
        <f>MAX($B$151:AG151)</f>
        <v>0.13930000000000001</v>
      </c>
      <c r="AH152" s="224">
        <f>MAX($B$151:AH151)</f>
        <v>0.13930000000000001</v>
      </c>
      <c r="AI152" s="224">
        <f>MAX($B$151:AI151)</f>
        <v>0.13930000000000001</v>
      </c>
      <c r="AJ152" s="224">
        <f>MAX($B$151:AJ151)</f>
        <v>0.13930000000000001</v>
      </c>
      <c r="AK152" s="224">
        <f>MAX($B$151:AK151)</f>
        <v>0.13930000000000001</v>
      </c>
      <c r="AL152" s="224">
        <f>MAX($B$151:AL151)</f>
        <v>0.13930000000000001</v>
      </c>
      <c r="AM152" s="224">
        <f>MAX($B$151:AM151)</f>
        <v>0.13930000000000001</v>
      </c>
      <c r="AN152" s="224">
        <f>MAX($B$151:AN151)</f>
        <v>0.13930000000000001</v>
      </c>
      <c r="AO152" s="224">
        <f>MAX($B$151:AO151)</f>
        <v>0.13930000000000001</v>
      </c>
      <c r="AP152" s="224">
        <f>MAX($B$151:AP151)</f>
        <v>0.13930000000000001</v>
      </c>
    </row>
    <row r="153" spans="1:42">
      <c r="A153" s="202" t="s">
        <v>419</v>
      </c>
      <c r="B153" s="291">
        <f>B149</f>
        <v>-9467748.6156450175</v>
      </c>
      <c r="C153" s="291">
        <f>NPV(DiscountRate,$C149:C149)+$B149</f>
        <v>-10238788.832215758</v>
      </c>
      <c r="D153" s="291">
        <f>NPV(DiscountRate,$C149:D149)+$B149</f>
        <v>-6333206.2064388338</v>
      </c>
      <c r="E153" s="291">
        <f>NPV(DiscountRate,$C149:E149)+$B149</f>
        <v>-4120045.4174614036</v>
      </c>
      <c r="F153" s="291">
        <f>NPV(DiscountRate,$C149:F149)+$B149</f>
        <v>-2868761.4191049151</v>
      </c>
      <c r="G153" s="291">
        <f>NPV(DiscountRate,$C149:G149)+$B149</f>
        <v>-1750573.345347303</v>
      </c>
      <c r="H153" s="291">
        <f>NPV(DiscountRate,$C149:H149)+$B149</f>
        <v>-1241483.0700123142</v>
      </c>
      <c r="I153" s="291">
        <f>NPV(DiscountRate,$C149:I149)+$B149</f>
        <v>-1262915.4307467462</v>
      </c>
      <c r="J153" s="291">
        <f>NPV(DiscountRate,$C149:J149)+$B149</f>
        <v>-1327125.9704566896</v>
      </c>
      <c r="K153" s="291">
        <f>NPV(DiscountRate,$C149:K149)+$B149</f>
        <v>-1426384.8979938496</v>
      </c>
      <c r="L153" s="291">
        <f>NPV(DiscountRate,$C149:L149)+$B149</f>
        <v>-739240.6193703264</v>
      </c>
      <c r="M153" s="291">
        <f>NPV(DiscountRate,$C149:M149)+$B149</f>
        <v>616104.04128273576</v>
      </c>
      <c r="N153" s="291">
        <f>NPV(DiscountRate,$C149:N149)+$B149</f>
        <v>1988932.7654791865</v>
      </c>
      <c r="O153" s="291">
        <f>NPV(DiscountRate,$C149:O149)+$B149</f>
        <v>2190794.8013106193</v>
      </c>
      <c r="P153" s="291">
        <f>NPV(DiscountRate,$C149:P149)+$B149</f>
        <v>2373658.5186188016</v>
      </c>
      <c r="Q153" s="291">
        <f>NPV(DiscountRate,$C149:Q149)+$B149</f>
        <v>2565055.149072865</v>
      </c>
      <c r="R153" s="291">
        <f>NPV(DiscountRate,$C149:R149)+$B149</f>
        <v>2749721.4084504917</v>
      </c>
      <c r="S153" s="291">
        <f>NPV(DiscountRate,$C149:S149)+$B149</f>
        <v>2907544.0430426728</v>
      </c>
      <c r="T153" s="291">
        <f>NPV(DiscountRate,$C149:T149)+$B149</f>
        <v>3047478.0147135351</v>
      </c>
      <c r="U153" s="291">
        <f>NPV(DiscountRate,$C149:U149)+$B149</f>
        <v>3179917.2797327973</v>
      </c>
      <c r="V153" s="291">
        <f>NPV(DiscountRate,$C149:V149)+$B149</f>
        <v>3300452.8079355005</v>
      </c>
      <c r="W153" s="291">
        <f>NPV(DiscountRate,$C149:W149)+$B149</f>
        <v>3410150.2401771564</v>
      </c>
      <c r="X153" s="291">
        <f>NPV(DiscountRate,$C149:X149)+$B149</f>
        <v>3513481.4610828366</v>
      </c>
      <c r="Y153" s="291">
        <f>NPV(DiscountRate,$C149:Y149)+$B149</f>
        <v>3610827.8829881642</v>
      </c>
      <c r="Z153" s="291">
        <f>NPV(DiscountRate,$C149:Z149)+$B149</f>
        <v>3709277.0140763819</v>
      </c>
      <c r="AA153" s="291">
        <f>NPV(DiscountRate,$C149:AA149)+$B149</f>
        <v>3811344.682564063</v>
      </c>
      <c r="AB153" s="291">
        <f>NPV(DiscountRate,$C149:AB149)+$B149</f>
        <v>3903637.0072668232</v>
      </c>
      <c r="AC153" s="291">
        <f>NPV(DiscountRate,$C149:AC149)+$B149</f>
        <v>3988631.9803029541</v>
      </c>
      <c r="AD153" s="291">
        <f>NPV(DiscountRate,$C149:AD149)+$B149</f>
        <v>4068714.2714984939</v>
      </c>
      <c r="AE153" s="291">
        <f>NPV(DiscountRate,$C149:AE149)+$B149</f>
        <v>4142686.8607439939</v>
      </c>
      <c r="AF153" s="291">
        <f>NPV(DiscountRate,$C149:AF149)+$B149</f>
        <v>4259175.9086318724</v>
      </c>
      <c r="AG153" s="291">
        <f>NPV(DiscountRate,$C149:AG149)+$B149</f>
        <v>4259175.9086318724</v>
      </c>
      <c r="AH153" s="291">
        <f>NPV(DiscountRate,$C149:AH149)+$B149</f>
        <v>4259175.9086318724</v>
      </c>
      <c r="AI153" s="291">
        <f>NPV(DiscountRate,$C149:AI149)+$B149</f>
        <v>4259175.9086318724</v>
      </c>
      <c r="AJ153" s="291">
        <f>NPV(DiscountRate,$C149:AJ149)+$B149</f>
        <v>4259175.9086318724</v>
      </c>
      <c r="AK153" s="291">
        <f>NPV(DiscountRate,$C149:AK149)+$B149</f>
        <v>4259175.9086318724</v>
      </c>
      <c r="AL153" s="291">
        <f>NPV(DiscountRate,$C149:AL149)+$B149</f>
        <v>4259175.9086318724</v>
      </c>
      <c r="AM153" s="291">
        <f>NPV(DiscountRate,$C149:AM149)+$B149</f>
        <v>4259175.9086318724</v>
      </c>
      <c r="AN153" s="291">
        <f>NPV(DiscountRate,$C149:AN149)+$B149</f>
        <v>4259175.9086318724</v>
      </c>
      <c r="AO153" s="291">
        <f>NPV(DiscountRate,$C149:AO149)+$B149</f>
        <v>4259175.9086318724</v>
      </c>
      <c r="AP153" s="291">
        <f>NPV(DiscountRate,$C149:AP149)+$B149</f>
        <v>4259175.9086318724</v>
      </c>
    </row>
    <row r="154" spans="1:42">
      <c r="A154" s="202"/>
      <c r="B154" s="164"/>
      <c r="C154" s="164"/>
      <c r="D154" s="164"/>
      <c r="E154" s="164"/>
      <c r="F154" s="164"/>
      <c r="G154" s="208"/>
      <c r="H154" s="208"/>
      <c r="I154" s="208"/>
      <c r="J154" s="208"/>
      <c r="K154" s="208"/>
      <c r="L154" s="208"/>
      <c r="M154" s="208"/>
      <c r="N154" s="208"/>
      <c r="O154" s="208"/>
      <c r="P154" s="208"/>
      <c r="Q154" s="208"/>
      <c r="R154" s="208"/>
      <c r="S154" s="208"/>
      <c r="T154" s="208"/>
      <c r="U154" s="208"/>
      <c r="V154" s="208"/>
      <c r="W154" s="208"/>
      <c r="X154" s="208"/>
      <c r="Y154" s="208"/>
      <c r="Z154" s="208"/>
      <c r="AA154" s="208"/>
      <c r="AB154" s="208"/>
      <c r="AC154" s="208"/>
      <c r="AD154" s="208"/>
      <c r="AE154" s="208"/>
      <c r="AF154" s="208"/>
      <c r="AG154" s="208"/>
      <c r="AH154" s="208"/>
      <c r="AI154" s="208"/>
      <c r="AJ154" s="208"/>
      <c r="AK154" s="208"/>
      <c r="AL154" s="208"/>
      <c r="AM154" s="208"/>
      <c r="AN154" s="208"/>
      <c r="AO154" s="208"/>
      <c r="AP154" s="208"/>
    </row>
    <row r="155" spans="1:42">
      <c r="A155" s="37" t="s">
        <v>362</v>
      </c>
      <c r="B155" s="218">
        <f>SUM(C155:AP155)</f>
        <v>12</v>
      </c>
      <c r="C155" s="164">
        <f t="shared" ref="C155:AP155" si="582">IF(AND(B152&lt;LPFFlipTarget,C152&gt;=LPFFlipTarget),C$2,0)</f>
        <v>0</v>
      </c>
      <c r="D155" s="164">
        <f t="shared" si="582"/>
        <v>0</v>
      </c>
      <c r="E155" s="164">
        <f t="shared" si="582"/>
        <v>0</v>
      </c>
      <c r="F155" s="164">
        <f t="shared" si="582"/>
        <v>0</v>
      </c>
      <c r="G155" s="164">
        <f t="shared" si="582"/>
        <v>0</v>
      </c>
      <c r="H155" s="164">
        <f t="shared" si="582"/>
        <v>0</v>
      </c>
      <c r="I155" s="164">
        <f t="shared" si="582"/>
        <v>0</v>
      </c>
      <c r="J155" s="164">
        <f t="shared" si="582"/>
        <v>0</v>
      </c>
      <c r="K155" s="164">
        <f t="shared" si="582"/>
        <v>0</v>
      </c>
      <c r="L155" s="164">
        <f t="shared" si="582"/>
        <v>0</v>
      </c>
      <c r="M155" s="164">
        <f t="shared" si="582"/>
        <v>0</v>
      </c>
      <c r="N155" s="164">
        <f t="shared" si="582"/>
        <v>12</v>
      </c>
      <c r="O155" s="164">
        <f t="shared" si="582"/>
        <v>0</v>
      </c>
      <c r="P155" s="164">
        <f t="shared" si="582"/>
        <v>0</v>
      </c>
      <c r="Q155" s="164">
        <f t="shared" si="582"/>
        <v>0</v>
      </c>
      <c r="R155" s="164">
        <f t="shared" si="582"/>
        <v>0</v>
      </c>
      <c r="S155" s="164">
        <f t="shared" si="582"/>
        <v>0</v>
      </c>
      <c r="T155" s="164">
        <f t="shared" si="582"/>
        <v>0</v>
      </c>
      <c r="U155" s="164">
        <f t="shared" si="582"/>
        <v>0</v>
      </c>
      <c r="V155" s="164">
        <f t="shared" si="582"/>
        <v>0</v>
      </c>
      <c r="W155" s="164">
        <f t="shared" si="582"/>
        <v>0</v>
      </c>
      <c r="X155" s="164">
        <f t="shared" si="582"/>
        <v>0</v>
      </c>
      <c r="Y155" s="164">
        <f t="shared" si="582"/>
        <v>0</v>
      </c>
      <c r="Z155" s="164">
        <f t="shared" si="582"/>
        <v>0</v>
      </c>
      <c r="AA155" s="164">
        <f t="shared" si="582"/>
        <v>0</v>
      </c>
      <c r="AB155" s="164">
        <f t="shared" si="582"/>
        <v>0</v>
      </c>
      <c r="AC155" s="164">
        <f t="shared" si="582"/>
        <v>0</v>
      </c>
      <c r="AD155" s="164">
        <f t="shared" si="582"/>
        <v>0</v>
      </c>
      <c r="AE155" s="164">
        <f t="shared" si="582"/>
        <v>0</v>
      </c>
      <c r="AF155" s="164">
        <f t="shared" si="582"/>
        <v>0</v>
      </c>
      <c r="AG155" s="164">
        <f t="shared" si="582"/>
        <v>0</v>
      </c>
      <c r="AH155" s="164">
        <f t="shared" si="582"/>
        <v>0</v>
      </c>
      <c r="AI155" s="164">
        <f t="shared" si="582"/>
        <v>0</v>
      </c>
      <c r="AJ155" s="164">
        <f t="shared" si="582"/>
        <v>0</v>
      </c>
      <c r="AK155" s="164">
        <f t="shared" si="582"/>
        <v>0</v>
      </c>
      <c r="AL155" s="164">
        <f t="shared" si="582"/>
        <v>0</v>
      </c>
      <c r="AM155" s="164">
        <f t="shared" si="582"/>
        <v>0</v>
      </c>
      <c r="AN155" s="164">
        <f t="shared" si="582"/>
        <v>0</v>
      </c>
      <c r="AO155" s="164">
        <f t="shared" si="582"/>
        <v>0</v>
      </c>
      <c r="AP155" s="164">
        <f t="shared" si="582"/>
        <v>0</v>
      </c>
    </row>
    <row r="156" spans="1:42">
      <c r="B156" s="164"/>
      <c r="C156" s="164"/>
      <c r="D156" s="164"/>
      <c r="E156" s="164"/>
      <c r="F156" s="164"/>
      <c r="G156" s="208"/>
      <c r="H156" s="208"/>
      <c r="I156" s="208"/>
      <c r="J156" s="208"/>
      <c r="K156" s="208"/>
      <c r="L156" s="208"/>
      <c r="M156" s="208"/>
      <c r="N156" s="208"/>
      <c r="O156" s="208"/>
      <c r="P156" s="208"/>
      <c r="Q156" s="208"/>
      <c r="R156" s="208"/>
      <c r="S156" s="208"/>
      <c r="T156" s="208"/>
      <c r="U156" s="208"/>
      <c r="V156" s="208"/>
      <c r="W156" s="208"/>
      <c r="X156" s="208"/>
      <c r="Y156" s="208"/>
      <c r="Z156" s="208"/>
      <c r="AA156" s="208"/>
      <c r="AB156" s="208"/>
      <c r="AC156" s="208"/>
      <c r="AD156" s="208"/>
      <c r="AE156" s="208"/>
      <c r="AF156" s="208"/>
      <c r="AG156" s="208"/>
      <c r="AH156" s="208"/>
      <c r="AI156" s="208"/>
      <c r="AJ156" s="208"/>
      <c r="AK156" s="208"/>
      <c r="AL156" s="208"/>
      <c r="AM156" s="208"/>
      <c r="AN156" s="208"/>
      <c r="AO156" s="208"/>
      <c r="AP156" s="208"/>
    </row>
    <row r="157" spans="1:42" s="119" customFormat="1">
      <c r="A157" s="217" t="s">
        <v>255</v>
      </c>
      <c r="B157" s="220"/>
      <c r="C157" s="220"/>
      <c r="D157" s="220"/>
      <c r="E157" s="220"/>
      <c r="F157" s="220"/>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46"/>
      <c r="AK157" s="146"/>
      <c r="AL157" s="146"/>
      <c r="AM157" s="146"/>
      <c r="AN157" s="146"/>
      <c r="AO157" s="146"/>
      <c r="AP157" s="146"/>
    </row>
    <row r="158" spans="1:42">
      <c r="A158" s="202" t="s">
        <v>224</v>
      </c>
      <c r="B158" s="208">
        <f t="shared" ref="B158:AP158" si="583">B95-B125</f>
        <v>-193219.35950296</v>
      </c>
      <c r="C158" s="208">
        <f>C95-C125</f>
        <v>0</v>
      </c>
      <c r="D158" s="208">
        <f t="shared" si="583"/>
        <v>0</v>
      </c>
      <c r="E158" s="208">
        <f t="shared" si="583"/>
        <v>0</v>
      </c>
      <c r="F158" s="208">
        <f t="shared" si="583"/>
        <v>0</v>
      </c>
      <c r="G158" s="208">
        <f t="shared" si="583"/>
        <v>0</v>
      </c>
      <c r="H158" s="208">
        <f t="shared" si="583"/>
        <v>0</v>
      </c>
      <c r="I158" s="208">
        <f t="shared" si="583"/>
        <v>0</v>
      </c>
      <c r="J158" s="208">
        <f t="shared" si="583"/>
        <v>0</v>
      </c>
      <c r="K158" s="208">
        <f t="shared" si="583"/>
        <v>0</v>
      </c>
      <c r="L158" s="208">
        <f t="shared" si="583"/>
        <v>0</v>
      </c>
      <c r="M158" s="208">
        <f t="shared" si="583"/>
        <v>0</v>
      </c>
      <c r="N158" s="208">
        <f t="shared" si="583"/>
        <v>0</v>
      </c>
      <c r="O158" s="208">
        <f t="shared" si="583"/>
        <v>0</v>
      </c>
      <c r="P158" s="208">
        <f t="shared" si="583"/>
        <v>0</v>
      </c>
      <c r="Q158" s="208">
        <f t="shared" si="583"/>
        <v>0</v>
      </c>
      <c r="R158" s="208">
        <f t="shared" si="583"/>
        <v>0</v>
      </c>
      <c r="S158" s="208">
        <f t="shared" si="583"/>
        <v>0</v>
      </c>
      <c r="T158" s="208">
        <f t="shared" si="583"/>
        <v>0</v>
      </c>
      <c r="U158" s="208">
        <f t="shared" si="583"/>
        <v>0</v>
      </c>
      <c r="V158" s="208">
        <f t="shared" si="583"/>
        <v>0</v>
      </c>
      <c r="W158" s="208">
        <f t="shared" si="583"/>
        <v>0</v>
      </c>
      <c r="X158" s="208">
        <f t="shared" si="583"/>
        <v>0</v>
      </c>
      <c r="Y158" s="208">
        <f t="shared" si="583"/>
        <v>0</v>
      </c>
      <c r="Z158" s="208">
        <f t="shared" si="583"/>
        <v>0</v>
      </c>
      <c r="AA158" s="208">
        <f t="shared" si="583"/>
        <v>0</v>
      </c>
      <c r="AB158" s="208">
        <f t="shared" si="583"/>
        <v>0</v>
      </c>
      <c r="AC158" s="208">
        <f t="shared" si="583"/>
        <v>0</v>
      </c>
      <c r="AD158" s="208">
        <f t="shared" si="583"/>
        <v>0</v>
      </c>
      <c r="AE158" s="208">
        <f t="shared" si="583"/>
        <v>0</v>
      </c>
      <c r="AF158" s="208">
        <f t="shared" si="583"/>
        <v>0</v>
      </c>
      <c r="AG158" s="208">
        <f t="shared" si="583"/>
        <v>0</v>
      </c>
      <c r="AH158" s="208">
        <f t="shared" si="583"/>
        <v>0</v>
      </c>
      <c r="AI158" s="208">
        <f t="shared" si="583"/>
        <v>0</v>
      </c>
      <c r="AJ158" s="208">
        <f t="shared" si="583"/>
        <v>0</v>
      </c>
      <c r="AK158" s="208">
        <f t="shared" si="583"/>
        <v>0</v>
      </c>
      <c r="AL158" s="208">
        <f t="shared" si="583"/>
        <v>0</v>
      </c>
      <c r="AM158" s="208">
        <f t="shared" si="583"/>
        <v>0</v>
      </c>
      <c r="AN158" s="208">
        <f t="shared" si="583"/>
        <v>0</v>
      </c>
      <c r="AO158" s="208">
        <f t="shared" si="583"/>
        <v>0</v>
      </c>
      <c r="AP158" s="208">
        <f t="shared" si="583"/>
        <v>0</v>
      </c>
    </row>
    <row r="159" spans="1:42">
      <c r="A159" s="202" t="s">
        <v>402</v>
      </c>
      <c r="B159" s="208">
        <f>'Inputs &amp; Results'!C141</f>
        <v>1206814.5</v>
      </c>
      <c r="C159" s="208"/>
      <c r="D159" s="208"/>
      <c r="E159" s="208"/>
      <c r="F159" s="208"/>
      <c r="G159" s="208"/>
      <c r="H159" s="208"/>
      <c r="I159" s="208"/>
      <c r="J159" s="208"/>
      <c r="K159" s="208"/>
      <c r="L159" s="208"/>
      <c r="M159" s="208"/>
      <c r="N159" s="208"/>
      <c r="O159" s="208"/>
      <c r="P159" s="208"/>
      <c r="Q159" s="208"/>
      <c r="R159" s="208"/>
      <c r="S159" s="208"/>
      <c r="T159" s="208"/>
      <c r="U159" s="208"/>
      <c r="V159" s="208"/>
      <c r="W159" s="208"/>
      <c r="X159" s="208"/>
      <c r="Y159" s="208"/>
      <c r="Z159" s="208"/>
      <c r="AA159" s="208"/>
      <c r="AB159" s="208"/>
      <c r="AC159" s="208"/>
      <c r="AD159" s="208"/>
      <c r="AE159" s="208"/>
      <c r="AF159" s="208"/>
      <c r="AG159" s="208"/>
      <c r="AH159" s="208"/>
      <c r="AI159" s="208"/>
      <c r="AJ159" s="208"/>
      <c r="AK159" s="208"/>
      <c r="AL159" s="208"/>
      <c r="AM159" s="208"/>
      <c r="AN159" s="208"/>
      <c r="AO159" s="208"/>
      <c r="AP159" s="208"/>
    </row>
    <row r="160" spans="1:42">
      <c r="A160" s="202" t="s">
        <v>225</v>
      </c>
      <c r="B160" s="209">
        <f t="shared" ref="B160:AP160" si="584">B96-B126</f>
        <v>0</v>
      </c>
      <c r="C160" s="209">
        <f t="shared" si="584"/>
        <v>29550.819917412242</v>
      </c>
      <c r="D160" s="209">
        <f t="shared" si="584"/>
        <v>30419.432824728312</v>
      </c>
      <c r="E160" s="209">
        <f t="shared" si="584"/>
        <v>31306.148553717649</v>
      </c>
      <c r="F160" s="209">
        <f t="shared" si="584"/>
        <v>32133.004044077825</v>
      </c>
      <c r="G160" s="209">
        <f t="shared" si="584"/>
        <v>33025.427386323689</v>
      </c>
      <c r="H160" s="209">
        <f t="shared" si="584"/>
        <v>33936.759820011444</v>
      </c>
      <c r="I160" s="209">
        <f t="shared" si="584"/>
        <v>34785.476604223484</v>
      </c>
      <c r="J160" s="209">
        <f t="shared" si="584"/>
        <v>35702.73471603659</v>
      </c>
      <c r="K160" s="209">
        <f t="shared" si="584"/>
        <v>36639.743623552145</v>
      </c>
      <c r="L160" s="209">
        <f t="shared" si="584"/>
        <v>73675.502108594868</v>
      </c>
      <c r="M160" s="209">
        <f t="shared" si="584"/>
        <v>110854.95596846472</v>
      </c>
      <c r="N160" s="209">
        <f t="shared" si="584"/>
        <v>113213.05728278868</v>
      </c>
      <c r="O160" s="209">
        <f t="shared" si="584"/>
        <v>4825004.9799654502</v>
      </c>
      <c r="P160" s="209">
        <f t="shared" si="584"/>
        <v>4928215.6324144807</v>
      </c>
      <c r="Q160" s="209">
        <f t="shared" si="584"/>
        <v>5032575.3449771106</v>
      </c>
      <c r="R160" s="209">
        <f t="shared" si="584"/>
        <v>4955731.6623904444</v>
      </c>
      <c r="S160" s="209">
        <f t="shared" si="584"/>
        <v>5063994.2892652256</v>
      </c>
      <c r="T160" s="209">
        <f t="shared" si="584"/>
        <v>5173455.0292561669</v>
      </c>
      <c r="U160" s="209">
        <f t="shared" si="584"/>
        <v>5280547.7632056531</v>
      </c>
      <c r="V160" s="209">
        <f t="shared" si="584"/>
        <v>5392484.5082009714</v>
      </c>
      <c r="W160" s="209">
        <f t="shared" si="584"/>
        <v>5505670.4274858898</v>
      </c>
      <c r="X160" s="209">
        <f t="shared" si="584"/>
        <v>5604195.1425495725</v>
      </c>
      <c r="Y160" s="209">
        <f t="shared" si="584"/>
        <v>5707781.3047947716</v>
      </c>
      <c r="Z160" s="209">
        <f t="shared" si="584"/>
        <v>5812669.7865593601</v>
      </c>
      <c r="AA160" s="209">
        <f t="shared" si="584"/>
        <v>6111987.1634146199</v>
      </c>
      <c r="AB160" s="209">
        <f t="shared" si="584"/>
        <v>6215202.4984073741</v>
      </c>
      <c r="AC160" s="209">
        <f t="shared" si="584"/>
        <v>6319775.4604703384</v>
      </c>
      <c r="AD160" s="209">
        <f t="shared" si="584"/>
        <v>6421628.3133571874</v>
      </c>
      <c r="AE160" s="209">
        <f t="shared" si="584"/>
        <v>6529006.9277247321</v>
      </c>
      <c r="AF160" s="209">
        <f t="shared" si="584"/>
        <v>10184608.469711805</v>
      </c>
      <c r="AG160" s="209">
        <f t="shared" si="584"/>
        <v>0</v>
      </c>
      <c r="AH160" s="209">
        <f t="shared" si="584"/>
        <v>0</v>
      </c>
      <c r="AI160" s="209">
        <f t="shared" si="584"/>
        <v>0</v>
      </c>
      <c r="AJ160" s="209">
        <f t="shared" si="584"/>
        <v>0</v>
      </c>
      <c r="AK160" s="209">
        <f t="shared" si="584"/>
        <v>0</v>
      </c>
      <c r="AL160" s="209">
        <f t="shared" si="584"/>
        <v>0</v>
      </c>
      <c r="AM160" s="209">
        <f t="shared" si="584"/>
        <v>0</v>
      </c>
      <c r="AN160" s="209">
        <f t="shared" si="584"/>
        <v>0</v>
      </c>
      <c r="AO160" s="209">
        <f t="shared" si="584"/>
        <v>0</v>
      </c>
      <c r="AP160" s="209">
        <f t="shared" si="584"/>
        <v>0</v>
      </c>
    </row>
    <row r="161" spans="1:42">
      <c r="A161" s="202" t="s">
        <v>53</v>
      </c>
      <c r="B161" s="164">
        <f>SUM(B158:B160)</f>
        <v>1013595.14049704</v>
      </c>
      <c r="C161" s="164">
        <f t="shared" ref="C161" si="585">SUM(C158:C160)</f>
        <v>29550.819917412242</v>
      </c>
      <c r="D161" s="164">
        <f t="shared" ref="D161" si="586">SUM(D158:D160)</f>
        <v>30419.432824728312</v>
      </c>
      <c r="E161" s="164">
        <f t="shared" ref="E161" si="587">SUM(E158:E160)</f>
        <v>31306.148553717649</v>
      </c>
      <c r="F161" s="164">
        <f t="shared" ref="F161" si="588">SUM(F158:F160)</f>
        <v>32133.004044077825</v>
      </c>
      <c r="G161" s="164">
        <f t="shared" ref="G161" si="589">SUM(G158:G160)</f>
        <v>33025.427386323689</v>
      </c>
      <c r="H161" s="164">
        <f t="shared" ref="H161" si="590">SUM(H158:H160)</f>
        <v>33936.759820011444</v>
      </c>
      <c r="I161" s="164">
        <f t="shared" ref="I161" si="591">SUM(I158:I160)</f>
        <v>34785.476604223484</v>
      </c>
      <c r="J161" s="164">
        <f t="shared" ref="J161" si="592">SUM(J158:J160)</f>
        <v>35702.73471603659</v>
      </c>
      <c r="K161" s="164">
        <f t="shared" ref="K161" si="593">SUM(K158:K160)</f>
        <v>36639.743623552145</v>
      </c>
      <c r="L161" s="164">
        <f t="shared" ref="L161" si="594">SUM(L158:L160)</f>
        <v>73675.502108594868</v>
      </c>
      <c r="M161" s="164">
        <f t="shared" ref="M161" si="595">SUM(M158:M160)</f>
        <v>110854.95596846472</v>
      </c>
      <c r="N161" s="164">
        <f t="shared" ref="N161" si="596">SUM(N158:N160)</f>
        <v>113213.05728278868</v>
      </c>
      <c r="O161" s="164">
        <f t="shared" ref="O161" si="597">SUM(O158:O160)</f>
        <v>4825004.9799654502</v>
      </c>
      <c r="P161" s="164">
        <f t="shared" ref="P161" si="598">SUM(P158:P160)</f>
        <v>4928215.6324144807</v>
      </c>
      <c r="Q161" s="164">
        <f t="shared" ref="Q161" si="599">SUM(Q158:Q160)</f>
        <v>5032575.3449771106</v>
      </c>
      <c r="R161" s="164">
        <f t="shared" ref="R161" si="600">SUM(R158:R160)</f>
        <v>4955731.6623904444</v>
      </c>
      <c r="S161" s="164">
        <f t="shared" ref="S161" si="601">SUM(S158:S160)</f>
        <v>5063994.2892652256</v>
      </c>
      <c r="T161" s="164">
        <f t="shared" ref="T161" si="602">SUM(T158:T160)</f>
        <v>5173455.0292561669</v>
      </c>
      <c r="U161" s="164">
        <f t="shared" ref="U161" si="603">SUM(U158:U160)</f>
        <v>5280547.7632056531</v>
      </c>
      <c r="V161" s="164">
        <f t="shared" ref="V161" si="604">SUM(V158:V160)</f>
        <v>5392484.5082009714</v>
      </c>
      <c r="W161" s="164">
        <f t="shared" ref="W161" si="605">SUM(W158:W160)</f>
        <v>5505670.4274858898</v>
      </c>
      <c r="X161" s="164">
        <f t="shared" ref="X161" si="606">SUM(X158:X160)</f>
        <v>5604195.1425495725</v>
      </c>
      <c r="Y161" s="164">
        <f t="shared" ref="Y161" si="607">SUM(Y158:Y160)</f>
        <v>5707781.3047947716</v>
      </c>
      <c r="Z161" s="164">
        <f t="shared" ref="Z161" si="608">SUM(Z158:Z160)</f>
        <v>5812669.7865593601</v>
      </c>
      <c r="AA161" s="164">
        <f t="shared" ref="AA161" si="609">SUM(AA158:AA160)</f>
        <v>6111987.1634146199</v>
      </c>
      <c r="AB161" s="164">
        <f t="shared" ref="AB161" si="610">SUM(AB158:AB160)</f>
        <v>6215202.4984073741</v>
      </c>
      <c r="AC161" s="164">
        <f t="shared" ref="AC161" si="611">SUM(AC158:AC160)</f>
        <v>6319775.4604703384</v>
      </c>
      <c r="AD161" s="164">
        <f t="shared" ref="AD161" si="612">SUM(AD158:AD160)</f>
        <v>6421628.3133571874</v>
      </c>
      <c r="AE161" s="164">
        <f t="shared" ref="AE161" si="613">SUM(AE158:AE160)</f>
        <v>6529006.9277247321</v>
      </c>
      <c r="AF161" s="164">
        <f t="shared" ref="AF161" si="614">SUM(AF158:AF160)</f>
        <v>10184608.469711805</v>
      </c>
      <c r="AG161" s="164">
        <f t="shared" ref="AG161" si="615">SUM(AG158:AG160)</f>
        <v>0</v>
      </c>
      <c r="AH161" s="164">
        <f t="shared" ref="AH161" si="616">SUM(AH158:AH160)</f>
        <v>0</v>
      </c>
      <c r="AI161" s="164">
        <f t="shared" ref="AI161" si="617">SUM(AI158:AI160)</f>
        <v>0</v>
      </c>
      <c r="AJ161" s="164">
        <f t="shared" ref="AJ161" si="618">SUM(AJ158:AJ160)</f>
        <v>0</v>
      </c>
      <c r="AK161" s="164">
        <f t="shared" ref="AK161" si="619">SUM(AK158:AK160)</f>
        <v>0</v>
      </c>
      <c r="AL161" s="164">
        <f t="shared" ref="AL161" si="620">SUM(AL158:AL160)</f>
        <v>0</v>
      </c>
      <c r="AM161" s="164">
        <f t="shared" ref="AM161" si="621">SUM(AM158:AM160)</f>
        <v>0</v>
      </c>
      <c r="AN161" s="164">
        <f t="shared" ref="AN161" si="622">SUM(AN158:AN160)</f>
        <v>0</v>
      </c>
      <c r="AO161" s="164">
        <f t="shared" ref="AO161" si="623">SUM(AO158:AO160)</f>
        <v>0</v>
      </c>
      <c r="AP161" s="164">
        <f t="shared" ref="AP161" si="624">SUM(AP158:AP160)</f>
        <v>0</v>
      </c>
    </row>
    <row r="162" spans="1:42">
      <c r="A162" s="202"/>
      <c r="B162" s="164"/>
      <c r="C162" s="164"/>
      <c r="D162" s="164"/>
      <c r="E162" s="164"/>
      <c r="F162" s="164"/>
      <c r="G162" s="208"/>
      <c r="H162" s="208"/>
      <c r="I162" s="208"/>
      <c r="J162" s="208"/>
      <c r="K162" s="208"/>
      <c r="L162" s="208"/>
      <c r="M162" s="208"/>
      <c r="N162" s="208"/>
      <c r="O162" s="208"/>
      <c r="P162" s="208"/>
      <c r="Q162" s="208"/>
      <c r="R162" s="208"/>
      <c r="S162" s="208"/>
      <c r="T162" s="208"/>
      <c r="U162" s="208"/>
      <c r="V162" s="208"/>
      <c r="W162" s="208"/>
      <c r="X162" s="208"/>
      <c r="Y162" s="208"/>
      <c r="Z162" s="208"/>
      <c r="AA162" s="208"/>
      <c r="AB162" s="208"/>
      <c r="AC162" s="208"/>
      <c r="AD162" s="208"/>
      <c r="AE162" s="208"/>
      <c r="AF162" s="208"/>
      <c r="AG162" s="208"/>
      <c r="AH162" s="208"/>
      <c r="AI162" s="208"/>
      <c r="AJ162" s="208"/>
      <c r="AK162" s="208"/>
      <c r="AL162" s="208"/>
      <c r="AM162" s="208"/>
      <c r="AN162" s="208"/>
      <c r="AO162" s="208"/>
      <c r="AP162" s="208"/>
    </row>
    <row r="163" spans="1:42" s="119" customFormat="1">
      <c r="A163" s="202" t="s">
        <v>418</v>
      </c>
      <c r="B163" s="310" t="str">
        <f>IF(ISERROR(IRR($B161:B161)),"N/A",ROUND(IRR($B161:B161),4))</f>
        <v>N/A</v>
      </c>
      <c r="C163" s="310" t="str">
        <f>IF(ISERROR(IRR($B161:C161)),"N/A",ROUND(IRR($B161:C161),4))</f>
        <v>N/A</v>
      </c>
      <c r="D163" s="310" t="str">
        <f>IF(ISERROR(IRR($B161:D161)),"N/A",ROUND(IRR($B161:D161),4))</f>
        <v>N/A</v>
      </c>
      <c r="E163" s="310" t="str">
        <f>IF(ISERROR(IRR($B161:E161)),"N/A",ROUND(IRR($B161:E161),4))</f>
        <v>N/A</v>
      </c>
      <c r="F163" s="310" t="str">
        <f>IF(ISERROR(IRR($B161:F161)),"N/A",ROUND(IRR($B161:F161),4))</f>
        <v>N/A</v>
      </c>
      <c r="G163" s="310" t="str">
        <f>IF(ISERROR(IRR($B161:G161)),"N/A",ROUND(IRR($B161:G161),4))</f>
        <v>N/A</v>
      </c>
      <c r="H163" s="310" t="str">
        <f>IF(ISERROR(IRR($B161:H161)),"N/A",ROUND(IRR($B161:H161),4))</f>
        <v>N/A</v>
      </c>
      <c r="I163" s="310" t="str">
        <f>IF(ISERROR(IRR($B161:I161)),"N/A",ROUND(IRR($B161:I161),4))</f>
        <v>N/A</v>
      </c>
      <c r="J163" s="310" t="str">
        <f>IF(ISERROR(IRR($B161:J161)),"N/A",ROUND(IRR($B161:J161),4))</f>
        <v>N/A</v>
      </c>
      <c r="K163" s="310" t="str">
        <f>IF(ISERROR(IRR($B161:K161)),"N/A",ROUND(IRR($B161:K161),4))</f>
        <v>N/A</v>
      </c>
      <c r="L163" s="310" t="str">
        <f>IF(ISERROR(IRR($B161:L161)),"N/A",ROUND(IRR($B161:L161),4))</f>
        <v>N/A</v>
      </c>
      <c r="M163" s="310" t="str">
        <f>IF(ISERROR(IRR($B161:M161)),"N/A",ROUND(IRR($B161:M161),4))</f>
        <v>N/A</v>
      </c>
      <c r="N163" s="310" t="str">
        <f>IF(ISERROR(IRR($B161:N161)),"N/A",ROUND(IRR($B161:N161),4))</f>
        <v>N/A</v>
      </c>
      <c r="O163" s="310" t="str">
        <f>IF(ISERROR(IRR($B161:O161)),"N/A",ROUND(IRR($B161:O161),4))</f>
        <v>N/A</v>
      </c>
      <c r="P163" s="310" t="str">
        <f>IF(ISERROR(IRR($B161:P161)),"N/A",ROUND(IRR($B161:P161),4))</f>
        <v>N/A</v>
      </c>
      <c r="Q163" s="310" t="str">
        <f>IF(ISERROR(IRR($B161:Q161)),"N/A",ROUND(IRR($B161:Q161),4))</f>
        <v>N/A</v>
      </c>
      <c r="R163" s="310" t="str">
        <f>IF(ISERROR(IRR($B161:R161)),"N/A",ROUND(IRR($B161:R161),4))</f>
        <v>N/A</v>
      </c>
      <c r="S163" s="310" t="str">
        <f>IF(ISERROR(IRR($B161:S161)),"N/A",ROUND(IRR($B161:S161),4))</f>
        <v>N/A</v>
      </c>
      <c r="T163" s="310" t="str">
        <f>IF(ISERROR(IRR($B161:T161)),"N/A",ROUND(IRR($B161:T161),4))</f>
        <v>N/A</v>
      </c>
      <c r="U163" s="310" t="str">
        <f>IF(ISERROR(IRR($B161:U161)),"N/A",ROUND(IRR($B161:U161),4))</f>
        <v>N/A</v>
      </c>
      <c r="V163" s="310" t="str">
        <f>IF(ISERROR(IRR($B161:V161)),"N/A",ROUND(IRR($B161:V161),4))</f>
        <v>N/A</v>
      </c>
      <c r="W163" s="310" t="str">
        <f>IF(ISERROR(IRR($B161:W161)),"N/A",ROUND(IRR($B161:W161),4))</f>
        <v>N/A</v>
      </c>
      <c r="X163" s="310" t="str">
        <f>IF(ISERROR(IRR($B161:X161)),"N/A",ROUND(IRR($B161:X161),4))</f>
        <v>N/A</v>
      </c>
      <c r="Y163" s="310" t="str">
        <f>IF(ISERROR(IRR($B161:Y161)),"N/A",ROUND(IRR($B161:Y161),4))</f>
        <v>N/A</v>
      </c>
      <c r="Z163" s="310" t="str">
        <f>IF(ISERROR(IRR($B161:Z161)),"N/A",ROUND(IRR($B161:Z161),4))</f>
        <v>N/A</v>
      </c>
      <c r="AA163" s="310" t="str">
        <f>IF(ISERROR(IRR($B161:AA161)),"N/A",ROUND(IRR($B161:AA161),4))</f>
        <v>N/A</v>
      </c>
      <c r="AB163" s="310" t="str">
        <f>IF(ISERROR(IRR($B161:AB161)),"N/A",ROUND(IRR($B161:AB161),4))</f>
        <v>N/A</v>
      </c>
      <c r="AC163" s="310" t="str">
        <f>IF(ISERROR(IRR($B161:AC161)),"N/A",ROUND(IRR($B161:AC161),4))</f>
        <v>N/A</v>
      </c>
      <c r="AD163" s="310" t="str">
        <f>IF(ISERROR(IRR($B161:AD161)),"N/A",ROUND(IRR($B161:AD161),4))</f>
        <v>N/A</v>
      </c>
      <c r="AE163" s="310" t="str">
        <f>IF(ISERROR(IRR($B161:AE161)),"N/A",ROUND(IRR($B161:AE161),4))</f>
        <v>N/A</v>
      </c>
      <c r="AF163" s="310" t="str">
        <f>IF(ISERROR(IRR($B161:AF161)),"N/A",ROUND(IRR($B161:AF161),4))</f>
        <v>N/A</v>
      </c>
      <c r="AG163" s="310" t="str">
        <f>IF(ISERROR(IRR($B161:AG161)),"N/A",ROUND(IRR($B161:AG161),4))</f>
        <v>N/A</v>
      </c>
      <c r="AH163" s="310" t="str">
        <f>IF(ISERROR(IRR($B161:AH161)),"N/A",ROUND(IRR($B161:AH161),4))</f>
        <v>N/A</v>
      </c>
      <c r="AI163" s="310" t="str">
        <f>IF(ISERROR(IRR($B161:AI161)),"N/A",ROUND(IRR($B161:AI161),4))</f>
        <v>N/A</v>
      </c>
      <c r="AJ163" s="310" t="str">
        <f>IF(ISERROR(IRR($B161:AJ161)),"N/A",ROUND(IRR($B161:AJ161),4))</f>
        <v>N/A</v>
      </c>
      <c r="AK163" s="310" t="str">
        <f>IF(ISERROR(IRR($B161:AK161)),"N/A",ROUND(IRR($B161:AK161),4))</f>
        <v>N/A</v>
      </c>
      <c r="AL163" s="310" t="str">
        <f>IF(ISERROR(IRR($B161:AL161)),"N/A",ROUND(IRR($B161:AL161),4))</f>
        <v>N/A</v>
      </c>
      <c r="AM163" s="310" t="str">
        <f>IF(ISERROR(IRR($B161:AM161)),"N/A",ROUND(IRR($B161:AM161),4))</f>
        <v>N/A</v>
      </c>
      <c r="AN163" s="310" t="str">
        <f>IF(ISERROR(IRR($B161:AN161)),"N/A",ROUND(IRR($B161:AN161),4))</f>
        <v>N/A</v>
      </c>
      <c r="AO163" s="310" t="str">
        <f>IF(ISERROR(IRR($B161:AO161)),"N/A",ROUND(IRR($B161:AO161),4))</f>
        <v>N/A</v>
      </c>
      <c r="AP163" s="310" t="str">
        <f>IF(ISERROR(IRR($B161:AP161)),"N/A",ROUND(IRR($B161:AP161),4))</f>
        <v>N/A</v>
      </c>
    </row>
    <row r="164" spans="1:42" s="119" customFormat="1">
      <c r="A164" s="309" t="s">
        <v>419</v>
      </c>
      <c r="B164" s="311">
        <f>B161</f>
        <v>1013595.14049704</v>
      </c>
      <c r="C164" s="311">
        <f>NPV(DiscountRate,$C161:C161)+$B161</f>
        <v>1040957.0107909403</v>
      </c>
      <c r="D164" s="311">
        <f>NPV(DiscountRate,$C161:D161)+$B161</f>
        <v>1067036.7714431421</v>
      </c>
      <c r="E164" s="311">
        <f>NPV(DiscountRate,$C161:E161)+$B161</f>
        <v>1091888.6015072502</v>
      </c>
      <c r="F164" s="311">
        <f>NPV(DiscountRate,$C161:F161)+$B161</f>
        <v>1115507.3187396766</v>
      </c>
      <c r="G164" s="311">
        <f>NPV(DiscountRate,$C161:G161)+$B161</f>
        <v>1137983.8696936667</v>
      </c>
      <c r="H164" s="311">
        <f>NPV(DiscountRate,$C161:H161)+$B161</f>
        <v>1159369.7849670649</v>
      </c>
      <c r="I164" s="311">
        <f>NPV(DiscountRate,$C161:I161)+$B161</f>
        <v>1179666.776460245</v>
      </c>
      <c r="J164" s="311">
        <f>NPV(DiscountRate,$C161:J161)+$B161</f>
        <v>1198955.8531189479</v>
      </c>
      <c r="K164" s="311">
        <f>NPV(DiscountRate,$C161:K161)+$B161</f>
        <v>1217284.8470225914</v>
      </c>
      <c r="L164" s="311">
        <f>NPV(DiscountRate,$C161:L161)+$B161</f>
        <v>1251410.8598306619</v>
      </c>
      <c r="M164" s="311">
        <f>NPV(DiscountRate,$C161:M161)+$B161</f>
        <v>1298954.6503181686</v>
      </c>
      <c r="N164" s="311">
        <f>NPV(DiscountRate,$C161:N161)+$B161</f>
        <v>1343913.1130235409</v>
      </c>
      <c r="O164" s="311">
        <f>NPV(DiscountRate,$C161:O161)+$B161</f>
        <v>3118057.4306899346</v>
      </c>
      <c r="P164" s="311">
        <f>NPV(DiscountRate,$C161:P161)+$B161</f>
        <v>4795922.8569639791</v>
      </c>
      <c r="Q164" s="311">
        <f>NPV(DiscountRate,$C161:Q161)+$B161</f>
        <v>6382400.4890838647</v>
      </c>
      <c r="R164" s="311">
        <f>NPV(DiscountRate,$C161:R161)+$B161</f>
        <v>7828931.3211259088</v>
      </c>
      <c r="S164" s="311">
        <f>NPV(DiscountRate,$C161:S161)+$B161</f>
        <v>9197571.7478110082</v>
      </c>
      <c r="T164" s="311">
        <f>NPV(DiscountRate,$C161:T161)+$B161</f>
        <v>10492223.846058125</v>
      </c>
      <c r="U164" s="311">
        <f>NPV(DiscountRate,$C161:U161)+$B161</f>
        <v>11715790.46730198</v>
      </c>
      <c r="V164" s="311">
        <f>NPV(DiscountRate,$C161:V161)+$B161</f>
        <v>12872738.351990642</v>
      </c>
      <c r="W164" s="311">
        <f>NPV(DiscountRate,$C161:W161)+$B161</f>
        <v>13966471.42678196</v>
      </c>
      <c r="X164" s="311">
        <f>NPV(DiscountRate,$C161:X161)+$B161</f>
        <v>14997309.92281808</v>
      </c>
      <c r="Y164" s="311">
        <f>NPV(DiscountRate,$C161:Y161)+$B161</f>
        <v>15969432.318411758</v>
      </c>
      <c r="Z164" s="311">
        <f>NPV(DiscountRate,$C161:Z161)+$B161</f>
        <v>16886086.491730466</v>
      </c>
      <c r="AA164" s="311">
        <f>NPV(DiscountRate,$C161:AA161)+$B161</f>
        <v>17778546.052186891</v>
      </c>
      <c r="AB164" s="311">
        <f>NPV(DiscountRate,$C161:AB161)+$B161</f>
        <v>18618852.392397027</v>
      </c>
      <c r="AC164" s="311">
        <f>NPV(DiscountRate,$C161:AC161)+$B161</f>
        <v>19410004.974922679</v>
      </c>
      <c r="AD164" s="311">
        <f>NPV(DiscountRate,$C161:AD161)+$B161</f>
        <v>20154359.805587038</v>
      </c>
      <c r="AE164" s="311">
        <f>NPV(DiscountRate,$C161:AE161)+$B161</f>
        <v>20855101.921677612</v>
      </c>
      <c r="AF164" s="311">
        <f>NPV(DiscountRate,$C161:AF161)+$B161</f>
        <v>21867221.14446168</v>
      </c>
      <c r="AG164" s="311">
        <f>NPV(DiscountRate,$C161:AG161)+$B161</f>
        <v>21867221.14446168</v>
      </c>
      <c r="AH164" s="311">
        <f>NPV(DiscountRate,$C161:AH161)+$B161</f>
        <v>21867221.14446168</v>
      </c>
      <c r="AI164" s="311">
        <f>NPV(DiscountRate,$C161:AI161)+$B161</f>
        <v>21867221.14446168</v>
      </c>
      <c r="AJ164" s="311">
        <f>NPV(DiscountRate,$C161:AJ161)+$B161</f>
        <v>21867221.14446168</v>
      </c>
      <c r="AK164" s="311">
        <f>NPV(DiscountRate,$C161:AK161)+$B161</f>
        <v>21867221.14446168</v>
      </c>
      <c r="AL164" s="311">
        <f>NPV(DiscountRate,$C161:AL161)+$B161</f>
        <v>21867221.14446168</v>
      </c>
      <c r="AM164" s="311">
        <f>NPV(DiscountRate,$C161:AM161)+$B161</f>
        <v>21867221.14446168</v>
      </c>
      <c r="AN164" s="311">
        <f>NPV(DiscountRate,$C161:AN161)+$B161</f>
        <v>21867221.14446168</v>
      </c>
      <c r="AO164" s="311">
        <f>NPV(DiscountRate,$C161:AO161)+$B161</f>
        <v>21867221.14446168</v>
      </c>
      <c r="AP164" s="311">
        <f>NPV(DiscountRate,$C161:AP161)+$B161</f>
        <v>21867221.14446168</v>
      </c>
    </row>
    <row r="165" spans="1:42">
      <c r="A165" s="202"/>
      <c r="B165" s="164"/>
      <c r="C165" s="164"/>
      <c r="D165" s="164"/>
      <c r="E165" s="164"/>
      <c r="F165" s="164"/>
      <c r="G165" s="208"/>
      <c r="H165" s="208"/>
      <c r="I165" s="208"/>
      <c r="J165" s="208"/>
      <c r="K165" s="208"/>
      <c r="L165" s="208"/>
      <c r="M165" s="208"/>
      <c r="N165" s="208"/>
      <c r="O165" s="208"/>
      <c r="P165" s="208"/>
      <c r="Q165" s="208"/>
      <c r="R165" s="208"/>
      <c r="S165" s="208"/>
      <c r="T165" s="208"/>
      <c r="U165" s="208"/>
      <c r="V165" s="208"/>
      <c r="W165" s="208"/>
      <c r="X165" s="208"/>
      <c r="Y165" s="208"/>
      <c r="Z165" s="208"/>
      <c r="AA165" s="208"/>
      <c r="AB165" s="208"/>
      <c r="AC165" s="208"/>
      <c r="AD165" s="208"/>
      <c r="AE165" s="208"/>
      <c r="AF165" s="208"/>
      <c r="AG165" s="208"/>
      <c r="AH165" s="208"/>
      <c r="AI165" s="208"/>
      <c r="AJ165" s="208"/>
      <c r="AK165" s="208"/>
      <c r="AL165" s="208"/>
      <c r="AM165" s="208"/>
      <c r="AN165" s="208"/>
      <c r="AO165" s="208"/>
      <c r="AP165" s="208"/>
    </row>
    <row r="166" spans="1:42">
      <c r="A166" s="202"/>
      <c r="B166" s="164"/>
      <c r="C166" s="164"/>
      <c r="D166" s="164"/>
      <c r="E166" s="164"/>
      <c r="F166" s="164"/>
      <c r="G166" s="208"/>
      <c r="H166" s="208"/>
      <c r="I166" s="208"/>
      <c r="J166" s="208"/>
      <c r="K166" s="208"/>
      <c r="L166" s="208"/>
      <c r="M166" s="208"/>
      <c r="N166" s="208"/>
      <c r="O166" s="208"/>
      <c r="P166" s="208"/>
      <c r="Q166" s="208"/>
      <c r="R166" s="208"/>
      <c r="S166" s="208"/>
      <c r="T166" s="208"/>
      <c r="U166" s="208"/>
      <c r="V166" s="208"/>
      <c r="W166" s="208"/>
      <c r="X166" s="208"/>
      <c r="Y166" s="208"/>
      <c r="Z166" s="208"/>
      <c r="AA166" s="208"/>
      <c r="AB166" s="208"/>
      <c r="AC166" s="208"/>
      <c r="AD166" s="208"/>
      <c r="AE166" s="208"/>
      <c r="AF166" s="208"/>
      <c r="AG166" s="208"/>
      <c r="AH166" s="208"/>
      <c r="AI166" s="208"/>
      <c r="AJ166" s="208"/>
      <c r="AK166" s="208"/>
      <c r="AL166" s="208"/>
      <c r="AM166" s="208"/>
      <c r="AN166" s="208"/>
      <c r="AO166" s="208"/>
      <c r="AP166" s="208"/>
    </row>
    <row r="167" spans="1:42">
      <c r="A167" s="202" t="s">
        <v>226</v>
      </c>
      <c r="B167" s="307" t="str">
        <f>IF(ISERROR(IRR(B161:AP161)),"N/A",IRR(B161:AP161))</f>
        <v>N/A</v>
      </c>
      <c r="C167" s="164"/>
      <c r="D167" s="164"/>
      <c r="E167" s="164"/>
      <c r="F167" s="164"/>
      <c r="G167" s="208"/>
      <c r="H167" s="208"/>
      <c r="I167" s="208"/>
      <c r="J167" s="208"/>
      <c r="K167" s="208"/>
      <c r="L167" s="208"/>
      <c r="M167" s="208"/>
      <c r="N167" s="208"/>
      <c r="O167" s="208"/>
      <c r="P167" s="208"/>
      <c r="Q167" s="208"/>
      <c r="R167" s="208"/>
      <c r="S167" s="208"/>
      <c r="T167" s="208"/>
      <c r="U167" s="208"/>
      <c r="V167" s="208"/>
      <c r="W167" s="208"/>
      <c r="X167" s="208"/>
      <c r="Y167" s="208"/>
      <c r="Z167" s="208"/>
      <c r="AA167" s="208"/>
      <c r="AB167" s="208"/>
      <c r="AC167" s="208"/>
      <c r="AD167" s="208"/>
      <c r="AE167" s="208"/>
      <c r="AF167" s="208"/>
      <c r="AG167" s="208"/>
      <c r="AH167" s="208"/>
      <c r="AI167" s="208"/>
      <c r="AJ167" s="208"/>
      <c r="AK167" s="208"/>
      <c r="AL167" s="208"/>
      <c r="AM167" s="208"/>
      <c r="AN167" s="208"/>
      <c r="AO167" s="208"/>
      <c r="AP167" s="208"/>
    </row>
    <row r="168" spans="1:42">
      <c r="A168" s="202" t="s">
        <v>227</v>
      </c>
      <c r="B168" s="218">
        <f>NPV(DiscountRate,$C161:$AP161)+B161</f>
        <v>21867221.14446168</v>
      </c>
      <c r="C168" s="164"/>
      <c r="D168" s="164"/>
      <c r="E168" s="164"/>
      <c r="F168" s="164"/>
      <c r="G168" s="208"/>
      <c r="H168" s="208"/>
      <c r="I168" s="208"/>
      <c r="J168" s="208"/>
      <c r="K168" s="208"/>
      <c r="L168" s="208"/>
      <c r="M168" s="208"/>
      <c r="N168" s="208"/>
      <c r="O168" s="208"/>
      <c r="P168" s="208"/>
      <c r="Q168" s="208"/>
      <c r="R168" s="208"/>
      <c r="S168" s="208"/>
      <c r="T168" s="208"/>
      <c r="U168" s="208"/>
      <c r="V168" s="208"/>
      <c r="W168" s="208"/>
      <c r="X168" s="208"/>
      <c r="Y168" s="208"/>
      <c r="Z168" s="208"/>
      <c r="AA168" s="208"/>
      <c r="AB168" s="208"/>
      <c r="AC168" s="208"/>
      <c r="AD168" s="208"/>
      <c r="AE168" s="208"/>
      <c r="AF168" s="208"/>
      <c r="AG168" s="208"/>
      <c r="AH168" s="208"/>
      <c r="AI168" s="208"/>
      <c r="AJ168" s="208"/>
      <c r="AK168" s="208"/>
      <c r="AL168" s="208"/>
      <c r="AM168" s="208"/>
      <c r="AN168" s="208"/>
      <c r="AO168" s="208"/>
      <c r="AP168" s="208"/>
    </row>
    <row r="169" spans="1:42" s="119" customFormat="1">
      <c r="A169" s="42"/>
      <c r="B169" s="220"/>
      <c r="C169" s="220"/>
      <c r="D169" s="220"/>
      <c r="E169" s="220"/>
      <c r="F169" s="220"/>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46"/>
      <c r="AK169" s="146"/>
      <c r="AL169" s="146"/>
      <c r="AM169" s="146"/>
      <c r="AN169" s="146"/>
      <c r="AO169" s="146"/>
      <c r="AP169" s="146"/>
    </row>
    <row r="170" spans="1:42">
      <c r="A170" s="204" t="s">
        <v>256</v>
      </c>
      <c r="B170" s="164"/>
      <c r="C170" s="164"/>
      <c r="D170" s="164"/>
      <c r="E170" s="164"/>
      <c r="F170" s="164"/>
      <c r="G170" s="208"/>
      <c r="H170" s="208"/>
      <c r="I170" s="208"/>
      <c r="J170" s="208"/>
      <c r="K170" s="208"/>
      <c r="L170" s="208"/>
      <c r="M170" s="208"/>
      <c r="N170" s="208"/>
      <c r="O170" s="208"/>
      <c r="P170" s="208"/>
      <c r="Q170" s="208"/>
      <c r="R170" s="208"/>
      <c r="S170" s="208"/>
      <c r="T170" s="208"/>
      <c r="U170" s="208"/>
      <c r="V170" s="208"/>
      <c r="W170" s="208"/>
      <c r="X170" s="208"/>
      <c r="Y170" s="208"/>
      <c r="Z170" s="208"/>
      <c r="AA170" s="208"/>
      <c r="AB170" s="208"/>
      <c r="AC170" s="208"/>
      <c r="AD170" s="208"/>
      <c r="AE170" s="208"/>
      <c r="AF170" s="208"/>
      <c r="AG170" s="208"/>
      <c r="AH170" s="208"/>
      <c r="AI170" s="208"/>
      <c r="AJ170" s="208"/>
      <c r="AK170" s="208"/>
      <c r="AL170" s="208"/>
      <c r="AM170" s="208"/>
      <c r="AN170" s="208"/>
      <c r="AO170" s="208"/>
      <c r="AP170" s="208"/>
    </row>
    <row r="171" spans="1:42" s="119" customFormat="1">
      <c r="A171" s="219" t="s">
        <v>229</v>
      </c>
      <c r="B171" s="220"/>
      <c r="C171" s="220"/>
      <c r="D171" s="220"/>
      <c r="E171" s="220"/>
      <c r="F171" s="220"/>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46"/>
      <c r="AK171" s="146"/>
      <c r="AL171" s="146"/>
      <c r="AM171" s="146"/>
      <c r="AN171" s="146"/>
      <c r="AO171" s="146"/>
      <c r="AP171" s="146"/>
    </row>
    <row r="172" spans="1:42">
      <c r="A172" s="206" t="s">
        <v>224</v>
      </c>
      <c r="B172" s="208">
        <f t="shared" ref="B172:AP172" si="625">B95-B134</f>
        <v>-193219.35950296</v>
      </c>
      <c r="C172" s="208">
        <f t="shared" si="625"/>
        <v>0</v>
      </c>
      <c r="D172" s="208">
        <f t="shared" si="625"/>
        <v>0</v>
      </c>
      <c r="E172" s="208">
        <f t="shared" si="625"/>
        <v>0</v>
      </c>
      <c r="F172" s="208">
        <f t="shared" si="625"/>
        <v>0</v>
      </c>
      <c r="G172" s="208">
        <f t="shared" si="625"/>
        <v>0</v>
      </c>
      <c r="H172" s="208">
        <f t="shared" si="625"/>
        <v>0</v>
      </c>
      <c r="I172" s="208">
        <f t="shared" si="625"/>
        <v>0</v>
      </c>
      <c r="J172" s="208">
        <f t="shared" si="625"/>
        <v>0</v>
      </c>
      <c r="K172" s="208">
        <f t="shared" si="625"/>
        <v>0</v>
      </c>
      <c r="L172" s="208">
        <f t="shared" si="625"/>
        <v>0</v>
      </c>
      <c r="M172" s="208">
        <f t="shared" si="625"/>
        <v>0</v>
      </c>
      <c r="N172" s="208">
        <f t="shared" si="625"/>
        <v>0</v>
      </c>
      <c r="O172" s="208">
        <f t="shared" si="625"/>
        <v>0</v>
      </c>
      <c r="P172" s="208">
        <f t="shared" si="625"/>
        <v>0</v>
      </c>
      <c r="Q172" s="208">
        <f t="shared" si="625"/>
        <v>0</v>
      </c>
      <c r="R172" s="208">
        <f t="shared" si="625"/>
        <v>0</v>
      </c>
      <c r="S172" s="208">
        <f t="shared" si="625"/>
        <v>0</v>
      </c>
      <c r="T172" s="208">
        <f t="shared" si="625"/>
        <v>0</v>
      </c>
      <c r="U172" s="208">
        <f t="shared" si="625"/>
        <v>0</v>
      </c>
      <c r="V172" s="208">
        <f t="shared" si="625"/>
        <v>0</v>
      </c>
      <c r="W172" s="208">
        <f t="shared" si="625"/>
        <v>0</v>
      </c>
      <c r="X172" s="208">
        <f t="shared" si="625"/>
        <v>0</v>
      </c>
      <c r="Y172" s="208">
        <f t="shared" si="625"/>
        <v>0</v>
      </c>
      <c r="Z172" s="208">
        <f t="shared" si="625"/>
        <v>0</v>
      </c>
      <c r="AA172" s="208">
        <f t="shared" si="625"/>
        <v>0</v>
      </c>
      <c r="AB172" s="208">
        <f t="shared" si="625"/>
        <v>0</v>
      </c>
      <c r="AC172" s="208">
        <f t="shared" si="625"/>
        <v>0</v>
      </c>
      <c r="AD172" s="208">
        <f t="shared" si="625"/>
        <v>0</v>
      </c>
      <c r="AE172" s="208">
        <f t="shared" si="625"/>
        <v>0</v>
      </c>
      <c r="AF172" s="208">
        <f t="shared" si="625"/>
        <v>0</v>
      </c>
      <c r="AG172" s="208">
        <f t="shared" si="625"/>
        <v>0</v>
      </c>
      <c r="AH172" s="208">
        <f t="shared" si="625"/>
        <v>0</v>
      </c>
      <c r="AI172" s="208">
        <f t="shared" si="625"/>
        <v>0</v>
      </c>
      <c r="AJ172" s="208">
        <f t="shared" si="625"/>
        <v>0</v>
      </c>
      <c r="AK172" s="208">
        <f t="shared" si="625"/>
        <v>0</v>
      </c>
      <c r="AL172" s="208">
        <f t="shared" si="625"/>
        <v>0</v>
      </c>
      <c r="AM172" s="208">
        <f t="shared" si="625"/>
        <v>0</v>
      </c>
      <c r="AN172" s="208">
        <f t="shared" si="625"/>
        <v>0</v>
      </c>
      <c r="AO172" s="208">
        <f t="shared" si="625"/>
        <v>0</v>
      </c>
      <c r="AP172" s="208">
        <f t="shared" si="625"/>
        <v>0</v>
      </c>
    </row>
    <row r="173" spans="1:42">
      <c r="A173" s="206" t="s">
        <v>402</v>
      </c>
      <c r="B173" s="208">
        <f>'Inputs &amp; Results'!C141</f>
        <v>1206814.5</v>
      </c>
      <c r="C173" s="208"/>
      <c r="D173" s="208"/>
      <c r="E173" s="208"/>
      <c r="F173" s="208"/>
      <c r="G173" s="208"/>
      <c r="H173" s="208"/>
      <c r="I173" s="208"/>
      <c r="J173" s="208"/>
      <c r="K173" s="208"/>
      <c r="L173" s="208"/>
      <c r="M173" s="208"/>
      <c r="N173" s="208"/>
      <c r="O173" s="208"/>
      <c r="P173" s="208"/>
      <c r="Q173" s="208"/>
      <c r="R173" s="208"/>
      <c r="S173" s="208"/>
      <c r="T173" s="208"/>
      <c r="U173" s="208"/>
      <c r="V173" s="208"/>
      <c r="W173" s="208"/>
      <c r="X173" s="208"/>
      <c r="Y173" s="208"/>
      <c r="Z173" s="208"/>
      <c r="AA173" s="208"/>
      <c r="AB173" s="208"/>
      <c r="AC173" s="208"/>
      <c r="AD173" s="208"/>
      <c r="AE173" s="208"/>
      <c r="AF173" s="208"/>
      <c r="AG173" s="208"/>
      <c r="AH173" s="208"/>
      <c r="AI173" s="208"/>
      <c r="AJ173" s="208"/>
      <c r="AK173" s="208"/>
      <c r="AL173" s="208"/>
      <c r="AM173" s="208"/>
      <c r="AN173" s="208"/>
      <c r="AO173" s="208"/>
      <c r="AP173" s="208"/>
    </row>
    <row r="174" spans="1:42">
      <c r="A174" s="206" t="s">
        <v>225</v>
      </c>
      <c r="B174" s="209">
        <f t="shared" ref="B174:AP174" si="626">B96-B135</f>
        <v>0</v>
      </c>
      <c r="C174" s="209">
        <f t="shared" si="626"/>
        <v>29550.819917412242</v>
      </c>
      <c r="D174" s="209">
        <f t="shared" si="626"/>
        <v>30419.432824728312</v>
      </c>
      <c r="E174" s="209">
        <f t="shared" si="626"/>
        <v>31306.148553717649</v>
      </c>
      <c r="F174" s="209">
        <f t="shared" si="626"/>
        <v>32133.004044077825</v>
      </c>
      <c r="G174" s="209">
        <f t="shared" si="626"/>
        <v>33025.427386323689</v>
      </c>
      <c r="H174" s="209">
        <f t="shared" si="626"/>
        <v>33936.759820011444</v>
      </c>
      <c r="I174" s="209">
        <f t="shared" si="626"/>
        <v>34785.476604223484</v>
      </c>
      <c r="J174" s="209">
        <f t="shared" si="626"/>
        <v>35702.73471603659</v>
      </c>
      <c r="K174" s="209">
        <f t="shared" si="626"/>
        <v>36639.743623552145</v>
      </c>
      <c r="L174" s="209">
        <f t="shared" si="626"/>
        <v>73675.502108594868</v>
      </c>
      <c r="M174" s="209">
        <f t="shared" si="626"/>
        <v>110854.95596846472</v>
      </c>
      <c r="N174" s="209">
        <f t="shared" si="626"/>
        <v>113213.05728278868</v>
      </c>
      <c r="O174" s="209">
        <f t="shared" si="626"/>
        <v>4825004.9799654502</v>
      </c>
      <c r="P174" s="209">
        <f t="shared" si="626"/>
        <v>4928215.6324144807</v>
      </c>
      <c r="Q174" s="209">
        <f t="shared" si="626"/>
        <v>5032575.3449771106</v>
      </c>
      <c r="R174" s="209">
        <f t="shared" si="626"/>
        <v>4955731.6623904444</v>
      </c>
      <c r="S174" s="209">
        <f t="shared" si="626"/>
        <v>5063994.2892652256</v>
      </c>
      <c r="T174" s="209">
        <f t="shared" si="626"/>
        <v>5173455.0292561669</v>
      </c>
      <c r="U174" s="209">
        <f t="shared" si="626"/>
        <v>5280547.7632056531</v>
      </c>
      <c r="V174" s="209">
        <f t="shared" si="626"/>
        <v>5392484.5082009714</v>
      </c>
      <c r="W174" s="209">
        <f t="shared" si="626"/>
        <v>5505670.4274858898</v>
      </c>
      <c r="X174" s="209">
        <f t="shared" si="626"/>
        <v>5604195.1425495725</v>
      </c>
      <c r="Y174" s="209">
        <f t="shared" si="626"/>
        <v>5707781.3047947716</v>
      </c>
      <c r="Z174" s="209">
        <f t="shared" si="626"/>
        <v>5812669.7865593601</v>
      </c>
      <c r="AA174" s="209">
        <f t="shared" si="626"/>
        <v>6111987.1634146199</v>
      </c>
      <c r="AB174" s="209">
        <f t="shared" si="626"/>
        <v>6215202.4984073741</v>
      </c>
      <c r="AC174" s="209">
        <f t="shared" si="626"/>
        <v>6319775.4604703384</v>
      </c>
      <c r="AD174" s="209">
        <f t="shared" si="626"/>
        <v>6421628.3133571874</v>
      </c>
      <c r="AE174" s="209">
        <f t="shared" si="626"/>
        <v>6529006.9277247321</v>
      </c>
      <c r="AF174" s="209">
        <f t="shared" si="626"/>
        <v>10184608.469711805</v>
      </c>
      <c r="AG174" s="209">
        <f t="shared" si="626"/>
        <v>0</v>
      </c>
      <c r="AH174" s="209">
        <f t="shared" si="626"/>
        <v>0</v>
      </c>
      <c r="AI174" s="209">
        <f t="shared" si="626"/>
        <v>0</v>
      </c>
      <c r="AJ174" s="209">
        <f t="shared" si="626"/>
        <v>0</v>
      </c>
      <c r="AK174" s="209">
        <f t="shared" si="626"/>
        <v>0</v>
      </c>
      <c r="AL174" s="209">
        <f t="shared" si="626"/>
        <v>0</v>
      </c>
      <c r="AM174" s="209">
        <f t="shared" si="626"/>
        <v>0</v>
      </c>
      <c r="AN174" s="209">
        <f t="shared" si="626"/>
        <v>0</v>
      </c>
      <c r="AO174" s="209">
        <f t="shared" si="626"/>
        <v>0</v>
      </c>
      <c r="AP174" s="209">
        <f t="shared" si="626"/>
        <v>0</v>
      </c>
    </row>
    <row r="175" spans="1:42">
      <c r="A175" s="206" t="s">
        <v>230</v>
      </c>
      <c r="B175" s="164">
        <f>SUM(B172:B174)</f>
        <v>1013595.14049704</v>
      </c>
      <c r="C175" s="164">
        <f t="shared" ref="C175" si="627">SUM(C172:C174)</f>
        <v>29550.819917412242</v>
      </c>
      <c r="D175" s="164">
        <f t="shared" ref="D175" si="628">SUM(D172:D174)</f>
        <v>30419.432824728312</v>
      </c>
      <c r="E175" s="164">
        <f t="shared" ref="E175" si="629">SUM(E172:E174)</f>
        <v>31306.148553717649</v>
      </c>
      <c r="F175" s="164">
        <f t="shared" ref="F175" si="630">SUM(F172:F174)</f>
        <v>32133.004044077825</v>
      </c>
      <c r="G175" s="164">
        <f t="shared" ref="G175" si="631">SUM(G172:G174)</f>
        <v>33025.427386323689</v>
      </c>
      <c r="H175" s="164">
        <f t="shared" ref="H175" si="632">SUM(H172:H174)</f>
        <v>33936.759820011444</v>
      </c>
      <c r="I175" s="164">
        <f t="shared" ref="I175" si="633">SUM(I172:I174)</f>
        <v>34785.476604223484</v>
      </c>
      <c r="J175" s="164">
        <f t="shared" ref="J175" si="634">SUM(J172:J174)</f>
        <v>35702.73471603659</v>
      </c>
      <c r="K175" s="164">
        <f t="shared" ref="K175" si="635">SUM(K172:K174)</f>
        <v>36639.743623552145</v>
      </c>
      <c r="L175" s="164">
        <f t="shared" ref="L175" si="636">SUM(L172:L174)</f>
        <v>73675.502108594868</v>
      </c>
      <c r="M175" s="164">
        <f t="shared" ref="M175" si="637">SUM(M172:M174)</f>
        <v>110854.95596846472</v>
      </c>
      <c r="N175" s="164">
        <f t="shared" ref="N175" si="638">SUM(N172:N174)</f>
        <v>113213.05728278868</v>
      </c>
      <c r="O175" s="164">
        <f t="shared" ref="O175" si="639">SUM(O172:O174)</f>
        <v>4825004.9799654502</v>
      </c>
      <c r="P175" s="164">
        <f t="shared" ref="P175" si="640">SUM(P172:P174)</f>
        <v>4928215.6324144807</v>
      </c>
      <c r="Q175" s="164">
        <f t="shared" ref="Q175" si="641">SUM(Q172:Q174)</f>
        <v>5032575.3449771106</v>
      </c>
      <c r="R175" s="164">
        <f t="shared" ref="R175" si="642">SUM(R172:R174)</f>
        <v>4955731.6623904444</v>
      </c>
      <c r="S175" s="164">
        <f t="shared" ref="S175" si="643">SUM(S172:S174)</f>
        <v>5063994.2892652256</v>
      </c>
      <c r="T175" s="164">
        <f t="shared" ref="T175" si="644">SUM(T172:T174)</f>
        <v>5173455.0292561669</v>
      </c>
      <c r="U175" s="164">
        <f t="shared" ref="U175" si="645">SUM(U172:U174)</f>
        <v>5280547.7632056531</v>
      </c>
      <c r="V175" s="164">
        <f t="shared" ref="V175" si="646">SUM(V172:V174)</f>
        <v>5392484.5082009714</v>
      </c>
      <c r="W175" s="164">
        <f t="shared" ref="W175" si="647">SUM(W172:W174)</f>
        <v>5505670.4274858898</v>
      </c>
      <c r="X175" s="164">
        <f t="shared" ref="X175" si="648">SUM(X172:X174)</f>
        <v>5604195.1425495725</v>
      </c>
      <c r="Y175" s="164">
        <f t="shared" ref="Y175" si="649">SUM(Y172:Y174)</f>
        <v>5707781.3047947716</v>
      </c>
      <c r="Z175" s="164">
        <f t="shared" ref="Z175" si="650">SUM(Z172:Z174)</f>
        <v>5812669.7865593601</v>
      </c>
      <c r="AA175" s="164">
        <f t="shared" ref="AA175" si="651">SUM(AA172:AA174)</f>
        <v>6111987.1634146199</v>
      </c>
      <c r="AB175" s="164">
        <f t="shared" ref="AB175" si="652">SUM(AB172:AB174)</f>
        <v>6215202.4984073741</v>
      </c>
      <c r="AC175" s="164">
        <f t="shared" ref="AC175" si="653">SUM(AC172:AC174)</f>
        <v>6319775.4604703384</v>
      </c>
      <c r="AD175" s="164">
        <f t="shared" ref="AD175" si="654">SUM(AD172:AD174)</f>
        <v>6421628.3133571874</v>
      </c>
      <c r="AE175" s="164">
        <f t="shared" ref="AE175" si="655">SUM(AE172:AE174)</f>
        <v>6529006.9277247321</v>
      </c>
      <c r="AF175" s="164">
        <f t="shared" ref="AF175" si="656">SUM(AF172:AF174)</f>
        <v>10184608.469711805</v>
      </c>
      <c r="AG175" s="164">
        <f t="shared" ref="AG175" si="657">SUM(AG172:AG174)</f>
        <v>0</v>
      </c>
      <c r="AH175" s="164">
        <f t="shared" ref="AH175" si="658">SUM(AH172:AH174)</f>
        <v>0</v>
      </c>
      <c r="AI175" s="164">
        <f t="shared" ref="AI175" si="659">SUM(AI172:AI174)</f>
        <v>0</v>
      </c>
      <c r="AJ175" s="164">
        <f t="shared" ref="AJ175" si="660">SUM(AJ172:AJ174)</f>
        <v>0</v>
      </c>
      <c r="AK175" s="164">
        <f t="shared" ref="AK175" si="661">SUM(AK172:AK174)</f>
        <v>0</v>
      </c>
      <c r="AL175" s="164">
        <f t="shared" ref="AL175" si="662">SUM(AL172:AL174)</f>
        <v>0</v>
      </c>
      <c r="AM175" s="164">
        <f t="shared" ref="AM175" si="663">SUM(AM172:AM174)</f>
        <v>0</v>
      </c>
      <c r="AN175" s="164">
        <f t="shared" ref="AN175" si="664">SUM(AN172:AN174)</f>
        <v>0</v>
      </c>
      <c r="AO175" s="164">
        <f t="shared" ref="AO175" si="665">SUM(AO172:AO174)</f>
        <v>0</v>
      </c>
      <c r="AP175" s="164">
        <f t="shared" ref="AP175" si="666">SUM(AP172:AP174)</f>
        <v>0</v>
      </c>
    </row>
    <row r="176" spans="1:42">
      <c r="A176" s="202" t="s">
        <v>33</v>
      </c>
      <c r="B176" s="164"/>
      <c r="C176" s="164"/>
      <c r="D176" s="164"/>
      <c r="E176" s="164"/>
      <c r="F176" s="164"/>
      <c r="G176" s="208"/>
      <c r="H176" s="208"/>
      <c r="I176" s="208"/>
      <c r="J176" s="208"/>
      <c r="K176" s="208"/>
      <c r="L176" s="208"/>
      <c r="M176" s="208"/>
      <c r="N176" s="208"/>
      <c r="O176" s="208"/>
      <c r="P176" s="208"/>
      <c r="Q176" s="208"/>
      <c r="R176" s="208"/>
      <c r="S176" s="208"/>
      <c r="T176" s="208"/>
      <c r="U176" s="208"/>
      <c r="V176" s="208"/>
      <c r="W176" s="208"/>
      <c r="X176" s="208"/>
      <c r="Y176" s="208"/>
      <c r="Z176" s="208"/>
      <c r="AA176" s="208"/>
      <c r="AB176" s="208"/>
      <c r="AC176" s="208"/>
      <c r="AD176" s="208"/>
      <c r="AE176" s="208"/>
      <c r="AF176" s="208"/>
      <c r="AG176" s="208"/>
      <c r="AH176" s="208"/>
      <c r="AI176" s="208"/>
      <c r="AJ176" s="208"/>
      <c r="AK176" s="208"/>
      <c r="AL176" s="208"/>
      <c r="AM176" s="208"/>
      <c r="AN176" s="208"/>
      <c r="AO176" s="208"/>
      <c r="AP176" s="208"/>
    </row>
    <row r="177" spans="1:42">
      <c r="A177" s="206" t="s">
        <v>37</v>
      </c>
      <c r="B177" s="208">
        <f t="shared" ref="B177:AP177" si="667">B99-B138</f>
        <v>0</v>
      </c>
      <c r="C177" s="208">
        <f t="shared" si="667"/>
        <v>400</v>
      </c>
      <c r="D177" s="208">
        <f t="shared" si="667"/>
        <v>0</v>
      </c>
      <c r="E177" s="208">
        <f t="shared" si="667"/>
        <v>0</v>
      </c>
      <c r="F177" s="208">
        <f t="shared" si="667"/>
        <v>0</v>
      </c>
      <c r="G177" s="208">
        <f t="shared" si="667"/>
        <v>0</v>
      </c>
      <c r="H177" s="208">
        <f t="shared" si="667"/>
        <v>0</v>
      </c>
      <c r="I177" s="208">
        <f t="shared" si="667"/>
        <v>0</v>
      </c>
      <c r="J177" s="208">
        <f t="shared" si="667"/>
        <v>0</v>
      </c>
      <c r="K177" s="208">
        <f t="shared" si="667"/>
        <v>0</v>
      </c>
      <c r="L177" s="208">
        <f t="shared" si="667"/>
        <v>0</v>
      </c>
      <c r="M177" s="208">
        <f t="shared" si="667"/>
        <v>0</v>
      </c>
      <c r="N177" s="208">
        <f t="shared" si="667"/>
        <v>0</v>
      </c>
      <c r="O177" s="208">
        <f t="shared" si="667"/>
        <v>0</v>
      </c>
      <c r="P177" s="208">
        <f t="shared" si="667"/>
        <v>0</v>
      </c>
      <c r="Q177" s="208">
        <f t="shared" si="667"/>
        <v>0</v>
      </c>
      <c r="R177" s="208">
        <f t="shared" si="667"/>
        <v>0</v>
      </c>
      <c r="S177" s="208">
        <f t="shared" si="667"/>
        <v>0</v>
      </c>
      <c r="T177" s="208">
        <f t="shared" si="667"/>
        <v>0</v>
      </c>
      <c r="U177" s="208">
        <f t="shared" si="667"/>
        <v>0</v>
      </c>
      <c r="V177" s="208">
        <f t="shared" si="667"/>
        <v>0</v>
      </c>
      <c r="W177" s="208">
        <f t="shared" si="667"/>
        <v>0</v>
      </c>
      <c r="X177" s="208">
        <f t="shared" si="667"/>
        <v>0</v>
      </c>
      <c r="Y177" s="208">
        <f t="shared" si="667"/>
        <v>0</v>
      </c>
      <c r="Z177" s="208">
        <f t="shared" si="667"/>
        <v>0</v>
      </c>
      <c r="AA177" s="208">
        <f t="shared" si="667"/>
        <v>0</v>
      </c>
      <c r="AB177" s="208">
        <f t="shared" si="667"/>
        <v>0</v>
      </c>
      <c r="AC177" s="208">
        <f t="shared" si="667"/>
        <v>0</v>
      </c>
      <c r="AD177" s="208">
        <f t="shared" si="667"/>
        <v>0</v>
      </c>
      <c r="AE177" s="208">
        <f t="shared" si="667"/>
        <v>0</v>
      </c>
      <c r="AF177" s="208">
        <f t="shared" si="667"/>
        <v>0</v>
      </c>
      <c r="AG177" s="208">
        <f t="shared" si="667"/>
        <v>0</v>
      </c>
      <c r="AH177" s="208">
        <f t="shared" si="667"/>
        <v>0</v>
      </c>
      <c r="AI177" s="208">
        <f t="shared" si="667"/>
        <v>0</v>
      </c>
      <c r="AJ177" s="208">
        <f t="shared" si="667"/>
        <v>0</v>
      </c>
      <c r="AK177" s="208">
        <f t="shared" si="667"/>
        <v>0</v>
      </c>
      <c r="AL177" s="208">
        <f t="shared" si="667"/>
        <v>0</v>
      </c>
      <c r="AM177" s="208">
        <f t="shared" si="667"/>
        <v>0</v>
      </c>
      <c r="AN177" s="208">
        <f t="shared" si="667"/>
        <v>0</v>
      </c>
      <c r="AO177" s="208">
        <f t="shared" si="667"/>
        <v>0</v>
      </c>
      <c r="AP177" s="208">
        <f t="shared" si="667"/>
        <v>0</v>
      </c>
    </row>
    <row r="178" spans="1:42">
      <c r="A178" s="206" t="s">
        <v>36</v>
      </c>
      <c r="B178" s="209">
        <f t="shared" ref="B178:AP178" si="668">B100-B139</f>
        <v>0</v>
      </c>
      <c r="C178" s="209">
        <f t="shared" si="668"/>
        <v>200</v>
      </c>
      <c r="D178" s="209">
        <f t="shared" si="668"/>
        <v>0</v>
      </c>
      <c r="E178" s="209">
        <f t="shared" si="668"/>
        <v>0</v>
      </c>
      <c r="F178" s="209">
        <f t="shared" si="668"/>
        <v>0</v>
      </c>
      <c r="G178" s="209">
        <f t="shared" si="668"/>
        <v>0</v>
      </c>
      <c r="H178" s="209">
        <f t="shared" si="668"/>
        <v>0</v>
      </c>
      <c r="I178" s="209">
        <f t="shared" si="668"/>
        <v>0</v>
      </c>
      <c r="J178" s="209">
        <f t="shared" si="668"/>
        <v>0</v>
      </c>
      <c r="K178" s="209">
        <f t="shared" si="668"/>
        <v>0</v>
      </c>
      <c r="L178" s="209">
        <f t="shared" si="668"/>
        <v>0</v>
      </c>
      <c r="M178" s="209">
        <f t="shared" si="668"/>
        <v>0</v>
      </c>
      <c r="N178" s="209">
        <f t="shared" si="668"/>
        <v>0</v>
      </c>
      <c r="O178" s="209">
        <f t="shared" si="668"/>
        <v>0</v>
      </c>
      <c r="P178" s="209">
        <f t="shared" si="668"/>
        <v>0</v>
      </c>
      <c r="Q178" s="209">
        <f t="shared" si="668"/>
        <v>0</v>
      </c>
      <c r="R178" s="209">
        <f t="shared" si="668"/>
        <v>0</v>
      </c>
      <c r="S178" s="209">
        <f t="shared" si="668"/>
        <v>0</v>
      </c>
      <c r="T178" s="209">
        <f t="shared" si="668"/>
        <v>0</v>
      </c>
      <c r="U178" s="209">
        <f t="shared" si="668"/>
        <v>0</v>
      </c>
      <c r="V178" s="209">
        <f t="shared" si="668"/>
        <v>0</v>
      </c>
      <c r="W178" s="209">
        <f t="shared" si="668"/>
        <v>0</v>
      </c>
      <c r="X178" s="209">
        <f t="shared" si="668"/>
        <v>0</v>
      </c>
      <c r="Y178" s="209">
        <f t="shared" si="668"/>
        <v>0</v>
      </c>
      <c r="Z178" s="209">
        <f t="shared" si="668"/>
        <v>0</v>
      </c>
      <c r="AA178" s="209">
        <f t="shared" si="668"/>
        <v>0</v>
      </c>
      <c r="AB178" s="209">
        <f t="shared" si="668"/>
        <v>0</v>
      </c>
      <c r="AC178" s="209">
        <f t="shared" si="668"/>
        <v>0</v>
      </c>
      <c r="AD178" s="209">
        <f t="shared" si="668"/>
        <v>0</v>
      </c>
      <c r="AE178" s="209">
        <f t="shared" si="668"/>
        <v>0</v>
      </c>
      <c r="AF178" s="209">
        <f t="shared" si="668"/>
        <v>0</v>
      </c>
      <c r="AG178" s="209">
        <f t="shared" si="668"/>
        <v>0</v>
      </c>
      <c r="AH178" s="209">
        <f t="shared" si="668"/>
        <v>0</v>
      </c>
      <c r="AI178" s="209">
        <f t="shared" si="668"/>
        <v>0</v>
      </c>
      <c r="AJ178" s="209">
        <f t="shared" si="668"/>
        <v>0</v>
      </c>
      <c r="AK178" s="209">
        <f t="shared" si="668"/>
        <v>0</v>
      </c>
      <c r="AL178" s="209">
        <f t="shared" si="668"/>
        <v>0</v>
      </c>
      <c r="AM178" s="209">
        <f t="shared" si="668"/>
        <v>0</v>
      </c>
      <c r="AN178" s="209">
        <f t="shared" si="668"/>
        <v>0</v>
      </c>
      <c r="AO178" s="209">
        <f t="shared" si="668"/>
        <v>0</v>
      </c>
      <c r="AP178" s="209">
        <f t="shared" si="668"/>
        <v>0</v>
      </c>
    </row>
    <row r="179" spans="1:42">
      <c r="A179" s="206" t="s">
        <v>53</v>
      </c>
      <c r="B179" s="164">
        <f>SUM(B177:B178)</f>
        <v>0</v>
      </c>
      <c r="C179" s="164">
        <f>SUM(C177:C178)</f>
        <v>600</v>
      </c>
      <c r="D179" s="164">
        <f>SUM(D177:D178)</f>
        <v>0</v>
      </c>
      <c r="E179" s="164">
        <f t="shared" ref="E179" si="669">SUM(E177:E178)</f>
        <v>0</v>
      </c>
      <c r="F179" s="164">
        <f t="shared" ref="F179" si="670">SUM(F177:F178)</f>
        <v>0</v>
      </c>
      <c r="G179" s="164">
        <f t="shared" ref="G179" si="671">SUM(G177:G178)</f>
        <v>0</v>
      </c>
      <c r="H179" s="164">
        <f t="shared" ref="H179" si="672">SUM(H177:H178)</f>
        <v>0</v>
      </c>
      <c r="I179" s="164">
        <f t="shared" ref="I179" si="673">SUM(I177:I178)</f>
        <v>0</v>
      </c>
      <c r="J179" s="164">
        <f t="shared" ref="J179" si="674">SUM(J177:J178)</f>
        <v>0</v>
      </c>
      <c r="K179" s="164">
        <f t="shared" ref="K179" si="675">SUM(K177:K178)</f>
        <v>0</v>
      </c>
      <c r="L179" s="164">
        <f t="shared" ref="L179" si="676">SUM(L177:L178)</f>
        <v>0</v>
      </c>
      <c r="M179" s="164">
        <f t="shared" ref="M179" si="677">SUM(M177:M178)</f>
        <v>0</v>
      </c>
      <c r="N179" s="164">
        <f t="shared" ref="N179" si="678">SUM(N177:N178)</f>
        <v>0</v>
      </c>
      <c r="O179" s="164">
        <f t="shared" ref="O179" si="679">SUM(O177:O178)</f>
        <v>0</v>
      </c>
      <c r="P179" s="164">
        <f t="shared" ref="P179" si="680">SUM(P177:P178)</f>
        <v>0</v>
      </c>
      <c r="Q179" s="164">
        <f t="shared" ref="Q179" si="681">SUM(Q177:Q178)</f>
        <v>0</v>
      </c>
      <c r="R179" s="164">
        <f t="shared" ref="R179" si="682">SUM(R177:R178)</f>
        <v>0</v>
      </c>
      <c r="S179" s="164">
        <f t="shared" ref="S179" si="683">SUM(S177:S178)</f>
        <v>0</v>
      </c>
      <c r="T179" s="164">
        <f t="shared" ref="T179" si="684">SUM(T177:T178)</f>
        <v>0</v>
      </c>
      <c r="U179" s="164">
        <f t="shared" ref="U179" si="685">SUM(U177:U178)</f>
        <v>0</v>
      </c>
      <c r="V179" s="164">
        <f t="shared" ref="V179" si="686">SUM(V177:V178)</f>
        <v>0</v>
      </c>
      <c r="W179" s="164">
        <f t="shared" ref="W179" si="687">SUM(W177:W178)</f>
        <v>0</v>
      </c>
      <c r="X179" s="164">
        <f t="shared" ref="X179" si="688">SUM(X177:X178)</f>
        <v>0</v>
      </c>
      <c r="Y179" s="164">
        <f t="shared" ref="Y179" si="689">SUM(Y177:Y178)</f>
        <v>0</v>
      </c>
      <c r="Z179" s="164">
        <f t="shared" ref="Z179" si="690">SUM(Z177:Z178)</f>
        <v>0</v>
      </c>
      <c r="AA179" s="164">
        <f t="shared" ref="AA179" si="691">SUM(AA177:AA178)</f>
        <v>0</v>
      </c>
      <c r="AB179" s="164">
        <f t="shared" ref="AB179" si="692">SUM(AB177:AB178)</f>
        <v>0</v>
      </c>
      <c r="AC179" s="164">
        <f t="shared" ref="AC179" si="693">SUM(AC177:AC178)</f>
        <v>0</v>
      </c>
      <c r="AD179" s="164">
        <f t="shared" ref="AD179" si="694">SUM(AD177:AD178)</f>
        <v>0</v>
      </c>
      <c r="AE179" s="164">
        <f t="shared" ref="AE179" si="695">SUM(AE177:AE178)</f>
        <v>0</v>
      </c>
      <c r="AF179" s="164">
        <f t="shared" ref="AF179" si="696">SUM(AF177:AF178)</f>
        <v>0</v>
      </c>
      <c r="AG179" s="164">
        <f t="shared" ref="AG179" si="697">SUM(AG177:AG178)</f>
        <v>0</v>
      </c>
      <c r="AH179" s="164">
        <f t="shared" ref="AH179" si="698">SUM(AH177:AH178)</f>
        <v>0</v>
      </c>
      <c r="AI179" s="164">
        <f t="shared" ref="AI179" si="699">SUM(AI177:AI178)</f>
        <v>0</v>
      </c>
      <c r="AJ179" s="164">
        <f t="shared" ref="AJ179" si="700">SUM(AJ177:AJ178)</f>
        <v>0</v>
      </c>
      <c r="AK179" s="164">
        <f t="shared" ref="AK179" si="701">SUM(AK177:AK178)</f>
        <v>0</v>
      </c>
      <c r="AL179" s="164">
        <f t="shared" ref="AL179" si="702">SUM(AL177:AL178)</f>
        <v>0</v>
      </c>
      <c r="AM179" s="164">
        <f t="shared" ref="AM179" si="703">SUM(AM177:AM178)</f>
        <v>0</v>
      </c>
      <c r="AN179" s="164">
        <f t="shared" ref="AN179" si="704">SUM(AN177:AN178)</f>
        <v>0</v>
      </c>
      <c r="AO179" s="164">
        <f t="shared" ref="AO179" si="705">SUM(AO177:AO178)</f>
        <v>0</v>
      </c>
      <c r="AP179" s="164">
        <f t="shared" ref="AP179" si="706">SUM(AP177:AP178)</f>
        <v>0</v>
      </c>
    </row>
    <row r="180" spans="1:42">
      <c r="A180" s="202" t="s">
        <v>38</v>
      </c>
      <c r="B180" s="164"/>
      <c r="C180" s="164"/>
      <c r="D180" s="164"/>
      <c r="E180" s="164"/>
      <c r="F180" s="164"/>
      <c r="G180" s="208"/>
      <c r="H180" s="208"/>
      <c r="I180" s="208"/>
      <c r="J180" s="208"/>
      <c r="K180" s="208"/>
      <c r="L180" s="208"/>
      <c r="M180" s="208"/>
      <c r="N180" s="208"/>
      <c r="O180" s="208"/>
      <c r="P180" s="208"/>
      <c r="Q180" s="208"/>
      <c r="R180" s="208"/>
      <c r="S180" s="208"/>
      <c r="T180" s="208"/>
      <c r="U180" s="208"/>
      <c r="V180" s="208"/>
      <c r="W180" s="208"/>
      <c r="X180" s="208"/>
      <c r="Y180" s="208"/>
      <c r="Z180" s="208"/>
      <c r="AA180" s="208"/>
      <c r="AB180" s="208"/>
      <c r="AC180" s="208"/>
      <c r="AD180" s="208"/>
      <c r="AE180" s="208"/>
      <c r="AF180" s="208"/>
      <c r="AG180" s="208"/>
      <c r="AH180" s="208"/>
      <c r="AI180" s="208"/>
      <c r="AJ180" s="208"/>
      <c r="AK180" s="208"/>
      <c r="AL180" s="208"/>
      <c r="AM180" s="208"/>
      <c r="AN180" s="208"/>
      <c r="AO180" s="208"/>
      <c r="AP180" s="208"/>
    </row>
    <row r="181" spans="1:42">
      <c r="A181" s="206" t="s">
        <v>37</v>
      </c>
      <c r="B181" s="208">
        <f t="shared" ref="B181:AP181" si="707">B103-B142</f>
        <v>0</v>
      </c>
      <c r="C181" s="208">
        <f t="shared" si="707"/>
        <v>0</v>
      </c>
      <c r="D181" s="208">
        <f t="shared" si="707"/>
        <v>0</v>
      </c>
      <c r="E181" s="208">
        <f t="shared" si="707"/>
        <v>0</v>
      </c>
      <c r="F181" s="208">
        <f t="shared" si="707"/>
        <v>0</v>
      </c>
      <c r="G181" s="208">
        <f t="shared" si="707"/>
        <v>0</v>
      </c>
      <c r="H181" s="208">
        <f t="shared" si="707"/>
        <v>0</v>
      </c>
      <c r="I181" s="208">
        <f t="shared" si="707"/>
        <v>0</v>
      </c>
      <c r="J181" s="208">
        <f t="shared" si="707"/>
        <v>0</v>
      </c>
      <c r="K181" s="208">
        <f t="shared" si="707"/>
        <v>0</v>
      </c>
      <c r="L181" s="208">
        <f t="shared" si="707"/>
        <v>0</v>
      </c>
      <c r="M181" s="208">
        <f t="shared" si="707"/>
        <v>0</v>
      </c>
      <c r="N181" s="208">
        <f t="shared" si="707"/>
        <v>0</v>
      </c>
      <c r="O181" s="208">
        <f t="shared" si="707"/>
        <v>0</v>
      </c>
      <c r="P181" s="208">
        <f t="shared" si="707"/>
        <v>0</v>
      </c>
      <c r="Q181" s="208">
        <f t="shared" si="707"/>
        <v>0</v>
      </c>
      <c r="R181" s="208">
        <f t="shared" si="707"/>
        <v>0</v>
      </c>
      <c r="S181" s="208">
        <f t="shared" si="707"/>
        <v>0</v>
      </c>
      <c r="T181" s="208">
        <f t="shared" si="707"/>
        <v>0</v>
      </c>
      <c r="U181" s="208">
        <f t="shared" si="707"/>
        <v>0</v>
      </c>
      <c r="V181" s="208">
        <f t="shared" si="707"/>
        <v>0</v>
      </c>
      <c r="W181" s="208">
        <f t="shared" si="707"/>
        <v>0</v>
      </c>
      <c r="X181" s="208">
        <f t="shared" si="707"/>
        <v>0</v>
      </c>
      <c r="Y181" s="208">
        <f t="shared" si="707"/>
        <v>0</v>
      </c>
      <c r="Z181" s="208">
        <f t="shared" si="707"/>
        <v>0</v>
      </c>
      <c r="AA181" s="208">
        <f t="shared" si="707"/>
        <v>0</v>
      </c>
      <c r="AB181" s="208">
        <f t="shared" si="707"/>
        <v>0</v>
      </c>
      <c r="AC181" s="208">
        <f t="shared" si="707"/>
        <v>0</v>
      </c>
      <c r="AD181" s="208">
        <f t="shared" si="707"/>
        <v>0</v>
      </c>
      <c r="AE181" s="208">
        <f t="shared" si="707"/>
        <v>0</v>
      </c>
      <c r="AF181" s="208">
        <f t="shared" si="707"/>
        <v>0</v>
      </c>
      <c r="AG181" s="208">
        <f t="shared" si="707"/>
        <v>0</v>
      </c>
      <c r="AH181" s="208">
        <f t="shared" si="707"/>
        <v>0</v>
      </c>
      <c r="AI181" s="208">
        <f t="shared" si="707"/>
        <v>0</v>
      </c>
      <c r="AJ181" s="208">
        <f t="shared" si="707"/>
        <v>0</v>
      </c>
      <c r="AK181" s="208">
        <f t="shared" si="707"/>
        <v>0</v>
      </c>
      <c r="AL181" s="208">
        <f t="shared" si="707"/>
        <v>0</v>
      </c>
      <c r="AM181" s="208">
        <f t="shared" si="707"/>
        <v>0</v>
      </c>
      <c r="AN181" s="208">
        <f t="shared" si="707"/>
        <v>0</v>
      </c>
      <c r="AO181" s="208">
        <f t="shared" si="707"/>
        <v>0</v>
      </c>
      <c r="AP181" s="208">
        <f t="shared" si="707"/>
        <v>0</v>
      </c>
    </row>
    <row r="182" spans="1:42">
      <c r="A182" s="206" t="s">
        <v>36</v>
      </c>
      <c r="B182" s="209">
        <f t="shared" ref="B182:AP182" si="708">B104-B143</f>
        <v>0</v>
      </c>
      <c r="C182" s="209">
        <f t="shared" si="708"/>
        <v>0</v>
      </c>
      <c r="D182" s="209">
        <f t="shared" si="708"/>
        <v>0</v>
      </c>
      <c r="E182" s="209">
        <f t="shared" si="708"/>
        <v>0</v>
      </c>
      <c r="F182" s="209">
        <f t="shared" si="708"/>
        <v>0</v>
      </c>
      <c r="G182" s="209">
        <f t="shared" si="708"/>
        <v>0</v>
      </c>
      <c r="H182" s="209">
        <f t="shared" si="708"/>
        <v>0</v>
      </c>
      <c r="I182" s="209">
        <f t="shared" si="708"/>
        <v>0</v>
      </c>
      <c r="J182" s="209">
        <f t="shared" si="708"/>
        <v>0</v>
      </c>
      <c r="K182" s="209">
        <f t="shared" si="708"/>
        <v>0</v>
      </c>
      <c r="L182" s="209">
        <f t="shared" si="708"/>
        <v>0</v>
      </c>
      <c r="M182" s="209">
        <f t="shared" si="708"/>
        <v>0</v>
      </c>
      <c r="N182" s="209">
        <f t="shared" si="708"/>
        <v>0</v>
      </c>
      <c r="O182" s="209">
        <f t="shared" si="708"/>
        <v>0</v>
      </c>
      <c r="P182" s="209">
        <f t="shared" si="708"/>
        <v>0</v>
      </c>
      <c r="Q182" s="209">
        <f t="shared" si="708"/>
        <v>0</v>
      </c>
      <c r="R182" s="209">
        <f t="shared" si="708"/>
        <v>0</v>
      </c>
      <c r="S182" s="209">
        <f t="shared" si="708"/>
        <v>0</v>
      </c>
      <c r="T182" s="209">
        <f t="shared" si="708"/>
        <v>0</v>
      </c>
      <c r="U182" s="209">
        <f t="shared" si="708"/>
        <v>0</v>
      </c>
      <c r="V182" s="209">
        <f t="shared" si="708"/>
        <v>0</v>
      </c>
      <c r="W182" s="209">
        <f t="shared" si="708"/>
        <v>0</v>
      </c>
      <c r="X182" s="209">
        <f t="shared" si="708"/>
        <v>0</v>
      </c>
      <c r="Y182" s="209">
        <f t="shared" si="708"/>
        <v>0</v>
      </c>
      <c r="Z182" s="209">
        <f t="shared" si="708"/>
        <v>0</v>
      </c>
      <c r="AA182" s="209">
        <f t="shared" si="708"/>
        <v>0</v>
      </c>
      <c r="AB182" s="209">
        <f t="shared" si="708"/>
        <v>0</v>
      </c>
      <c r="AC182" s="209">
        <f t="shared" si="708"/>
        <v>0</v>
      </c>
      <c r="AD182" s="209">
        <f t="shared" si="708"/>
        <v>0</v>
      </c>
      <c r="AE182" s="209">
        <f t="shared" si="708"/>
        <v>0</v>
      </c>
      <c r="AF182" s="209">
        <f t="shared" si="708"/>
        <v>0</v>
      </c>
      <c r="AG182" s="209">
        <f t="shared" si="708"/>
        <v>0</v>
      </c>
      <c r="AH182" s="209">
        <f t="shared" si="708"/>
        <v>0</v>
      </c>
      <c r="AI182" s="209">
        <f t="shared" si="708"/>
        <v>0</v>
      </c>
      <c r="AJ182" s="209">
        <f t="shared" si="708"/>
        <v>0</v>
      </c>
      <c r="AK182" s="209">
        <f t="shared" si="708"/>
        <v>0</v>
      </c>
      <c r="AL182" s="209">
        <f t="shared" si="708"/>
        <v>0</v>
      </c>
      <c r="AM182" s="209">
        <f t="shared" si="708"/>
        <v>0</v>
      </c>
      <c r="AN182" s="209">
        <f t="shared" si="708"/>
        <v>0</v>
      </c>
      <c r="AO182" s="209">
        <f t="shared" si="708"/>
        <v>0</v>
      </c>
      <c r="AP182" s="209">
        <f t="shared" si="708"/>
        <v>0</v>
      </c>
    </row>
    <row r="183" spans="1:42">
      <c r="A183" s="206" t="s">
        <v>53</v>
      </c>
      <c r="B183" s="164">
        <f>SUM(B181:B182)</f>
        <v>0</v>
      </c>
      <c r="C183" s="164">
        <f>SUM(C181:C182)</f>
        <v>0</v>
      </c>
      <c r="D183" s="164">
        <f>SUM(D181:D182)</f>
        <v>0</v>
      </c>
      <c r="E183" s="164">
        <f t="shared" ref="E183" si="709">SUM(E181:E182)</f>
        <v>0</v>
      </c>
      <c r="F183" s="164">
        <f t="shared" ref="F183" si="710">SUM(F181:F182)</f>
        <v>0</v>
      </c>
      <c r="G183" s="164">
        <f t="shared" ref="G183" si="711">SUM(G181:G182)</f>
        <v>0</v>
      </c>
      <c r="H183" s="164">
        <f t="shared" ref="H183" si="712">SUM(H181:H182)</f>
        <v>0</v>
      </c>
      <c r="I183" s="164">
        <f t="shared" ref="I183" si="713">SUM(I181:I182)</f>
        <v>0</v>
      </c>
      <c r="J183" s="164">
        <f t="shared" ref="J183" si="714">SUM(J181:J182)</f>
        <v>0</v>
      </c>
      <c r="K183" s="164">
        <f t="shared" ref="K183" si="715">SUM(K181:K182)</f>
        <v>0</v>
      </c>
      <c r="L183" s="164">
        <f t="shared" ref="L183" si="716">SUM(L181:L182)</f>
        <v>0</v>
      </c>
      <c r="M183" s="164">
        <f t="shared" ref="M183" si="717">SUM(M181:M182)</f>
        <v>0</v>
      </c>
      <c r="N183" s="164">
        <f t="shared" ref="N183" si="718">SUM(N181:N182)</f>
        <v>0</v>
      </c>
      <c r="O183" s="164">
        <f t="shared" ref="O183" si="719">SUM(O181:O182)</f>
        <v>0</v>
      </c>
      <c r="P183" s="164">
        <f t="shared" ref="P183" si="720">SUM(P181:P182)</f>
        <v>0</v>
      </c>
      <c r="Q183" s="164">
        <f t="shared" ref="Q183" si="721">SUM(Q181:Q182)</f>
        <v>0</v>
      </c>
      <c r="R183" s="164">
        <f t="shared" ref="R183" si="722">SUM(R181:R182)</f>
        <v>0</v>
      </c>
      <c r="S183" s="164">
        <f t="shared" ref="S183" si="723">SUM(S181:S182)</f>
        <v>0</v>
      </c>
      <c r="T183" s="164">
        <f t="shared" ref="T183" si="724">SUM(T181:T182)</f>
        <v>0</v>
      </c>
      <c r="U183" s="164">
        <f t="shared" ref="U183" si="725">SUM(U181:U182)</f>
        <v>0</v>
      </c>
      <c r="V183" s="164">
        <f t="shared" ref="V183" si="726">SUM(V181:V182)</f>
        <v>0</v>
      </c>
      <c r="W183" s="164">
        <f t="shared" ref="W183" si="727">SUM(W181:W182)</f>
        <v>0</v>
      </c>
      <c r="X183" s="164">
        <f t="shared" ref="X183" si="728">SUM(X181:X182)</f>
        <v>0</v>
      </c>
      <c r="Y183" s="164">
        <f t="shared" ref="Y183" si="729">SUM(Y181:Y182)</f>
        <v>0</v>
      </c>
      <c r="Z183" s="164">
        <f t="shared" ref="Z183" si="730">SUM(Z181:Z182)</f>
        <v>0</v>
      </c>
      <c r="AA183" s="164">
        <f t="shared" ref="AA183" si="731">SUM(AA181:AA182)</f>
        <v>0</v>
      </c>
      <c r="AB183" s="164">
        <f t="shared" ref="AB183" si="732">SUM(AB181:AB182)</f>
        <v>0</v>
      </c>
      <c r="AC183" s="164">
        <f t="shared" ref="AC183" si="733">SUM(AC181:AC182)</f>
        <v>0</v>
      </c>
      <c r="AD183" s="164">
        <f t="shared" ref="AD183" si="734">SUM(AD181:AD182)</f>
        <v>0</v>
      </c>
      <c r="AE183" s="164">
        <f t="shared" ref="AE183" si="735">SUM(AE181:AE182)</f>
        <v>0</v>
      </c>
      <c r="AF183" s="164">
        <f t="shared" ref="AF183" si="736">SUM(AF181:AF182)</f>
        <v>0</v>
      </c>
      <c r="AG183" s="164">
        <f t="shared" ref="AG183" si="737">SUM(AG181:AG182)</f>
        <v>0</v>
      </c>
      <c r="AH183" s="164">
        <f t="shared" ref="AH183" si="738">SUM(AH181:AH182)</f>
        <v>0</v>
      </c>
      <c r="AI183" s="164">
        <f t="shared" ref="AI183" si="739">SUM(AI181:AI182)</f>
        <v>0</v>
      </c>
      <c r="AJ183" s="164">
        <f t="shared" ref="AJ183" si="740">SUM(AJ181:AJ182)</f>
        <v>0</v>
      </c>
      <c r="AK183" s="164">
        <f t="shared" ref="AK183" si="741">SUM(AK181:AK182)</f>
        <v>0</v>
      </c>
      <c r="AL183" s="164">
        <f t="shared" ref="AL183" si="742">SUM(AL181:AL182)</f>
        <v>0</v>
      </c>
      <c r="AM183" s="164">
        <f t="shared" ref="AM183" si="743">SUM(AM181:AM182)</f>
        <v>0</v>
      </c>
      <c r="AN183" s="164">
        <f t="shared" ref="AN183" si="744">SUM(AN181:AN182)</f>
        <v>0</v>
      </c>
      <c r="AO183" s="164">
        <f t="shared" ref="AO183" si="745">SUM(AO181:AO182)</f>
        <v>0</v>
      </c>
      <c r="AP183" s="164">
        <f t="shared" ref="AP183" si="746">SUM(AP181:AP182)</f>
        <v>0</v>
      </c>
    </row>
    <row r="184" spans="1:42">
      <c r="A184" s="202" t="s">
        <v>403</v>
      </c>
      <c r="B184" s="164"/>
      <c r="C184" s="164"/>
      <c r="D184" s="164"/>
      <c r="E184" s="164"/>
      <c r="F184" s="164"/>
      <c r="G184" s="164"/>
      <c r="H184" s="164"/>
      <c r="I184" s="164"/>
      <c r="J184" s="164"/>
      <c r="K184" s="164"/>
      <c r="L184" s="164"/>
      <c r="M184" s="164"/>
      <c r="N184" s="164"/>
      <c r="O184" s="164"/>
      <c r="P184" s="164"/>
      <c r="Q184" s="164"/>
      <c r="R184" s="164"/>
      <c r="S184" s="164"/>
      <c r="T184" s="164"/>
      <c r="U184" s="164"/>
      <c r="V184" s="164"/>
      <c r="W184" s="164"/>
      <c r="X184" s="164"/>
      <c r="Y184" s="164"/>
      <c r="Z184" s="164"/>
      <c r="AA184" s="164"/>
      <c r="AB184" s="164"/>
      <c r="AC184" s="164"/>
      <c r="AD184" s="164"/>
      <c r="AE184" s="164"/>
      <c r="AF184" s="164"/>
      <c r="AG184" s="164"/>
      <c r="AH184" s="164"/>
      <c r="AI184" s="164"/>
      <c r="AJ184" s="164"/>
      <c r="AK184" s="164"/>
      <c r="AL184" s="164"/>
      <c r="AM184" s="164"/>
      <c r="AN184" s="164"/>
      <c r="AO184" s="164"/>
      <c r="AP184" s="164"/>
    </row>
    <row r="185" spans="1:42">
      <c r="A185" s="206" t="s">
        <v>37</v>
      </c>
      <c r="B185" s="208">
        <f>B173*-StateTax</f>
        <v>-66374.797500000001</v>
      </c>
      <c r="C185" s="208">
        <v>0</v>
      </c>
      <c r="D185" s="208">
        <v>0</v>
      </c>
      <c r="E185" s="208">
        <v>0</v>
      </c>
      <c r="F185" s="208">
        <v>0</v>
      </c>
      <c r="G185" s="208">
        <v>0</v>
      </c>
      <c r="H185" s="208">
        <v>0</v>
      </c>
      <c r="I185" s="208">
        <v>0</v>
      </c>
      <c r="J185" s="208">
        <v>0</v>
      </c>
      <c r="K185" s="208">
        <v>0</v>
      </c>
      <c r="L185" s="208">
        <v>0</v>
      </c>
      <c r="M185" s="208">
        <v>0</v>
      </c>
      <c r="N185" s="208">
        <v>0</v>
      </c>
      <c r="O185" s="208">
        <v>0</v>
      </c>
      <c r="P185" s="208">
        <v>0</v>
      </c>
      <c r="Q185" s="208">
        <v>0</v>
      </c>
      <c r="R185" s="208">
        <v>0</v>
      </c>
      <c r="S185" s="208">
        <v>0</v>
      </c>
      <c r="T185" s="208">
        <v>0</v>
      </c>
      <c r="U185" s="208">
        <v>0</v>
      </c>
      <c r="V185" s="208">
        <v>0</v>
      </c>
      <c r="W185" s="208">
        <v>0</v>
      </c>
      <c r="X185" s="208">
        <v>0</v>
      </c>
      <c r="Y185" s="208">
        <v>0</v>
      </c>
      <c r="Z185" s="208">
        <v>0</v>
      </c>
      <c r="AA185" s="208">
        <v>0</v>
      </c>
      <c r="AB185" s="208">
        <v>0</v>
      </c>
      <c r="AC185" s="208">
        <v>0</v>
      </c>
      <c r="AD185" s="208">
        <v>0</v>
      </c>
      <c r="AE185" s="208">
        <v>0</v>
      </c>
      <c r="AF185" s="208">
        <v>0</v>
      </c>
      <c r="AG185" s="208">
        <v>0</v>
      </c>
      <c r="AH185" s="208">
        <v>0</v>
      </c>
      <c r="AI185" s="208">
        <v>0</v>
      </c>
      <c r="AJ185" s="208">
        <v>0</v>
      </c>
      <c r="AK185" s="208">
        <v>0</v>
      </c>
      <c r="AL185" s="208">
        <v>0</v>
      </c>
      <c r="AM185" s="208">
        <v>0</v>
      </c>
      <c r="AN185" s="208">
        <v>0</v>
      </c>
      <c r="AO185" s="208">
        <v>0</v>
      </c>
      <c r="AP185" s="208">
        <v>0</v>
      </c>
    </row>
    <row r="186" spans="1:42">
      <c r="A186" s="206" t="s">
        <v>36</v>
      </c>
      <c r="B186" s="209">
        <f>(B173+B185)*-FedTax</f>
        <v>-399153.89587499993</v>
      </c>
      <c r="C186" s="209">
        <v>0</v>
      </c>
      <c r="D186" s="209">
        <v>0</v>
      </c>
      <c r="E186" s="209">
        <v>0</v>
      </c>
      <c r="F186" s="209">
        <v>0</v>
      </c>
      <c r="G186" s="209">
        <v>0</v>
      </c>
      <c r="H186" s="209">
        <v>0</v>
      </c>
      <c r="I186" s="209">
        <v>0</v>
      </c>
      <c r="J186" s="209">
        <v>0</v>
      </c>
      <c r="K186" s="209">
        <v>0</v>
      </c>
      <c r="L186" s="209">
        <v>0</v>
      </c>
      <c r="M186" s="209">
        <v>0</v>
      </c>
      <c r="N186" s="209">
        <v>0</v>
      </c>
      <c r="O186" s="209">
        <v>0</v>
      </c>
      <c r="P186" s="209">
        <v>0</v>
      </c>
      <c r="Q186" s="209">
        <v>0</v>
      </c>
      <c r="R186" s="209">
        <v>0</v>
      </c>
      <c r="S186" s="209">
        <v>0</v>
      </c>
      <c r="T186" s="209">
        <v>0</v>
      </c>
      <c r="U186" s="209">
        <v>0</v>
      </c>
      <c r="V186" s="209">
        <v>0</v>
      </c>
      <c r="W186" s="209">
        <v>0</v>
      </c>
      <c r="X186" s="209">
        <v>0</v>
      </c>
      <c r="Y186" s="209">
        <v>0</v>
      </c>
      <c r="Z186" s="209">
        <v>0</v>
      </c>
      <c r="AA186" s="209">
        <v>0</v>
      </c>
      <c r="AB186" s="209">
        <v>0</v>
      </c>
      <c r="AC186" s="209">
        <v>0</v>
      </c>
      <c r="AD186" s="209">
        <v>0</v>
      </c>
      <c r="AE186" s="209">
        <v>0</v>
      </c>
      <c r="AF186" s="209">
        <v>0</v>
      </c>
      <c r="AG186" s="209">
        <v>0</v>
      </c>
      <c r="AH186" s="209">
        <v>0</v>
      </c>
      <c r="AI186" s="209">
        <v>0</v>
      </c>
      <c r="AJ186" s="209">
        <v>0</v>
      </c>
      <c r="AK186" s="209">
        <v>0</v>
      </c>
      <c r="AL186" s="209">
        <v>0</v>
      </c>
      <c r="AM186" s="209">
        <v>0</v>
      </c>
      <c r="AN186" s="209">
        <v>0</v>
      </c>
      <c r="AO186" s="209">
        <v>0</v>
      </c>
      <c r="AP186" s="209">
        <v>0</v>
      </c>
    </row>
    <row r="187" spans="1:42">
      <c r="A187" s="206" t="s">
        <v>53</v>
      </c>
      <c r="B187" s="308">
        <f>SUM(B185:B186)</f>
        <v>-465528.69337499992</v>
      </c>
      <c r="C187" s="308">
        <f>SUM(C185:C186)</f>
        <v>0</v>
      </c>
      <c r="D187" s="308">
        <f>SUM(D185:D186)</f>
        <v>0</v>
      </c>
      <c r="E187" s="308">
        <f t="shared" ref="E187:AP187" si="747">SUM(E185:E186)</f>
        <v>0</v>
      </c>
      <c r="F187" s="308">
        <f t="shared" si="747"/>
        <v>0</v>
      </c>
      <c r="G187" s="308">
        <f t="shared" si="747"/>
        <v>0</v>
      </c>
      <c r="H187" s="308">
        <f t="shared" si="747"/>
        <v>0</v>
      </c>
      <c r="I187" s="308">
        <f t="shared" si="747"/>
        <v>0</v>
      </c>
      <c r="J187" s="308">
        <f t="shared" si="747"/>
        <v>0</v>
      </c>
      <c r="K187" s="308">
        <f t="shared" si="747"/>
        <v>0</v>
      </c>
      <c r="L187" s="308">
        <f t="shared" si="747"/>
        <v>0</v>
      </c>
      <c r="M187" s="308">
        <f t="shared" si="747"/>
        <v>0</v>
      </c>
      <c r="N187" s="308">
        <f t="shared" si="747"/>
        <v>0</v>
      </c>
      <c r="O187" s="308">
        <f t="shared" si="747"/>
        <v>0</v>
      </c>
      <c r="P187" s="308">
        <f t="shared" si="747"/>
        <v>0</v>
      </c>
      <c r="Q187" s="308">
        <f t="shared" si="747"/>
        <v>0</v>
      </c>
      <c r="R187" s="308">
        <f t="shared" si="747"/>
        <v>0</v>
      </c>
      <c r="S187" s="308">
        <f t="shared" si="747"/>
        <v>0</v>
      </c>
      <c r="T187" s="308">
        <f t="shared" si="747"/>
        <v>0</v>
      </c>
      <c r="U187" s="308">
        <f t="shared" si="747"/>
        <v>0</v>
      </c>
      <c r="V187" s="308">
        <f t="shared" si="747"/>
        <v>0</v>
      </c>
      <c r="W187" s="308">
        <f t="shared" si="747"/>
        <v>0</v>
      </c>
      <c r="X187" s="308">
        <f t="shared" si="747"/>
        <v>0</v>
      </c>
      <c r="Y187" s="308">
        <f t="shared" si="747"/>
        <v>0</v>
      </c>
      <c r="Z187" s="308">
        <f t="shared" si="747"/>
        <v>0</v>
      </c>
      <c r="AA187" s="308">
        <f t="shared" si="747"/>
        <v>0</v>
      </c>
      <c r="AB187" s="308">
        <f t="shared" si="747"/>
        <v>0</v>
      </c>
      <c r="AC187" s="308">
        <f t="shared" si="747"/>
        <v>0</v>
      </c>
      <c r="AD187" s="308">
        <f t="shared" si="747"/>
        <v>0</v>
      </c>
      <c r="AE187" s="308">
        <f t="shared" si="747"/>
        <v>0</v>
      </c>
      <c r="AF187" s="308">
        <f t="shared" si="747"/>
        <v>0</v>
      </c>
      <c r="AG187" s="308">
        <f t="shared" si="747"/>
        <v>0</v>
      </c>
      <c r="AH187" s="308">
        <f t="shared" si="747"/>
        <v>0</v>
      </c>
      <c r="AI187" s="308">
        <f t="shared" si="747"/>
        <v>0</v>
      </c>
      <c r="AJ187" s="308">
        <f t="shared" si="747"/>
        <v>0</v>
      </c>
      <c r="AK187" s="308">
        <f t="shared" si="747"/>
        <v>0</v>
      </c>
      <c r="AL187" s="308">
        <f t="shared" si="747"/>
        <v>0</v>
      </c>
      <c r="AM187" s="308">
        <f t="shared" si="747"/>
        <v>0</v>
      </c>
      <c r="AN187" s="308">
        <f t="shared" si="747"/>
        <v>0</v>
      </c>
      <c r="AO187" s="308">
        <f t="shared" si="747"/>
        <v>0</v>
      </c>
      <c r="AP187" s="308">
        <f t="shared" si="747"/>
        <v>0</v>
      </c>
    </row>
    <row r="188" spans="1:42">
      <c r="A188" s="202" t="s">
        <v>449</v>
      </c>
      <c r="B188" s="164"/>
      <c r="C188" s="164"/>
      <c r="D188" s="164"/>
      <c r="E188" s="164"/>
      <c r="F188" s="164"/>
      <c r="G188" s="164"/>
      <c r="H188" s="164"/>
      <c r="I188" s="164"/>
      <c r="J188" s="164"/>
      <c r="K188" s="164"/>
      <c r="L188" s="164"/>
      <c r="M188" s="164"/>
      <c r="N188" s="164"/>
      <c r="O188" s="164"/>
      <c r="P188" s="164"/>
      <c r="Q188" s="164"/>
      <c r="R188" s="164"/>
      <c r="S188" s="164"/>
      <c r="T188" s="164"/>
      <c r="U188" s="164"/>
      <c r="V188" s="164"/>
      <c r="W188" s="164"/>
      <c r="X188" s="164"/>
      <c r="Y188" s="164"/>
      <c r="Z188" s="164"/>
      <c r="AA188" s="164"/>
      <c r="AB188" s="164"/>
      <c r="AC188" s="164"/>
      <c r="AD188" s="164"/>
      <c r="AE188" s="164"/>
      <c r="AF188" s="164"/>
      <c r="AG188" s="164"/>
      <c r="AH188" s="164"/>
      <c r="AI188" s="164"/>
      <c r="AJ188" s="164"/>
      <c r="AK188" s="164"/>
      <c r="AL188" s="164"/>
      <c r="AM188" s="164"/>
      <c r="AN188" s="164"/>
      <c r="AO188" s="164"/>
      <c r="AP188" s="164"/>
    </row>
    <row r="189" spans="1:42">
      <c r="A189" s="206" t="s">
        <v>37</v>
      </c>
      <c r="B189" s="208">
        <f t="shared" ref="B189:AP189" si="748">B107-B146</f>
        <v>0</v>
      </c>
      <c r="C189" s="208">
        <f t="shared" si="748"/>
        <v>-8303.582437182311</v>
      </c>
      <c r="D189" s="208">
        <f t="shared" si="748"/>
        <v>9548.9164475412108</v>
      </c>
      <c r="E189" s="208">
        <f t="shared" si="748"/>
        <v>4027.1041383277916</v>
      </c>
      <c r="F189" s="208">
        <f t="shared" si="748"/>
        <v>599.02853346316988</v>
      </c>
      <c r="G189" s="208">
        <f t="shared" si="748"/>
        <v>299.02497509393288</v>
      </c>
      <c r="H189" s="208">
        <f t="shared" si="748"/>
        <v>-2374.4585579961422</v>
      </c>
      <c r="I189" s="208">
        <f t="shared" si="748"/>
        <v>-5066.5721928603016</v>
      </c>
      <c r="J189" s="208">
        <f t="shared" si="748"/>
        <v>-5436.2996858459665</v>
      </c>
      <c r="K189" s="208">
        <f t="shared" si="748"/>
        <v>-5801.4288155342219</v>
      </c>
      <c r="L189" s="208">
        <f t="shared" si="748"/>
        <v>-6187.9648916492588</v>
      </c>
      <c r="M189" s="208">
        <f t="shared" si="748"/>
        <v>-6610.208618114586</v>
      </c>
      <c r="N189" s="208">
        <f t="shared" si="748"/>
        <v>-6082.679889115796</v>
      </c>
      <c r="O189" s="208">
        <f t="shared" si="748"/>
        <v>-244390.84940082196</v>
      </c>
      <c r="P189" s="208">
        <f t="shared" si="748"/>
        <v>-268707.13688555476</v>
      </c>
      <c r="Q189" s="208">
        <f t="shared" si="748"/>
        <v>-227000.8325020023</v>
      </c>
      <c r="R189" s="208">
        <f t="shared" si="748"/>
        <v>-195430.85101641659</v>
      </c>
      <c r="S189" s="208">
        <f t="shared" si="748"/>
        <v>-250221.63673840955</v>
      </c>
      <c r="T189" s="208">
        <f t="shared" si="748"/>
        <v>-285839.55721995869</v>
      </c>
      <c r="U189" s="208">
        <f t="shared" si="748"/>
        <v>-291098.7622178325</v>
      </c>
      <c r="V189" s="208">
        <f t="shared" si="748"/>
        <v>-314942.08089979173</v>
      </c>
      <c r="W189" s="208">
        <f t="shared" si="748"/>
        <v>-338846.31563439616</v>
      </c>
      <c r="X189" s="208">
        <f t="shared" si="748"/>
        <v>-345165.28276252234</v>
      </c>
      <c r="Y189" s="208">
        <f t="shared" si="748"/>
        <v>-352015.31783662428</v>
      </c>
      <c r="Z189" s="208">
        <f t="shared" si="748"/>
        <v>-324376.9486413587</v>
      </c>
      <c r="AA189" s="208">
        <f t="shared" si="748"/>
        <v>-306680.05982104287</v>
      </c>
      <c r="AB189" s="208">
        <f t="shared" si="748"/>
        <v>-334631.67948409042</v>
      </c>
      <c r="AC189" s="208">
        <f t="shared" si="748"/>
        <v>-352516.14717240422</v>
      </c>
      <c r="AD189" s="208">
        <f t="shared" si="748"/>
        <v>-357396.69464034593</v>
      </c>
      <c r="AE189" s="208">
        <f t="shared" si="748"/>
        <v>-374044.23062098457</v>
      </c>
      <c r="AF189" s="208">
        <f t="shared" si="748"/>
        <v>-505045.04911372456</v>
      </c>
      <c r="AG189" s="208">
        <f t="shared" si="748"/>
        <v>0</v>
      </c>
      <c r="AH189" s="208">
        <f t="shared" si="748"/>
        <v>0</v>
      </c>
      <c r="AI189" s="208">
        <f t="shared" si="748"/>
        <v>0</v>
      </c>
      <c r="AJ189" s="208">
        <f t="shared" si="748"/>
        <v>0</v>
      </c>
      <c r="AK189" s="208">
        <f t="shared" si="748"/>
        <v>0</v>
      </c>
      <c r="AL189" s="208">
        <f t="shared" si="748"/>
        <v>0</v>
      </c>
      <c r="AM189" s="208">
        <f t="shared" si="748"/>
        <v>0</v>
      </c>
      <c r="AN189" s="208">
        <f t="shared" si="748"/>
        <v>0</v>
      </c>
      <c r="AO189" s="208">
        <f t="shared" si="748"/>
        <v>0</v>
      </c>
      <c r="AP189" s="208">
        <f t="shared" si="748"/>
        <v>0</v>
      </c>
    </row>
    <row r="190" spans="1:42">
      <c r="A190" s="206" t="s">
        <v>36</v>
      </c>
      <c r="B190" s="209">
        <f t="shared" ref="B190:AP190" si="749">B108-B147</f>
        <v>0</v>
      </c>
      <c r="C190" s="209">
        <f t="shared" si="749"/>
        <v>-38841.593274034094</v>
      </c>
      <c r="D190" s="209">
        <f t="shared" si="749"/>
        <v>53000.45837479597</v>
      </c>
      <c r="E190" s="209">
        <f t="shared" si="749"/>
        <v>21563.588201920735</v>
      </c>
      <c r="F190" s="209">
        <f t="shared" si="749"/>
        <v>2009.9687610031833</v>
      </c>
      <c r="G190" s="209">
        <f t="shared" si="749"/>
        <v>205.85645317364106</v>
      </c>
      <c r="H190" s="209">
        <f t="shared" si="749"/>
        <v>-15075.315833656467</v>
      </c>
      <c r="I190" s="209">
        <f t="shared" si="749"/>
        <v>-30468.522777973674</v>
      </c>
      <c r="J190" s="209">
        <f t="shared" si="749"/>
        <v>-32691.929474428296</v>
      </c>
      <c r="K190" s="209">
        <f t="shared" si="749"/>
        <v>-34887.683286144398</v>
      </c>
      <c r="L190" s="209">
        <f t="shared" si="749"/>
        <v>-37212.170689327177</v>
      </c>
      <c r="M190" s="209">
        <f t="shared" si="749"/>
        <v>-39751.390917116543</v>
      </c>
      <c r="N190" s="209">
        <f t="shared" si="749"/>
        <v>-36579.024969546124</v>
      </c>
      <c r="O190" s="209">
        <f t="shared" si="749"/>
        <v>-1469677.6988967611</v>
      </c>
      <c r="P190" s="209">
        <f t="shared" si="749"/>
        <v>-1615907.0095435858</v>
      </c>
      <c r="Q190" s="209">
        <f t="shared" si="749"/>
        <v>-1365100.4609097682</v>
      </c>
      <c r="R190" s="209">
        <f t="shared" si="749"/>
        <v>-1175250.0722487234</v>
      </c>
      <c r="S190" s="209">
        <f t="shared" si="749"/>
        <v>-1504741.9336587084</v>
      </c>
      <c r="T190" s="209">
        <f t="shared" si="749"/>
        <v>-1718935.1554636604</v>
      </c>
      <c r="U190" s="209">
        <f t="shared" si="749"/>
        <v>-1750562.1018826927</v>
      </c>
      <c r="V190" s="209">
        <f t="shared" si="749"/>
        <v>-1893947.1501382932</v>
      </c>
      <c r="W190" s="209">
        <f t="shared" si="749"/>
        <v>-2037698.5253832093</v>
      </c>
      <c r="X190" s="209">
        <f t="shared" si="749"/>
        <v>-2075698.4958855323</v>
      </c>
      <c r="Y190" s="209">
        <f t="shared" si="749"/>
        <v>-2116892.1158993356</v>
      </c>
      <c r="Z190" s="209">
        <f t="shared" si="749"/>
        <v>-1950685.0138750798</v>
      </c>
      <c r="AA190" s="209">
        <f t="shared" si="749"/>
        <v>-1844262.3597419986</v>
      </c>
      <c r="AB190" s="209">
        <f t="shared" si="749"/>
        <v>-2012353.2361702342</v>
      </c>
      <c r="AC190" s="209">
        <f t="shared" si="749"/>
        <v>-2119903.9214049578</v>
      </c>
      <c r="AD190" s="209">
        <f t="shared" si="749"/>
        <v>-2149253.7591326255</v>
      </c>
      <c r="AE190" s="209">
        <f t="shared" si="749"/>
        <v>-2249365.9868707387</v>
      </c>
      <c r="AF190" s="209">
        <f t="shared" si="749"/>
        <v>-3037157.2726248065</v>
      </c>
      <c r="AG190" s="209">
        <f t="shared" si="749"/>
        <v>0</v>
      </c>
      <c r="AH190" s="209">
        <f t="shared" si="749"/>
        <v>0</v>
      </c>
      <c r="AI190" s="209">
        <f t="shared" si="749"/>
        <v>0</v>
      </c>
      <c r="AJ190" s="209">
        <f t="shared" si="749"/>
        <v>0</v>
      </c>
      <c r="AK190" s="209">
        <f t="shared" si="749"/>
        <v>0</v>
      </c>
      <c r="AL190" s="209">
        <f t="shared" si="749"/>
        <v>0</v>
      </c>
      <c r="AM190" s="209">
        <f t="shared" si="749"/>
        <v>0</v>
      </c>
      <c r="AN190" s="209">
        <f t="shared" si="749"/>
        <v>0</v>
      </c>
      <c r="AO190" s="209">
        <f t="shared" si="749"/>
        <v>0</v>
      </c>
      <c r="AP190" s="209">
        <f t="shared" si="749"/>
        <v>0</v>
      </c>
    </row>
    <row r="191" spans="1:42">
      <c r="A191" s="206" t="s">
        <v>53</v>
      </c>
      <c r="B191" s="216">
        <f>SUM(B189:B190)</f>
        <v>0</v>
      </c>
      <c r="C191" s="216">
        <f>SUM(C189:C190)</f>
        <v>-47145.175711216405</v>
      </c>
      <c r="D191" s="216">
        <f>SUM(D189:D190)</f>
        <v>62549.37482233718</v>
      </c>
      <c r="E191" s="216">
        <f t="shared" ref="E191" si="750">SUM(E189:E190)</f>
        <v>25590.692340248526</v>
      </c>
      <c r="F191" s="216">
        <f t="shared" ref="F191" si="751">SUM(F189:F190)</f>
        <v>2608.9972944663532</v>
      </c>
      <c r="G191" s="216">
        <f t="shared" ref="G191" si="752">SUM(G189:G190)</f>
        <v>504.88142826757394</v>
      </c>
      <c r="H191" s="216">
        <f t="shared" ref="H191" si="753">SUM(H189:H190)</f>
        <v>-17449.774391652609</v>
      </c>
      <c r="I191" s="216">
        <f t="shared" ref="I191" si="754">SUM(I189:I190)</f>
        <v>-35535.094970833976</v>
      </c>
      <c r="J191" s="216">
        <f t="shared" ref="J191" si="755">SUM(J189:J190)</f>
        <v>-38128.229160274263</v>
      </c>
      <c r="K191" s="216">
        <f t="shared" ref="K191" si="756">SUM(K189:K190)</f>
        <v>-40689.11210167862</v>
      </c>
      <c r="L191" s="216">
        <f t="shared" ref="L191" si="757">SUM(L189:L190)</f>
        <v>-43400.135580976435</v>
      </c>
      <c r="M191" s="216">
        <f t="shared" ref="M191" si="758">SUM(M189:M190)</f>
        <v>-46361.599535231129</v>
      </c>
      <c r="N191" s="216">
        <f t="shared" ref="N191" si="759">SUM(N189:N190)</f>
        <v>-42661.70485866192</v>
      </c>
      <c r="O191" s="216">
        <f t="shared" ref="O191" si="760">SUM(O189:O190)</f>
        <v>-1714068.5482975831</v>
      </c>
      <c r="P191" s="216">
        <f t="shared" ref="P191" si="761">SUM(P189:P190)</f>
        <v>-1884614.1464291406</v>
      </c>
      <c r="Q191" s="216">
        <f t="shared" ref="Q191" si="762">SUM(Q189:Q190)</f>
        <v>-1592101.2934117706</v>
      </c>
      <c r="R191" s="216">
        <f t="shared" ref="R191" si="763">SUM(R189:R190)</f>
        <v>-1370680.92326514</v>
      </c>
      <c r="S191" s="216">
        <f t="shared" ref="S191" si="764">SUM(S189:S190)</f>
        <v>-1754963.5703971179</v>
      </c>
      <c r="T191" s="216">
        <f t="shared" ref="T191" si="765">SUM(T189:T190)</f>
        <v>-2004774.712683619</v>
      </c>
      <c r="U191" s="216">
        <f t="shared" ref="U191" si="766">SUM(U189:U190)</f>
        <v>-2041660.8641005252</v>
      </c>
      <c r="V191" s="216">
        <f t="shared" ref="V191" si="767">SUM(V189:V190)</f>
        <v>-2208889.2310380847</v>
      </c>
      <c r="W191" s="216">
        <f t="shared" ref="W191" si="768">SUM(W189:W190)</f>
        <v>-2376544.8410176057</v>
      </c>
      <c r="X191" s="216">
        <f t="shared" ref="X191" si="769">SUM(X189:X190)</f>
        <v>-2420863.7786480547</v>
      </c>
      <c r="Y191" s="216">
        <f t="shared" ref="Y191" si="770">SUM(Y189:Y190)</f>
        <v>-2468907.4337359597</v>
      </c>
      <c r="Z191" s="216">
        <f t="shared" ref="Z191" si="771">SUM(Z189:Z190)</f>
        <v>-2275061.9625164387</v>
      </c>
      <c r="AA191" s="216">
        <f t="shared" ref="AA191" si="772">SUM(AA189:AA190)</f>
        <v>-2150942.4195630415</v>
      </c>
      <c r="AB191" s="216">
        <f t="shared" ref="AB191" si="773">SUM(AB189:AB190)</f>
        <v>-2346984.9156543245</v>
      </c>
      <c r="AC191" s="216">
        <f t="shared" ref="AC191" si="774">SUM(AC189:AC190)</f>
        <v>-2472420.0685773622</v>
      </c>
      <c r="AD191" s="216">
        <f t="shared" ref="AD191" si="775">SUM(AD189:AD190)</f>
        <v>-2506650.4537729714</v>
      </c>
      <c r="AE191" s="216">
        <f t="shared" ref="AE191" si="776">SUM(AE189:AE190)</f>
        <v>-2623410.2174917231</v>
      </c>
      <c r="AF191" s="216">
        <f t="shared" ref="AF191" si="777">SUM(AF189:AF190)</f>
        <v>-3542202.3217385309</v>
      </c>
      <c r="AG191" s="216">
        <f t="shared" ref="AG191" si="778">SUM(AG189:AG190)</f>
        <v>0</v>
      </c>
      <c r="AH191" s="216">
        <f t="shared" ref="AH191" si="779">SUM(AH189:AH190)</f>
        <v>0</v>
      </c>
      <c r="AI191" s="216">
        <f t="shared" ref="AI191" si="780">SUM(AI189:AI190)</f>
        <v>0</v>
      </c>
      <c r="AJ191" s="216">
        <f t="shared" ref="AJ191" si="781">SUM(AJ189:AJ190)</f>
        <v>0</v>
      </c>
      <c r="AK191" s="216">
        <f t="shared" ref="AK191" si="782">SUM(AK189:AK190)</f>
        <v>0</v>
      </c>
      <c r="AL191" s="216">
        <f t="shared" ref="AL191" si="783">SUM(AL189:AL190)</f>
        <v>0</v>
      </c>
      <c r="AM191" s="216">
        <f t="shared" ref="AM191" si="784">SUM(AM189:AM190)</f>
        <v>0</v>
      </c>
      <c r="AN191" s="216">
        <f t="shared" ref="AN191" si="785">SUM(AN189:AN190)</f>
        <v>0</v>
      </c>
      <c r="AO191" s="216">
        <f t="shared" ref="AO191" si="786">SUM(AO189:AO190)</f>
        <v>0</v>
      </c>
      <c r="AP191" s="216">
        <f t="shared" ref="AP191" si="787">SUM(AP189:AP190)</f>
        <v>0</v>
      </c>
    </row>
    <row r="192" spans="1:42">
      <c r="A192" s="202" t="s">
        <v>53</v>
      </c>
      <c r="B192" s="164">
        <f>B175+B179+B183+B187+B191</f>
        <v>548066.44712204009</v>
      </c>
      <c r="C192" s="164">
        <f t="shared" ref="C192:AP192" si="788">C175+C179+C183+C187+C191</f>
        <v>-16994.355793804163</v>
      </c>
      <c r="D192" s="164">
        <f t="shared" si="788"/>
        <v>92968.807647065492</v>
      </c>
      <c r="E192" s="164">
        <f t="shared" si="788"/>
        <v>56896.840893966175</v>
      </c>
      <c r="F192" s="164">
        <f t="shared" si="788"/>
        <v>34742.001338544178</v>
      </c>
      <c r="G192" s="164">
        <f t="shared" si="788"/>
        <v>33530.308814591262</v>
      </c>
      <c r="H192" s="164">
        <f t="shared" si="788"/>
        <v>16486.985428358836</v>
      </c>
      <c r="I192" s="164">
        <f t="shared" si="788"/>
        <v>-749.61836661049165</v>
      </c>
      <c r="J192" s="164">
        <f t="shared" si="788"/>
        <v>-2425.4944442376727</v>
      </c>
      <c r="K192" s="164">
        <f t="shared" si="788"/>
        <v>-4049.3684781264747</v>
      </c>
      <c r="L192" s="164">
        <f t="shared" si="788"/>
        <v>30275.366527618433</v>
      </c>
      <c r="M192" s="164">
        <f t="shared" si="788"/>
        <v>64493.356433233595</v>
      </c>
      <c r="N192" s="164">
        <f t="shared" si="788"/>
        <v>70551.352424126759</v>
      </c>
      <c r="O192" s="164">
        <f t="shared" si="788"/>
        <v>3110936.4316678671</v>
      </c>
      <c r="P192" s="164">
        <f t="shared" si="788"/>
        <v>3043601.4859853401</v>
      </c>
      <c r="Q192" s="164">
        <f t="shared" si="788"/>
        <v>3440474.0515653398</v>
      </c>
      <c r="R192" s="164">
        <f t="shared" si="788"/>
        <v>3585050.7391253044</v>
      </c>
      <c r="S192" s="164">
        <f t="shared" si="788"/>
        <v>3309030.7188681075</v>
      </c>
      <c r="T192" s="164">
        <f t="shared" si="788"/>
        <v>3168680.3165725479</v>
      </c>
      <c r="U192" s="164">
        <f t="shared" si="788"/>
        <v>3238886.8991051279</v>
      </c>
      <c r="V192" s="164">
        <f t="shared" si="788"/>
        <v>3183595.2771628867</v>
      </c>
      <c r="W192" s="164">
        <f t="shared" si="788"/>
        <v>3129125.586468284</v>
      </c>
      <c r="X192" s="164">
        <f t="shared" si="788"/>
        <v>3183331.3639015178</v>
      </c>
      <c r="Y192" s="164">
        <f t="shared" si="788"/>
        <v>3238873.8710588119</v>
      </c>
      <c r="Z192" s="164">
        <f t="shared" si="788"/>
        <v>3537607.8240429214</v>
      </c>
      <c r="AA192" s="164">
        <f t="shared" si="788"/>
        <v>3961044.7438515783</v>
      </c>
      <c r="AB192" s="164">
        <f t="shared" si="788"/>
        <v>3868217.5827530497</v>
      </c>
      <c r="AC192" s="164">
        <f t="shared" si="788"/>
        <v>3847355.3918929761</v>
      </c>
      <c r="AD192" s="164">
        <f t="shared" si="788"/>
        <v>3914977.859584216</v>
      </c>
      <c r="AE192" s="164">
        <f t="shared" si="788"/>
        <v>3905596.710233009</v>
      </c>
      <c r="AF192" s="164">
        <f t="shared" si="788"/>
        <v>6642406.1479732739</v>
      </c>
      <c r="AG192" s="164">
        <f t="shared" si="788"/>
        <v>0</v>
      </c>
      <c r="AH192" s="164">
        <f t="shared" si="788"/>
        <v>0</v>
      </c>
      <c r="AI192" s="164">
        <f t="shared" si="788"/>
        <v>0</v>
      </c>
      <c r="AJ192" s="164">
        <f t="shared" si="788"/>
        <v>0</v>
      </c>
      <c r="AK192" s="164">
        <f t="shared" si="788"/>
        <v>0</v>
      </c>
      <c r="AL192" s="164">
        <f t="shared" si="788"/>
        <v>0</v>
      </c>
      <c r="AM192" s="164">
        <f t="shared" si="788"/>
        <v>0</v>
      </c>
      <c r="AN192" s="164">
        <f t="shared" si="788"/>
        <v>0</v>
      </c>
      <c r="AO192" s="164">
        <f t="shared" si="788"/>
        <v>0</v>
      </c>
      <c r="AP192" s="164">
        <f t="shared" si="788"/>
        <v>0</v>
      </c>
    </row>
    <row r="193" spans="1:42">
      <c r="A193" s="206"/>
      <c r="B193" s="164"/>
      <c r="C193" s="164"/>
      <c r="D193" s="164"/>
      <c r="E193" s="164"/>
      <c r="F193" s="164"/>
      <c r="G193" s="164"/>
      <c r="H193" s="164"/>
      <c r="I193" s="164"/>
      <c r="J193" s="164"/>
      <c r="K193" s="164"/>
      <c r="L193" s="164"/>
      <c r="M193" s="164"/>
      <c r="N193" s="164"/>
      <c r="O193" s="164"/>
      <c r="P193" s="164"/>
      <c r="Q193" s="164"/>
      <c r="R193" s="164"/>
      <c r="S193" s="164"/>
      <c r="T193" s="164"/>
      <c r="U193" s="164"/>
      <c r="V193" s="164"/>
      <c r="W193" s="164"/>
      <c r="X193" s="164"/>
      <c r="Y193" s="164"/>
      <c r="Z193" s="164"/>
      <c r="AA193" s="164"/>
      <c r="AB193" s="164"/>
      <c r="AC193" s="164"/>
      <c r="AD193" s="164"/>
      <c r="AE193" s="164"/>
      <c r="AF193" s="164"/>
      <c r="AG193" s="164"/>
      <c r="AH193" s="164"/>
      <c r="AI193" s="164"/>
      <c r="AJ193" s="164"/>
      <c r="AK193" s="164"/>
      <c r="AL193" s="164"/>
      <c r="AM193" s="164"/>
      <c r="AN193" s="164"/>
      <c r="AO193" s="164"/>
      <c r="AP193" s="164"/>
    </row>
    <row r="194" spans="1:42" s="119" customFormat="1">
      <c r="A194" s="202" t="s">
        <v>418</v>
      </c>
      <c r="B194" s="310" t="str">
        <f>IF(ISERROR(IRR($B192:B192)),"N/A",ROUND(IRR($B192:B192),4))</f>
        <v>N/A</v>
      </c>
      <c r="C194" s="310" t="str">
        <f>IF(ISERROR(IRR($B192:C192)),"N/A",ROUND(IRR($B192:C192),4))</f>
        <v>N/A</v>
      </c>
      <c r="D194" s="310" t="str">
        <f>IF(ISERROR(IRR($B192:D192)),"N/A",ROUND(IRR($B192:D192),4))</f>
        <v>N/A</v>
      </c>
      <c r="E194" s="310" t="str">
        <f>IF(ISERROR(IRR($B192:E192)),"N/A",ROUND(IRR($B192:E192),4))</f>
        <v>N/A</v>
      </c>
      <c r="F194" s="310" t="str">
        <f>IF(ISERROR(IRR($B192:F192)),"N/A",ROUND(IRR($B192:F192),4))</f>
        <v>N/A</v>
      </c>
      <c r="G194" s="310" t="str">
        <f>IF(ISERROR(IRR($B192:G192)),"N/A",ROUND(IRR($B192:G192),4))</f>
        <v>N/A</v>
      </c>
      <c r="H194" s="310" t="str">
        <f>IF(ISERROR(IRR($B192:H192)),"N/A",ROUND(IRR($B192:H192),4))</f>
        <v>N/A</v>
      </c>
      <c r="I194" s="310" t="str">
        <f>IF(ISERROR(IRR($B192:I192)),"N/A",ROUND(IRR($B192:I192),4))</f>
        <v>N/A</v>
      </c>
      <c r="J194" s="310" t="str">
        <f>IF(ISERROR(IRR($B192:J192)),"N/A",ROUND(IRR($B192:J192),4))</f>
        <v>N/A</v>
      </c>
      <c r="K194" s="310" t="str">
        <f>IF(ISERROR(IRR($B192:K192)),"N/A",ROUND(IRR($B192:K192),4))</f>
        <v>N/A</v>
      </c>
      <c r="L194" s="310" t="str">
        <f>IF(ISERROR(IRR($B192:L192)),"N/A",ROUND(IRR($B192:L192),4))</f>
        <v>N/A</v>
      </c>
      <c r="M194" s="310" t="str">
        <f>IF(ISERROR(IRR($B192:M192)),"N/A",ROUND(IRR($B192:M192),4))</f>
        <v>N/A</v>
      </c>
      <c r="N194" s="310" t="str">
        <f>IF(ISERROR(IRR($B192:N192)),"N/A",ROUND(IRR($B192:N192),4))</f>
        <v>N/A</v>
      </c>
      <c r="O194" s="310" t="str">
        <f>IF(ISERROR(IRR($B192:O192)),"N/A",ROUND(IRR($B192:O192),4))</f>
        <v>N/A</v>
      </c>
      <c r="P194" s="310" t="str">
        <f>IF(ISERROR(IRR($B192:P192)),"N/A",ROUND(IRR($B192:P192),4))</f>
        <v>N/A</v>
      </c>
      <c r="Q194" s="310" t="str">
        <f>IF(ISERROR(IRR($B192:Q192)),"N/A",ROUND(IRR($B192:Q192),4))</f>
        <v>N/A</v>
      </c>
      <c r="R194" s="310" t="str">
        <f>IF(ISERROR(IRR($B192:R192)),"N/A",ROUND(IRR($B192:R192),4))</f>
        <v>N/A</v>
      </c>
      <c r="S194" s="310" t="str">
        <f>IF(ISERROR(IRR($B192:S192)),"N/A",ROUND(IRR($B192:S192),4))</f>
        <v>N/A</v>
      </c>
      <c r="T194" s="310" t="str">
        <f>IF(ISERROR(IRR($B192:T192)),"N/A",ROUND(IRR($B192:T192),4))</f>
        <v>N/A</v>
      </c>
      <c r="U194" s="310" t="str">
        <f>IF(ISERROR(IRR($B192:U192)),"N/A",ROUND(IRR($B192:U192),4))</f>
        <v>N/A</v>
      </c>
      <c r="V194" s="310" t="str">
        <f>IF(ISERROR(IRR($B192:V192)),"N/A",ROUND(IRR($B192:V192),4))</f>
        <v>N/A</v>
      </c>
      <c r="W194" s="310" t="str">
        <f>IF(ISERROR(IRR($B192:W192)),"N/A",ROUND(IRR($B192:W192),4))</f>
        <v>N/A</v>
      </c>
      <c r="X194" s="310" t="str">
        <f>IF(ISERROR(IRR($B192:X192)),"N/A",ROUND(IRR($B192:X192),4))</f>
        <v>N/A</v>
      </c>
      <c r="Y194" s="310" t="str">
        <f>IF(ISERROR(IRR($B192:Y192)),"N/A",ROUND(IRR($B192:Y192),4))</f>
        <v>N/A</v>
      </c>
      <c r="Z194" s="310" t="str">
        <f>IF(ISERROR(IRR($B192:Z192)),"N/A",ROUND(IRR($B192:Z192),4))</f>
        <v>N/A</v>
      </c>
      <c r="AA194" s="310" t="str">
        <f>IF(ISERROR(IRR($B192:AA192)),"N/A",ROUND(IRR($B192:AA192),4))</f>
        <v>N/A</v>
      </c>
      <c r="AB194" s="310" t="str">
        <f>IF(ISERROR(IRR($B192:AB192)),"N/A",ROUND(IRR($B192:AB192),4))</f>
        <v>N/A</v>
      </c>
      <c r="AC194" s="310" t="str">
        <f>IF(ISERROR(IRR($B192:AC192)),"N/A",ROUND(IRR($B192:AC192),4))</f>
        <v>N/A</v>
      </c>
      <c r="AD194" s="310" t="str">
        <f>IF(ISERROR(IRR($B192:AD192)),"N/A",ROUND(IRR($B192:AD192),4))</f>
        <v>N/A</v>
      </c>
      <c r="AE194" s="310" t="str">
        <f>IF(ISERROR(IRR($B192:AE192)),"N/A",ROUND(IRR($B192:AE192),4))</f>
        <v>N/A</v>
      </c>
      <c r="AF194" s="310" t="str">
        <f>IF(ISERROR(IRR($B192:AF192)),"N/A",ROUND(IRR($B192:AF192),4))</f>
        <v>N/A</v>
      </c>
      <c r="AG194" s="310" t="str">
        <f>IF(ISERROR(IRR($B192:AG192)),"N/A",ROUND(IRR($B192:AG192),4))</f>
        <v>N/A</v>
      </c>
      <c r="AH194" s="310" t="str">
        <f>IF(ISERROR(IRR($B192:AH192)),"N/A",ROUND(IRR($B192:AH192),4))</f>
        <v>N/A</v>
      </c>
      <c r="AI194" s="310" t="str">
        <f>IF(ISERROR(IRR($B192:AI192)),"N/A",ROUND(IRR($B192:AI192),4))</f>
        <v>N/A</v>
      </c>
      <c r="AJ194" s="310" t="str">
        <f>IF(ISERROR(IRR($B192:AJ192)),"N/A",ROUND(IRR($B192:AJ192),4))</f>
        <v>N/A</v>
      </c>
      <c r="AK194" s="310" t="str">
        <f>IF(ISERROR(IRR($B192:AK192)),"N/A",ROUND(IRR($B192:AK192),4))</f>
        <v>N/A</v>
      </c>
      <c r="AL194" s="310" t="str">
        <f>IF(ISERROR(IRR($B192:AL192)),"N/A",ROUND(IRR($B192:AL192),4))</f>
        <v>N/A</v>
      </c>
      <c r="AM194" s="310" t="str">
        <f>IF(ISERROR(IRR($B192:AM192)),"N/A",ROUND(IRR($B192:AM192),4))</f>
        <v>N/A</v>
      </c>
      <c r="AN194" s="310" t="str">
        <f>IF(ISERROR(IRR($B192:AN192)),"N/A",ROUND(IRR($B192:AN192),4))</f>
        <v>N/A</v>
      </c>
      <c r="AO194" s="310" t="str">
        <f>IF(ISERROR(IRR($B192:AO192)),"N/A",ROUND(IRR($B192:AO192),4))</f>
        <v>N/A</v>
      </c>
      <c r="AP194" s="310" t="str">
        <f>IF(ISERROR(IRR($B192:AP192)),"N/A",ROUND(IRR($B192:AP192),4))</f>
        <v>N/A</v>
      </c>
    </row>
    <row r="195" spans="1:42" s="119" customFormat="1">
      <c r="A195" s="309" t="s">
        <v>419</v>
      </c>
      <c r="B195" s="311">
        <f>B192</f>
        <v>548066.44712204009</v>
      </c>
      <c r="C195" s="311">
        <f>NPV(DiscountRate,$C192:C192)+$B192</f>
        <v>532330.93249814736</v>
      </c>
      <c r="D195" s="311">
        <f>NPV(DiscountRate,$C192:D192)+$B192</f>
        <v>612036.70037114585</v>
      </c>
      <c r="E195" s="311">
        <f>NPV(DiscountRate,$C192:E192)+$B192</f>
        <v>657203.24708497105</v>
      </c>
      <c r="F195" s="311">
        <f>NPV(DiscountRate,$C192:F192)+$B192</f>
        <v>682739.65521469538</v>
      </c>
      <c r="G195" s="311">
        <f>NPV(DiscountRate,$C192:G192)+$B192</f>
        <v>705559.81998525886</v>
      </c>
      <c r="H195" s="311">
        <f>NPV(DiscountRate,$C192:H192)+$B192</f>
        <v>715949.41744107497</v>
      </c>
      <c r="I195" s="311">
        <f>NPV(DiscountRate,$C192:I192)+$B192</f>
        <v>715512.02232404565</v>
      </c>
      <c r="J195" s="311">
        <f>NPV(DiscountRate,$C192:J192)+$B192</f>
        <v>714201.60314629169</v>
      </c>
      <c r="K195" s="311">
        <f>NPV(DiscountRate,$C192:K192)+$B192</f>
        <v>712175.91074757418</v>
      </c>
      <c r="L195" s="311">
        <f>NPV(DiscountRate,$C192:L192)+$B192</f>
        <v>726199.26337254408</v>
      </c>
      <c r="M195" s="311">
        <f>NPV(DiscountRate,$C192:M192)+$B192</f>
        <v>753859.35848791292</v>
      </c>
      <c r="N195" s="311">
        <f>NPV(DiscountRate,$C192:N192)+$B192</f>
        <v>781876.27122661588</v>
      </c>
      <c r="O195" s="311">
        <f>NPV(DiscountRate,$C192:O192)+$B192</f>
        <v>1925761.1409380739</v>
      </c>
      <c r="P195" s="311">
        <f>NPV(DiscountRate,$C192:P192)+$B192</f>
        <v>2961988.8723511072</v>
      </c>
      <c r="Q195" s="311">
        <f>NPV(DiscountRate,$C192:Q192)+$B192</f>
        <v>4046569.7782574682</v>
      </c>
      <c r="R195" s="311">
        <f>NPV(DiscountRate,$C192:R192)+$B192</f>
        <v>5093011.9147306951</v>
      </c>
      <c r="S195" s="311">
        <f>NPV(DiscountRate,$C192:S192)+$B192</f>
        <v>5987340.1774197267</v>
      </c>
      <c r="T195" s="311">
        <f>NPV(DiscountRate,$C192:T192)+$B192</f>
        <v>6780299.3502212754</v>
      </c>
      <c r="U195" s="311">
        <f>NPV(DiscountRate,$C192:U192)+$B192</f>
        <v>7530788.5186637631</v>
      </c>
      <c r="V195" s="311">
        <f>NPV(DiscountRate,$C192:V192)+$B192</f>
        <v>8213823.1784790801</v>
      </c>
      <c r="W195" s="311">
        <f>NPV(DiscountRate,$C192:W192)+$B192</f>
        <v>8835441.9611817989</v>
      </c>
      <c r="X195" s="311">
        <f>NPV(DiscountRate,$C192:X192)+$B192</f>
        <v>9420985.5463139843</v>
      </c>
      <c r="Y195" s="311">
        <f>NPV(DiscountRate,$C192:Y192)+$B192</f>
        <v>9972615.2704441864</v>
      </c>
      <c r="Z195" s="311">
        <f>NPV(DiscountRate,$C192:Z192)+$B192</f>
        <v>10530493.679944087</v>
      </c>
      <c r="AA195" s="311">
        <f>NPV(DiscountRate,$C192:AA192)+$B192</f>
        <v>11108877.134707602</v>
      </c>
      <c r="AB195" s="311">
        <f>NPV(DiscountRate,$C192:AB192)+$B192</f>
        <v>11631866.974689912</v>
      </c>
      <c r="AC195" s="311">
        <f>NPV(DiscountRate,$C192:AC192)+$B192</f>
        <v>12113505.155227989</v>
      </c>
      <c r="AD195" s="311">
        <f>NPV(DiscountRate,$C192:AD192)+$B192</f>
        <v>12567304.805336053</v>
      </c>
      <c r="AE195" s="311">
        <f>NPV(DiscountRate,$C192:AE192)+$B192</f>
        <v>12986482.811060546</v>
      </c>
      <c r="AF195" s="311">
        <f>NPV(DiscountRate,$C192:AF192)+$B192</f>
        <v>13646587.41575853</v>
      </c>
      <c r="AG195" s="311">
        <f>NPV(DiscountRate,$C192:AG192)+$B192</f>
        <v>13646587.41575853</v>
      </c>
      <c r="AH195" s="311">
        <f>NPV(DiscountRate,$C192:AH192)+$B192</f>
        <v>13646587.41575853</v>
      </c>
      <c r="AI195" s="311">
        <f>NPV(DiscountRate,$C192:AI192)+$B192</f>
        <v>13646587.41575853</v>
      </c>
      <c r="AJ195" s="311">
        <f>NPV(DiscountRate,$C192:AJ192)+$B192</f>
        <v>13646587.41575853</v>
      </c>
      <c r="AK195" s="311">
        <f>NPV(DiscountRate,$C192:AK192)+$B192</f>
        <v>13646587.41575853</v>
      </c>
      <c r="AL195" s="311">
        <f>NPV(DiscountRate,$C192:AL192)+$B192</f>
        <v>13646587.41575853</v>
      </c>
      <c r="AM195" s="311">
        <f>NPV(DiscountRate,$C192:AM192)+$B192</f>
        <v>13646587.41575853</v>
      </c>
      <c r="AN195" s="311">
        <f>NPV(DiscountRate,$C192:AN192)+$B192</f>
        <v>13646587.41575853</v>
      </c>
      <c r="AO195" s="311">
        <f>NPV(DiscountRate,$C192:AO192)+$B192</f>
        <v>13646587.41575853</v>
      </c>
      <c r="AP195" s="311">
        <f>NPV(DiscountRate,$C192:AP192)+$B192</f>
        <v>13646587.41575853</v>
      </c>
    </row>
    <row r="196" spans="1:42" s="119" customFormat="1">
      <c r="A196" s="297"/>
      <c r="B196" s="220"/>
      <c r="C196" s="220"/>
      <c r="D196" s="220"/>
      <c r="E196" s="220"/>
      <c r="F196" s="220"/>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46"/>
      <c r="AK196" s="146"/>
      <c r="AL196" s="146"/>
      <c r="AM196" s="146"/>
      <c r="AN196" s="146"/>
      <c r="AO196" s="146"/>
      <c r="AP196" s="146"/>
    </row>
    <row r="197" spans="1:42">
      <c r="A197" s="202" t="s">
        <v>248</v>
      </c>
      <c r="B197" s="307" t="str">
        <f>IF(ISERROR(IRR(B192:AP192)),"N/A",IRR(B192:AP192))</f>
        <v>N/A</v>
      </c>
      <c r="C197" s="164"/>
      <c r="D197" s="164"/>
      <c r="E197" s="164"/>
      <c r="F197" s="164"/>
      <c r="G197" s="208"/>
      <c r="H197" s="208"/>
      <c r="I197" s="208"/>
      <c r="J197" s="208"/>
      <c r="K197" s="208"/>
      <c r="L197" s="208"/>
      <c r="M197" s="208"/>
      <c r="N197" s="208"/>
      <c r="O197" s="208"/>
      <c r="P197" s="208"/>
      <c r="Q197" s="208"/>
      <c r="R197" s="208"/>
      <c r="S197" s="208"/>
      <c r="T197" s="208"/>
      <c r="U197" s="208"/>
      <c r="V197" s="208"/>
      <c r="W197" s="208"/>
      <c r="X197" s="208"/>
      <c r="Y197" s="208"/>
      <c r="Z197" s="208"/>
      <c r="AA197" s="208"/>
      <c r="AB197" s="208"/>
      <c r="AC197" s="208"/>
      <c r="AD197" s="208"/>
      <c r="AE197" s="208"/>
      <c r="AF197" s="208"/>
      <c r="AG197" s="208"/>
      <c r="AH197" s="208"/>
      <c r="AI197" s="208"/>
      <c r="AJ197" s="208"/>
      <c r="AK197" s="208"/>
      <c r="AL197" s="208"/>
      <c r="AM197" s="208"/>
      <c r="AN197" s="208"/>
      <c r="AO197" s="208"/>
      <c r="AP197" s="208"/>
    </row>
    <row r="198" spans="1:42">
      <c r="A198" s="202" t="s">
        <v>227</v>
      </c>
      <c r="B198" s="218">
        <f>NPV(DiscountRate,$C192:$AP192)+B192</f>
        <v>13646587.41575853</v>
      </c>
      <c r="C198" s="164"/>
      <c r="D198" s="164"/>
      <c r="E198" s="164"/>
      <c r="F198" s="164"/>
      <c r="G198" s="208"/>
      <c r="H198" s="208"/>
      <c r="I198" s="208"/>
      <c r="J198" s="208"/>
      <c r="K198" s="208"/>
      <c r="L198" s="208"/>
      <c r="M198" s="208"/>
      <c r="N198" s="208"/>
      <c r="O198" s="208"/>
      <c r="P198" s="208"/>
      <c r="Q198" s="208"/>
      <c r="R198" s="208"/>
      <c r="S198" s="208"/>
      <c r="T198" s="208"/>
      <c r="U198" s="208"/>
      <c r="V198" s="208"/>
      <c r="W198" s="208"/>
      <c r="X198" s="208"/>
      <c r="Y198" s="208"/>
      <c r="Z198" s="208"/>
      <c r="AA198" s="208"/>
      <c r="AB198" s="208"/>
      <c r="AC198" s="208"/>
      <c r="AD198" s="208"/>
      <c r="AE198" s="208"/>
      <c r="AF198" s="208"/>
      <c r="AG198" s="208"/>
      <c r="AH198" s="208"/>
      <c r="AI198" s="208"/>
      <c r="AJ198" s="208"/>
      <c r="AK198" s="208"/>
      <c r="AL198" s="208"/>
      <c r="AM198" s="208"/>
      <c r="AN198" s="208"/>
      <c r="AO198" s="208"/>
      <c r="AP198" s="208"/>
    </row>
    <row r="199" spans="1:42">
      <c r="B199" s="164"/>
      <c r="C199" s="164"/>
      <c r="D199" s="164"/>
      <c r="E199" s="164"/>
      <c r="F199" s="164"/>
      <c r="G199" s="208"/>
      <c r="H199" s="208"/>
      <c r="I199" s="208"/>
      <c r="J199" s="208"/>
      <c r="K199" s="208"/>
      <c r="L199" s="208"/>
      <c r="M199" s="208"/>
      <c r="N199" s="208"/>
      <c r="O199" s="208"/>
      <c r="P199" s="208"/>
      <c r="Q199" s="208"/>
      <c r="R199" s="208"/>
      <c r="S199" s="208"/>
      <c r="T199" s="208"/>
      <c r="U199" s="208"/>
      <c r="V199" s="208"/>
      <c r="W199" s="208"/>
      <c r="X199" s="208"/>
      <c r="Y199" s="208"/>
      <c r="Z199" s="208"/>
      <c r="AA199" s="208"/>
      <c r="AB199" s="208"/>
      <c r="AC199" s="208"/>
      <c r="AD199" s="208"/>
      <c r="AE199" s="208"/>
      <c r="AF199" s="208"/>
      <c r="AG199" s="208"/>
      <c r="AH199" s="208"/>
      <c r="AI199" s="208"/>
      <c r="AJ199" s="208"/>
      <c r="AK199" s="208"/>
      <c r="AL199" s="208"/>
      <c r="AM199" s="208"/>
      <c r="AN199" s="208"/>
      <c r="AO199" s="208"/>
      <c r="AP199" s="208"/>
    </row>
    <row r="200" spans="1:42">
      <c r="A200" s="201" t="s">
        <v>116</v>
      </c>
    </row>
    <row r="201" spans="1:42" s="119" customFormat="1">
      <c r="A201" s="217" t="s">
        <v>134</v>
      </c>
    </row>
    <row r="202" spans="1:42" s="119" customFormat="1">
      <c r="A202" s="42" t="s">
        <v>117</v>
      </c>
      <c r="C202" s="220">
        <f t="shared" ref="C202:AP202" si="789">C43</f>
        <v>5130924.9360721735</v>
      </c>
      <c r="D202" s="220">
        <f t="shared" si="789"/>
        <v>5224480.1535440227</v>
      </c>
      <c r="E202" s="220">
        <f t="shared" si="789"/>
        <v>5319178.3042360479</v>
      </c>
      <c r="F202" s="220">
        <f t="shared" si="789"/>
        <v>5415035.5329115689</v>
      </c>
      <c r="G202" s="220">
        <f t="shared" si="789"/>
        <v>5512068.2044891519</v>
      </c>
      <c r="H202" s="220">
        <f t="shared" si="789"/>
        <v>5610292.9068568042</v>
      </c>
      <c r="I202" s="220">
        <f t="shared" si="789"/>
        <v>5709726.4537174851</v>
      </c>
      <c r="J202" s="220">
        <f t="shared" si="789"/>
        <v>5810385.8874661699</v>
      </c>
      <c r="K202" s="220">
        <f t="shared" si="789"/>
        <v>5912288.4820986763</v>
      </c>
      <c r="L202" s="220">
        <f t="shared" si="789"/>
        <v>6015451.7461524587</v>
      </c>
      <c r="M202" s="220">
        <f t="shared" si="789"/>
        <v>6119893.4256796334</v>
      </c>
      <c r="N202" s="220">
        <f t="shared" si="789"/>
        <v>6225631.5072523979</v>
      </c>
      <c r="O202" s="220">
        <f t="shared" si="789"/>
        <v>6332684.2210011082</v>
      </c>
      <c r="P202" s="220">
        <f t="shared" si="789"/>
        <v>6441070.0436851662</v>
      </c>
      <c r="Q202" s="220">
        <f t="shared" si="789"/>
        <v>6550807.7017969862</v>
      </c>
      <c r="R202" s="220">
        <f t="shared" si="789"/>
        <v>6661916.174699191</v>
      </c>
      <c r="S202" s="220">
        <f t="shared" si="789"/>
        <v>6774414.6977952812</v>
      </c>
      <c r="T202" s="220">
        <f t="shared" si="789"/>
        <v>6888322.7657339126</v>
      </c>
      <c r="U202" s="220">
        <f t="shared" si="789"/>
        <v>7003660.1356470631</v>
      </c>
      <c r="V202" s="220">
        <f t="shared" si="789"/>
        <v>7120446.8304221872</v>
      </c>
      <c r="W202" s="220">
        <f t="shared" si="789"/>
        <v>7238703.1420086045</v>
      </c>
      <c r="X202" s="220">
        <f t="shared" si="789"/>
        <v>7344118.712570752</v>
      </c>
      <c r="Y202" s="220">
        <f t="shared" si="789"/>
        <v>7451045.304426033</v>
      </c>
      <c r="Z202" s="220">
        <f t="shared" si="789"/>
        <v>7559504.0368923601</v>
      </c>
      <c r="AA202" s="220">
        <f t="shared" si="789"/>
        <v>7669516.3119206326</v>
      </c>
      <c r="AB202" s="220">
        <f t="shared" si="789"/>
        <v>7781103.8175747218</v>
      </c>
      <c r="AC202" s="220">
        <f t="shared" si="789"/>
        <v>7894288.5315467063</v>
      </c>
      <c r="AD202" s="220">
        <f t="shared" si="789"/>
        <v>8009092.7247074135</v>
      </c>
      <c r="AE202" s="220">
        <f t="shared" si="789"/>
        <v>8125538.9646924967</v>
      </c>
      <c r="AF202" s="220">
        <f t="shared" si="789"/>
        <v>12266365.119524082</v>
      </c>
      <c r="AG202" s="220">
        <f t="shared" si="789"/>
        <v>0</v>
      </c>
      <c r="AH202" s="220">
        <f t="shared" si="789"/>
        <v>0</v>
      </c>
      <c r="AI202" s="220">
        <f t="shared" si="789"/>
        <v>0</v>
      </c>
      <c r="AJ202" s="220">
        <f t="shared" si="789"/>
        <v>0</v>
      </c>
      <c r="AK202" s="220">
        <f t="shared" si="789"/>
        <v>0</v>
      </c>
      <c r="AL202" s="220">
        <f t="shared" si="789"/>
        <v>0</v>
      </c>
      <c r="AM202" s="220">
        <f t="shared" si="789"/>
        <v>0</v>
      </c>
      <c r="AN202" s="220">
        <f t="shared" si="789"/>
        <v>0</v>
      </c>
      <c r="AO202" s="220">
        <f t="shared" si="789"/>
        <v>0</v>
      </c>
      <c r="AP202" s="220">
        <f t="shared" si="789"/>
        <v>0</v>
      </c>
    </row>
    <row r="203" spans="1:42" s="119" customFormat="1">
      <c r="A203" s="42" t="s">
        <v>130</v>
      </c>
      <c r="C203" s="220">
        <f t="shared" ref="C203:AP203" si="790">C805</f>
        <v>28528.458178202964</v>
      </c>
      <c r="D203" s="220">
        <f t="shared" si="790"/>
        <v>41155.008793442925</v>
      </c>
      <c r="E203" s="220">
        <f t="shared" si="790"/>
        <v>53788.226519133903</v>
      </c>
      <c r="F203" s="220">
        <f t="shared" si="790"/>
        <v>64616.161421195538</v>
      </c>
      <c r="G203" s="220">
        <f t="shared" si="790"/>
        <v>77290.448270984838</v>
      </c>
      <c r="H203" s="220">
        <f t="shared" si="790"/>
        <v>89971.688633716185</v>
      </c>
      <c r="I203" s="220">
        <f t="shared" si="790"/>
        <v>100765.16524699876</v>
      </c>
      <c r="J203" s="220">
        <f t="shared" si="790"/>
        <v>113489.31321603422</v>
      </c>
      <c r="K203" s="220">
        <f t="shared" si="790"/>
        <v>126220.7129568919</v>
      </c>
      <c r="L203" s="220">
        <f t="shared" si="790"/>
        <v>136978.09917461986</v>
      </c>
      <c r="M203" s="220">
        <f t="shared" si="790"/>
        <v>118110.60951335869</v>
      </c>
      <c r="N203" s="220">
        <f t="shared" si="790"/>
        <v>130277.59365682983</v>
      </c>
      <c r="O203" s="220">
        <f t="shared" si="790"/>
        <v>88847.901148577046</v>
      </c>
      <c r="P203" s="220">
        <f t="shared" si="790"/>
        <v>101886.37546337843</v>
      </c>
      <c r="Q203" s="220">
        <f t="shared" si="790"/>
        <v>114924.84977817982</v>
      </c>
      <c r="R203" s="220">
        <f t="shared" si="790"/>
        <v>18029.125128545482</v>
      </c>
      <c r="S203" s="220">
        <f t="shared" si="790"/>
        <v>32898.398355727615</v>
      </c>
      <c r="T203" s="220">
        <f t="shared" si="790"/>
        <v>47767.671582909745</v>
      </c>
      <c r="U203" s="220">
        <f t="shared" si="790"/>
        <v>60382.909231071135</v>
      </c>
      <c r="V203" s="220">
        <f t="shared" si="790"/>
        <v>75286.502685733882</v>
      </c>
      <c r="W203" s="220">
        <f t="shared" si="790"/>
        <v>90190.096140396621</v>
      </c>
      <c r="X203" s="220">
        <f t="shared" si="790"/>
        <v>102736.69333359678</v>
      </c>
      <c r="Y203" s="220">
        <f t="shared" si="790"/>
        <v>117676.17470796108</v>
      </c>
      <c r="Z203" s="220">
        <f t="shared" si="790"/>
        <v>132615.65608232541</v>
      </c>
      <c r="AA203" s="220">
        <f t="shared" si="790"/>
        <v>83473.976921940499</v>
      </c>
      <c r="AB203" s="220">
        <f t="shared" si="790"/>
        <v>93316.277141678642</v>
      </c>
      <c r="AC203" s="220">
        <f t="shared" si="790"/>
        <v>103158.57736141678</v>
      </c>
      <c r="AD203" s="220">
        <f t="shared" si="790"/>
        <v>110423.63589592067</v>
      </c>
      <c r="AE203" s="220">
        <f t="shared" si="790"/>
        <v>120305.1775197134</v>
      </c>
      <c r="AF203" s="220">
        <f t="shared" si="790"/>
        <v>130186.71914350611</v>
      </c>
      <c r="AG203" s="220">
        <f t="shared" si="790"/>
        <v>0</v>
      </c>
      <c r="AH203" s="220">
        <f t="shared" si="790"/>
        <v>0</v>
      </c>
      <c r="AI203" s="220">
        <f t="shared" si="790"/>
        <v>0</v>
      </c>
      <c r="AJ203" s="220">
        <f t="shared" si="790"/>
        <v>0</v>
      </c>
      <c r="AK203" s="220">
        <f t="shared" si="790"/>
        <v>0</v>
      </c>
      <c r="AL203" s="220">
        <f t="shared" si="790"/>
        <v>0</v>
      </c>
      <c r="AM203" s="220">
        <f t="shared" si="790"/>
        <v>0</v>
      </c>
      <c r="AN203" s="220">
        <f t="shared" si="790"/>
        <v>0</v>
      </c>
      <c r="AO203" s="220">
        <f t="shared" si="790"/>
        <v>0</v>
      </c>
      <c r="AP203" s="220">
        <f t="shared" si="790"/>
        <v>0</v>
      </c>
    </row>
    <row r="204" spans="1:42" s="119" customFormat="1">
      <c r="A204" s="42" t="s">
        <v>118</v>
      </c>
      <c r="C204" s="220">
        <f>-C684</f>
        <v>-1787948.5127279796</v>
      </c>
      <c r="D204" s="220">
        <f t="shared" ref="D204:AP204" si="791">-D684</f>
        <v>-1688290.5425787433</v>
      </c>
      <c r="E204" s="220">
        <f t="shared" si="791"/>
        <v>-1574860.1826434173</v>
      </c>
      <c r="F204" s="220">
        <f t="shared" si="791"/>
        <v>-1446422.0135743737</v>
      </c>
      <c r="G204" s="220">
        <f t="shared" si="791"/>
        <v>-1301723.5797390747</v>
      </c>
      <c r="H204" s="220">
        <f t="shared" si="791"/>
        <v>-1139227.2609717124</v>
      </c>
      <c r="I204" s="220">
        <f t="shared" si="791"/>
        <v>-957352.68864162371</v>
      </c>
      <c r="J204" s="220">
        <f t="shared" si="791"/>
        <v>-754477.15955315973</v>
      </c>
      <c r="K204" s="220">
        <f t="shared" si="791"/>
        <v>-528653.17591308407</v>
      </c>
      <c r="L204" s="220">
        <f t="shared" si="791"/>
        <v>-277859.67330109322</v>
      </c>
      <c r="M204" s="220">
        <f t="shared" si="791"/>
        <v>0</v>
      </c>
      <c r="N204" s="220">
        <f t="shared" si="791"/>
        <v>0</v>
      </c>
      <c r="O204" s="220">
        <f t="shared" si="791"/>
        <v>0</v>
      </c>
      <c r="P204" s="220">
        <f t="shared" si="791"/>
        <v>0</v>
      </c>
      <c r="Q204" s="220">
        <f t="shared" si="791"/>
        <v>0</v>
      </c>
      <c r="R204" s="220">
        <f t="shared" si="791"/>
        <v>0</v>
      </c>
      <c r="S204" s="220">
        <f t="shared" si="791"/>
        <v>0</v>
      </c>
      <c r="T204" s="220">
        <f t="shared" si="791"/>
        <v>0</v>
      </c>
      <c r="U204" s="220">
        <f t="shared" si="791"/>
        <v>0</v>
      </c>
      <c r="V204" s="220">
        <f t="shared" si="791"/>
        <v>0</v>
      </c>
      <c r="W204" s="220">
        <f t="shared" si="791"/>
        <v>0</v>
      </c>
      <c r="X204" s="220">
        <f t="shared" si="791"/>
        <v>0</v>
      </c>
      <c r="Y204" s="220">
        <f t="shared" si="791"/>
        <v>0</v>
      </c>
      <c r="Z204" s="220">
        <f t="shared" si="791"/>
        <v>0</v>
      </c>
      <c r="AA204" s="220">
        <f t="shared" si="791"/>
        <v>0</v>
      </c>
      <c r="AB204" s="220">
        <f t="shared" si="791"/>
        <v>0</v>
      </c>
      <c r="AC204" s="220">
        <f t="shared" si="791"/>
        <v>0</v>
      </c>
      <c r="AD204" s="220">
        <f t="shared" si="791"/>
        <v>0</v>
      </c>
      <c r="AE204" s="220">
        <f t="shared" si="791"/>
        <v>0</v>
      </c>
      <c r="AF204" s="220">
        <f t="shared" si="791"/>
        <v>0</v>
      </c>
      <c r="AG204" s="220">
        <f t="shared" si="791"/>
        <v>0</v>
      </c>
      <c r="AH204" s="220">
        <f t="shared" si="791"/>
        <v>0</v>
      </c>
      <c r="AI204" s="220">
        <f t="shared" si="791"/>
        <v>0</v>
      </c>
      <c r="AJ204" s="220">
        <f t="shared" si="791"/>
        <v>0</v>
      </c>
      <c r="AK204" s="220">
        <f t="shared" si="791"/>
        <v>0</v>
      </c>
      <c r="AL204" s="220">
        <f t="shared" si="791"/>
        <v>0</v>
      </c>
      <c r="AM204" s="220">
        <f t="shared" si="791"/>
        <v>0</v>
      </c>
      <c r="AN204" s="220">
        <f t="shared" si="791"/>
        <v>0</v>
      </c>
      <c r="AO204" s="220">
        <f t="shared" si="791"/>
        <v>0</v>
      </c>
      <c r="AP204" s="220">
        <f t="shared" si="791"/>
        <v>0</v>
      </c>
    </row>
    <row r="205" spans="1:42" s="42" customFormat="1">
      <c r="A205" s="42" t="s">
        <v>121</v>
      </c>
      <c r="B205" s="119"/>
      <c r="C205" s="225">
        <f>IF(C$2&lt;=AnalysisPeriod,-C325-C355-C381-C407,0)</f>
        <v>-9614023.3249930441</v>
      </c>
      <c r="D205" s="225">
        <f t="shared" ref="D205:AP205" si="792">IF(D$2&lt;=AnalysisPeriod,-D325-D355-D381-D407,0)</f>
        <v>-12258177.753887083</v>
      </c>
      <c r="E205" s="225">
        <f>IF(E$2&lt;=AnalysisPeriod,-E325-E355-E381-E407,0)</f>
        <v>-7459110.110227935</v>
      </c>
      <c r="F205" s="225">
        <f t="shared" si="792"/>
        <v>-4577801.0748158181</v>
      </c>
      <c r="G205" s="225">
        <f t="shared" si="792"/>
        <v>-4559475.9594700914</v>
      </c>
      <c r="H205" s="225">
        <f t="shared" si="792"/>
        <v>-2402438.6454314091</v>
      </c>
      <c r="I205" s="225">
        <f t="shared" si="792"/>
        <v>-247164.20954076567</v>
      </c>
      <c r="J205" s="225">
        <f t="shared" si="792"/>
        <v>-227307.41763271514</v>
      </c>
      <c r="K205" s="225">
        <f t="shared" si="792"/>
        <v>-235829.8232022851</v>
      </c>
      <c r="L205" s="225">
        <f t="shared" si="792"/>
        <v>-249147.54325393293</v>
      </c>
      <c r="M205" s="225">
        <f t="shared" si="792"/>
        <v>-228723.47327063486</v>
      </c>
      <c r="N205" s="225">
        <f t="shared" si="792"/>
        <v>-826200.11080398643</v>
      </c>
      <c r="O205" s="225">
        <f t="shared" si="792"/>
        <v>-1193920.3702604463</v>
      </c>
      <c r="P205" s="225">
        <f t="shared" si="792"/>
        <v>-795210.1756072666</v>
      </c>
      <c r="Q205" s="225">
        <f t="shared" si="792"/>
        <v>-1810099.7707836733</v>
      </c>
      <c r="R205" s="225">
        <f t="shared" si="792"/>
        <v>-2499606.2406530506</v>
      </c>
      <c r="S205" s="225">
        <f t="shared" si="792"/>
        <v>-1454978.6204631038</v>
      </c>
      <c r="T205" s="225">
        <f t="shared" si="792"/>
        <v>-821875.30961717141</v>
      </c>
      <c r="U205" s="225">
        <f t="shared" si="792"/>
        <v>-837331.55358759931</v>
      </c>
      <c r="V205" s="225">
        <f t="shared" si="792"/>
        <v>-459004.32990381925</v>
      </c>
      <c r="W205" s="225">
        <f t="shared" si="792"/>
        <v>-80843.705862452101</v>
      </c>
      <c r="X205" s="225">
        <f t="shared" si="792"/>
        <v>-63640.80135841544</v>
      </c>
      <c r="Y205" s="225">
        <f t="shared" si="792"/>
        <v>-38982.060168769371</v>
      </c>
      <c r="Z205" s="225">
        <f t="shared" si="792"/>
        <v>-753575.33700979326</v>
      </c>
      <c r="AA205" s="225">
        <f t="shared" si="792"/>
        <v>-1192989.0092480734</v>
      </c>
      <c r="AB205" s="225">
        <f t="shared" si="792"/>
        <v>-716523.20735617948</v>
      </c>
      <c r="AC205" s="225">
        <f t="shared" si="792"/>
        <v>-456994.76297434338</v>
      </c>
      <c r="AD205" s="225">
        <f t="shared" si="792"/>
        <v>-474667.27738737833</v>
      </c>
      <c r="AE205" s="225">
        <f t="shared" si="792"/>
        <v>-244898.03267243327</v>
      </c>
      <c r="AF205" s="225">
        <f t="shared" si="792"/>
        <v>-1593449.1838285606</v>
      </c>
      <c r="AG205" s="225">
        <f t="shared" si="792"/>
        <v>0</v>
      </c>
      <c r="AH205" s="225">
        <f t="shared" si="792"/>
        <v>0</v>
      </c>
      <c r="AI205" s="225">
        <f t="shared" si="792"/>
        <v>0</v>
      </c>
      <c r="AJ205" s="225">
        <f t="shared" si="792"/>
        <v>0</v>
      </c>
      <c r="AK205" s="225">
        <f t="shared" si="792"/>
        <v>0</v>
      </c>
      <c r="AL205" s="225">
        <f t="shared" si="792"/>
        <v>0</v>
      </c>
      <c r="AM205" s="225">
        <f t="shared" si="792"/>
        <v>0</v>
      </c>
      <c r="AN205" s="225">
        <f t="shared" si="792"/>
        <v>0</v>
      </c>
      <c r="AO205" s="225">
        <f t="shared" si="792"/>
        <v>0</v>
      </c>
      <c r="AP205" s="225">
        <f t="shared" si="792"/>
        <v>0</v>
      </c>
    </row>
    <row r="206" spans="1:42" s="119" customFormat="1">
      <c r="A206" s="42" t="s">
        <v>119</v>
      </c>
      <c r="C206" s="220">
        <f t="shared" ref="C206:AP206" si="793">SUM(C202:C205)</f>
        <v>-6242518.4434706476</v>
      </c>
      <c r="D206" s="220">
        <f t="shared" si="793"/>
        <v>-8680833.1341283619</v>
      </c>
      <c r="E206" s="220">
        <f t="shared" si="793"/>
        <v>-3661003.7621161705</v>
      </c>
      <c r="F206" s="220">
        <f t="shared" si="793"/>
        <v>-544571.39405742753</v>
      </c>
      <c r="G206" s="220">
        <f t="shared" si="793"/>
        <v>-271840.88644902967</v>
      </c>
      <c r="H206" s="220">
        <f t="shared" si="793"/>
        <v>2158598.6890873979</v>
      </c>
      <c r="I206" s="220">
        <f t="shared" si="793"/>
        <v>4605974.7207820946</v>
      </c>
      <c r="J206" s="220">
        <f t="shared" si="793"/>
        <v>4942090.6234963294</v>
      </c>
      <c r="K206" s="220">
        <f t="shared" si="793"/>
        <v>5274026.1959401993</v>
      </c>
      <c r="L206" s="220">
        <f t="shared" si="793"/>
        <v>5625422.628772052</v>
      </c>
      <c r="M206" s="220">
        <f t="shared" si="793"/>
        <v>6009280.5619223574</v>
      </c>
      <c r="N206" s="220">
        <f t="shared" si="793"/>
        <v>5529708.9901052415</v>
      </c>
      <c r="O206" s="220">
        <f t="shared" si="793"/>
        <v>5227611.7518892391</v>
      </c>
      <c r="P206" s="220">
        <f t="shared" si="793"/>
        <v>5747746.2435412779</v>
      </c>
      <c r="Q206" s="220">
        <f t="shared" si="793"/>
        <v>4855632.7807914931</v>
      </c>
      <c r="R206" s="220">
        <f t="shared" si="793"/>
        <v>4180339.0591746862</v>
      </c>
      <c r="S206" s="220">
        <f t="shared" si="793"/>
        <v>5352334.4756879052</v>
      </c>
      <c r="T206" s="220">
        <f t="shared" si="793"/>
        <v>6114215.1276996508</v>
      </c>
      <c r="U206" s="220">
        <f t="shared" si="793"/>
        <v>6226711.4912905348</v>
      </c>
      <c r="V206" s="220">
        <f t="shared" si="793"/>
        <v>6736729.0032041017</v>
      </c>
      <c r="W206" s="220">
        <f t="shared" si="793"/>
        <v>7248049.532286549</v>
      </c>
      <c r="X206" s="220">
        <f t="shared" si="793"/>
        <v>7383214.6045459332</v>
      </c>
      <c r="Y206" s="220">
        <f t="shared" si="793"/>
        <v>7529739.4189652251</v>
      </c>
      <c r="Z206" s="220">
        <f t="shared" si="793"/>
        <v>6938544.3559648925</v>
      </c>
      <c r="AA206" s="220">
        <f t="shared" si="793"/>
        <v>6560001.2795944996</v>
      </c>
      <c r="AB206" s="220">
        <f t="shared" si="793"/>
        <v>7157896.8873602217</v>
      </c>
      <c r="AC206" s="220">
        <f t="shared" si="793"/>
        <v>7540452.3459337801</v>
      </c>
      <c r="AD206" s="220">
        <f t="shared" si="793"/>
        <v>7644849.0832159556</v>
      </c>
      <c r="AE206" s="220">
        <f t="shared" si="793"/>
        <v>8000946.109539777</v>
      </c>
      <c r="AF206" s="220">
        <f t="shared" si="793"/>
        <v>10803102.654839028</v>
      </c>
      <c r="AG206" s="220">
        <f t="shared" si="793"/>
        <v>0</v>
      </c>
      <c r="AH206" s="220">
        <f t="shared" si="793"/>
        <v>0</v>
      </c>
      <c r="AI206" s="220">
        <f t="shared" si="793"/>
        <v>0</v>
      </c>
      <c r="AJ206" s="220">
        <f t="shared" si="793"/>
        <v>0</v>
      </c>
      <c r="AK206" s="220">
        <f t="shared" si="793"/>
        <v>0</v>
      </c>
      <c r="AL206" s="220">
        <f t="shared" si="793"/>
        <v>0</v>
      </c>
      <c r="AM206" s="220">
        <f t="shared" si="793"/>
        <v>0</v>
      </c>
      <c r="AN206" s="220">
        <f t="shared" si="793"/>
        <v>0</v>
      </c>
      <c r="AO206" s="220">
        <f t="shared" si="793"/>
        <v>0</v>
      </c>
      <c r="AP206" s="220">
        <f t="shared" si="793"/>
        <v>0</v>
      </c>
    </row>
    <row r="207" spans="1:42" s="119" customFormat="1">
      <c r="A207" s="42" t="str">
        <f>'Inputs &amp; Results'!A48</f>
        <v>Investment Based Incentive (IBI)</v>
      </c>
    </row>
    <row r="208" spans="1:42" s="119" customFormat="1">
      <c r="A208" s="226" t="str">
        <f>'Inputs &amp; Results'!A49</f>
        <v>Fixed Amount ($)</v>
      </c>
    </row>
    <row r="209" spans="1:42" s="119" customFormat="1">
      <c r="A209" s="227" t="str">
        <f>'Inputs &amp; Results'!A50</f>
        <v>Federal</v>
      </c>
      <c r="C209" s="220">
        <f>IF(IBIFedFixedStateTax="Yes",C630,0)</f>
        <v>1000</v>
      </c>
    </row>
    <row r="210" spans="1:42" s="119" customFormat="1">
      <c r="A210" s="227" t="str">
        <f>'Inputs &amp; Results'!A51</f>
        <v>State</v>
      </c>
      <c r="C210" s="220">
        <f>IF(IBIStateFixedStateTax="Yes",C631,0)</f>
        <v>2000</v>
      </c>
    </row>
    <row r="211" spans="1:42" s="119" customFormat="1">
      <c r="A211" s="227" t="str">
        <f>'Inputs &amp; Results'!A52</f>
        <v>Utility</v>
      </c>
      <c r="C211" s="220">
        <f>IF(IBIUtilityFixedStateTax="Yes",C632,0)</f>
        <v>500</v>
      </c>
    </row>
    <row r="212" spans="1:42">
      <c r="A212" s="227" t="str">
        <f>'Inputs &amp; Results'!A53</f>
        <v>Other</v>
      </c>
      <c r="C212" s="225">
        <f>IF(IBIOtherFixedStateTax="Yes",C633,0)</f>
        <v>250</v>
      </c>
      <c r="D212" s="208"/>
      <c r="E212" s="208"/>
      <c r="F212" s="208"/>
      <c r="G212" s="208"/>
      <c r="H212" s="208"/>
      <c r="I212" s="208"/>
      <c r="J212" s="208"/>
      <c r="K212" s="208"/>
      <c r="L212" s="208"/>
      <c r="M212" s="208"/>
      <c r="N212" s="208"/>
      <c r="O212" s="208"/>
      <c r="P212" s="208"/>
      <c r="Q212" s="208"/>
      <c r="R212" s="208"/>
      <c r="S212" s="208"/>
      <c r="T212" s="208"/>
      <c r="U212" s="208"/>
      <c r="V212" s="208"/>
      <c r="W212" s="208"/>
      <c r="X212" s="208"/>
      <c r="Y212" s="208"/>
      <c r="Z212" s="208"/>
      <c r="AA212" s="208"/>
      <c r="AB212" s="208"/>
      <c r="AC212" s="208"/>
      <c r="AD212" s="208"/>
      <c r="AE212" s="208"/>
      <c r="AF212" s="208"/>
      <c r="AG212" s="208"/>
      <c r="AH212" s="208"/>
      <c r="AI212" s="208"/>
      <c r="AJ212" s="208"/>
      <c r="AK212" s="208"/>
      <c r="AL212" s="208"/>
      <c r="AM212" s="208"/>
      <c r="AN212" s="208"/>
      <c r="AO212" s="208"/>
      <c r="AP212" s="208"/>
    </row>
    <row r="213" spans="1:42">
      <c r="A213" s="227" t="s">
        <v>53</v>
      </c>
      <c r="C213" s="208">
        <f>SUM(C209:C212)</f>
        <v>3750</v>
      </c>
      <c r="D213" s="208"/>
      <c r="E213" s="208"/>
      <c r="F213" s="208"/>
      <c r="G213" s="208"/>
      <c r="H213" s="208"/>
      <c r="I213" s="208"/>
      <c r="J213" s="208"/>
      <c r="K213" s="208"/>
      <c r="L213" s="208"/>
      <c r="M213" s="208"/>
      <c r="N213" s="208"/>
      <c r="O213" s="208"/>
      <c r="P213" s="208"/>
      <c r="Q213" s="208"/>
      <c r="R213" s="208"/>
      <c r="S213" s="208"/>
      <c r="T213" s="208"/>
      <c r="U213" s="208"/>
      <c r="V213" s="208"/>
      <c r="W213" s="208"/>
      <c r="X213" s="208"/>
      <c r="Y213" s="208"/>
      <c r="Z213" s="208"/>
      <c r="AA213" s="208"/>
      <c r="AB213" s="208"/>
      <c r="AC213" s="208"/>
      <c r="AD213" s="208"/>
      <c r="AE213" s="208"/>
      <c r="AF213" s="208"/>
      <c r="AG213" s="208"/>
      <c r="AH213" s="208"/>
      <c r="AI213" s="208"/>
      <c r="AJ213" s="208"/>
      <c r="AK213" s="208"/>
      <c r="AL213" s="208"/>
      <c r="AM213" s="208"/>
      <c r="AN213" s="208"/>
      <c r="AO213" s="208"/>
      <c r="AP213" s="208"/>
    </row>
    <row r="214" spans="1:42">
      <c r="A214" s="226" t="str">
        <f>'Inputs &amp; Results'!A54</f>
        <v>Percentage of Pre-Financing Costs</v>
      </c>
      <c r="C214" s="208"/>
      <c r="D214" s="208"/>
      <c r="E214" s="208"/>
      <c r="F214" s="208"/>
      <c r="G214" s="208"/>
      <c r="H214" s="208"/>
      <c r="I214" s="208"/>
      <c r="J214" s="208"/>
      <c r="K214" s="208"/>
      <c r="L214" s="208"/>
      <c r="M214" s="208"/>
      <c r="N214" s="208"/>
      <c r="O214" s="208"/>
      <c r="P214" s="208"/>
      <c r="Q214" s="208"/>
      <c r="R214" s="208"/>
      <c r="S214" s="208"/>
      <c r="T214" s="208"/>
      <c r="U214" s="208"/>
      <c r="V214" s="208"/>
      <c r="W214" s="208"/>
      <c r="X214" s="208"/>
      <c r="Y214" s="208"/>
      <c r="Z214" s="208"/>
      <c r="AA214" s="208"/>
      <c r="AB214" s="208"/>
      <c r="AC214" s="208"/>
      <c r="AD214" s="208"/>
      <c r="AE214" s="208"/>
      <c r="AF214" s="208"/>
      <c r="AG214" s="208"/>
      <c r="AH214" s="208"/>
      <c r="AI214" s="208"/>
      <c r="AJ214" s="208"/>
      <c r="AK214" s="208"/>
      <c r="AL214" s="208"/>
      <c r="AM214" s="208"/>
      <c r="AN214" s="208"/>
      <c r="AO214" s="208"/>
      <c r="AP214" s="208"/>
    </row>
    <row r="215" spans="1:42">
      <c r="A215" s="227" t="str">
        <f>'Inputs &amp; Results'!A55</f>
        <v>Federal</v>
      </c>
      <c r="C215" s="220">
        <f>IF(IBIFedPercentStateTax="Yes",C636,0)</f>
        <v>2011357.5</v>
      </c>
      <c r="D215" s="208"/>
      <c r="E215" s="208"/>
      <c r="F215" s="208"/>
      <c r="G215" s="208"/>
      <c r="H215" s="208"/>
      <c r="I215" s="208"/>
      <c r="J215" s="208"/>
      <c r="K215" s="208"/>
      <c r="L215" s="208"/>
      <c r="M215" s="208"/>
      <c r="N215" s="208"/>
      <c r="O215" s="208"/>
      <c r="P215" s="208"/>
      <c r="Q215" s="208"/>
      <c r="R215" s="208"/>
      <c r="S215" s="208"/>
      <c r="T215" s="208"/>
      <c r="U215" s="208"/>
      <c r="V215" s="208"/>
      <c r="W215" s="208"/>
      <c r="X215" s="208"/>
      <c r="Y215" s="208"/>
      <c r="Z215" s="208"/>
      <c r="AA215" s="208"/>
      <c r="AB215" s="208"/>
      <c r="AC215" s="208"/>
      <c r="AD215" s="208"/>
      <c r="AE215" s="208"/>
      <c r="AF215" s="208"/>
      <c r="AG215" s="208"/>
      <c r="AH215" s="208"/>
      <c r="AI215" s="208"/>
      <c r="AJ215" s="208"/>
      <c r="AK215" s="208"/>
      <c r="AL215" s="208"/>
      <c r="AM215" s="208"/>
      <c r="AN215" s="208"/>
      <c r="AO215" s="208"/>
      <c r="AP215" s="208"/>
    </row>
    <row r="216" spans="1:42">
      <c r="A216" s="227" t="str">
        <f>'Inputs &amp; Results'!A56</f>
        <v>State</v>
      </c>
      <c r="C216" s="220">
        <f>IF(IBIStatePercentStateTax="Yes",C637,0)</f>
        <v>4022715</v>
      </c>
      <c r="D216" s="208"/>
      <c r="E216" s="208"/>
      <c r="F216" s="208"/>
      <c r="G216" s="208"/>
      <c r="H216" s="208"/>
      <c r="I216" s="208"/>
      <c r="J216" s="208"/>
      <c r="K216" s="208"/>
      <c r="L216" s="208"/>
      <c r="M216" s="208"/>
      <c r="N216" s="208"/>
      <c r="O216" s="208"/>
      <c r="P216" s="208"/>
      <c r="Q216" s="208"/>
      <c r="R216" s="208"/>
      <c r="S216" s="208"/>
      <c r="T216" s="208"/>
      <c r="U216" s="208"/>
      <c r="V216" s="208"/>
      <c r="W216" s="208"/>
      <c r="X216" s="208"/>
      <c r="Y216" s="208"/>
      <c r="Z216" s="208"/>
      <c r="AA216" s="208"/>
      <c r="AB216" s="208"/>
      <c r="AC216" s="208"/>
      <c r="AD216" s="208"/>
      <c r="AE216" s="208"/>
      <c r="AF216" s="208"/>
      <c r="AG216" s="208"/>
      <c r="AH216" s="208"/>
      <c r="AI216" s="208"/>
      <c r="AJ216" s="208"/>
      <c r="AK216" s="208"/>
      <c r="AL216" s="208"/>
      <c r="AM216" s="208"/>
      <c r="AN216" s="208"/>
      <c r="AO216" s="208"/>
      <c r="AP216" s="208"/>
    </row>
    <row r="217" spans="1:42">
      <c r="A217" s="227" t="str">
        <f>'Inputs &amp; Results'!A57</f>
        <v>Utility</v>
      </c>
      <c r="C217" s="220">
        <f>IF(IBIUtilityPercentStateTax="Yes",C638,0)</f>
        <v>402271.5</v>
      </c>
      <c r="D217" s="208"/>
      <c r="E217" s="208"/>
      <c r="F217" s="208"/>
      <c r="G217" s="208"/>
      <c r="H217" s="208"/>
      <c r="I217" s="208"/>
      <c r="J217" s="208"/>
      <c r="K217" s="208"/>
      <c r="L217" s="208"/>
      <c r="M217" s="208"/>
      <c r="N217" s="208"/>
      <c r="O217" s="208"/>
      <c r="P217" s="208"/>
      <c r="Q217" s="208"/>
      <c r="R217" s="208"/>
      <c r="S217" s="208"/>
      <c r="T217" s="208"/>
      <c r="U217" s="208"/>
      <c r="V217" s="208"/>
      <c r="W217" s="208"/>
      <c r="X217" s="208"/>
      <c r="Y217" s="208"/>
      <c r="Z217" s="208"/>
      <c r="AA217" s="208"/>
      <c r="AB217" s="208"/>
      <c r="AC217" s="208"/>
      <c r="AD217" s="208"/>
      <c r="AE217" s="208"/>
      <c r="AF217" s="208"/>
      <c r="AG217" s="208"/>
      <c r="AH217" s="208"/>
      <c r="AI217" s="208"/>
      <c r="AJ217" s="208"/>
      <c r="AK217" s="208"/>
      <c r="AL217" s="208"/>
      <c r="AM217" s="208"/>
      <c r="AN217" s="208"/>
      <c r="AO217" s="208"/>
      <c r="AP217" s="208"/>
    </row>
    <row r="218" spans="1:42">
      <c r="A218" s="227" t="str">
        <f>'Inputs &amp; Results'!A58</f>
        <v>Other</v>
      </c>
      <c r="C218" s="225">
        <f>IF(IBIOtherPercentStateTax="Yes",C639,0)</f>
        <v>201135.75</v>
      </c>
      <c r="D218" s="208"/>
      <c r="E218" s="208"/>
      <c r="F218" s="208"/>
      <c r="G218" s="208"/>
      <c r="H218" s="208"/>
      <c r="I218" s="208"/>
      <c r="J218" s="208"/>
      <c r="K218" s="208"/>
      <c r="L218" s="208"/>
      <c r="M218" s="208"/>
      <c r="N218" s="208"/>
      <c r="O218" s="208"/>
      <c r="P218" s="208"/>
      <c r="Q218" s="208"/>
      <c r="R218" s="208"/>
      <c r="S218" s="208"/>
      <c r="T218" s="208"/>
      <c r="U218" s="208"/>
      <c r="V218" s="208"/>
      <c r="W218" s="208"/>
      <c r="X218" s="208"/>
      <c r="Y218" s="208"/>
      <c r="Z218" s="208"/>
      <c r="AA218" s="208"/>
      <c r="AB218" s="208"/>
      <c r="AC218" s="208"/>
      <c r="AD218" s="208"/>
      <c r="AE218" s="208"/>
      <c r="AF218" s="208"/>
      <c r="AG218" s="208"/>
      <c r="AH218" s="208"/>
      <c r="AI218" s="208"/>
      <c r="AJ218" s="208"/>
      <c r="AK218" s="208"/>
      <c r="AL218" s="208"/>
      <c r="AM218" s="208"/>
      <c r="AN218" s="208"/>
      <c r="AO218" s="208"/>
      <c r="AP218" s="208"/>
    </row>
    <row r="219" spans="1:42">
      <c r="A219" s="227" t="s">
        <v>53</v>
      </c>
      <c r="C219" s="208">
        <f>SUM(C215:C218)</f>
        <v>6637479.75</v>
      </c>
      <c r="D219" s="208"/>
      <c r="E219" s="208"/>
      <c r="F219" s="208"/>
      <c r="G219" s="208"/>
      <c r="H219" s="208"/>
      <c r="I219" s="208"/>
      <c r="J219" s="208"/>
      <c r="K219" s="208"/>
      <c r="L219" s="208"/>
      <c r="M219" s="208"/>
      <c r="N219" s="208"/>
      <c r="O219" s="208"/>
      <c r="P219" s="208"/>
      <c r="Q219" s="208"/>
      <c r="R219" s="208"/>
      <c r="S219" s="208"/>
      <c r="T219" s="208"/>
      <c r="U219" s="208"/>
      <c r="V219" s="208"/>
      <c r="W219" s="208"/>
      <c r="X219" s="208"/>
      <c r="Y219" s="208"/>
      <c r="Z219" s="208"/>
      <c r="AA219" s="208"/>
      <c r="AB219" s="208"/>
      <c r="AC219" s="208"/>
      <c r="AD219" s="208"/>
      <c r="AE219" s="208"/>
      <c r="AF219" s="208"/>
      <c r="AG219" s="208"/>
      <c r="AH219" s="208"/>
      <c r="AI219" s="208"/>
      <c r="AJ219" s="208"/>
      <c r="AK219" s="208"/>
      <c r="AL219" s="208"/>
      <c r="AM219" s="208"/>
      <c r="AN219" s="208"/>
      <c r="AO219" s="208"/>
      <c r="AP219" s="208"/>
    </row>
    <row r="220" spans="1:42">
      <c r="A220" s="219" t="str">
        <f>'Inputs &amp; Results'!A59</f>
        <v>Capacity Based Incentive (CBI) ($/DC-Watt)</v>
      </c>
      <c r="C220" s="208"/>
      <c r="D220" s="208"/>
      <c r="E220" s="208"/>
      <c r="F220" s="208"/>
      <c r="G220" s="208"/>
      <c r="H220" s="208"/>
      <c r="I220" s="208"/>
      <c r="J220" s="208"/>
      <c r="K220" s="208"/>
      <c r="L220" s="208"/>
      <c r="M220" s="208"/>
      <c r="N220" s="208"/>
      <c r="O220" s="208"/>
      <c r="P220" s="208"/>
      <c r="Q220" s="208"/>
      <c r="R220" s="208"/>
      <c r="S220" s="208"/>
      <c r="T220" s="208"/>
      <c r="U220" s="208"/>
      <c r="V220" s="208"/>
      <c r="W220" s="208"/>
      <c r="X220" s="208"/>
      <c r="Y220" s="208"/>
      <c r="Z220" s="208"/>
      <c r="AA220" s="208"/>
      <c r="AB220" s="208"/>
      <c r="AC220" s="208"/>
      <c r="AD220" s="208"/>
      <c r="AE220" s="208"/>
      <c r="AF220" s="208"/>
      <c r="AG220" s="208"/>
      <c r="AH220" s="208"/>
      <c r="AI220" s="208"/>
      <c r="AJ220" s="208"/>
      <c r="AK220" s="208"/>
      <c r="AL220" s="208"/>
      <c r="AM220" s="208"/>
      <c r="AN220" s="208"/>
      <c r="AO220" s="208"/>
      <c r="AP220" s="208"/>
    </row>
    <row r="221" spans="1:42">
      <c r="A221" s="226" t="str">
        <f>'Inputs &amp; Results'!A60</f>
        <v>Federal</v>
      </c>
      <c r="C221" s="146">
        <f>IF(CBIFedStateTax="Yes",C642,0)</f>
        <v>5000000</v>
      </c>
      <c r="D221" s="208"/>
      <c r="E221" s="208"/>
      <c r="F221" s="208"/>
      <c r="G221" s="208"/>
      <c r="H221" s="208"/>
      <c r="I221" s="208"/>
      <c r="J221" s="208"/>
      <c r="K221" s="208"/>
      <c r="L221" s="208"/>
      <c r="M221" s="208"/>
      <c r="N221" s="208"/>
      <c r="O221" s="208"/>
      <c r="P221" s="208"/>
      <c r="Q221" s="208"/>
      <c r="R221" s="208"/>
      <c r="S221" s="208"/>
      <c r="T221" s="208"/>
      <c r="U221" s="208"/>
      <c r="V221" s="208"/>
      <c r="W221" s="208"/>
      <c r="X221" s="208"/>
      <c r="Y221" s="208"/>
      <c r="Z221" s="208"/>
      <c r="AA221" s="208"/>
      <c r="AB221" s="208"/>
      <c r="AC221" s="208"/>
      <c r="AD221" s="208"/>
      <c r="AE221" s="208"/>
      <c r="AF221" s="208"/>
      <c r="AG221" s="208"/>
      <c r="AH221" s="208"/>
      <c r="AI221" s="208"/>
      <c r="AJ221" s="208"/>
      <c r="AK221" s="208"/>
      <c r="AL221" s="208"/>
      <c r="AM221" s="208"/>
      <c r="AN221" s="208"/>
      <c r="AO221" s="208"/>
      <c r="AP221" s="208"/>
    </row>
    <row r="222" spans="1:42">
      <c r="A222" s="226" t="str">
        <f>'Inputs &amp; Results'!A61</f>
        <v>State</v>
      </c>
      <c r="C222" s="146">
        <f>IF(CBIStateStateTax="Yes",C643,0)</f>
        <v>2000000</v>
      </c>
      <c r="D222" s="208"/>
      <c r="E222" s="208"/>
      <c r="F222" s="208"/>
      <c r="G222" s="208"/>
      <c r="H222" s="208"/>
      <c r="I222" s="208"/>
      <c r="J222" s="208"/>
      <c r="K222" s="208"/>
      <c r="L222" s="208"/>
      <c r="M222" s="208"/>
      <c r="N222" s="208"/>
      <c r="O222" s="208"/>
      <c r="P222" s="208"/>
      <c r="Q222" s="208"/>
      <c r="R222" s="208"/>
      <c r="S222" s="208"/>
      <c r="T222" s="208"/>
      <c r="U222" s="208"/>
      <c r="V222" s="208"/>
      <c r="W222" s="208"/>
      <c r="X222" s="208"/>
      <c r="Y222" s="208"/>
      <c r="Z222" s="208"/>
      <c r="AA222" s="208"/>
      <c r="AB222" s="208"/>
      <c r="AC222" s="208"/>
      <c r="AD222" s="208"/>
      <c r="AE222" s="208"/>
      <c r="AF222" s="208"/>
      <c r="AG222" s="208"/>
      <c r="AH222" s="208"/>
      <c r="AI222" s="208"/>
      <c r="AJ222" s="208"/>
      <c r="AK222" s="208"/>
      <c r="AL222" s="208"/>
      <c r="AM222" s="208"/>
      <c r="AN222" s="208"/>
      <c r="AO222" s="208"/>
      <c r="AP222" s="208"/>
    </row>
    <row r="223" spans="1:42">
      <c r="A223" s="226" t="str">
        <f>'Inputs &amp; Results'!A62</f>
        <v>Utility</v>
      </c>
      <c r="C223" s="146">
        <f>IF(CBIUtilityStateTax="Yes",C644,0)</f>
        <v>100000</v>
      </c>
      <c r="D223" s="208"/>
      <c r="E223" s="208"/>
      <c r="F223" s="208"/>
      <c r="G223" s="208"/>
      <c r="H223" s="208"/>
      <c r="I223" s="208"/>
      <c r="J223" s="208"/>
      <c r="K223" s="208"/>
      <c r="L223" s="208"/>
      <c r="M223" s="208"/>
      <c r="N223" s="208"/>
      <c r="O223" s="208"/>
      <c r="P223" s="208"/>
      <c r="Q223" s="208"/>
      <c r="R223" s="208"/>
      <c r="S223" s="208"/>
      <c r="T223" s="208"/>
      <c r="U223" s="208"/>
      <c r="V223" s="208"/>
      <c r="W223" s="208"/>
      <c r="X223" s="208"/>
      <c r="Y223" s="208"/>
      <c r="Z223" s="208"/>
      <c r="AA223" s="208"/>
      <c r="AB223" s="208"/>
      <c r="AC223" s="208"/>
      <c r="AD223" s="208"/>
      <c r="AE223" s="208"/>
      <c r="AF223" s="208"/>
      <c r="AG223" s="208"/>
      <c r="AH223" s="208"/>
      <c r="AI223" s="208"/>
      <c r="AJ223" s="208"/>
      <c r="AK223" s="208"/>
      <c r="AL223" s="208"/>
      <c r="AM223" s="208"/>
      <c r="AN223" s="208"/>
      <c r="AO223" s="208"/>
      <c r="AP223" s="208"/>
    </row>
    <row r="224" spans="1:42">
      <c r="A224" s="226" t="str">
        <f>'Inputs &amp; Results'!A63</f>
        <v>Other</v>
      </c>
      <c r="C224" s="225">
        <f>IF(CBIOtherStateTax="Yes",C645,0)</f>
        <v>50000</v>
      </c>
      <c r="D224" s="208"/>
      <c r="E224" s="208"/>
      <c r="F224" s="208"/>
      <c r="G224" s="208"/>
      <c r="H224" s="208"/>
      <c r="I224" s="208"/>
      <c r="J224" s="208"/>
      <c r="K224" s="208"/>
      <c r="L224" s="208"/>
      <c r="M224" s="208"/>
      <c r="N224" s="208"/>
      <c r="O224" s="208"/>
      <c r="P224" s="208"/>
      <c r="Q224" s="208"/>
      <c r="R224" s="208"/>
      <c r="S224" s="208"/>
      <c r="T224" s="208"/>
      <c r="U224" s="208"/>
      <c r="V224" s="208"/>
      <c r="W224" s="208"/>
      <c r="X224" s="208"/>
      <c r="Y224" s="208"/>
      <c r="Z224" s="208"/>
      <c r="AA224" s="208"/>
      <c r="AB224" s="208"/>
      <c r="AC224" s="208"/>
      <c r="AD224" s="208"/>
      <c r="AE224" s="208"/>
      <c r="AF224" s="208"/>
      <c r="AG224" s="208"/>
      <c r="AH224" s="208"/>
      <c r="AI224" s="208"/>
      <c r="AJ224" s="208"/>
      <c r="AK224" s="208"/>
      <c r="AL224" s="208"/>
      <c r="AM224" s="208"/>
      <c r="AN224" s="208"/>
      <c r="AO224" s="208"/>
      <c r="AP224" s="208"/>
    </row>
    <row r="225" spans="1:42">
      <c r="A225" s="226" t="s">
        <v>53</v>
      </c>
      <c r="C225" s="208">
        <f>SUM(C221:C224)</f>
        <v>7150000</v>
      </c>
      <c r="D225" s="208"/>
      <c r="E225" s="208"/>
      <c r="F225" s="208"/>
      <c r="G225" s="208"/>
      <c r="H225" s="208"/>
      <c r="I225" s="208"/>
      <c r="J225" s="208"/>
      <c r="K225" s="208"/>
      <c r="L225" s="208"/>
      <c r="M225" s="208"/>
      <c r="N225" s="208"/>
      <c r="O225" s="208"/>
      <c r="P225" s="208"/>
      <c r="Q225" s="208"/>
      <c r="R225" s="208"/>
      <c r="S225" s="208"/>
      <c r="T225" s="208"/>
      <c r="U225" s="208"/>
      <c r="V225" s="208"/>
      <c r="W225" s="208"/>
      <c r="X225" s="208"/>
      <c r="Y225" s="208"/>
      <c r="Z225" s="208"/>
      <c r="AA225" s="208"/>
      <c r="AB225" s="208"/>
      <c r="AC225" s="208"/>
      <c r="AD225" s="208"/>
      <c r="AE225" s="208"/>
      <c r="AF225" s="208"/>
      <c r="AG225" s="208"/>
      <c r="AH225" s="208"/>
      <c r="AI225" s="208"/>
      <c r="AJ225" s="208"/>
      <c r="AK225" s="208"/>
      <c r="AL225" s="208"/>
      <c r="AM225" s="208"/>
      <c r="AN225" s="208"/>
      <c r="AO225" s="208"/>
      <c r="AP225" s="208"/>
    </row>
    <row r="226" spans="1:42">
      <c r="A226" s="219" t="str">
        <f>'Inputs &amp; Results'!A64</f>
        <v>Production Based Incentive (PBI) ($/kWh)</v>
      </c>
      <c r="C226" s="208"/>
      <c r="D226" s="208"/>
      <c r="E226" s="208"/>
      <c r="F226" s="208"/>
      <c r="G226" s="208"/>
      <c r="H226" s="208"/>
      <c r="I226" s="208"/>
      <c r="J226" s="208"/>
      <c r="K226" s="208"/>
      <c r="L226" s="208"/>
      <c r="M226" s="208"/>
      <c r="N226" s="208"/>
      <c r="O226" s="208"/>
      <c r="P226" s="208"/>
      <c r="Q226" s="208"/>
      <c r="R226" s="208"/>
      <c r="S226" s="208"/>
      <c r="T226" s="208"/>
      <c r="U226" s="208"/>
      <c r="V226" s="208"/>
      <c r="W226" s="208"/>
      <c r="X226" s="208"/>
      <c r="Y226" s="208"/>
      <c r="Z226" s="208"/>
      <c r="AA226" s="208"/>
      <c r="AB226" s="208"/>
      <c r="AC226" s="208"/>
      <c r="AD226" s="208"/>
      <c r="AE226" s="208"/>
      <c r="AF226" s="208"/>
      <c r="AG226" s="208"/>
      <c r="AH226" s="208"/>
      <c r="AI226" s="208"/>
      <c r="AJ226" s="208"/>
      <c r="AK226" s="208"/>
      <c r="AL226" s="208"/>
      <c r="AM226" s="208"/>
      <c r="AN226" s="208"/>
      <c r="AO226" s="208"/>
      <c r="AP226" s="208"/>
    </row>
    <row r="227" spans="1:42">
      <c r="A227" s="226" t="str">
        <f>'Inputs &amp; Results'!A65</f>
        <v>Federal</v>
      </c>
      <c r="C227" s="146">
        <f t="shared" ref="C227:AP227" si="794">IF(AND(PBIFedStateTax="Yes",PBIFedDebtSwitch="No"),C652,0)</f>
        <v>0</v>
      </c>
      <c r="D227" s="146">
        <f t="shared" si="794"/>
        <v>0</v>
      </c>
      <c r="E227" s="146">
        <f t="shared" si="794"/>
        <v>0</v>
      </c>
      <c r="F227" s="146">
        <f t="shared" si="794"/>
        <v>0</v>
      </c>
      <c r="G227" s="146">
        <f t="shared" si="794"/>
        <v>0</v>
      </c>
      <c r="H227" s="146">
        <f t="shared" si="794"/>
        <v>0</v>
      </c>
      <c r="I227" s="146">
        <f t="shared" si="794"/>
        <v>0</v>
      </c>
      <c r="J227" s="146">
        <f t="shared" si="794"/>
        <v>0</v>
      </c>
      <c r="K227" s="146">
        <f t="shared" si="794"/>
        <v>0</v>
      </c>
      <c r="L227" s="146">
        <f t="shared" si="794"/>
        <v>0</v>
      </c>
      <c r="M227" s="146">
        <f t="shared" si="794"/>
        <v>0</v>
      </c>
      <c r="N227" s="146">
        <f t="shared" si="794"/>
        <v>0</v>
      </c>
      <c r="O227" s="146">
        <f t="shared" si="794"/>
        <v>0</v>
      </c>
      <c r="P227" s="146">
        <f t="shared" si="794"/>
        <v>0</v>
      </c>
      <c r="Q227" s="146">
        <f t="shared" si="794"/>
        <v>0</v>
      </c>
      <c r="R227" s="146">
        <f t="shared" si="794"/>
        <v>0</v>
      </c>
      <c r="S227" s="146">
        <f t="shared" si="794"/>
        <v>0</v>
      </c>
      <c r="T227" s="146">
        <f t="shared" si="794"/>
        <v>0</v>
      </c>
      <c r="U227" s="146">
        <f t="shared" si="794"/>
        <v>0</v>
      </c>
      <c r="V227" s="146">
        <f t="shared" si="794"/>
        <v>0</v>
      </c>
      <c r="W227" s="146">
        <f t="shared" si="794"/>
        <v>0</v>
      </c>
      <c r="X227" s="146">
        <f t="shared" si="794"/>
        <v>0</v>
      </c>
      <c r="Y227" s="146">
        <f t="shared" si="794"/>
        <v>0</v>
      </c>
      <c r="Z227" s="146">
        <f t="shared" si="794"/>
        <v>0</v>
      </c>
      <c r="AA227" s="146">
        <f t="shared" si="794"/>
        <v>0</v>
      </c>
      <c r="AB227" s="146">
        <f t="shared" si="794"/>
        <v>0</v>
      </c>
      <c r="AC227" s="146">
        <f t="shared" si="794"/>
        <v>0</v>
      </c>
      <c r="AD227" s="146">
        <f t="shared" si="794"/>
        <v>0</v>
      </c>
      <c r="AE227" s="146">
        <f t="shared" si="794"/>
        <v>0</v>
      </c>
      <c r="AF227" s="146">
        <f t="shared" si="794"/>
        <v>0</v>
      </c>
      <c r="AG227" s="146">
        <f t="shared" si="794"/>
        <v>0</v>
      </c>
      <c r="AH227" s="146">
        <f t="shared" si="794"/>
        <v>0</v>
      </c>
      <c r="AI227" s="146">
        <f t="shared" si="794"/>
        <v>0</v>
      </c>
      <c r="AJ227" s="146">
        <f t="shared" si="794"/>
        <v>0</v>
      </c>
      <c r="AK227" s="146">
        <f t="shared" si="794"/>
        <v>0</v>
      </c>
      <c r="AL227" s="146">
        <f t="shared" si="794"/>
        <v>0</v>
      </c>
      <c r="AM227" s="146">
        <f t="shared" si="794"/>
        <v>0</v>
      </c>
      <c r="AN227" s="146">
        <f t="shared" si="794"/>
        <v>0</v>
      </c>
      <c r="AO227" s="146">
        <f t="shared" si="794"/>
        <v>0</v>
      </c>
      <c r="AP227" s="146">
        <f t="shared" si="794"/>
        <v>0</v>
      </c>
    </row>
    <row r="228" spans="1:42">
      <c r="A228" s="226" t="str">
        <f>'Inputs &amp; Results'!A66</f>
        <v>State</v>
      </c>
      <c r="C228" s="146">
        <f t="shared" ref="C228:AP228" si="795">IF(AND(PBIStateStateTax="Yes",PBIStateDebtSwitch="No"),C656,0)</f>
        <v>0</v>
      </c>
      <c r="D228" s="146">
        <f t="shared" si="795"/>
        <v>0</v>
      </c>
      <c r="E228" s="146">
        <f t="shared" si="795"/>
        <v>0</v>
      </c>
      <c r="F228" s="146">
        <f t="shared" si="795"/>
        <v>0</v>
      </c>
      <c r="G228" s="146">
        <f t="shared" si="795"/>
        <v>0</v>
      </c>
      <c r="H228" s="146">
        <f t="shared" si="795"/>
        <v>0</v>
      </c>
      <c r="I228" s="146">
        <f t="shared" si="795"/>
        <v>0</v>
      </c>
      <c r="J228" s="146">
        <f t="shared" si="795"/>
        <v>0</v>
      </c>
      <c r="K228" s="146">
        <f t="shared" si="795"/>
        <v>0</v>
      </c>
      <c r="L228" s="146">
        <f t="shared" si="795"/>
        <v>0</v>
      </c>
      <c r="M228" s="146">
        <f t="shared" si="795"/>
        <v>0</v>
      </c>
      <c r="N228" s="146">
        <f t="shared" si="795"/>
        <v>0</v>
      </c>
      <c r="O228" s="146">
        <f t="shared" si="795"/>
        <v>0</v>
      </c>
      <c r="P228" s="146">
        <f t="shared" si="795"/>
        <v>0</v>
      </c>
      <c r="Q228" s="146">
        <f t="shared" si="795"/>
        <v>0</v>
      </c>
      <c r="R228" s="146">
        <f t="shared" si="795"/>
        <v>0</v>
      </c>
      <c r="S228" s="146">
        <f t="shared" si="795"/>
        <v>0</v>
      </c>
      <c r="T228" s="146">
        <f t="shared" si="795"/>
        <v>0</v>
      </c>
      <c r="U228" s="146">
        <f t="shared" si="795"/>
        <v>0</v>
      </c>
      <c r="V228" s="146">
        <f t="shared" si="795"/>
        <v>0</v>
      </c>
      <c r="W228" s="146">
        <f t="shared" si="795"/>
        <v>0</v>
      </c>
      <c r="X228" s="146">
        <f t="shared" si="795"/>
        <v>0</v>
      </c>
      <c r="Y228" s="146">
        <f t="shared" si="795"/>
        <v>0</v>
      </c>
      <c r="Z228" s="146">
        <f t="shared" si="795"/>
        <v>0</v>
      </c>
      <c r="AA228" s="146">
        <f t="shared" si="795"/>
        <v>0</v>
      </c>
      <c r="AB228" s="146">
        <f t="shared" si="795"/>
        <v>0</v>
      </c>
      <c r="AC228" s="146">
        <f t="shared" si="795"/>
        <v>0</v>
      </c>
      <c r="AD228" s="146">
        <f t="shared" si="795"/>
        <v>0</v>
      </c>
      <c r="AE228" s="146">
        <f t="shared" si="795"/>
        <v>0</v>
      </c>
      <c r="AF228" s="146">
        <f t="shared" si="795"/>
        <v>0</v>
      </c>
      <c r="AG228" s="146">
        <f t="shared" si="795"/>
        <v>0</v>
      </c>
      <c r="AH228" s="146">
        <f t="shared" si="795"/>
        <v>0</v>
      </c>
      <c r="AI228" s="146">
        <f t="shared" si="795"/>
        <v>0</v>
      </c>
      <c r="AJ228" s="146">
        <f t="shared" si="795"/>
        <v>0</v>
      </c>
      <c r="AK228" s="146">
        <f t="shared" si="795"/>
        <v>0</v>
      </c>
      <c r="AL228" s="146">
        <f t="shared" si="795"/>
        <v>0</v>
      </c>
      <c r="AM228" s="146">
        <f t="shared" si="795"/>
        <v>0</v>
      </c>
      <c r="AN228" s="146">
        <f t="shared" si="795"/>
        <v>0</v>
      </c>
      <c r="AO228" s="146">
        <f t="shared" si="795"/>
        <v>0</v>
      </c>
      <c r="AP228" s="146">
        <f t="shared" si="795"/>
        <v>0</v>
      </c>
    </row>
    <row r="229" spans="1:42">
      <c r="A229" s="226" t="str">
        <f>'Inputs &amp; Results'!A67</f>
        <v>Utility</v>
      </c>
      <c r="C229" s="146">
        <f t="shared" ref="C229:AP229" si="796">IF(AND(PBIUtilityStateTax="Yes",PBIUtilityDebtSwitch="No"),C660,0)</f>
        <v>0</v>
      </c>
      <c r="D229" s="146">
        <f t="shared" si="796"/>
        <v>0</v>
      </c>
      <c r="E229" s="146">
        <f t="shared" si="796"/>
        <v>0</v>
      </c>
      <c r="F229" s="146">
        <f t="shared" si="796"/>
        <v>0</v>
      </c>
      <c r="G229" s="146">
        <f t="shared" si="796"/>
        <v>0</v>
      </c>
      <c r="H229" s="146">
        <f t="shared" si="796"/>
        <v>0</v>
      </c>
      <c r="I229" s="146">
        <f t="shared" si="796"/>
        <v>0</v>
      </c>
      <c r="J229" s="146">
        <f t="shared" si="796"/>
        <v>0</v>
      </c>
      <c r="K229" s="146">
        <f t="shared" si="796"/>
        <v>0</v>
      </c>
      <c r="L229" s="146">
        <f t="shared" si="796"/>
        <v>0</v>
      </c>
      <c r="M229" s="146">
        <f t="shared" si="796"/>
        <v>0</v>
      </c>
      <c r="N229" s="146">
        <f t="shared" si="796"/>
        <v>0</v>
      </c>
      <c r="O229" s="146">
        <f t="shared" si="796"/>
        <v>0</v>
      </c>
      <c r="P229" s="146">
        <f t="shared" si="796"/>
        <v>0</v>
      </c>
      <c r="Q229" s="146">
        <f t="shared" si="796"/>
        <v>0</v>
      </c>
      <c r="R229" s="146">
        <f t="shared" si="796"/>
        <v>0</v>
      </c>
      <c r="S229" s="146">
        <f t="shared" si="796"/>
        <v>0</v>
      </c>
      <c r="T229" s="146">
        <f t="shared" si="796"/>
        <v>0</v>
      </c>
      <c r="U229" s="146">
        <f t="shared" si="796"/>
        <v>0</v>
      </c>
      <c r="V229" s="146">
        <f t="shared" si="796"/>
        <v>0</v>
      </c>
      <c r="W229" s="146">
        <f t="shared" si="796"/>
        <v>0</v>
      </c>
      <c r="X229" s="146">
        <f t="shared" si="796"/>
        <v>0</v>
      </c>
      <c r="Y229" s="146">
        <f t="shared" si="796"/>
        <v>0</v>
      </c>
      <c r="Z229" s="146">
        <f t="shared" si="796"/>
        <v>0</v>
      </c>
      <c r="AA229" s="146">
        <f t="shared" si="796"/>
        <v>0</v>
      </c>
      <c r="AB229" s="146">
        <f t="shared" si="796"/>
        <v>0</v>
      </c>
      <c r="AC229" s="146">
        <f t="shared" si="796"/>
        <v>0</v>
      </c>
      <c r="AD229" s="146">
        <f t="shared" si="796"/>
        <v>0</v>
      </c>
      <c r="AE229" s="146">
        <f t="shared" si="796"/>
        <v>0</v>
      </c>
      <c r="AF229" s="146">
        <f t="shared" si="796"/>
        <v>0</v>
      </c>
      <c r="AG229" s="146">
        <f t="shared" si="796"/>
        <v>0</v>
      </c>
      <c r="AH229" s="146">
        <f t="shared" si="796"/>
        <v>0</v>
      </c>
      <c r="AI229" s="146">
        <f t="shared" si="796"/>
        <v>0</v>
      </c>
      <c r="AJ229" s="146">
        <f t="shared" si="796"/>
        <v>0</v>
      </c>
      <c r="AK229" s="146">
        <f t="shared" si="796"/>
        <v>0</v>
      </c>
      <c r="AL229" s="146">
        <f t="shared" si="796"/>
        <v>0</v>
      </c>
      <c r="AM229" s="146">
        <f t="shared" si="796"/>
        <v>0</v>
      </c>
      <c r="AN229" s="146">
        <f t="shared" si="796"/>
        <v>0</v>
      </c>
      <c r="AO229" s="146">
        <f t="shared" si="796"/>
        <v>0</v>
      </c>
      <c r="AP229" s="146">
        <f t="shared" si="796"/>
        <v>0</v>
      </c>
    </row>
    <row r="230" spans="1:42">
      <c r="A230" s="226" t="str">
        <f>'Inputs &amp; Results'!A68</f>
        <v>Other</v>
      </c>
      <c r="C230" s="225">
        <f t="shared" ref="C230:AP230" si="797">IF(AND(PBIOtherStateTax="Yes",PBIOtherDebtSwitch="No"),C664,0)</f>
        <v>0</v>
      </c>
      <c r="D230" s="225">
        <f t="shared" si="797"/>
        <v>0</v>
      </c>
      <c r="E230" s="225">
        <f t="shared" si="797"/>
        <v>0</v>
      </c>
      <c r="F230" s="225">
        <f t="shared" si="797"/>
        <v>0</v>
      </c>
      <c r="G230" s="225">
        <f t="shared" si="797"/>
        <v>0</v>
      </c>
      <c r="H230" s="225">
        <f t="shared" si="797"/>
        <v>0</v>
      </c>
      <c r="I230" s="225">
        <f t="shared" si="797"/>
        <v>0</v>
      </c>
      <c r="J230" s="225">
        <f t="shared" si="797"/>
        <v>0</v>
      </c>
      <c r="K230" s="225">
        <f t="shared" si="797"/>
        <v>0</v>
      </c>
      <c r="L230" s="225">
        <f t="shared" si="797"/>
        <v>0</v>
      </c>
      <c r="M230" s="225">
        <f t="shared" si="797"/>
        <v>0</v>
      </c>
      <c r="N230" s="225">
        <f t="shared" si="797"/>
        <v>0</v>
      </c>
      <c r="O230" s="225">
        <f t="shared" si="797"/>
        <v>0</v>
      </c>
      <c r="P230" s="225">
        <f t="shared" si="797"/>
        <v>0</v>
      </c>
      <c r="Q230" s="225">
        <f t="shared" si="797"/>
        <v>0</v>
      </c>
      <c r="R230" s="225">
        <f t="shared" si="797"/>
        <v>0</v>
      </c>
      <c r="S230" s="225">
        <f t="shared" si="797"/>
        <v>0</v>
      </c>
      <c r="T230" s="225">
        <f t="shared" si="797"/>
        <v>0</v>
      </c>
      <c r="U230" s="225">
        <f t="shared" si="797"/>
        <v>0</v>
      </c>
      <c r="V230" s="225">
        <f t="shared" si="797"/>
        <v>0</v>
      </c>
      <c r="W230" s="225">
        <f t="shared" si="797"/>
        <v>0</v>
      </c>
      <c r="X230" s="225">
        <f t="shared" si="797"/>
        <v>0</v>
      </c>
      <c r="Y230" s="225">
        <f t="shared" si="797"/>
        <v>0</v>
      </c>
      <c r="Z230" s="225">
        <f t="shared" si="797"/>
        <v>0</v>
      </c>
      <c r="AA230" s="225">
        <f t="shared" si="797"/>
        <v>0</v>
      </c>
      <c r="AB230" s="225">
        <f t="shared" si="797"/>
        <v>0</v>
      </c>
      <c r="AC230" s="225">
        <f t="shared" si="797"/>
        <v>0</v>
      </c>
      <c r="AD230" s="225">
        <f t="shared" si="797"/>
        <v>0</v>
      </c>
      <c r="AE230" s="225">
        <f t="shared" si="797"/>
        <v>0</v>
      </c>
      <c r="AF230" s="225">
        <f t="shared" si="797"/>
        <v>0</v>
      </c>
      <c r="AG230" s="225">
        <f t="shared" si="797"/>
        <v>0</v>
      </c>
      <c r="AH230" s="225">
        <f t="shared" si="797"/>
        <v>0</v>
      </c>
      <c r="AI230" s="225">
        <f t="shared" si="797"/>
        <v>0</v>
      </c>
      <c r="AJ230" s="225">
        <f t="shared" si="797"/>
        <v>0</v>
      </c>
      <c r="AK230" s="225">
        <f t="shared" si="797"/>
        <v>0</v>
      </c>
      <c r="AL230" s="225">
        <f t="shared" si="797"/>
        <v>0</v>
      </c>
      <c r="AM230" s="225">
        <f t="shared" si="797"/>
        <v>0</v>
      </c>
      <c r="AN230" s="225">
        <f t="shared" si="797"/>
        <v>0</v>
      </c>
      <c r="AO230" s="225">
        <f t="shared" si="797"/>
        <v>0</v>
      </c>
      <c r="AP230" s="225">
        <f t="shared" si="797"/>
        <v>0</v>
      </c>
    </row>
    <row r="231" spans="1:42">
      <c r="A231" s="226" t="s">
        <v>53</v>
      </c>
      <c r="B231" s="164"/>
      <c r="C231" s="216">
        <f>SUM(C227:C230)</f>
        <v>0</v>
      </c>
      <c r="D231" s="216">
        <f t="shared" ref="D231:AL231" si="798">SUM(D227:D230)</f>
        <v>0</v>
      </c>
      <c r="E231" s="216">
        <f t="shared" si="798"/>
        <v>0</v>
      </c>
      <c r="F231" s="216">
        <f t="shared" si="798"/>
        <v>0</v>
      </c>
      <c r="G231" s="216">
        <f t="shared" si="798"/>
        <v>0</v>
      </c>
      <c r="H231" s="216">
        <f t="shared" si="798"/>
        <v>0</v>
      </c>
      <c r="I231" s="216">
        <f t="shared" si="798"/>
        <v>0</v>
      </c>
      <c r="J231" s="216">
        <f t="shared" si="798"/>
        <v>0</v>
      </c>
      <c r="K231" s="216">
        <f t="shared" si="798"/>
        <v>0</v>
      </c>
      <c r="L231" s="216">
        <f t="shared" si="798"/>
        <v>0</v>
      </c>
      <c r="M231" s="216">
        <f t="shared" si="798"/>
        <v>0</v>
      </c>
      <c r="N231" s="216">
        <f t="shared" si="798"/>
        <v>0</v>
      </c>
      <c r="O231" s="216">
        <f t="shared" si="798"/>
        <v>0</v>
      </c>
      <c r="P231" s="216">
        <f t="shared" si="798"/>
        <v>0</v>
      </c>
      <c r="Q231" s="216">
        <f t="shared" si="798"/>
        <v>0</v>
      </c>
      <c r="R231" s="216">
        <f t="shared" si="798"/>
        <v>0</v>
      </c>
      <c r="S231" s="216">
        <f t="shared" si="798"/>
        <v>0</v>
      </c>
      <c r="T231" s="216">
        <f t="shared" si="798"/>
        <v>0</v>
      </c>
      <c r="U231" s="216">
        <f t="shared" si="798"/>
        <v>0</v>
      </c>
      <c r="V231" s="216">
        <f t="shared" si="798"/>
        <v>0</v>
      </c>
      <c r="W231" s="216">
        <f t="shared" si="798"/>
        <v>0</v>
      </c>
      <c r="X231" s="216">
        <f t="shared" si="798"/>
        <v>0</v>
      </c>
      <c r="Y231" s="216">
        <f t="shared" si="798"/>
        <v>0</v>
      </c>
      <c r="Z231" s="216">
        <f t="shared" si="798"/>
        <v>0</v>
      </c>
      <c r="AA231" s="216">
        <f t="shared" si="798"/>
        <v>0</v>
      </c>
      <c r="AB231" s="216">
        <f t="shared" si="798"/>
        <v>0</v>
      </c>
      <c r="AC231" s="216">
        <f t="shared" si="798"/>
        <v>0</v>
      </c>
      <c r="AD231" s="216">
        <f t="shared" si="798"/>
        <v>0</v>
      </c>
      <c r="AE231" s="216">
        <f t="shared" si="798"/>
        <v>0</v>
      </c>
      <c r="AF231" s="216">
        <f t="shared" si="798"/>
        <v>0</v>
      </c>
      <c r="AG231" s="216">
        <f t="shared" si="798"/>
        <v>0</v>
      </c>
      <c r="AH231" s="216">
        <f t="shared" si="798"/>
        <v>0</v>
      </c>
      <c r="AI231" s="216">
        <f t="shared" si="798"/>
        <v>0</v>
      </c>
      <c r="AJ231" s="216">
        <f t="shared" si="798"/>
        <v>0</v>
      </c>
      <c r="AK231" s="216">
        <f t="shared" si="798"/>
        <v>0</v>
      </c>
      <c r="AL231" s="216">
        <f t="shared" si="798"/>
        <v>0</v>
      </c>
      <c r="AM231" s="216">
        <f>SUM(AM227:AM230)</f>
        <v>0</v>
      </c>
      <c r="AN231" s="216">
        <f t="shared" ref="AN231:AP231" si="799">SUM(AN227:AN230)</f>
        <v>0</v>
      </c>
      <c r="AO231" s="216">
        <f t="shared" si="799"/>
        <v>0</v>
      </c>
      <c r="AP231" s="216">
        <f t="shared" si="799"/>
        <v>0</v>
      </c>
    </row>
    <row r="232" spans="1:42">
      <c r="A232" s="219" t="s">
        <v>132</v>
      </c>
      <c r="C232" s="208">
        <f>C213+C219+C225+C231</f>
        <v>13791229.75</v>
      </c>
      <c r="D232" s="208">
        <f t="shared" ref="D232" si="800">D213+D219+D225+D231</f>
        <v>0</v>
      </c>
      <c r="E232" s="208">
        <f t="shared" ref="E232" si="801">E213+E219+E225+E231</f>
        <v>0</v>
      </c>
      <c r="F232" s="208">
        <f t="shared" ref="F232" si="802">F213+F219+F225+F231</f>
        <v>0</v>
      </c>
      <c r="G232" s="208">
        <f t="shared" ref="G232" si="803">G213+G219+G225+G231</f>
        <v>0</v>
      </c>
      <c r="H232" s="208">
        <f t="shared" ref="H232" si="804">H213+H219+H225+H231</f>
        <v>0</v>
      </c>
      <c r="I232" s="208">
        <f t="shared" ref="I232" si="805">I213+I219+I225+I231</f>
        <v>0</v>
      </c>
      <c r="J232" s="208">
        <f t="shared" ref="J232" si="806">J213+J219+J225+J231</f>
        <v>0</v>
      </c>
      <c r="K232" s="208">
        <f t="shared" ref="K232" si="807">K213+K219+K225+K231</f>
        <v>0</v>
      </c>
      <c r="L232" s="208">
        <f t="shared" ref="L232" si="808">L213+L219+L225+L231</f>
        <v>0</v>
      </c>
      <c r="M232" s="208">
        <f t="shared" ref="M232" si="809">M213+M219+M225+M231</f>
        <v>0</v>
      </c>
      <c r="N232" s="208">
        <f t="shared" ref="N232" si="810">N213+N219+N225+N231</f>
        <v>0</v>
      </c>
      <c r="O232" s="208">
        <f t="shared" ref="O232" si="811">O213+O219+O225+O231</f>
        <v>0</v>
      </c>
      <c r="P232" s="208">
        <f t="shared" ref="P232" si="812">P213+P219+P225+P231</f>
        <v>0</v>
      </c>
      <c r="Q232" s="208">
        <f t="shared" ref="Q232" si="813">Q213+Q219+Q225+Q231</f>
        <v>0</v>
      </c>
      <c r="R232" s="208">
        <f t="shared" ref="R232" si="814">R213+R219+R225+R231</f>
        <v>0</v>
      </c>
      <c r="S232" s="208">
        <f t="shared" ref="S232" si="815">S213+S219+S225+S231</f>
        <v>0</v>
      </c>
      <c r="T232" s="208">
        <f t="shared" ref="T232" si="816">T213+T219+T225+T231</f>
        <v>0</v>
      </c>
      <c r="U232" s="208">
        <f t="shared" ref="U232" si="817">U213+U219+U225+U231</f>
        <v>0</v>
      </c>
      <c r="V232" s="208">
        <f t="shared" ref="V232" si="818">V213+V219+V225+V231</f>
        <v>0</v>
      </c>
      <c r="W232" s="208">
        <f t="shared" ref="W232" si="819">W213+W219+W225+W231</f>
        <v>0</v>
      </c>
      <c r="X232" s="208">
        <f t="shared" ref="X232" si="820">X213+X219+X225+X231</f>
        <v>0</v>
      </c>
      <c r="Y232" s="208">
        <f t="shared" ref="Y232" si="821">Y213+Y219+Y225+Y231</f>
        <v>0</v>
      </c>
      <c r="Z232" s="208">
        <f t="shared" ref="Z232" si="822">Z213+Z219+Z225+Z231</f>
        <v>0</v>
      </c>
      <c r="AA232" s="208">
        <f t="shared" ref="AA232" si="823">AA213+AA219+AA225+AA231</f>
        <v>0</v>
      </c>
      <c r="AB232" s="208">
        <f t="shared" ref="AB232" si="824">AB213+AB219+AB225+AB231</f>
        <v>0</v>
      </c>
      <c r="AC232" s="208">
        <f t="shared" ref="AC232" si="825">AC213+AC219+AC225+AC231</f>
        <v>0</v>
      </c>
      <c r="AD232" s="208">
        <f t="shared" ref="AD232" si="826">AD213+AD219+AD225+AD231</f>
        <v>0</v>
      </c>
      <c r="AE232" s="208">
        <f t="shared" ref="AE232" si="827">AE213+AE219+AE225+AE231</f>
        <v>0</v>
      </c>
      <c r="AF232" s="208">
        <f t="shared" ref="AF232" si="828">AF213+AF219+AF225+AF231</f>
        <v>0</v>
      </c>
      <c r="AG232" s="208">
        <f t="shared" ref="AG232" si="829">AG213+AG219+AG225+AG231</f>
        <v>0</v>
      </c>
      <c r="AH232" s="208">
        <f t="shared" ref="AH232" si="830">AH213+AH219+AH225+AH231</f>
        <v>0</v>
      </c>
      <c r="AI232" s="208">
        <f t="shared" ref="AI232" si="831">AI213+AI219+AI225+AI231</f>
        <v>0</v>
      </c>
      <c r="AJ232" s="208">
        <f t="shared" ref="AJ232" si="832">AJ213+AJ219+AJ225+AJ231</f>
        <v>0</v>
      </c>
      <c r="AK232" s="208">
        <f t="shared" ref="AK232" si="833">AK213+AK219+AK225+AK231</f>
        <v>0</v>
      </c>
      <c r="AL232" s="208">
        <f t="shared" ref="AL232" si="834">AL213+AL219+AL225+AL231</f>
        <v>0</v>
      </c>
      <c r="AM232" s="208">
        <f t="shared" ref="AM232" si="835">AM213+AM219+AM225+AM231</f>
        <v>0</v>
      </c>
      <c r="AN232" s="208">
        <f t="shared" ref="AN232" si="836">AN213+AN219+AN225+AN231</f>
        <v>0</v>
      </c>
      <c r="AO232" s="208">
        <f t="shared" ref="AO232" si="837">AO213+AO219+AO225+AO231</f>
        <v>0</v>
      </c>
      <c r="AP232" s="208">
        <f t="shared" ref="AP232" si="838">AP213+AP219+AP225+AP231</f>
        <v>0</v>
      </c>
    </row>
    <row r="233" spans="1:42">
      <c r="A233" s="226"/>
      <c r="C233" s="208"/>
      <c r="D233" s="208"/>
      <c r="E233" s="208"/>
      <c r="F233" s="208"/>
      <c r="G233" s="208"/>
      <c r="H233" s="208"/>
      <c r="I233" s="208"/>
      <c r="J233" s="208"/>
      <c r="K233" s="208"/>
      <c r="L233" s="208"/>
      <c r="M233" s="208"/>
      <c r="N233" s="208"/>
      <c r="O233" s="208"/>
      <c r="P233" s="208"/>
      <c r="Q233" s="208"/>
      <c r="R233" s="208"/>
      <c r="S233" s="208"/>
      <c r="T233" s="208"/>
      <c r="U233" s="208"/>
      <c r="V233" s="208"/>
      <c r="W233" s="208"/>
      <c r="X233" s="208"/>
      <c r="Y233" s="208"/>
      <c r="Z233" s="208"/>
      <c r="AA233" s="208"/>
      <c r="AB233" s="208"/>
      <c r="AC233" s="208"/>
      <c r="AD233" s="208"/>
      <c r="AE233" s="208"/>
      <c r="AF233" s="208"/>
      <c r="AG233" s="208"/>
      <c r="AH233" s="208"/>
      <c r="AI233" s="208"/>
      <c r="AJ233" s="208"/>
      <c r="AK233" s="208"/>
      <c r="AL233" s="208"/>
      <c r="AM233" s="208"/>
      <c r="AN233" s="208"/>
      <c r="AO233" s="208"/>
      <c r="AP233" s="208"/>
    </row>
    <row r="234" spans="1:42">
      <c r="A234" s="219" t="s">
        <v>133</v>
      </c>
      <c r="C234" s="208">
        <f>C206+C232</f>
        <v>7548711.3065293524</v>
      </c>
      <c r="D234" s="208">
        <f t="shared" ref="D234:AP234" si="839">D206+D232</f>
        <v>-8680833.1341283619</v>
      </c>
      <c r="E234" s="208">
        <f t="shared" si="839"/>
        <v>-3661003.7621161705</v>
      </c>
      <c r="F234" s="208">
        <f t="shared" si="839"/>
        <v>-544571.39405742753</v>
      </c>
      <c r="G234" s="208">
        <f t="shared" si="839"/>
        <v>-271840.88644902967</v>
      </c>
      <c r="H234" s="208">
        <f t="shared" si="839"/>
        <v>2158598.6890873979</v>
      </c>
      <c r="I234" s="208">
        <f t="shared" si="839"/>
        <v>4605974.7207820946</v>
      </c>
      <c r="J234" s="208">
        <f t="shared" si="839"/>
        <v>4942090.6234963294</v>
      </c>
      <c r="K234" s="208">
        <f t="shared" si="839"/>
        <v>5274026.1959401993</v>
      </c>
      <c r="L234" s="208">
        <f t="shared" si="839"/>
        <v>5625422.628772052</v>
      </c>
      <c r="M234" s="208">
        <f t="shared" si="839"/>
        <v>6009280.5619223574</v>
      </c>
      <c r="N234" s="208">
        <f t="shared" si="839"/>
        <v>5529708.9901052415</v>
      </c>
      <c r="O234" s="208">
        <f t="shared" si="839"/>
        <v>5227611.7518892391</v>
      </c>
      <c r="P234" s="208">
        <f t="shared" si="839"/>
        <v>5747746.2435412779</v>
      </c>
      <c r="Q234" s="208">
        <f t="shared" si="839"/>
        <v>4855632.7807914931</v>
      </c>
      <c r="R234" s="208">
        <f t="shared" si="839"/>
        <v>4180339.0591746862</v>
      </c>
      <c r="S234" s="208">
        <f t="shared" si="839"/>
        <v>5352334.4756879052</v>
      </c>
      <c r="T234" s="208">
        <f t="shared" si="839"/>
        <v>6114215.1276996508</v>
      </c>
      <c r="U234" s="208">
        <f t="shared" si="839"/>
        <v>6226711.4912905348</v>
      </c>
      <c r="V234" s="208">
        <f t="shared" si="839"/>
        <v>6736729.0032041017</v>
      </c>
      <c r="W234" s="208">
        <f t="shared" si="839"/>
        <v>7248049.532286549</v>
      </c>
      <c r="X234" s="208">
        <f t="shared" si="839"/>
        <v>7383214.6045459332</v>
      </c>
      <c r="Y234" s="208">
        <f t="shared" si="839"/>
        <v>7529739.4189652251</v>
      </c>
      <c r="Z234" s="208">
        <f t="shared" si="839"/>
        <v>6938544.3559648925</v>
      </c>
      <c r="AA234" s="208">
        <f t="shared" si="839"/>
        <v>6560001.2795944996</v>
      </c>
      <c r="AB234" s="208">
        <f t="shared" si="839"/>
        <v>7157896.8873602217</v>
      </c>
      <c r="AC234" s="208">
        <f t="shared" si="839"/>
        <v>7540452.3459337801</v>
      </c>
      <c r="AD234" s="208">
        <f t="shared" si="839"/>
        <v>7644849.0832159556</v>
      </c>
      <c r="AE234" s="208">
        <f t="shared" si="839"/>
        <v>8000946.109539777</v>
      </c>
      <c r="AF234" s="208">
        <f t="shared" si="839"/>
        <v>10803102.654839028</v>
      </c>
      <c r="AG234" s="208">
        <f t="shared" si="839"/>
        <v>0</v>
      </c>
      <c r="AH234" s="208">
        <f t="shared" si="839"/>
        <v>0</v>
      </c>
      <c r="AI234" s="208">
        <f t="shared" si="839"/>
        <v>0</v>
      </c>
      <c r="AJ234" s="208">
        <f t="shared" si="839"/>
        <v>0</v>
      </c>
      <c r="AK234" s="208">
        <f t="shared" si="839"/>
        <v>0</v>
      </c>
      <c r="AL234" s="208">
        <f t="shared" si="839"/>
        <v>0</v>
      </c>
      <c r="AM234" s="208">
        <f t="shared" si="839"/>
        <v>0</v>
      </c>
      <c r="AN234" s="208">
        <f t="shared" si="839"/>
        <v>0</v>
      </c>
      <c r="AO234" s="208">
        <f t="shared" si="839"/>
        <v>0</v>
      </c>
      <c r="AP234" s="208">
        <f t="shared" si="839"/>
        <v>0</v>
      </c>
    </row>
    <row r="235" spans="1:42">
      <c r="A235" s="219" t="s">
        <v>131</v>
      </c>
      <c r="C235" s="216">
        <f t="shared" ref="C235:AP235" si="840">C234*-StateTax</f>
        <v>-415179.12185911438</v>
      </c>
      <c r="D235" s="216">
        <f t="shared" si="840"/>
        <v>477445.8223770599</v>
      </c>
      <c r="E235" s="216">
        <f t="shared" si="840"/>
        <v>201355.20691638938</v>
      </c>
      <c r="F235" s="216">
        <f t="shared" si="840"/>
        <v>29951.426673158516</v>
      </c>
      <c r="G235" s="216">
        <f t="shared" si="840"/>
        <v>14951.248754696631</v>
      </c>
      <c r="H235" s="216">
        <f t="shared" si="840"/>
        <v>-118722.92789980689</v>
      </c>
      <c r="I235" s="216">
        <f t="shared" si="840"/>
        <v>-253328.6096430152</v>
      </c>
      <c r="J235" s="216">
        <f t="shared" si="840"/>
        <v>-271814.98429229815</v>
      </c>
      <c r="K235" s="216">
        <f t="shared" si="840"/>
        <v>-290071.44077671098</v>
      </c>
      <c r="L235" s="216">
        <f t="shared" si="840"/>
        <v>-309398.24458246288</v>
      </c>
      <c r="M235" s="216">
        <f t="shared" si="840"/>
        <v>-330510.43090572965</v>
      </c>
      <c r="N235" s="216">
        <f t="shared" si="840"/>
        <v>-304133.99445578828</v>
      </c>
      <c r="O235" s="216">
        <f t="shared" si="840"/>
        <v>-287518.64635390817</v>
      </c>
      <c r="P235" s="216">
        <f t="shared" si="840"/>
        <v>-316126.0433947703</v>
      </c>
      <c r="Q235" s="216">
        <f t="shared" si="840"/>
        <v>-267059.80294353212</v>
      </c>
      <c r="R235" s="216">
        <f t="shared" si="840"/>
        <v>-229918.64825460775</v>
      </c>
      <c r="S235" s="216">
        <f t="shared" si="840"/>
        <v>-294378.39616283478</v>
      </c>
      <c r="T235" s="216">
        <f t="shared" si="840"/>
        <v>-336281.83202348079</v>
      </c>
      <c r="U235" s="216">
        <f t="shared" si="840"/>
        <v>-342469.13202097942</v>
      </c>
      <c r="V235" s="216">
        <f t="shared" si="840"/>
        <v>-370520.09517622559</v>
      </c>
      <c r="W235" s="216">
        <f t="shared" si="840"/>
        <v>-398642.72427576018</v>
      </c>
      <c r="X235" s="216">
        <f t="shared" si="840"/>
        <v>-406076.80325002631</v>
      </c>
      <c r="Y235" s="216">
        <f t="shared" si="840"/>
        <v>-414135.66804308741</v>
      </c>
      <c r="Z235" s="216">
        <f t="shared" si="840"/>
        <v>-381619.93957806908</v>
      </c>
      <c r="AA235" s="216">
        <f t="shared" si="840"/>
        <v>-360800.07037769747</v>
      </c>
      <c r="AB235" s="216">
        <f t="shared" si="840"/>
        <v>-393684.32880481222</v>
      </c>
      <c r="AC235" s="216">
        <f t="shared" si="840"/>
        <v>-414724.8790263579</v>
      </c>
      <c r="AD235" s="216">
        <f t="shared" si="840"/>
        <v>-420466.69957687758</v>
      </c>
      <c r="AE235" s="216">
        <f t="shared" si="840"/>
        <v>-440052.03602468775</v>
      </c>
      <c r="AF235" s="216">
        <f t="shared" si="840"/>
        <v>-594170.64601614652</v>
      </c>
      <c r="AG235" s="216">
        <f t="shared" si="840"/>
        <v>0</v>
      </c>
      <c r="AH235" s="216">
        <f t="shared" si="840"/>
        <v>0</v>
      </c>
      <c r="AI235" s="216">
        <f t="shared" si="840"/>
        <v>0</v>
      </c>
      <c r="AJ235" s="216">
        <f t="shared" si="840"/>
        <v>0</v>
      </c>
      <c r="AK235" s="216">
        <f t="shared" si="840"/>
        <v>0</v>
      </c>
      <c r="AL235" s="216">
        <f t="shared" si="840"/>
        <v>0</v>
      </c>
      <c r="AM235" s="216">
        <f t="shared" si="840"/>
        <v>0</v>
      </c>
      <c r="AN235" s="216">
        <f t="shared" si="840"/>
        <v>0</v>
      </c>
      <c r="AO235" s="216">
        <f t="shared" si="840"/>
        <v>0</v>
      </c>
      <c r="AP235" s="216">
        <f t="shared" si="840"/>
        <v>0</v>
      </c>
    </row>
    <row r="236" spans="1:42" s="119" customFormat="1">
      <c r="A236" s="42"/>
    </row>
    <row r="237" spans="1:42" s="119" customFormat="1">
      <c r="A237" s="217" t="s">
        <v>120</v>
      </c>
    </row>
    <row r="238" spans="1:42" s="119" customFormat="1">
      <c r="A238" s="42" t="s">
        <v>117</v>
      </c>
      <c r="C238" s="220">
        <f>C$43</f>
        <v>5130924.9360721735</v>
      </c>
      <c r="D238" s="220">
        <f t="shared" ref="D238:AP238" si="841">D$43</f>
        <v>5224480.1535440227</v>
      </c>
      <c r="E238" s="220">
        <f t="shared" si="841"/>
        <v>5319178.3042360479</v>
      </c>
      <c r="F238" s="220">
        <f t="shared" si="841"/>
        <v>5415035.5329115689</v>
      </c>
      <c r="G238" s="220">
        <f t="shared" si="841"/>
        <v>5512068.2044891519</v>
      </c>
      <c r="H238" s="220">
        <f t="shared" si="841"/>
        <v>5610292.9068568042</v>
      </c>
      <c r="I238" s="220">
        <f t="shared" si="841"/>
        <v>5709726.4537174851</v>
      </c>
      <c r="J238" s="220">
        <f t="shared" si="841"/>
        <v>5810385.8874661699</v>
      </c>
      <c r="K238" s="220">
        <f t="shared" si="841"/>
        <v>5912288.4820986763</v>
      </c>
      <c r="L238" s="220">
        <f t="shared" si="841"/>
        <v>6015451.7461524587</v>
      </c>
      <c r="M238" s="220">
        <f t="shared" si="841"/>
        <v>6119893.4256796334</v>
      </c>
      <c r="N238" s="220">
        <f t="shared" si="841"/>
        <v>6225631.5072523979</v>
      </c>
      <c r="O238" s="220">
        <f t="shared" si="841"/>
        <v>6332684.2210011082</v>
      </c>
      <c r="P238" s="220">
        <f t="shared" si="841"/>
        <v>6441070.0436851662</v>
      </c>
      <c r="Q238" s="220">
        <f t="shared" si="841"/>
        <v>6550807.7017969862</v>
      </c>
      <c r="R238" s="220">
        <f t="shared" si="841"/>
        <v>6661916.174699191</v>
      </c>
      <c r="S238" s="220">
        <f t="shared" si="841"/>
        <v>6774414.6977952812</v>
      </c>
      <c r="T238" s="220">
        <f t="shared" si="841"/>
        <v>6888322.7657339126</v>
      </c>
      <c r="U238" s="220">
        <f t="shared" si="841"/>
        <v>7003660.1356470631</v>
      </c>
      <c r="V238" s="220">
        <f t="shared" si="841"/>
        <v>7120446.8304221872</v>
      </c>
      <c r="W238" s="220">
        <f t="shared" si="841"/>
        <v>7238703.1420086045</v>
      </c>
      <c r="X238" s="220">
        <f t="shared" si="841"/>
        <v>7344118.712570752</v>
      </c>
      <c r="Y238" s="220">
        <f t="shared" si="841"/>
        <v>7451045.304426033</v>
      </c>
      <c r="Z238" s="220">
        <f t="shared" si="841"/>
        <v>7559504.0368923601</v>
      </c>
      <c r="AA238" s="220">
        <f t="shared" si="841"/>
        <v>7669516.3119206326</v>
      </c>
      <c r="AB238" s="220">
        <f t="shared" si="841"/>
        <v>7781103.8175747218</v>
      </c>
      <c r="AC238" s="220">
        <f t="shared" si="841"/>
        <v>7894288.5315467063</v>
      </c>
      <c r="AD238" s="220">
        <f t="shared" si="841"/>
        <v>8009092.7247074135</v>
      </c>
      <c r="AE238" s="220">
        <f t="shared" si="841"/>
        <v>8125538.9646924967</v>
      </c>
      <c r="AF238" s="220">
        <f t="shared" si="841"/>
        <v>12266365.119524082</v>
      </c>
      <c r="AG238" s="220">
        <f t="shared" si="841"/>
        <v>0</v>
      </c>
      <c r="AH238" s="220">
        <f t="shared" si="841"/>
        <v>0</v>
      </c>
      <c r="AI238" s="220">
        <f t="shared" si="841"/>
        <v>0</v>
      </c>
      <c r="AJ238" s="220">
        <f t="shared" si="841"/>
        <v>0</v>
      </c>
      <c r="AK238" s="220">
        <f t="shared" si="841"/>
        <v>0</v>
      </c>
      <c r="AL238" s="220">
        <f t="shared" si="841"/>
        <v>0</v>
      </c>
      <c r="AM238" s="220">
        <f t="shared" si="841"/>
        <v>0</v>
      </c>
      <c r="AN238" s="220">
        <f t="shared" si="841"/>
        <v>0</v>
      </c>
      <c r="AO238" s="220">
        <f t="shared" si="841"/>
        <v>0</v>
      </c>
      <c r="AP238" s="220">
        <f t="shared" si="841"/>
        <v>0</v>
      </c>
    </row>
    <row r="239" spans="1:42" s="119" customFormat="1">
      <c r="A239" s="42" t="s">
        <v>130</v>
      </c>
      <c r="C239" s="220">
        <f t="shared" ref="C239:AP239" si="842">C805</f>
        <v>28528.458178202964</v>
      </c>
      <c r="D239" s="220">
        <f t="shared" si="842"/>
        <v>41155.008793442925</v>
      </c>
      <c r="E239" s="220">
        <f t="shared" si="842"/>
        <v>53788.226519133903</v>
      </c>
      <c r="F239" s="220">
        <f t="shared" si="842"/>
        <v>64616.161421195538</v>
      </c>
      <c r="G239" s="220">
        <f t="shared" si="842"/>
        <v>77290.448270984838</v>
      </c>
      <c r="H239" s="220">
        <f t="shared" si="842"/>
        <v>89971.688633716185</v>
      </c>
      <c r="I239" s="220">
        <f t="shared" si="842"/>
        <v>100765.16524699876</v>
      </c>
      <c r="J239" s="220">
        <f t="shared" si="842"/>
        <v>113489.31321603422</v>
      </c>
      <c r="K239" s="220">
        <f t="shared" si="842"/>
        <v>126220.7129568919</v>
      </c>
      <c r="L239" s="220">
        <f t="shared" si="842"/>
        <v>136978.09917461986</v>
      </c>
      <c r="M239" s="220">
        <f t="shared" si="842"/>
        <v>118110.60951335869</v>
      </c>
      <c r="N239" s="220">
        <f t="shared" si="842"/>
        <v>130277.59365682983</v>
      </c>
      <c r="O239" s="220">
        <f t="shared" si="842"/>
        <v>88847.901148577046</v>
      </c>
      <c r="P239" s="220">
        <f t="shared" si="842"/>
        <v>101886.37546337843</v>
      </c>
      <c r="Q239" s="220">
        <f t="shared" si="842"/>
        <v>114924.84977817982</v>
      </c>
      <c r="R239" s="220">
        <f t="shared" si="842"/>
        <v>18029.125128545482</v>
      </c>
      <c r="S239" s="220">
        <f t="shared" si="842"/>
        <v>32898.398355727615</v>
      </c>
      <c r="T239" s="220">
        <f t="shared" si="842"/>
        <v>47767.671582909745</v>
      </c>
      <c r="U239" s="220">
        <f t="shared" si="842"/>
        <v>60382.909231071135</v>
      </c>
      <c r="V239" s="220">
        <f t="shared" si="842"/>
        <v>75286.502685733882</v>
      </c>
      <c r="W239" s="220">
        <f t="shared" si="842"/>
        <v>90190.096140396621</v>
      </c>
      <c r="X239" s="220">
        <f t="shared" si="842"/>
        <v>102736.69333359678</v>
      </c>
      <c r="Y239" s="220">
        <f t="shared" si="842"/>
        <v>117676.17470796108</v>
      </c>
      <c r="Z239" s="220">
        <f t="shared" si="842"/>
        <v>132615.65608232541</v>
      </c>
      <c r="AA239" s="220">
        <f t="shared" si="842"/>
        <v>83473.976921940499</v>
      </c>
      <c r="AB239" s="220">
        <f t="shared" si="842"/>
        <v>93316.277141678642</v>
      </c>
      <c r="AC239" s="220">
        <f t="shared" si="842"/>
        <v>103158.57736141678</v>
      </c>
      <c r="AD239" s="220">
        <f t="shared" si="842"/>
        <v>110423.63589592067</v>
      </c>
      <c r="AE239" s="220">
        <f t="shared" si="842"/>
        <v>120305.1775197134</v>
      </c>
      <c r="AF239" s="220">
        <f t="shared" si="842"/>
        <v>130186.71914350611</v>
      </c>
      <c r="AG239" s="220">
        <f t="shared" si="842"/>
        <v>0</v>
      </c>
      <c r="AH239" s="220">
        <f t="shared" si="842"/>
        <v>0</v>
      </c>
      <c r="AI239" s="220">
        <f t="shared" si="842"/>
        <v>0</v>
      </c>
      <c r="AJ239" s="220">
        <f t="shared" si="842"/>
        <v>0</v>
      </c>
      <c r="AK239" s="220">
        <f t="shared" si="842"/>
        <v>0</v>
      </c>
      <c r="AL239" s="220">
        <f t="shared" si="842"/>
        <v>0</v>
      </c>
      <c r="AM239" s="220">
        <f t="shared" si="842"/>
        <v>0</v>
      </c>
      <c r="AN239" s="220">
        <f t="shared" si="842"/>
        <v>0</v>
      </c>
      <c r="AO239" s="220">
        <f t="shared" si="842"/>
        <v>0</v>
      </c>
      <c r="AP239" s="220">
        <f t="shared" si="842"/>
        <v>0</v>
      </c>
    </row>
    <row r="240" spans="1:42" s="119" customFormat="1">
      <c r="A240" s="42" t="s">
        <v>118</v>
      </c>
      <c r="C240" s="220">
        <f>-C684</f>
        <v>-1787948.5127279796</v>
      </c>
      <c r="D240" s="220">
        <f t="shared" ref="D240:AP240" si="843">-D684</f>
        <v>-1688290.5425787433</v>
      </c>
      <c r="E240" s="220">
        <f t="shared" si="843"/>
        <v>-1574860.1826434173</v>
      </c>
      <c r="F240" s="220">
        <f t="shared" si="843"/>
        <v>-1446422.0135743737</v>
      </c>
      <c r="G240" s="220">
        <f t="shared" si="843"/>
        <v>-1301723.5797390747</v>
      </c>
      <c r="H240" s="220">
        <f t="shared" si="843"/>
        <v>-1139227.2609717124</v>
      </c>
      <c r="I240" s="220">
        <f t="shared" si="843"/>
        <v>-957352.68864162371</v>
      </c>
      <c r="J240" s="220">
        <f t="shared" si="843"/>
        <v>-754477.15955315973</v>
      </c>
      <c r="K240" s="220">
        <f t="shared" si="843"/>
        <v>-528653.17591308407</v>
      </c>
      <c r="L240" s="220">
        <f t="shared" si="843"/>
        <v>-277859.67330109322</v>
      </c>
      <c r="M240" s="220">
        <f t="shared" si="843"/>
        <v>0</v>
      </c>
      <c r="N240" s="220">
        <f t="shared" si="843"/>
        <v>0</v>
      </c>
      <c r="O240" s="220">
        <f t="shared" si="843"/>
        <v>0</v>
      </c>
      <c r="P240" s="220">
        <f t="shared" si="843"/>
        <v>0</v>
      </c>
      <c r="Q240" s="220">
        <f t="shared" si="843"/>
        <v>0</v>
      </c>
      <c r="R240" s="220">
        <f t="shared" si="843"/>
        <v>0</v>
      </c>
      <c r="S240" s="220">
        <f t="shared" si="843"/>
        <v>0</v>
      </c>
      <c r="T240" s="220">
        <f t="shared" si="843"/>
        <v>0</v>
      </c>
      <c r="U240" s="220">
        <f t="shared" si="843"/>
        <v>0</v>
      </c>
      <c r="V240" s="220">
        <f t="shared" si="843"/>
        <v>0</v>
      </c>
      <c r="W240" s="220">
        <f t="shared" si="843"/>
        <v>0</v>
      </c>
      <c r="X240" s="220">
        <f t="shared" si="843"/>
        <v>0</v>
      </c>
      <c r="Y240" s="220">
        <f t="shared" si="843"/>
        <v>0</v>
      </c>
      <c r="Z240" s="220">
        <f t="shared" si="843"/>
        <v>0</v>
      </c>
      <c r="AA240" s="220">
        <f t="shared" si="843"/>
        <v>0</v>
      </c>
      <c r="AB240" s="220">
        <f t="shared" si="843"/>
        <v>0</v>
      </c>
      <c r="AC240" s="220">
        <f t="shared" si="843"/>
        <v>0</v>
      </c>
      <c r="AD240" s="220">
        <f t="shared" si="843"/>
        <v>0</v>
      </c>
      <c r="AE240" s="220">
        <f t="shared" si="843"/>
        <v>0</v>
      </c>
      <c r="AF240" s="220">
        <f t="shared" si="843"/>
        <v>0</v>
      </c>
      <c r="AG240" s="220">
        <f t="shared" si="843"/>
        <v>0</v>
      </c>
      <c r="AH240" s="220">
        <f t="shared" si="843"/>
        <v>0</v>
      </c>
      <c r="AI240" s="220">
        <f t="shared" si="843"/>
        <v>0</v>
      </c>
      <c r="AJ240" s="220">
        <f t="shared" si="843"/>
        <v>0</v>
      </c>
      <c r="AK240" s="220">
        <f t="shared" si="843"/>
        <v>0</v>
      </c>
      <c r="AL240" s="220">
        <f t="shared" si="843"/>
        <v>0</v>
      </c>
      <c r="AM240" s="220">
        <f t="shared" si="843"/>
        <v>0</v>
      </c>
      <c r="AN240" s="220">
        <f t="shared" si="843"/>
        <v>0</v>
      </c>
      <c r="AO240" s="220">
        <f t="shared" si="843"/>
        <v>0</v>
      </c>
      <c r="AP240" s="220">
        <f t="shared" si="843"/>
        <v>0</v>
      </c>
    </row>
    <row r="241" spans="1:42" s="42" customFormat="1">
      <c r="A241" s="42" t="s">
        <v>121</v>
      </c>
      <c r="B241" s="119"/>
      <c r="C241" s="146">
        <f t="shared" ref="C241:AP241" si="844">IF(C$2&lt;=AnalysisPeriod,-C459-C490-C516-C542,0)</f>
        <v>-11198756.47051556</v>
      </c>
      <c r="D241" s="146">
        <f t="shared" si="844"/>
        <v>-11626284.495678077</v>
      </c>
      <c r="E241" s="146">
        <f t="shared" si="844"/>
        <v>-7079974.1553025311</v>
      </c>
      <c r="F241" s="146">
        <f t="shared" si="844"/>
        <v>-4350319.5018605758</v>
      </c>
      <c r="G241" s="146">
        <f t="shared" si="844"/>
        <v>-4331994.38651485</v>
      </c>
      <c r="H241" s="146">
        <f t="shared" si="844"/>
        <v>-2288697.8589537875</v>
      </c>
      <c r="I241" s="146">
        <f t="shared" si="844"/>
        <v>-247164.20954076567</v>
      </c>
      <c r="J241" s="146">
        <f t="shared" si="844"/>
        <v>-227307.41763271514</v>
      </c>
      <c r="K241" s="146">
        <f t="shared" si="844"/>
        <v>-235829.8232022851</v>
      </c>
      <c r="L241" s="146">
        <f t="shared" si="844"/>
        <v>-249147.54325393293</v>
      </c>
      <c r="M241" s="146">
        <f t="shared" si="844"/>
        <v>-228723.47327063486</v>
      </c>
      <c r="N241" s="146">
        <f t="shared" si="844"/>
        <v>-826200.11080398643</v>
      </c>
      <c r="O241" s="146">
        <f t="shared" si="844"/>
        <v>-1193920.3702604463</v>
      </c>
      <c r="P241" s="146">
        <f t="shared" si="844"/>
        <v>-795210.1756072666</v>
      </c>
      <c r="Q241" s="146">
        <f t="shared" si="844"/>
        <v>-1810099.7707836733</v>
      </c>
      <c r="R241" s="146">
        <f t="shared" si="844"/>
        <v>-2499606.2406530506</v>
      </c>
      <c r="S241" s="146">
        <f t="shared" si="844"/>
        <v>-1454978.6204631038</v>
      </c>
      <c r="T241" s="146">
        <f t="shared" si="844"/>
        <v>-821875.30961717141</v>
      </c>
      <c r="U241" s="146">
        <f t="shared" si="844"/>
        <v>-837331.55358759931</v>
      </c>
      <c r="V241" s="146">
        <f t="shared" si="844"/>
        <v>-459004.32990381925</v>
      </c>
      <c r="W241" s="146">
        <f t="shared" si="844"/>
        <v>-80843.705862452101</v>
      </c>
      <c r="X241" s="146">
        <f t="shared" si="844"/>
        <v>-63640.80135841544</v>
      </c>
      <c r="Y241" s="146">
        <f t="shared" si="844"/>
        <v>-38982.060168769371</v>
      </c>
      <c r="Z241" s="146">
        <f t="shared" si="844"/>
        <v>-753575.33700979326</v>
      </c>
      <c r="AA241" s="146">
        <f t="shared" si="844"/>
        <v>-1192989.0092480734</v>
      </c>
      <c r="AB241" s="146">
        <f t="shared" si="844"/>
        <v>-716523.20735617948</v>
      </c>
      <c r="AC241" s="146">
        <f t="shared" si="844"/>
        <v>-456994.76297434338</v>
      </c>
      <c r="AD241" s="146">
        <f t="shared" si="844"/>
        <v>-474667.27738737833</v>
      </c>
      <c r="AE241" s="146">
        <f t="shared" si="844"/>
        <v>-244898.03267243327</v>
      </c>
      <c r="AF241" s="146">
        <f t="shared" si="844"/>
        <v>-1593449.1838285606</v>
      </c>
      <c r="AG241" s="146">
        <f t="shared" si="844"/>
        <v>0</v>
      </c>
      <c r="AH241" s="146">
        <f t="shared" si="844"/>
        <v>0</v>
      </c>
      <c r="AI241" s="146">
        <f t="shared" si="844"/>
        <v>0</v>
      </c>
      <c r="AJ241" s="146">
        <f t="shared" si="844"/>
        <v>0</v>
      </c>
      <c r="AK241" s="146">
        <f t="shared" si="844"/>
        <v>0</v>
      </c>
      <c r="AL241" s="146">
        <f t="shared" si="844"/>
        <v>0</v>
      </c>
      <c r="AM241" s="146">
        <f t="shared" si="844"/>
        <v>0</v>
      </c>
      <c r="AN241" s="146">
        <f t="shared" si="844"/>
        <v>0</v>
      </c>
      <c r="AO241" s="146">
        <f t="shared" si="844"/>
        <v>0</v>
      </c>
      <c r="AP241" s="146">
        <f t="shared" si="844"/>
        <v>0</v>
      </c>
    </row>
    <row r="242" spans="1:42" s="119" customFormat="1">
      <c r="A242" s="42" t="s">
        <v>131</v>
      </c>
      <c r="C242" s="225">
        <f>C235</f>
        <v>-415179.12185911438</v>
      </c>
      <c r="D242" s="225">
        <f t="shared" ref="D242:AP242" si="845">D235</f>
        <v>477445.8223770599</v>
      </c>
      <c r="E242" s="225">
        <f t="shared" si="845"/>
        <v>201355.20691638938</v>
      </c>
      <c r="F242" s="225">
        <f t="shared" si="845"/>
        <v>29951.426673158516</v>
      </c>
      <c r="G242" s="225">
        <f t="shared" si="845"/>
        <v>14951.248754696631</v>
      </c>
      <c r="H242" s="225">
        <f t="shared" si="845"/>
        <v>-118722.92789980689</v>
      </c>
      <c r="I242" s="225">
        <f t="shared" si="845"/>
        <v>-253328.6096430152</v>
      </c>
      <c r="J242" s="225">
        <f t="shared" si="845"/>
        <v>-271814.98429229815</v>
      </c>
      <c r="K242" s="225">
        <f t="shared" si="845"/>
        <v>-290071.44077671098</v>
      </c>
      <c r="L242" s="225">
        <f t="shared" si="845"/>
        <v>-309398.24458246288</v>
      </c>
      <c r="M242" s="225">
        <f t="shared" si="845"/>
        <v>-330510.43090572965</v>
      </c>
      <c r="N242" s="225">
        <f t="shared" si="845"/>
        <v>-304133.99445578828</v>
      </c>
      <c r="O242" s="225">
        <f t="shared" si="845"/>
        <v>-287518.64635390817</v>
      </c>
      <c r="P242" s="225">
        <f t="shared" si="845"/>
        <v>-316126.0433947703</v>
      </c>
      <c r="Q242" s="225">
        <f t="shared" si="845"/>
        <v>-267059.80294353212</v>
      </c>
      <c r="R242" s="225">
        <f t="shared" si="845"/>
        <v>-229918.64825460775</v>
      </c>
      <c r="S242" s="225">
        <f t="shared" si="845"/>
        <v>-294378.39616283478</v>
      </c>
      <c r="T242" s="225">
        <f t="shared" si="845"/>
        <v>-336281.83202348079</v>
      </c>
      <c r="U242" s="225">
        <f t="shared" si="845"/>
        <v>-342469.13202097942</v>
      </c>
      <c r="V242" s="225">
        <f t="shared" si="845"/>
        <v>-370520.09517622559</v>
      </c>
      <c r="W242" s="225">
        <f t="shared" si="845"/>
        <v>-398642.72427576018</v>
      </c>
      <c r="X242" s="225">
        <f t="shared" si="845"/>
        <v>-406076.80325002631</v>
      </c>
      <c r="Y242" s="225">
        <f t="shared" si="845"/>
        <v>-414135.66804308741</v>
      </c>
      <c r="Z242" s="225">
        <f t="shared" si="845"/>
        <v>-381619.93957806908</v>
      </c>
      <c r="AA242" s="225">
        <f t="shared" si="845"/>
        <v>-360800.07037769747</v>
      </c>
      <c r="AB242" s="225">
        <f t="shared" si="845"/>
        <v>-393684.32880481222</v>
      </c>
      <c r="AC242" s="225">
        <f t="shared" si="845"/>
        <v>-414724.8790263579</v>
      </c>
      <c r="AD242" s="225">
        <f t="shared" si="845"/>
        <v>-420466.69957687758</v>
      </c>
      <c r="AE242" s="225">
        <f t="shared" si="845"/>
        <v>-440052.03602468775</v>
      </c>
      <c r="AF242" s="225">
        <f t="shared" si="845"/>
        <v>-594170.64601614652</v>
      </c>
      <c r="AG242" s="225">
        <f t="shared" si="845"/>
        <v>0</v>
      </c>
      <c r="AH242" s="225">
        <f t="shared" si="845"/>
        <v>0</v>
      </c>
      <c r="AI242" s="225">
        <f t="shared" si="845"/>
        <v>0</v>
      </c>
      <c r="AJ242" s="225">
        <f t="shared" si="845"/>
        <v>0</v>
      </c>
      <c r="AK242" s="225">
        <f t="shared" si="845"/>
        <v>0</v>
      </c>
      <c r="AL242" s="225">
        <f t="shared" si="845"/>
        <v>0</v>
      </c>
      <c r="AM242" s="225">
        <f t="shared" si="845"/>
        <v>0</v>
      </c>
      <c r="AN242" s="225">
        <f t="shared" si="845"/>
        <v>0</v>
      </c>
      <c r="AO242" s="225">
        <f t="shared" si="845"/>
        <v>0</v>
      </c>
      <c r="AP242" s="225">
        <f t="shared" si="845"/>
        <v>0</v>
      </c>
    </row>
    <row r="243" spans="1:42" s="119" customFormat="1">
      <c r="A243" s="42" t="s">
        <v>119</v>
      </c>
      <c r="C243" s="220">
        <f>SUM(C238:C242)</f>
        <v>-8242430.7108522784</v>
      </c>
      <c r="D243" s="220">
        <f t="shared" ref="D243:AP243" si="846">SUM(D238:D242)</f>
        <v>-7571494.0535422955</v>
      </c>
      <c r="E243" s="220">
        <f t="shared" si="846"/>
        <v>-3080512.600274377</v>
      </c>
      <c r="F243" s="220">
        <f t="shared" si="846"/>
        <v>-287138.39442902664</v>
      </c>
      <c r="G243" s="220">
        <f t="shared" si="846"/>
        <v>-29408.064739091613</v>
      </c>
      <c r="H243" s="220">
        <f t="shared" si="846"/>
        <v>2153616.5476652128</v>
      </c>
      <c r="I243" s="220">
        <f t="shared" si="846"/>
        <v>4352646.1111390796</v>
      </c>
      <c r="J243" s="220">
        <f t="shared" si="846"/>
        <v>4670275.6392040309</v>
      </c>
      <c r="K243" s="220">
        <f t="shared" si="846"/>
        <v>4983954.755163488</v>
      </c>
      <c r="L243" s="220">
        <f t="shared" si="846"/>
        <v>5316024.3841895889</v>
      </c>
      <c r="M243" s="220">
        <f t="shared" si="846"/>
        <v>5678770.1310166279</v>
      </c>
      <c r="N243" s="220">
        <f t="shared" si="846"/>
        <v>5225574.9956494533</v>
      </c>
      <c r="O243" s="220">
        <f t="shared" si="846"/>
        <v>4940093.1055353312</v>
      </c>
      <c r="P243" s="220">
        <f t="shared" si="846"/>
        <v>5431620.2001465075</v>
      </c>
      <c r="Q243" s="220">
        <f t="shared" si="846"/>
        <v>4588572.9778479608</v>
      </c>
      <c r="R243" s="220">
        <f t="shared" si="846"/>
        <v>3950420.4109200784</v>
      </c>
      <c r="S243" s="220">
        <f t="shared" si="846"/>
        <v>5057956.0795250703</v>
      </c>
      <c r="T243" s="220">
        <f t="shared" si="846"/>
        <v>5777933.2956761699</v>
      </c>
      <c r="U243" s="220">
        <f t="shared" si="846"/>
        <v>5884242.3592695557</v>
      </c>
      <c r="V243" s="220">
        <f t="shared" si="846"/>
        <v>6366208.9080278762</v>
      </c>
      <c r="W243" s="220">
        <f t="shared" si="846"/>
        <v>6849406.8080107886</v>
      </c>
      <c r="X243" s="220">
        <f t="shared" si="846"/>
        <v>6977137.8012959072</v>
      </c>
      <c r="Y243" s="220">
        <f t="shared" si="846"/>
        <v>7115603.7509221379</v>
      </c>
      <c r="Z243" s="220">
        <f t="shared" si="846"/>
        <v>6556924.4163868232</v>
      </c>
      <c r="AA243" s="220">
        <f t="shared" si="846"/>
        <v>6199201.2092168024</v>
      </c>
      <c r="AB243" s="220">
        <f t="shared" si="846"/>
        <v>6764212.5585554093</v>
      </c>
      <c r="AC243" s="220">
        <f t="shared" si="846"/>
        <v>7125727.4669074221</v>
      </c>
      <c r="AD243" s="220">
        <f t="shared" si="846"/>
        <v>7224382.3836390777</v>
      </c>
      <c r="AE243" s="220">
        <f t="shared" si="846"/>
        <v>7560894.0735150892</v>
      </c>
      <c r="AF243" s="220">
        <f t="shared" si="846"/>
        <v>10208932.008822881</v>
      </c>
      <c r="AG243" s="220">
        <f t="shared" si="846"/>
        <v>0</v>
      </c>
      <c r="AH243" s="220">
        <f t="shared" si="846"/>
        <v>0</v>
      </c>
      <c r="AI243" s="220">
        <f t="shared" si="846"/>
        <v>0</v>
      </c>
      <c r="AJ243" s="220">
        <f t="shared" si="846"/>
        <v>0</v>
      </c>
      <c r="AK243" s="220">
        <f t="shared" si="846"/>
        <v>0</v>
      </c>
      <c r="AL243" s="220">
        <f t="shared" si="846"/>
        <v>0</v>
      </c>
      <c r="AM243" s="220">
        <f t="shared" si="846"/>
        <v>0</v>
      </c>
      <c r="AN243" s="220">
        <f t="shared" si="846"/>
        <v>0</v>
      </c>
      <c r="AO243" s="220">
        <f t="shared" si="846"/>
        <v>0</v>
      </c>
      <c r="AP243" s="220">
        <f t="shared" si="846"/>
        <v>0</v>
      </c>
    </row>
    <row r="244" spans="1:42" s="119" customFormat="1">
      <c r="A244" s="42" t="str">
        <f>'Inputs &amp; Results'!A48</f>
        <v>Investment Based Incentive (IBI)</v>
      </c>
    </row>
    <row r="245" spans="1:42" s="119" customFormat="1">
      <c r="A245" s="226" t="str">
        <f>'Inputs &amp; Results'!A49</f>
        <v>Fixed Amount ($)</v>
      </c>
    </row>
    <row r="246" spans="1:42" s="119" customFormat="1">
      <c r="A246" s="227" t="str">
        <f>'Inputs &amp; Results'!A50</f>
        <v>Federal</v>
      </c>
      <c r="C246" s="220">
        <f>IF(IBIFedFixedFedTax="Yes",C630,0)</f>
        <v>1000</v>
      </c>
    </row>
    <row r="247" spans="1:42" s="119" customFormat="1">
      <c r="A247" s="227" t="str">
        <f>'Inputs &amp; Results'!A51</f>
        <v>State</v>
      </c>
      <c r="C247" s="220">
        <f>IF(IBIStateFixedFedTax="Yes",C631,0)</f>
        <v>2000</v>
      </c>
    </row>
    <row r="248" spans="1:42" s="119" customFormat="1">
      <c r="A248" s="227" t="str">
        <f>'Inputs &amp; Results'!A52</f>
        <v>Utility</v>
      </c>
      <c r="C248" s="220">
        <f>IF(IBIUtilityFixedFedTax="Yes",C632,0)</f>
        <v>500</v>
      </c>
    </row>
    <row r="249" spans="1:42">
      <c r="A249" s="227" t="str">
        <f>'Inputs &amp; Results'!A53</f>
        <v>Other</v>
      </c>
      <c r="C249" s="225">
        <f>IF(IBIOtherFixedFedTax="Yes",C633,0)</f>
        <v>250</v>
      </c>
      <c r="D249" s="208"/>
      <c r="E249" s="208"/>
      <c r="F249" s="208"/>
      <c r="G249" s="208"/>
      <c r="H249" s="208"/>
      <c r="I249" s="208"/>
      <c r="J249" s="208"/>
      <c r="K249" s="208"/>
      <c r="L249" s="208"/>
      <c r="M249" s="208"/>
      <c r="N249" s="208"/>
      <c r="O249" s="208"/>
      <c r="P249" s="208"/>
      <c r="Q249" s="208"/>
      <c r="R249" s="208"/>
      <c r="S249" s="208"/>
      <c r="T249" s="208"/>
      <c r="U249" s="208"/>
      <c r="V249" s="208"/>
      <c r="W249" s="208"/>
      <c r="X249" s="208"/>
      <c r="Y249" s="208"/>
      <c r="Z249" s="208"/>
      <c r="AA249" s="208"/>
      <c r="AB249" s="208"/>
      <c r="AC249" s="208"/>
      <c r="AD249" s="208"/>
      <c r="AE249" s="208"/>
      <c r="AF249" s="208"/>
      <c r="AG249" s="208"/>
      <c r="AH249" s="208"/>
      <c r="AI249" s="208"/>
      <c r="AJ249" s="208"/>
      <c r="AK249" s="208"/>
      <c r="AL249" s="208"/>
      <c r="AM249" s="208"/>
      <c r="AN249" s="208"/>
      <c r="AO249" s="208"/>
      <c r="AP249" s="208"/>
    </row>
    <row r="250" spans="1:42">
      <c r="A250" s="227" t="s">
        <v>53</v>
      </c>
      <c r="C250" s="208">
        <f>SUM(C246:C249)</f>
        <v>3750</v>
      </c>
      <c r="D250" s="208"/>
      <c r="E250" s="208"/>
      <c r="F250" s="208"/>
      <c r="G250" s="208"/>
      <c r="H250" s="208"/>
      <c r="I250" s="208"/>
      <c r="J250" s="208"/>
      <c r="K250" s="208"/>
      <c r="L250" s="208"/>
      <c r="M250" s="208"/>
      <c r="N250" s="208"/>
      <c r="O250" s="208"/>
      <c r="P250" s="208"/>
      <c r="Q250" s="208"/>
      <c r="R250" s="208"/>
      <c r="S250" s="208"/>
      <c r="T250" s="208"/>
      <c r="U250" s="208"/>
      <c r="V250" s="208"/>
      <c r="W250" s="208"/>
      <c r="X250" s="208"/>
      <c r="Y250" s="208"/>
      <c r="Z250" s="208"/>
      <c r="AA250" s="208"/>
      <c r="AB250" s="208"/>
      <c r="AC250" s="208"/>
      <c r="AD250" s="208"/>
      <c r="AE250" s="208"/>
      <c r="AF250" s="208"/>
      <c r="AG250" s="208"/>
      <c r="AH250" s="208"/>
      <c r="AI250" s="208"/>
      <c r="AJ250" s="208"/>
      <c r="AK250" s="208"/>
      <c r="AL250" s="208"/>
      <c r="AM250" s="208"/>
      <c r="AN250" s="208"/>
      <c r="AO250" s="208"/>
      <c r="AP250" s="208"/>
    </row>
    <row r="251" spans="1:42">
      <c r="A251" s="226" t="str">
        <f>'Inputs &amp; Results'!A54</f>
        <v>Percentage of Pre-Financing Costs</v>
      </c>
      <c r="C251" s="208"/>
      <c r="D251" s="208"/>
      <c r="E251" s="208"/>
      <c r="F251" s="208"/>
      <c r="G251" s="208"/>
      <c r="H251" s="208"/>
      <c r="I251" s="208"/>
      <c r="J251" s="208"/>
      <c r="K251" s="208"/>
      <c r="L251" s="208"/>
      <c r="M251" s="208"/>
      <c r="N251" s="208"/>
      <c r="O251" s="208"/>
      <c r="P251" s="208"/>
      <c r="Q251" s="208"/>
      <c r="R251" s="208"/>
      <c r="S251" s="208"/>
      <c r="T251" s="208"/>
      <c r="U251" s="208"/>
      <c r="V251" s="208"/>
      <c r="W251" s="208"/>
      <c r="X251" s="208"/>
      <c r="Y251" s="208"/>
      <c r="Z251" s="208"/>
      <c r="AA251" s="208"/>
      <c r="AB251" s="208"/>
      <c r="AC251" s="208"/>
      <c r="AD251" s="208"/>
      <c r="AE251" s="208"/>
      <c r="AF251" s="208"/>
      <c r="AG251" s="208"/>
      <c r="AH251" s="208"/>
      <c r="AI251" s="208"/>
      <c r="AJ251" s="208"/>
      <c r="AK251" s="208"/>
      <c r="AL251" s="208"/>
      <c r="AM251" s="208"/>
      <c r="AN251" s="208"/>
      <c r="AO251" s="208"/>
      <c r="AP251" s="208"/>
    </row>
    <row r="252" spans="1:42">
      <c r="A252" s="227" t="str">
        <f>'Inputs &amp; Results'!A55</f>
        <v>Federal</v>
      </c>
      <c r="C252" s="220">
        <f>IF(IBIFedPercentFedTax="Yes",C636,0)</f>
        <v>2011357.5</v>
      </c>
      <c r="D252" s="208"/>
      <c r="E252" s="208"/>
      <c r="F252" s="208"/>
      <c r="G252" s="208"/>
      <c r="H252" s="208"/>
      <c r="I252" s="208"/>
      <c r="J252" s="208"/>
      <c r="K252" s="208"/>
      <c r="L252" s="208"/>
      <c r="M252" s="208"/>
      <c r="N252" s="208"/>
      <c r="O252" s="208"/>
      <c r="P252" s="208"/>
      <c r="Q252" s="208"/>
      <c r="R252" s="208"/>
      <c r="S252" s="208"/>
      <c r="T252" s="208"/>
      <c r="U252" s="208"/>
      <c r="V252" s="208"/>
      <c r="W252" s="208"/>
      <c r="X252" s="208"/>
      <c r="Y252" s="208"/>
      <c r="Z252" s="208"/>
      <c r="AA252" s="208"/>
      <c r="AB252" s="208"/>
      <c r="AC252" s="208"/>
      <c r="AD252" s="208"/>
      <c r="AE252" s="208"/>
      <c r="AF252" s="208"/>
      <c r="AG252" s="208"/>
      <c r="AH252" s="208"/>
      <c r="AI252" s="208"/>
      <c r="AJ252" s="208"/>
      <c r="AK252" s="208"/>
      <c r="AL252" s="208"/>
      <c r="AM252" s="208"/>
      <c r="AN252" s="208"/>
      <c r="AO252" s="208"/>
      <c r="AP252" s="208"/>
    </row>
    <row r="253" spans="1:42">
      <c r="A253" s="227" t="str">
        <f>'Inputs &amp; Results'!A56</f>
        <v>State</v>
      </c>
      <c r="C253" s="220">
        <f>IF(IBIStatePercentFedTax="Yes",C637,0)</f>
        <v>4022715</v>
      </c>
      <c r="D253" s="208"/>
      <c r="E253" s="208"/>
      <c r="F253" s="208"/>
      <c r="G253" s="208"/>
      <c r="H253" s="208"/>
      <c r="I253" s="208"/>
      <c r="J253" s="208"/>
      <c r="K253" s="208"/>
      <c r="L253" s="208"/>
      <c r="M253" s="208"/>
      <c r="N253" s="208"/>
      <c r="O253" s="208"/>
      <c r="P253" s="208"/>
      <c r="Q253" s="208"/>
      <c r="R253" s="208"/>
      <c r="S253" s="208"/>
      <c r="T253" s="208"/>
      <c r="U253" s="208"/>
      <c r="V253" s="208"/>
      <c r="W253" s="208"/>
      <c r="X253" s="208"/>
      <c r="Y253" s="208"/>
      <c r="Z253" s="208"/>
      <c r="AA253" s="208"/>
      <c r="AB253" s="208"/>
      <c r="AC253" s="208"/>
      <c r="AD253" s="208"/>
      <c r="AE253" s="208"/>
      <c r="AF253" s="208"/>
      <c r="AG253" s="208"/>
      <c r="AH253" s="208"/>
      <c r="AI253" s="208"/>
      <c r="AJ253" s="208"/>
      <c r="AK253" s="208"/>
      <c r="AL253" s="208"/>
      <c r="AM253" s="208"/>
      <c r="AN253" s="208"/>
      <c r="AO253" s="208"/>
      <c r="AP253" s="208"/>
    </row>
    <row r="254" spans="1:42">
      <c r="A254" s="227" t="str">
        <f>'Inputs &amp; Results'!A57</f>
        <v>Utility</v>
      </c>
      <c r="C254" s="220">
        <f>IF(IBIUtilityPercentFedTax="Yes",C638,0)</f>
        <v>402271.5</v>
      </c>
      <c r="D254" s="208"/>
      <c r="E254" s="208"/>
      <c r="F254" s="208"/>
      <c r="G254" s="208"/>
      <c r="H254" s="208"/>
      <c r="I254" s="208"/>
      <c r="J254" s="208"/>
      <c r="K254" s="208"/>
      <c r="L254" s="208"/>
      <c r="M254" s="208"/>
      <c r="N254" s="208"/>
      <c r="O254" s="208"/>
      <c r="P254" s="208"/>
      <c r="Q254" s="208"/>
      <c r="R254" s="208"/>
      <c r="S254" s="208"/>
      <c r="T254" s="208"/>
      <c r="U254" s="208"/>
      <c r="V254" s="208"/>
      <c r="W254" s="208"/>
      <c r="X254" s="208"/>
      <c r="Y254" s="208"/>
      <c r="Z254" s="208"/>
      <c r="AA254" s="208"/>
      <c r="AB254" s="208"/>
      <c r="AC254" s="208"/>
      <c r="AD254" s="208"/>
      <c r="AE254" s="208"/>
      <c r="AF254" s="208"/>
      <c r="AG254" s="208"/>
      <c r="AH254" s="208"/>
      <c r="AI254" s="208"/>
      <c r="AJ254" s="208"/>
      <c r="AK254" s="208"/>
      <c r="AL254" s="208"/>
      <c r="AM254" s="208"/>
      <c r="AN254" s="208"/>
      <c r="AO254" s="208"/>
      <c r="AP254" s="208"/>
    </row>
    <row r="255" spans="1:42">
      <c r="A255" s="227" t="str">
        <f>'Inputs &amp; Results'!A58</f>
        <v>Other</v>
      </c>
      <c r="C255" s="225">
        <f>IF(IBIOtherPercentFedTax="Yes",C639,0)</f>
        <v>201135.75</v>
      </c>
      <c r="D255" s="208"/>
      <c r="E255" s="208"/>
      <c r="F255" s="208"/>
      <c r="G255" s="208"/>
      <c r="H255" s="208"/>
      <c r="I255" s="208"/>
      <c r="J255" s="208"/>
      <c r="K255" s="208"/>
      <c r="L255" s="208"/>
      <c r="M255" s="208"/>
      <c r="N255" s="208"/>
      <c r="O255" s="208"/>
      <c r="P255" s="208"/>
      <c r="Q255" s="208"/>
      <c r="R255" s="208"/>
      <c r="S255" s="208"/>
      <c r="T255" s="208"/>
      <c r="U255" s="208"/>
      <c r="V255" s="208"/>
      <c r="W255" s="208"/>
      <c r="X255" s="208"/>
      <c r="Y255" s="208"/>
      <c r="Z255" s="208"/>
      <c r="AA255" s="208"/>
      <c r="AB255" s="208"/>
      <c r="AC255" s="208"/>
      <c r="AD255" s="208"/>
      <c r="AE255" s="208"/>
      <c r="AF255" s="208"/>
      <c r="AG255" s="208"/>
      <c r="AH255" s="208"/>
      <c r="AI255" s="208"/>
      <c r="AJ255" s="208"/>
      <c r="AK255" s="208"/>
      <c r="AL255" s="208"/>
      <c r="AM255" s="208"/>
      <c r="AN255" s="208"/>
      <c r="AO255" s="208"/>
      <c r="AP255" s="208"/>
    </row>
    <row r="256" spans="1:42">
      <c r="A256" s="227" t="s">
        <v>53</v>
      </c>
      <c r="C256" s="208">
        <f>SUM(C252:C255)</f>
        <v>6637479.75</v>
      </c>
      <c r="D256" s="208"/>
      <c r="E256" s="208"/>
      <c r="F256" s="208"/>
      <c r="G256" s="208"/>
      <c r="H256" s="208"/>
      <c r="I256" s="208"/>
      <c r="J256" s="208"/>
      <c r="K256" s="208"/>
      <c r="L256" s="208"/>
      <c r="M256" s="208"/>
      <c r="N256" s="208"/>
      <c r="O256" s="208"/>
      <c r="P256" s="208"/>
      <c r="Q256" s="208"/>
      <c r="R256" s="208"/>
      <c r="S256" s="208"/>
      <c r="T256" s="208"/>
      <c r="U256" s="208"/>
      <c r="V256" s="208"/>
      <c r="W256" s="208"/>
      <c r="X256" s="208"/>
      <c r="Y256" s="208"/>
      <c r="Z256" s="208"/>
      <c r="AA256" s="208"/>
      <c r="AB256" s="208"/>
      <c r="AC256" s="208"/>
      <c r="AD256" s="208"/>
      <c r="AE256" s="208"/>
      <c r="AF256" s="208"/>
      <c r="AG256" s="208"/>
      <c r="AH256" s="208"/>
      <c r="AI256" s="208"/>
      <c r="AJ256" s="208"/>
      <c r="AK256" s="208"/>
      <c r="AL256" s="208"/>
      <c r="AM256" s="208"/>
      <c r="AN256" s="208"/>
      <c r="AO256" s="208"/>
      <c r="AP256" s="208"/>
    </row>
    <row r="257" spans="1:42">
      <c r="A257" s="219" t="str">
        <f>'Inputs &amp; Results'!A59</f>
        <v>Capacity Based Incentive (CBI) ($/DC-Watt)</v>
      </c>
      <c r="C257" s="208"/>
      <c r="D257" s="208"/>
      <c r="E257" s="208"/>
      <c r="F257" s="208"/>
      <c r="G257" s="208"/>
      <c r="H257" s="208"/>
      <c r="I257" s="208"/>
      <c r="J257" s="208"/>
      <c r="K257" s="208"/>
      <c r="L257" s="208"/>
      <c r="M257" s="208"/>
      <c r="N257" s="208"/>
      <c r="O257" s="208"/>
      <c r="P257" s="208"/>
      <c r="Q257" s="208"/>
      <c r="R257" s="208"/>
      <c r="S257" s="208"/>
      <c r="T257" s="208"/>
      <c r="U257" s="208"/>
      <c r="V257" s="208"/>
      <c r="W257" s="208"/>
      <c r="X257" s="208"/>
      <c r="Y257" s="208"/>
      <c r="Z257" s="208"/>
      <c r="AA257" s="208"/>
      <c r="AB257" s="208"/>
      <c r="AC257" s="208"/>
      <c r="AD257" s="208"/>
      <c r="AE257" s="208"/>
      <c r="AF257" s="208"/>
      <c r="AG257" s="208"/>
      <c r="AH257" s="208"/>
      <c r="AI257" s="208"/>
      <c r="AJ257" s="208"/>
      <c r="AK257" s="208"/>
      <c r="AL257" s="208"/>
      <c r="AM257" s="208"/>
      <c r="AN257" s="208"/>
      <c r="AO257" s="208"/>
      <c r="AP257" s="208"/>
    </row>
    <row r="258" spans="1:42">
      <c r="A258" s="226" t="str">
        <f>'Inputs &amp; Results'!A60</f>
        <v>Federal</v>
      </c>
      <c r="C258" s="146">
        <f>IF(CBIFedFedTax="Yes",C642,0)</f>
        <v>5000000</v>
      </c>
      <c r="D258" s="208"/>
      <c r="E258" s="208"/>
      <c r="F258" s="208"/>
      <c r="G258" s="208"/>
      <c r="H258" s="208"/>
      <c r="I258" s="208"/>
      <c r="J258" s="208"/>
      <c r="K258" s="208"/>
      <c r="L258" s="208"/>
      <c r="M258" s="208"/>
      <c r="N258" s="208"/>
      <c r="O258" s="208"/>
      <c r="P258" s="208"/>
      <c r="Q258" s="208"/>
      <c r="R258" s="208"/>
      <c r="S258" s="208"/>
      <c r="T258" s="208"/>
      <c r="U258" s="208"/>
      <c r="V258" s="208"/>
      <c r="W258" s="208"/>
      <c r="X258" s="208"/>
      <c r="Y258" s="208"/>
      <c r="Z258" s="208"/>
      <c r="AA258" s="208"/>
      <c r="AB258" s="208"/>
      <c r="AC258" s="208"/>
      <c r="AD258" s="208"/>
      <c r="AE258" s="208"/>
      <c r="AF258" s="208"/>
      <c r="AG258" s="208"/>
      <c r="AH258" s="208"/>
      <c r="AI258" s="208"/>
      <c r="AJ258" s="208"/>
      <c r="AK258" s="208"/>
      <c r="AL258" s="208"/>
      <c r="AM258" s="208"/>
      <c r="AN258" s="208"/>
      <c r="AO258" s="208"/>
      <c r="AP258" s="208"/>
    </row>
    <row r="259" spans="1:42">
      <c r="A259" s="226" t="str">
        <f>'Inputs &amp; Results'!A61</f>
        <v>State</v>
      </c>
      <c r="C259" s="146">
        <f>IF(CBIStateFedTax="Yes",C643,0)</f>
        <v>2000000</v>
      </c>
      <c r="D259" s="208"/>
      <c r="E259" s="208"/>
      <c r="F259" s="208"/>
      <c r="G259" s="208"/>
      <c r="H259" s="208"/>
      <c r="I259" s="208"/>
      <c r="J259" s="208"/>
      <c r="K259" s="208"/>
      <c r="L259" s="208"/>
      <c r="M259" s="208"/>
      <c r="N259" s="208"/>
      <c r="O259" s="208"/>
      <c r="P259" s="208"/>
      <c r="Q259" s="208"/>
      <c r="R259" s="208"/>
      <c r="S259" s="208"/>
      <c r="T259" s="208"/>
      <c r="U259" s="208"/>
      <c r="V259" s="208"/>
      <c r="W259" s="208"/>
      <c r="X259" s="208"/>
      <c r="Y259" s="208"/>
      <c r="Z259" s="208"/>
      <c r="AA259" s="208"/>
      <c r="AB259" s="208"/>
      <c r="AC259" s="208"/>
      <c r="AD259" s="208"/>
      <c r="AE259" s="208"/>
      <c r="AF259" s="208"/>
      <c r="AG259" s="208"/>
      <c r="AH259" s="208"/>
      <c r="AI259" s="208"/>
      <c r="AJ259" s="208"/>
      <c r="AK259" s="208"/>
      <c r="AL259" s="208"/>
      <c r="AM259" s="208"/>
      <c r="AN259" s="208"/>
      <c r="AO259" s="208"/>
      <c r="AP259" s="208"/>
    </row>
    <row r="260" spans="1:42">
      <c r="A260" s="226" t="str">
        <f>'Inputs &amp; Results'!A62</f>
        <v>Utility</v>
      </c>
      <c r="C260" s="146">
        <f>IF(CBIUtilityFedTax="Yes",C644,0)</f>
        <v>100000</v>
      </c>
      <c r="D260" s="208"/>
      <c r="E260" s="208"/>
      <c r="F260" s="208"/>
      <c r="G260" s="208"/>
      <c r="H260" s="208"/>
      <c r="I260" s="208"/>
      <c r="J260" s="208"/>
      <c r="K260" s="208"/>
      <c r="L260" s="208"/>
      <c r="M260" s="208"/>
      <c r="N260" s="208"/>
      <c r="O260" s="208"/>
      <c r="P260" s="208"/>
      <c r="Q260" s="208"/>
      <c r="R260" s="208"/>
      <c r="S260" s="208"/>
      <c r="T260" s="208"/>
      <c r="U260" s="208"/>
      <c r="V260" s="208"/>
      <c r="W260" s="208"/>
      <c r="X260" s="208"/>
      <c r="Y260" s="208"/>
      <c r="Z260" s="208"/>
      <c r="AA260" s="208"/>
      <c r="AB260" s="208"/>
      <c r="AC260" s="208"/>
      <c r="AD260" s="208"/>
      <c r="AE260" s="208"/>
      <c r="AF260" s="208"/>
      <c r="AG260" s="208"/>
      <c r="AH260" s="208"/>
      <c r="AI260" s="208"/>
      <c r="AJ260" s="208"/>
      <c r="AK260" s="208"/>
      <c r="AL260" s="208"/>
      <c r="AM260" s="208"/>
      <c r="AN260" s="208"/>
      <c r="AO260" s="208"/>
      <c r="AP260" s="208"/>
    </row>
    <row r="261" spans="1:42">
      <c r="A261" s="226" t="str">
        <f>'Inputs &amp; Results'!A63</f>
        <v>Other</v>
      </c>
      <c r="C261" s="225">
        <f>IF(CBIOtherFedTax="Yes",C645,0)</f>
        <v>50000</v>
      </c>
      <c r="D261" s="208"/>
      <c r="E261" s="208"/>
      <c r="F261" s="208"/>
      <c r="G261" s="208"/>
      <c r="H261" s="208"/>
      <c r="I261" s="208"/>
      <c r="J261" s="208"/>
      <c r="K261" s="208"/>
      <c r="L261" s="208"/>
      <c r="M261" s="208"/>
      <c r="N261" s="208"/>
      <c r="O261" s="208"/>
      <c r="P261" s="208"/>
      <c r="Q261" s="208"/>
      <c r="R261" s="208"/>
      <c r="S261" s="208"/>
      <c r="T261" s="208"/>
      <c r="U261" s="208"/>
      <c r="V261" s="208"/>
      <c r="W261" s="208"/>
      <c r="X261" s="208"/>
      <c r="Y261" s="208"/>
      <c r="Z261" s="208"/>
      <c r="AA261" s="208"/>
      <c r="AB261" s="208"/>
      <c r="AC261" s="208"/>
      <c r="AD261" s="208"/>
      <c r="AE261" s="208"/>
      <c r="AF261" s="208"/>
      <c r="AG261" s="208"/>
      <c r="AH261" s="208"/>
      <c r="AI261" s="208"/>
      <c r="AJ261" s="208"/>
      <c r="AK261" s="208"/>
      <c r="AL261" s="208"/>
      <c r="AM261" s="208"/>
      <c r="AN261" s="208"/>
      <c r="AO261" s="208"/>
      <c r="AP261" s="208"/>
    </row>
    <row r="262" spans="1:42">
      <c r="A262" s="226" t="s">
        <v>53</v>
      </c>
      <c r="C262" s="208">
        <f>SUM(C258:C261)</f>
        <v>7150000</v>
      </c>
      <c r="D262" s="208"/>
      <c r="E262" s="208"/>
      <c r="F262" s="208"/>
      <c r="G262" s="208"/>
      <c r="H262" s="208"/>
      <c r="I262" s="208"/>
      <c r="J262" s="208"/>
      <c r="K262" s="208"/>
      <c r="L262" s="208"/>
      <c r="M262" s="208"/>
      <c r="N262" s="208"/>
      <c r="O262" s="208"/>
      <c r="P262" s="208"/>
      <c r="Q262" s="208"/>
      <c r="R262" s="208"/>
      <c r="S262" s="208"/>
      <c r="T262" s="208"/>
      <c r="U262" s="208"/>
      <c r="V262" s="208"/>
      <c r="W262" s="208"/>
      <c r="X262" s="208"/>
      <c r="Y262" s="208"/>
      <c r="Z262" s="208"/>
      <c r="AA262" s="208"/>
      <c r="AB262" s="208"/>
      <c r="AC262" s="208"/>
      <c r="AD262" s="208"/>
      <c r="AE262" s="208"/>
      <c r="AF262" s="208"/>
      <c r="AG262" s="208"/>
      <c r="AH262" s="208"/>
      <c r="AI262" s="208"/>
      <c r="AJ262" s="208"/>
      <c r="AK262" s="208"/>
      <c r="AL262" s="208"/>
      <c r="AM262" s="208"/>
      <c r="AN262" s="208"/>
      <c r="AO262" s="208"/>
      <c r="AP262" s="208"/>
    </row>
    <row r="263" spans="1:42">
      <c r="A263" s="219" t="str">
        <f>'Inputs &amp; Results'!A64</f>
        <v>Production Based Incentive (PBI) ($/kWh)</v>
      </c>
      <c r="C263" s="208"/>
      <c r="D263" s="208"/>
      <c r="E263" s="208"/>
      <c r="F263" s="208"/>
      <c r="G263" s="208"/>
      <c r="H263" s="208"/>
      <c r="I263" s="208"/>
      <c r="J263" s="208"/>
      <c r="K263" s="208"/>
      <c r="L263" s="208"/>
      <c r="M263" s="208"/>
      <c r="N263" s="208"/>
      <c r="O263" s="208"/>
      <c r="P263" s="208"/>
      <c r="Q263" s="208"/>
      <c r="R263" s="208"/>
      <c r="S263" s="208"/>
      <c r="T263" s="208"/>
      <c r="U263" s="208"/>
      <c r="V263" s="208"/>
      <c r="W263" s="208"/>
      <c r="X263" s="208"/>
      <c r="Y263" s="208"/>
      <c r="Z263" s="208"/>
      <c r="AA263" s="208"/>
      <c r="AB263" s="208"/>
      <c r="AC263" s="208"/>
      <c r="AD263" s="208"/>
      <c r="AE263" s="208"/>
      <c r="AF263" s="208"/>
      <c r="AG263" s="208"/>
      <c r="AH263" s="208"/>
      <c r="AI263" s="208"/>
      <c r="AJ263" s="208"/>
      <c r="AK263" s="208"/>
      <c r="AL263" s="208"/>
      <c r="AM263" s="208"/>
      <c r="AN263" s="208"/>
      <c r="AO263" s="208"/>
      <c r="AP263" s="208"/>
    </row>
    <row r="264" spans="1:42">
      <c r="A264" s="226" t="str">
        <f>'Inputs &amp; Results'!A65</f>
        <v>Federal</v>
      </c>
      <c r="C264" s="146">
        <f t="shared" ref="C264:AP264" si="847">IF(AND(PBIFedFedTax="Yes",PBIFedDebtSwitch="No"),C652,0)</f>
        <v>0</v>
      </c>
      <c r="D264" s="146">
        <f t="shared" si="847"/>
        <v>0</v>
      </c>
      <c r="E264" s="146">
        <f t="shared" si="847"/>
        <v>0</v>
      </c>
      <c r="F264" s="146">
        <f t="shared" si="847"/>
        <v>0</v>
      </c>
      <c r="G264" s="146">
        <f t="shared" si="847"/>
        <v>0</v>
      </c>
      <c r="H264" s="146">
        <f t="shared" si="847"/>
        <v>0</v>
      </c>
      <c r="I264" s="146">
        <f t="shared" si="847"/>
        <v>0</v>
      </c>
      <c r="J264" s="146">
        <f t="shared" si="847"/>
        <v>0</v>
      </c>
      <c r="K264" s="146">
        <f t="shared" si="847"/>
        <v>0</v>
      </c>
      <c r="L264" s="146">
        <f t="shared" si="847"/>
        <v>0</v>
      </c>
      <c r="M264" s="146">
        <f t="shared" si="847"/>
        <v>0</v>
      </c>
      <c r="N264" s="146">
        <f t="shared" si="847"/>
        <v>0</v>
      </c>
      <c r="O264" s="146">
        <f t="shared" si="847"/>
        <v>0</v>
      </c>
      <c r="P264" s="146">
        <f t="shared" si="847"/>
        <v>0</v>
      </c>
      <c r="Q264" s="146">
        <f t="shared" si="847"/>
        <v>0</v>
      </c>
      <c r="R264" s="146">
        <f t="shared" si="847"/>
        <v>0</v>
      </c>
      <c r="S264" s="146">
        <f t="shared" si="847"/>
        <v>0</v>
      </c>
      <c r="T264" s="146">
        <f t="shared" si="847"/>
        <v>0</v>
      </c>
      <c r="U264" s="146">
        <f t="shared" si="847"/>
        <v>0</v>
      </c>
      <c r="V264" s="146">
        <f t="shared" si="847"/>
        <v>0</v>
      </c>
      <c r="W264" s="146">
        <f t="shared" si="847"/>
        <v>0</v>
      </c>
      <c r="X264" s="146">
        <f t="shared" si="847"/>
        <v>0</v>
      </c>
      <c r="Y264" s="146">
        <f t="shared" si="847"/>
        <v>0</v>
      </c>
      <c r="Z264" s="146">
        <f t="shared" si="847"/>
        <v>0</v>
      </c>
      <c r="AA264" s="146">
        <f t="shared" si="847"/>
        <v>0</v>
      </c>
      <c r="AB264" s="146">
        <f t="shared" si="847"/>
        <v>0</v>
      </c>
      <c r="AC264" s="146">
        <f t="shared" si="847"/>
        <v>0</v>
      </c>
      <c r="AD264" s="146">
        <f t="shared" si="847"/>
        <v>0</v>
      </c>
      <c r="AE264" s="146">
        <f t="shared" si="847"/>
        <v>0</v>
      </c>
      <c r="AF264" s="146">
        <f t="shared" si="847"/>
        <v>0</v>
      </c>
      <c r="AG264" s="146">
        <f t="shared" si="847"/>
        <v>0</v>
      </c>
      <c r="AH264" s="146">
        <f t="shared" si="847"/>
        <v>0</v>
      </c>
      <c r="AI264" s="146">
        <f t="shared" si="847"/>
        <v>0</v>
      </c>
      <c r="AJ264" s="146">
        <f t="shared" si="847"/>
        <v>0</v>
      </c>
      <c r="AK264" s="146">
        <f t="shared" si="847"/>
        <v>0</v>
      </c>
      <c r="AL264" s="146">
        <f t="shared" si="847"/>
        <v>0</v>
      </c>
      <c r="AM264" s="146">
        <f t="shared" si="847"/>
        <v>0</v>
      </c>
      <c r="AN264" s="146">
        <f t="shared" si="847"/>
        <v>0</v>
      </c>
      <c r="AO264" s="146">
        <f t="shared" si="847"/>
        <v>0</v>
      </c>
      <c r="AP264" s="146">
        <f t="shared" si="847"/>
        <v>0</v>
      </c>
    </row>
    <row r="265" spans="1:42">
      <c r="A265" s="226" t="str">
        <f>'Inputs &amp; Results'!A66</f>
        <v>State</v>
      </c>
      <c r="C265" s="146">
        <f t="shared" ref="C265:AP265" si="848">IF(AND(PBIStateFedTax="Yes",PBIStateDebtSwitch="No"),C656,0)</f>
        <v>0</v>
      </c>
      <c r="D265" s="146">
        <f t="shared" si="848"/>
        <v>0</v>
      </c>
      <c r="E265" s="146">
        <f t="shared" si="848"/>
        <v>0</v>
      </c>
      <c r="F265" s="146">
        <f t="shared" si="848"/>
        <v>0</v>
      </c>
      <c r="G265" s="146">
        <f t="shared" si="848"/>
        <v>0</v>
      </c>
      <c r="H265" s="146">
        <f t="shared" si="848"/>
        <v>0</v>
      </c>
      <c r="I265" s="146">
        <f t="shared" si="848"/>
        <v>0</v>
      </c>
      <c r="J265" s="146">
        <f t="shared" si="848"/>
        <v>0</v>
      </c>
      <c r="K265" s="146">
        <f t="shared" si="848"/>
        <v>0</v>
      </c>
      <c r="L265" s="146">
        <f t="shared" si="848"/>
        <v>0</v>
      </c>
      <c r="M265" s="146">
        <f t="shared" si="848"/>
        <v>0</v>
      </c>
      <c r="N265" s="146">
        <f t="shared" si="848"/>
        <v>0</v>
      </c>
      <c r="O265" s="146">
        <f t="shared" si="848"/>
        <v>0</v>
      </c>
      <c r="P265" s="146">
        <f t="shared" si="848"/>
        <v>0</v>
      </c>
      <c r="Q265" s="146">
        <f t="shared" si="848"/>
        <v>0</v>
      </c>
      <c r="R265" s="146">
        <f t="shared" si="848"/>
        <v>0</v>
      </c>
      <c r="S265" s="146">
        <f t="shared" si="848"/>
        <v>0</v>
      </c>
      <c r="T265" s="146">
        <f t="shared" si="848"/>
        <v>0</v>
      </c>
      <c r="U265" s="146">
        <f t="shared" si="848"/>
        <v>0</v>
      </c>
      <c r="V265" s="146">
        <f t="shared" si="848"/>
        <v>0</v>
      </c>
      <c r="W265" s="146">
        <f t="shared" si="848"/>
        <v>0</v>
      </c>
      <c r="X265" s="146">
        <f t="shared" si="848"/>
        <v>0</v>
      </c>
      <c r="Y265" s="146">
        <f t="shared" si="848"/>
        <v>0</v>
      </c>
      <c r="Z265" s="146">
        <f t="shared" si="848"/>
        <v>0</v>
      </c>
      <c r="AA265" s="146">
        <f t="shared" si="848"/>
        <v>0</v>
      </c>
      <c r="AB265" s="146">
        <f t="shared" si="848"/>
        <v>0</v>
      </c>
      <c r="AC265" s="146">
        <f t="shared" si="848"/>
        <v>0</v>
      </c>
      <c r="AD265" s="146">
        <f t="shared" si="848"/>
        <v>0</v>
      </c>
      <c r="AE265" s="146">
        <f t="shared" si="848"/>
        <v>0</v>
      </c>
      <c r="AF265" s="146">
        <f t="shared" si="848"/>
        <v>0</v>
      </c>
      <c r="AG265" s="146">
        <f t="shared" si="848"/>
        <v>0</v>
      </c>
      <c r="AH265" s="146">
        <f t="shared" si="848"/>
        <v>0</v>
      </c>
      <c r="AI265" s="146">
        <f t="shared" si="848"/>
        <v>0</v>
      </c>
      <c r="AJ265" s="146">
        <f t="shared" si="848"/>
        <v>0</v>
      </c>
      <c r="AK265" s="146">
        <f t="shared" si="848"/>
        <v>0</v>
      </c>
      <c r="AL265" s="146">
        <f t="shared" si="848"/>
        <v>0</v>
      </c>
      <c r="AM265" s="146">
        <f t="shared" si="848"/>
        <v>0</v>
      </c>
      <c r="AN265" s="146">
        <f t="shared" si="848"/>
        <v>0</v>
      </c>
      <c r="AO265" s="146">
        <f t="shared" si="848"/>
        <v>0</v>
      </c>
      <c r="AP265" s="146">
        <f t="shared" si="848"/>
        <v>0</v>
      </c>
    </row>
    <row r="266" spans="1:42">
      <c r="A266" s="226" t="str">
        <f>'Inputs &amp; Results'!A67</f>
        <v>Utility</v>
      </c>
      <c r="C266" s="146">
        <f t="shared" ref="C266:AP266" si="849">IF(AND(PBIUtilityFedTax="Yes",PBIUtilityDebtSwitch="No"),C660,0)</f>
        <v>0</v>
      </c>
      <c r="D266" s="146">
        <f t="shared" si="849"/>
        <v>0</v>
      </c>
      <c r="E266" s="146">
        <f t="shared" si="849"/>
        <v>0</v>
      </c>
      <c r="F266" s="146">
        <f t="shared" si="849"/>
        <v>0</v>
      </c>
      <c r="G266" s="146">
        <f t="shared" si="849"/>
        <v>0</v>
      </c>
      <c r="H266" s="146">
        <f t="shared" si="849"/>
        <v>0</v>
      </c>
      <c r="I266" s="146">
        <f t="shared" si="849"/>
        <v>0</v>
      </c>
      <c r="J266" s="146">
        <f t="shared" si="849"/>
        <v>0</v>
      </c>
      <c r="K266" s="146">
        <f t="shared" si="849"/>
        <v>0</v>
      </c>
      <c r="L266" s="146">
        <f t="shared" si="849"/>
        <v>0</v>
      </c>
      <c r="M266" s="146">
        <f t="shared" si="849"/>
        <v>0</v>
      </c>
      <c r="N266" s="146">
        <f t="shared" si="849"/>
        <v>0</v>
      </c>
      <c r="O266" s="146">
        <f t="shared" si="849"/>
        <v>0</v>
      </c>
      <c r="P266" s="146">
        <f t="shared" si="849"/>
        <v>0</v>
      </c>
      <c r="Q266" s="146">
        <f t="shared" si="849"/>
        <v>0</v>
      </c>
      <c r="R266" s="146">
        <f t="shared" si="849"/>
        <v>0</v>
      </c>
      <c r="S266" s="146">
        <f t="shared" si="849"/>
        <v>0</v>
      </c>
      <c r="T266" s="146">
        <f t="shared" si="849"/>
        <v>0</v>
      </c>
      <c r="U266" s="146">
        <f t="shared" si="849"/>
        <v>0</v>
      </c>
      <c r="V266" s="146">
        <f t="shared" si="849"/>
        <v>0</v>
      </c>
      <c r="W266" s="146">
        <f t="shared" si="849"/>
        <v>0</v>
      </c>
      <c r="X266" s="146">
        <f t="shared" si="849"/>
        <v>0</v>
      </c>
      <c r="Y266" s="146">
        <f t="shared" si="849"/>
        <v>0</v>
      </c>
      <c r="Z266" s="146">
        <f t="shared" si="849"/>
        <v>0</v>
      </c>
      <c r="AA266" s="146">
        <f t="shared" si="849"/>
        <v>0</v>
      </c>
      <c r="AB266" s="146">
        <f t="shared" si="849"/>
        <v>0</v>
      </c>
      <c r="AC266" s="146">
        <f t="shared" si="849"/>
        <v>0</v>
      </c>
      <c r="AD266" s="146">
        <f t="shared" si="849"/>
        <v>0</v>
      </c>
      <c r="AE266" s="146">
        <f t="shared" si="849"/>
        <v>0</v>
      </c>
      <c r="AF266" s="146">
        <f t="shared" si="849"/>
        <v>0</v>
      </c>
      <c r="AG266" s="146">
        <f t="shared" si="849"/>
        <v>0</v>
      </c>
      <c r="AH266" s="146">
        <f t="shared" si="849"/>
        <v>0</v>
      </c>
      <c r="AI266" s="146">
        <f t="shared" si="849"/>
        <v>0</v>
      </c>
      <c r="AJ266" s="146">
        <f t="shared" si="849"/>
        <v>0</v>
      </c>
      <c r="AK266" s="146">
        <f t="shared" si="849"/>
        <v>0</v>
      </c>
      <c r="AL266" s="146">
        <f t="shared" si="849"/>
        <v>0</v>
      </c>
      <c r="AM266" s="146">
        <f t="shared" si="849"/>
        <v>0</v>
      </c>
      <c r="AN266" s="146">
        <f t="shared" si="849"/>
        <v>0</v>
      </c>
      <c r="AO266" s="146">
        <f t="shared" si="849"/>
        <v>0</v>
      </c>
      <c r="AP266" s="146">
        <f t="shared" si="849"/>
        <v>0</v>
      </c>
    </row>
    <row r="267" spans="1:42">
      <c r="A267" s="226" t="str">
        <f>'Inputs &amp; Results'!A68</f>
        <v>Other</v>
      </c>
      <c r="C267" s="225">
        <f t="shared" ref="C267:AP267" si="850">IF(AND(PBIOtherFedTax="Yes",PBIOtherDebtSwitch="No"),C664,0)</f>
        <v>0</v>
      </c>
      <c r="D267" s="225">
        <f t="shared" si="850"/>
        <v>0</v>
      </c>
      <c r="E267" s="225">
        <f t="shared" si="850"/>
        <v>0</v>
      </c>
      <c r="F267" s="225">
        <f t="shared" si="850"/>
        <v>0</v>
      </c>
      <c r="G267" s="225">
        <f t="shared" si="850"/>
        <v>0</v>
      </c>
      <c r="H267" s="225">
        <f t="shared" si="850"/>
        <v>0</v>
      </c>
      <c r="I267" s="225">
        <f t="shared" si="850"/>
        <v>0</v>
      </c>
      <c r="J267" s="225">
        <f t="shared" si="850"/>
        <v>0</v>
      </c>
      <c r="K267" s="225">
        <f t="shared" si="850"/>
        <v>0</v>
      </c>
      <c r="L267" s="225">
        <f t="shared" si="850"/>
        <v>0</v>
      </c>
      <c r="M267" s="225">
        <f t="shared" si="850"/>
        <v>0</v>
      </c>
      <c r="N267" s="225">
        <f t="shared" si="850"/>
        <v>0</v>
      </c>
      <c r="O267" s="225">
        <f t="shared" si="850"/>
        <v>0</v>
      </c>
      <c r="P267" s="225">
        <f t="shared" si="850"/>
        <v>0</v>
      </c>
      <c r="Q267" s="225">
        <f t="shared" si="850"/>
        <v>0</v>
      </c>
      <c r="R267" s="225">
        <f t="shared" si="850"/>
        <v>0</v>
      </c>
      <c r="S267" s="225">
        <f t="shared" si="850"/>
        <v>0</v>
      </c>
      <c r="T267" s="225">
        <f t="shared" si="850"/>
        <v>0</v>
      </c>
      <c r="U267" s="225">
        <f t="shared" si="850"/>
        <v>0</v>
      </c>
      <c r="V267" s="225">
        <f t="shared" si="850"/>
        <v>0</v>
      </c>
      <c r="W267" s="225">
        <f t="shared" si="850"/>
        <v>0</v>
      </c>
      <c r="X267" s="225">
        <f t="shared" si="850"/>
        <v>0</v>
      </c>
      <c r="Y267" s="225">
        <f t="shared" si="850"/>
        <v>0</v>
      </c>
      <c r="Z267" s="225">
        <f t="shared" si="850"/>
        <v>0</v>
      </c>
      <c r="AA267" s="225">
        <f t="shared" si="850"/>
        <v>0</v>
      </c>
      <c r="AB267" s="225">
        <f t="shared" si="850"/>
        <v>0</v>
      </c>
      <c r="AC267" s="225">
        <f t="shared" si="850"/>
        <v>0</v>
      </c>
      <c r="AD267" s="225">
        <f t="shared" si="850"/>
        <v>0</v>
      </c>
      <c r="AE267" s="225">
        <f t="shared" si="850"/>
        <v>0</v>
      </c>
      <c r="AF267" s="225">
        <f t="shared" si="850"/>
        <v>0</v>
      </c>
      <c r="AG267" s="225">
        <f t="shared" si="850"/>
        <v>0</v>
      </c>
      <c r="AH267" s="225">
        <f t="shared" si="850"/>
        <v>0</v>
      </c>
      <c r="AI267" s="225">
        <f t="shared" si="850"/>
        <v>0</v>
      </c>
      <c r="AJ267" s="225">
        <f t="shared" si="850"/>
        <v>0</v>
      </c>
      <c r="AK267" s="225">
        <f t="shared" si="850"/>
        <v>0</v>
      </c>
      <c r="AL267" s="225">
        <f t="shared" si="850"/>
        <v>0</v>
      </c>
      <c r="AM267" s="225">
        <f t="shared" si="850"/>
        <v>0</v>
      </c>
      <c r="AN267" s="225">
        <f t="shared" si="850"/>
        <v>0</v>
      </c>
      <c r="AO267" s="225">
        <f t="shared" si="850"/>
        <v>0</v>
      </c>
      <c r="AP267" s="225">
        <f t="shared" si="850"/>
        <v>0</v>
      </c>
    </row>
    <row r="268" spans="1:42">
      <c r="A268" s="226" t="s">
        <v>53</v>
      </c>
      <c r="C268" s="216">
        <f>SUM(C264:C267)</f>
        <v>0</v>
      </c>
      <c r="D268" s="216">
        <f t="shared" ref="D268:AL268" si="851">SUM(D264:D267)</f>
        <v>0</v>
      </c>
      <c r="E268" s="216">
        <f t="shared" si="851"/>
        <v>0</v>
      </c>
      <c r="F268" s="216">
        <f t="shared" si="851"/>
        <v>0</v>
      </c>
      <c r="G268" s="216">
        <f t="shared" si="851"/>
        <v>0</v>
      </c>
      <c r="H268" s="216">
        <f t="shared" si="851"/>
        <v>0</v>
      </c>
      <c r="I268" s="216">
        <f t="shared" si="851"/>
        <v>0</v>
      </c>
      <c r="J268" s="216">
        <f t="shared" si="851"/>
        <v>0</v>
      </c>
      <c r="K268" s="216">
        <f t="shared" si="851"/>
        <v>0</v>
      </c>
      <c r="L268" s="216">
        <f t="shared" si="851"/>
        <v>0</v>
      </c>
      <c r="M268" s="216">
        <f t="shared" si="851"/>
        <v>0</v>
      </c>
      <c r="N268" s="216">
        <f t="shared" si="851"/>
        <v>0</v>
      </c>
      <c r="O268" s="216">
        <f t="shared" si="851"/>
        <v>0</v>
      </c>
      <c r="P268" s="216">
        <f t="shared" si="851"/>
        <v>0</v>
      </c>
      <c r="Q268" s="216">
        <f t="shared" si="851"/>
        <v>0</v>
      </c>
      <c r="R268" s="216">
        <f t="shared" si="851"/>
        <v>0</v>
      </c>
      <c r="S268" s="216">
        <f t="shared" si="851"/>
        <v>0</v>
      </c>
      <c r="T268" s="216">
        <f t="shared" si="851"/>
        <v>0</v>
      </c>
      <c r="U268" s="216">
        <f t="shared" si="851"/>
        <v>0</v>
      </c>
      <c r="V268" s="216">
        <f t="shared" si="851"/>
        <v>0</v>
      </c>
      <c r="W268" s="216">
        <f t="shared" si="851"/>
        <v>0</v>
      </c>
      <c r="X268" s="216">
        <f t="shared" si="851"/>
        <v>0</v>
      </c>
      <c r="Y268" s="216">
        <f t="shared" si="851"/>
        <v>0</v>
      </c>
      <c r="Z268" s="216">
        <f t="shared" si="851"/>
        <v>0</v>
      </c>
      <c r="AA268" s="216">
        <f t="shared" si="851"/>
        <v>0</v>
      </c>
      <c r="AB268" s="216">
        <f t="shared" si="851"/>
        <v>0</v>
      </c>
      <c r="AC268" s="216">
        <f t="shared" si="851"/>
        <v>0</v>
      </c>
      <c r="AD268" s="216">
        <f t="shared" si="851"/>
        <v>0</v>
      </c>
      <c r="AE268" s="216">
        <f t="shared" si="851"/>
        <v>0</v>
      </c>
      <c r="AF268" s="216">
        <f t="shared" si="851"/>
        <v>0</v>
      </c>
      <c r="AG268" s="216">
        <f t="shared" si="851"/>
        <v>0</v>
      </c>
      <c r="AH268" s="216">
        <f t="shared" si="851"/>
        <v>0</v>
      </c>
      <c r="AI268" s="216">
        <f t="shared" si="851"/>
        <v>0</v>
      </c>
      <c r="AJ268" s="216">
        <f t="shared" si="851"/>
        <v>0</v>
      </c>
      <c r="AK268" s="216">
        <f t="shared" si="851"/>
        <v>0</v>
      </c>
      <c r="AL268" s="216">
        <f t="shared" si="851"/>
        <v>0</v>
      </c>
      <c r="AM268" s="216">
        <f>SUM(AM264:AM267)</f>
        <v>0</v>
      </c>
      <c r="AN268" s="216">
        <f t="shared" ref="AN268" si="852">SUM(AN264:AN267)</f>
        <v>0</v>
      </c>
      <c r="AO268" s="216">
        <f t="shared" ref="AO268" si="853">SUM(AO264:AO267)</f>
        <v>0</v>
      </c>
      <c r="AP268" s="216">
        <f t="shared" ref="AP268" si="854">SUM(AP264:AP267)</f>
        <v>0</v>
      </c>
    </row>
    <row r="269" spans="1:42">
      <c r="A269" s="219" t="s">
        <v>132</v>
      </c>
      <c r="C269" s="208">
        <f>C250+C256+C262+C268</f>
        <v>13791229.75</v>
      </c>
      <c r="D269" s="208">
        <f t="shared" ref="D269:AP269" si="855">D250+D256+D262+D268</f>
        <v>0</v>
      </c>
      <c r="E269" s="208">
        <f t="shared" si="855"/>
        <v>0</v>
      </c>
      <c r="F269" s="208">
        <f t="shared" si="855"/>
        <v>0</v>
      </c>
      <c r="G269" s="208">
        <f t="shared" si="855"/>
        <v>0</v>
      </c>
      <c r="H269" s="208">
        <f t="shared" si="855"/>
        <v>0</v>
      </c>
      <c r="I269" s="208">
        <f t="shared" si="855"/>
        <v>0</v>
      </c>
      <c r="J269" s="208">
        <f t="shared" si="855"/>
        <v>0</v>
      </c>
      <c r="K269" s="208">
        <f t="shared" si="855"/>
        <v>0</v>
      </c>
      <c r="L269" s="208">
        <f t="shared" si="855"/>
        <v>0</v>
      </c>
      <c r="M269" s="208">
        <f t="shared" si="855"/>
        <v>0</v>
      </c>
      <c r="N269" s="208">
        <f t="shared" si="855"/>
        <v>0</v>
      </c>
      <c r="O269" s="208">
        <f t="shared" si="855"/>
        <v>0</v>
      </c>
      <c r="P269" s="208">
        <f t="shared" si="855"/>
        <v>0</v>
      </c>
      <c r="Q269" s="208">
        <f t="shared" si="855"/>
        <v>0</v>
      </c>
      <c r="R269" s="208">
        <f t="shared" si="855"/>
        <v>0</v>
      </c>
      <c r="S269" s="208">
        <f t="shared" si="855"/>
        <v>0</v>
      </c>
      <c r="T269" s="208">
        <f t="shared" si="855"/>
        <v>0</v>
      </c>
      <c r="U269" s="208">
        <f t="shared" si="855"/>
        <v>0</v>
      </c>
      <c r="V269" s="208">
        <f t="shared" si="855"/>
        <v>0</v>
      </c>
      <c r="W269" s="208">
        <f t="shared" si="855"/>
        <v>0</v>
      </c>
      <c r="X269" s="208">
        <f t="shared" si="855"/>
        <v>0</v>
      </c>
      <c r="Y269" s="208">
        <f t="shared" si="855"/>
        <v>0</v>
      </c>
      <c r="Z269" s="208">
        <f t="shared" si="855"/>
        <v>0</v>
      </c>
      <c r="AA269" s="208">
        <f t="shared" si="855"/>
        <v>0</v>
      </c>
      <c r="AB269" s="208">
        <f t="shared" si="855"/>
        <v>0</v>
      </c>
      <c r="AC269" s="208">
        <f t="shared" si="855"/>
        <v>0</v>
      </c>
      <c r="AD269" s="208">
        <f t="shared" si="855"/>
        <v>0</v>
      </c>
      <c r="AE269" s="208">
        <f t="shared" si="855"/>
        <v>0</v>
      </c>
      <c r="AF269" s="208">
        <f t="shared" si="855"/>
        <v>0</v>
      </c>
      <c r="AG269" s="208">
        <f t="shared" si="855"/>
        <v>0</v>
      </c>
      <c r="AH269" s="208">
        <f t="shared" si="855"/>
        <v>0</v>
      </c>
      <c r="AI269" s="208">
        <f t="shared" si="855"/>
        <v>0</v>
      </c>
      <c r="AJ269" s="208">
        <f t="shared" si="855"/>
        <v>0</v>
      </c>
      <c r="AK269" s="208">
        <f t="shared" si="855"/>
        <v>0</v>
      </c>
      <c r="AL269" s="208">
        <f t="shared" si="855"/>
        <v>0</v>
      </c>
      <c r="AM269" s="208">
        <f t="shared" si="855"/>
        <v>0</v>
      </c>
      <c r="AN269" s="208">
        <f t="shared" si="855"/>
        <v>0</v>
      </c>
      <c r="AO269" s="208">
        <f t="shared" si="855"/>
        <v>0</v>
      </c>
      <c r="AP269" s="208">
        <f t="shared" si="855"/>
        <v>0</v>
      </c>
    </row>
    <row r="270" spans="1:42">
      <c r="A270" s="226"/>
      <c r="C270" s="208"/>
      <c r="D270" s="208"/>
      <c r="E270" s="208"/>
      <c r="F270" s="208"/>
      <c r="G270" s="208"/>
      <c r="H270" s="208"/>
      <c r="I270" s="208"/>
      <c r="J270" s="208"/>
      <c r="K270" s="208"/>
      <c r="L270" s="208"/>
      <c r="M270" s="208"/>
      <c r="N270" s="208"/>
      <c r="O270" s="208"/>
      <c r="P270" s="208"/>
      <c r="Q270" s="208"/>
      <c r="R270" s="208"/>
      <c r="S270" s="208"/>
      <c r="T270" s="208"/>
      <c r="U270" s="208"/>
      <c r="V270" s="208"/>
      <c r="W270" s="208"/>
      <c r="X270" s="208"/>
      <c r="Y270" s="208"/>
      <c r="Z270" s="208"/>
      <c r="AA270" s="208"/>
      <c r="AB270" s="208"/>
      <c r="AC270" s="208"/>
      <c r="AD270" s="208"/>
      <c r="AE270" s="208"/>
      <c r="AF270" s="208"/>
      <c r="AG270" s="208"/>
      <c r="AH270" s="208"/>
      <c r="AI270" s="208"/>
      <c r="AJ270" s="208"/>
      <c r="AK270" s="208"/>
      <c r="AL270" s="208"/>
      <c r="AM270" s="208"/>
      <c r="AN270" s="208"/>
      <c r="AO270" s="208"/>
      <c r="AP270" s="208"/>
    </row>
    <row r="271" spans="1:42">
      <c r="A271" s="219" t="s">
        <v>133</v>
      </c>
      <c r="C271" s="216">
        <f>C243+C269</f>
        <v>5548799.0391477216</v>
      </c>
      <c r="D271" s="216">
        <f t="shared" ref="D271:AP271" si="856">D243+D269</f>
        <v>-7571494.0535422955</v>
      </c>
      <c r="E271" s="216">
        <f t="shared" si="856"/>
        <v>-3080512.600274377</v>
      </c>
      <c r="F271" s="216">
        <f t="shared" si="856"/>
        <v>-287138.39442902664</v>
      </c>
      <c r="G271" s="216">
        <f t="shared" si="856"/>
        <v>-29408.064739091613</v>
      </c>
      <c r="H271" s="216">
        <f t="shared" si="856"/>
        <v>2153616.5476652128</v>
      </c>
      <c r="I271" s="216">
        <f t="shared" si="856"/>
        <v>4352646.1111390796</v>
      </c>
      <c r="J271" s="216">
        <f t="shared" si="856"/>
        <v>4670275.6392040309</v>
      </c>
      <c r="K271" s="216">
        <f t="shared" si="856"/>
        <v>4983954.755163488</v>
      </c>
      <c r="L271" s="216">
        <f t="shared" si="856"/>
        <v>5316024.3841895889</v>
      </c>
      <c r="M271" s="216">
        <f t="shared" si="856"/>
        <v>5678770.1310166279</v>
      </c>
      <c r="N271" s="216">
        <f t="shared" si="856"/>
        <v>5225574.9956494533</v>
      </c>
      <c r="O271" s="216">
        <f t="shared" si="856"/>
        <v>4940093.1055353312</v>
      </c>
      <c r="P271" s="216">
        <f t="shared" si="856"/>
        <v>5431620.2001465075</v>
      </c>
      <c r="Q271" s="216">
        <f t="shared" si="856"/>
        <v>4588572.9778479608</v>
      </c>
      <c r="R271" s="216">
        <f t="shared" si="856"/>
        <v>3950420.4109200784</v>
      </c>
      <c r="S271" s="216">
        <f t="shared" si="856"/>
        <v>5057956.0795250703</v>
      </c>
      <c r="T271" s="216">
        <f t="shared" si="856"/>
        <v>5777933.2956761699</v>
      </c>
      <c r="U271" s="216">
        <f t="shared" si="856"/>
        <v>5884242.3592695557</v>
      </c>
      <c r="V271" s="216">
        <f t="shared" si="856"/>
        <v>6366208.9080278762</v>
      </c>
      <c r="W271" s="216">
        <f t="shared" si="856"/>
        <v>6849406.8080107886</v>
      </c>
      <c r="X271" s="216">
        <f t="shared" si="856"/>
        <v>6977137.8012959072</v>
      </c>
      <c r="Y271" s="216">
        <f t="shared" si="856"/>
        <v>7115603.7509221379</v>
      </c>
      <c r="Z271" s="216">
        <f t="shared" si="856"/>
        <v>6556924.4163868232</v>
      </c>
      <c r="AA271" s="216">
        <f t="shared" si="856"/>
        <v>6199201.2092168024</v>
      </c>
      <c r="AB271" s="216">
        <f t="shared" si="856"/>
        <v>6764212.5585554093</v>
      </c>
      <c r="AC271" s="216">
        <f t="shared" si="856"/>
        <v>7125727.4669074221</v>
      </c>
      <c r="AD271" s="216">
        <f t="shared" si="856"/>
        <v>7224382.3836390777</v>
      </c>
      <c r="AE271" s="216">
        <f t="shared" si="856"/>
        <v>7560894.0735150892</v>
      </c>
      <c r="AF271" s="216">
        <f t="shared" si="856"/>
        <v>10208932.008822881</v>
      </c>
      <c r="AG271" s="216">
        <f t="shared" si="856"/>
        <v>0</v>
      </c>
      <c r="AH271" s="216">
        <f t="shared" si="856"/>
        <v>0</v>
      </c>
      <c r="AI271" s="216">
        <f t="shared" si="856"/>
        <v>0</v>
      </c>
      <c r="AJ271" s="216">
        <f t="shared" si="856"/>
        <v>0</v>
      </c>
      <c r="AK271" s="216">
        <f t="shared" si="856"/>
        <v>0</v>
      </c>
      <c r="AL271" s="216">
        <f t="shared" si="856"/>
        <v>0</v>
      </c>
      <c r="AM271" s="216">
        <f t="shared" si="856"/>
        <v>0</v>
      </c>
      <c r="AN271" s="216">
        <f t="shared" si="856"/>
        <v>0</v>
      </c>
      <c r="AO271" s="216">
        <f t="shared" si="856"/>
        <v>0</v>
      </c>
      <c r="AP271" s="216">
        <f t="shared" si="856"/>
        <v>0</v>
      </c>
    </row>
    <row r="272" spans="1:42">
      <c r="A272" s="219" t="s">
        <v>234</v>
      </c>
      <c r="C272" s="216">
        <f t="shared" ref="C272:AP272" si="857">C271*-FedTax</f>
        <v>-1942079.6637017024</v>
      </c>
      <c r="D272" s="216">
        <f t="shared" si="857"/>
        <v>2650022.9187398031</v>
      </c>
      <c r="E272" s="216">
        <f t="shared" si="857"/>
        <v>1078179.4100960318</v>
      </c>
      <c r="F272" s="216">
        <f t="shared" si="857"/>
        <v>100498.43805015931</v>
      </c>
      <c r="G272" s="216">
        <f t="shared" si="857"/>
        <v>10292.822658682064</v>
      </c>
      <c r="H272" s="216">
        <f t="shared" si="857"/>
        <v>-753765.79168282438</v>
      </c>
      <c r="I272" s="216">
        <f t="shared" si="857"/>
        <v>-1523426.1388986777</v>
      </c>
      <c r="J272" s="216">
        <f t="shared" si="857"/>
        <v>-1634596.4737214106</v>
      </c>
      <c r="K272" s="216">
        <f t="shared" si="857"/>
        <v>-1744384.1643072206</v>
      </c>
      <c r="L272" s="216">
        <f t="shared" si="857"/>
        <v>-1860608.534466356</v>
      </c>
      <c r="M272" s="216">
        <f t="shared" si="857"/>
        <v>-1987569.5458558197</v>
      </c>
      <c r="N272" s="216">
        <f t="shared" si="857"/>
        <v>-1828951.2484773085</v>
      </c>
      <c r="O272" s="216">
        <f t="shared" si="857"/>
        <v>-1729032.5869373658</v>
      </c>
      <c r="P272" s="216">
        <f t="shared" si="857"/>
        <v>-1901067.0700512775</v>
      </c>
      <c r="Q272" s="216">
        <f t="shared" si="857"/>
        <v>-1606000.5422467862</v>
      </c>
      <c r="R272" s="216">
        <f t="shared" si="857"/>
        <v>-1382647.1438220274</v>
      </c>
      <c r="S272" s="216">
        <f t="shared" si="857"/>
        <v>-1770284.6278337745</v>
      </c>
      <c r="T272" s="216">
        <f t="shared" si="857"/>
        <v>-2022276.6534866593</v>
      </c>
      <c r="U272" s="216">
        <f t="shared" si="857"/>
        <v>-2059484.8257443444</v>
      </c>
      <c r="V272" s="216">
        <f t="shared" si="857"/>
        <v>-2228173.1178097567</v>
      </c>
      <c r="W272" s="216">
        <f t="shared" si="857"/>
        <v>-2397292.3828037758</v>
      </c>
      <c r="X272" s="216">
        <f t="shared" si="857"/>
        <v>-2441998.2304535676</v>
      </c>
      <c r="Y272" s="216">
        <f t="shared" si="857"/>
        <v>-2490461.312822748</v>
      </c>
      <c r="Z272" s="216">
        <f t="shared" si="857"/>
        <v>-2294923.5457353881</v>
      </c>
      <c r="AA272" s="216">
        <f t="shared" si="857"/>
        <v>-2169720.4232258806</v>
      </c>
      <c r="AB272" s="216">
        <f t="shared" si="857"/>
        <v>-2367474.3954943931</v>
      </c>
      <c r="AC272" s="216">
        <f t="shared" si="857"/>
        <v>-2494004.6134175975</v>
      </c>
      <c r="AD272" s="216">
        <f t="shared" si="857"/>
        <v>-2528533.8342736769</v>
      </c>
      <c r="AE272" s="216">
        <f t="shared" si="857"/>
        <v>-2646312.925730281</v>
      </c>
      <c r="AF272" s="216">
        <f t="shared" si="857"/>
        <v>-3573126.2030880079</v>
      </c>
      <c r="AG272" s="216">
        <f t="shared" si="857"/>
        <v>0</v>
      </c>
      <c r="AH272" s="216">
        <f t="shared" si="857"/>
        <v>0</v>
      </c>
      <c r="AI272" s="216">
        <f t="shared" si="857"/>
        <v>0</v>
      </c>
      <c r="AJ272" s="216">
        <f t="shared" si="857"/>
        <v>0</v>
      </c>
      <c r="AK272" s="216">
        <f t="shared" si="857"/>
        <v>0</v>
      </c>
      <c r="AL272" s="216">
        <f t="shared" si="857"/>
        <v>0</v>
      </c>
      <c r="AM272" s="216">
        <f t="shared" si="857"/>
        <v>0</v>
      </c>
      <c r="AN272" s="216">
        <f t="shared" si="857"/>
        <v>0</v>
      </c>
      <c r="AO272" s="216">
        <f t="shared" si="857"/>
        <v>0</v>
      </c>
      <c r="AP272" s="216">
        <f t="shared" si="857"/>
        <v>0</v>
      </c>
    </row>
    <row r="273" spans="1:42">
      <c r="A273" s="226"/>
      <c r="C273" s="208"/>
      <c r="D273" s="208"/>
      <c r="E273" s="208"/>
      <c r="F273" s="208"/>
      <c r="G273" s="208"/>
      <c r="H273" s="208"/>
      <c r="I273" s="208"/>
      <c r="J273" s="208"/>
      <c r="K273" s="208"/>
      <c r="L273" s="208"/>
      <c r="M273" s="208"/>
      <c r="N273" s="208"/>
      <c r="O273" s="208"/>
      <c r="P273" s="208"/>
      <c r="Q273" s="208"/>
      <c r="R273" s="208"/>
      <c r="S273" s="208"/>
      <c r="T273" s="208"/>
      <c r="U273" s="208"/>
      <c r="V273" s="208"/>
      <c r="W273" s="208"/>
      <c r="X273" s="208"/>
      <c r="Y273" s="208"/>
      <c r="Z273" s="208"/>
      <c r="AA273" s="208"/>
      <c r="AB273" s="208"/>
      <c r="AC273" s="208"/>
      <c r="AD273" s="208"/>
      <c r="AE273" s="208"/>
      <c r="AF273" s="208"/>
      <c r="AG273" s="208"/>
      <c r="AH273" s="208"/>
      <c r="AI273" s="208"/>
      <c r="AJ273" s="208"/>
      <c r="AK273" s="208"/>
      <c r="AL273" s="208"/>
      <c r="AM273" s="208"/>
      <c r="AN273" s="208"/>
      <c r="AO273" s="208"/>
      <c r="AP273" s="208"/>
    </row>
    <row r="274" spans="1:42">
      <c r="A274" s="201" t="s">
        <v>139</v>
      </c>
    </row>
    <row r="275" spans="1:42">
      <c r="A275" s="217" t="s">
        <v>140</v>
      </c>
    </row>
    <row r="276" spans="1:42">
      <c r="A276" s="37" t="s">
        <v>83</v>
      </c>
    </row>
    <row r="277" spans="1:42" ht="51">
      <c r="B277" s="133" t="s">
        <v>157</v>
      </c>
      <c r="C277" s="133" t="s">
        <v>153</v>
      </c>
      <c r="D277" s="133" t="s">
        <v>155</v>
      </c>
      <c r="E277" s="228" t="s">
        <v>156</v>
      </c>
      <c r="F277" s="133" t="s">
        <v>158</v>
      </c>
      <c r="G277" s="229" t="s">
        <v>175</v>
      </c>
      <c r="H277" s="229" t="s">
        <v>176</v>
      </c>
      <c r="I277" s="133" t="s">
        <v>159</v>
      </c>
      <c r="J277" s="230" t="s">
        <v>332</v>
      </c>
      <c r="K277" s="133" t="s">
        <v>337</v>
      </c>
    </row>
    <row r="278" spans="1:42">
      <c r="A278" s="206" t="str">
        <f>'Inputs &amp; Results'!A212</f>
        <v>5-yr MACRS</v>
      </c>
      <c r="B278" s="231">
        <f t="shared" ref="B278:B282" si="858">C278/$C$285</f>
        <v>0.91752577319587614</v>
      </c>
      <c r="C278" s="208">
        <f>'Inputs &amp; Results'!C221</f>
        <v>39593328.638062894</v>
      </c>
      <c r="D278" s="208">
        <f t="shared" ref="D278:E283" si="859">$B278*D$285</f>
        <v>0</v>
      </c>
      <c r="E278" s="208">
        <f t="shared" si="859"/>
        <v>0</v>
      </c>
      <c r="F278" s="165">
        <f>C278-D278-E278</f>
        <v>39593328.638062894</v>
      </c>
      <c r="G278" s="208">
        <f t="shared" ref="G278:G283" si="860">IF(ITCStateFixedStateDeprec="Yes",K548,0)+IF(ITCStatePercentStateDeprec="Yes",I548,0)</f>
        <v>10000</v>
      </c>
      <c r="H278" s="208">
        <f t="shared" ref="H278:H283" si="861">IF(ITCFedFixedStateDeprec="Yes",K583,0)+IF(ITCFedPercentStateDeprec="Yes",I583,0)</f>
        <v>0</v>
      </c>
      <c r="I278" s="232">
        <f>F278-G278-H278</f>
        <v>39583328.638062894</v>
      </c>
      <c r="J278" s="208">
        <f>IF('Inputs &amp; Results'!B233="Yes",I278*StateBonusDeprec,0)</f>
        <v>1979166.4319031448</v>
      </c>
      <c r="K278" s="165">
        <f>I278-J278</f>
        <v>37604162.206159748</v>
      </c>
    </row>
    <row r="279" spans="1:42">
      <c r="A279" s="206" t="str">
        <f>'Inputs &amp; Results'!A213</f>
        <v>15-yr MACRS</v>
      </c>
      <c r="B279" s="231">
        <f t="shared" si="858"/>
        <v>1.5463917525773193E-2</v>
      </c>
      <c r="C279" s="208">
        <f>'Inputs &amp; Results'!C222</f>
        <v>667303.29165274545</v>
      </c>
      <c r="D279" s="208">
        <f t="shared" si="859"/>
        <v>0</v>
      </c>
      <c r="E279" s="208">
        <f t="shared" si="859"/>
        <v>0</v>
      </c>
      <c r="F279" s="165">
        <f t="shared" ref="F279:F283" si="862">C279-D279-E279</f>
        <v>667303.29165274545</v>
      </c>
      <c r="G279" s="208">
        <f t="shared" si="860"/>
        <v>0</v>
      </c>
      <c r="H279" s="208">
        <f t="shared" si="861"/>
        <v>0</v>
      </c>
      <c r="I279" s="165">
        <f t="shared" ref="I279:I283" si="863">F279-G279-H279</f>
        <v>667303.29165274545</v>
      </c>
      <c r="J279" s="208">
        <f>IF('Inputs &amp; Results'!B234="Yes",I279*StateBonusDeprec,0)</f>
        <v>0</v>
      </c>
      <c r="K279" s="165">
        <f t="shared" ref="K279:K283" si="864">I279-J279</f>
        <v>667303.29165274545</v>
      </c>
    </row>
    <row r="280" spans="1:42">
      <c r="A280" s="206" t="str">
        <f>'Inputs &amp; Results'!A214</f>
        <v>5-yr SL</v>
      </c>
      <c r="B280" s="231">
        <f t="shared" si="858"/>
        <v>0</v>
      </c>
      <c r="C280" s="208">
        <f>'Inputs &amp; Results'!C223</f>
        <v>0</v>
      </c>
      <c r="D280" s="208">
        <f t="shared" si="859"/>
        <v>0</v>
      </c>
      <c r="E280" s="208">
        <f t="shared" si="859"/>
        <v>0</v>
      </c>
      <c r="F280" s="165">
        <f t="shared" si="862"/>
        <v>0</v>
      </c>
      <c r="G280" s="208">
        <f t="shared" si="860"/>
        <v>0</v>
      </c>
      <c r="H280" s="208">
        <f t="shared" si="861"/>
        <v>0</v>
      </c>
      <c r="I280" s="165">
        <f t="shared" si="863"/>
        <v>0</v>
      </c>
      <c r="J280" s="208">
        <f>IF('Inputs &amp; Results'!B235="Yes",I280*StateBonusDeprec,0)</f>
        <v>0</v>
      </c>
      <c r="K280" s="165">
        <f t="shared" si="864"/>
        <v>0</v>
      </c>
    </row>
    <row r="281" spans="1:42">
      <c r="A281" s="206" t="str">
        <f>'Inputs &amp; Results'!A215</f>
        <v>15-yr SL</v>
      </c>
      <c r="B281" s="231">
        <f t="shared" si="858"/>
        <v>3.0927835051546386E-2</v>
      </c>
      <c r="C281" s="208">
        <f>'Inputs &amp; Results'!C224</f>
        <v>1334606.5833054909</v>
      </c>
      <c r="D281" s="208">
        <f t="shared" si="859"/>
        <v>0</v>
      </c>
      <c r="E281" s="208">
        <f t="shared" si="859"/>
        <v>0</v>
      </c>
      <c r="F281" s="165">
        <f t="shared" si="862"/>
        <v>1334606.5833054909</v>
      </c>
      <c r="G281" s="208">
        <f t="shared" si="860"/>
        <v>0</v>
      </c>
      <c r="H281" s="208">
        <f t="shared" si="861"/>
        <v>0</v>
      </c>
      <c r="I281" s="165">
        <f t="shared" si="863"/>
        <v>1334606.5833054909</v>
      </c>
      <c r="J281" s="208">
        <f>IF('Inputs &amp; Results'!B236="Yes",I281*StateBonusDeprec,0)</f>
        <v>0</v>
      </c>
      <c r="K281" s="165">
        <f t="shared" si="864"/>
        <v>1334606.5833054909</v>
      </c>
    </row>
    <row r="282" spans="1:42">
      <c r="A282" s="206" t="str">
        <f>'Inputs &amp; Results'!A216</f>
        <v>20-yr SL</v>
      </c>
      <c r="B282" s="231">
        <f t="shared" si="858"/>
        <v>3.0927835051546386E-2</v>
      </c>
      <c r="C282" s="208">
        <f>'Inputs &amp; Results'!C225</f>
        <v>1334606.5833054909</v>
      </c>
      <c r="D282" s="208">
        <f t="shared" si="859"/>
        <v>0</v>
      </c>
      <c r="E282" s="208">
        <f t="shared" si="859"/>
        <v>0</v>
      </c>
      <c r="F282" s="165">
        <f t="shared" si="862"/>
        <v>1334606.5833054909</v>
      </c>
      <c r="G282" s="208">
        <f t="shared" si="860"/>
        <v>0</v>
      </c>
      <c r="H282" s="208">
        <f t="shared" si="861"/>
        <v>0</v>
      </c>
      <c r="I282" s="165">
        <f t="shared" si="863"/>
        <v>1334606.5833054909</v>
      </c>
      <c r="J282" s="208">
        <f>IF('Inputs &amp; Results'!B237="Yes",I282*StateBonusDeprec,0)</f>
        <v>0</v>
      </c>
      <c r="K282" s="165">
        <f t="shared" si="864"/>
        <v>1334606.5833054909</v>
      </c>
    </row>
    <row r="283" spans="1:42">
      <c r="A283" s="206" t="str">
        <f>'Inputs &amp; Results'!A217</f>
        <v>39-yr SL</v>
      </c>
      <c r="B283" s="231">
        <f>C283/$C$285</f>
        <v>5.1546391752577319E-3</v>
      </c>
      <c r="C283" s="208">
        <f>'Inputs &amp; Results'!C226</f>
        <v>222434.43055091516</v>
      </c>
      <c r="D283" s="208">
        <f t="shared" si="859"/>
        <v>0</v>
      </c>
      <c r="E283" s="208">
        <f t="shared" si="859"/>
        <v>0</v>
      </c>
      <c r="F283" s="165">
        <f t="shared" si="862"/>
        <v>222434.43055091516</v>
      </c>
      <c r="G283" s="208">
        <f t="shared" si="860"/>
        <v>0</v>
      </c>
      <c r="H283" s="208">
        <f t="shared" si="861"/>
        <v>0</v>
      </c>
      <c r="I283" s="165">
        <f t="shared" si="863"/>
        <v>222434.43055091516</v>
      </c>
      <c r="J283" s="208">
        <f>IF('Inputs &amp; Results'!B238="Yes",I283*StateBonusDeprec,0)</f>
        <v>0</v>
      </c>
      <c r="K283" s="165">
        <f t="shared" si="864"/>
        <v>222434.43055091516</v>
      </c>
      <c r="N283" s="271"/>
    </row>
    <row r="284" spans="1:42">
      <c r="A284" s="301" t="s">
        <v>391</v>
      </c>
      <c r="B284" s="233"/>
      <c r="C284" s="234"/>
      <c r="D284" s="235"/>
      <c r="E284" s="235"/>
      <c r="F284" s="103"/>
      <c r="G284" s="235"/>
      <c r="H284" s="235"/>
      <c r="I284" s="103"/>
      <c r="J284" s="235"/>
      <c r="K284" s="103"/>
    </row>
    <row r="285" spans="1:42">
      <c r="B285" s="236">
        <f>SUM(B278:B284)</f>
        <v>0.99999999999999978</v>
      </c>
      <c r="C285" s="209">
        <f>SUM(C278:C284)</f>
        <v>43152279.526877545</v>
      </c>
      <c r="D285" s="209">
        <f>B294+B300</f>
        <v>0</v>
      </c>
      <c r="E285" s="209">
        <f>B306</f>
        <v>0</v>
      </c>
      <c r="F285" s="237">
        <f t="shared" ref="F285:K285" si="865">SUM(F278:F284)</f>
        <v>43152279.526877545</v>
      </c>
      <c r="G285" s="209">
        <f t="shared" si="865"/>
        <v>10000</v>
      </c>
      <c r="H285" s="209">
        <f t="shared" si="865"/>
        <v>0</v>
      </c>
      <c r="I285" s="237">
        <f t="shared" si="865"/>
        <v>43142279.526877545</v>
      </c>
      <c r="J285" s="237">
        <f t="shared" si="865"/>
        <v>1979166.4319031448</v>
      </c>
      <c r="K285" s="237">
        <f t="shared" si="865"/>
        <v>41163113.094974399</v>
      </c>
    </row>
    <row r="287" spans="1:42">
      <c r="A287" s="37" t="s">
        <v>171</v>
      </c>
    </row>
    <row r="288" spans="1:42">
      <c r="A288" s="206" t="str">
        <f>A628</f>
        <v>Investment Based Incentive (IBI)</v>
      </c>
    </row>
    <row r="289" spans="1:2">
      <c r="A289" s="222" t="str">
        <f t="shared" ref="A289:A305" si="866">A629</f>
        <v>Fixed Amount ($)</v>
      </c>
    </row>
    <row r="290" spans="1:2">
      <c r="A290" s="238" t="str">
        <f t="shared" si="866"/>
        <v>Federal</v>
      </c>
      <c r="B290" s="164">
        <f>IF(IBIFedFixedStateDeprec="Yes",IBIFedFixed,0)</f>
        <v>0</v>
      </c>
    </row>
    <row r="291" spans="1:2">
      <c r="A291" s="238" t="str">
        <f t="shared" si="866"/>
        <v>State</v>
      </c>
      <c r="B291" s="164">
        <f>IF(IBIStateFixedStateDeprec="Yes",IBIStateFixed,0)</f>
        <v>0</v>
      </c>
    </row>
    <row r="292" spans="1:2">
      <c r="A292" s="238" t="str">
        <f t="shared" si="866"/>
        <v>Utility</v>
      </c>
      <c r="B292" s="164">
        <f>IF(IBIUtilityFixedStateDeprec="Yes",IBIUtilityFixed,0)</f>
        <v>0</v>
      </c>
    </row>
    <row r="293" spans="1:2">
      <c r="A293" s="238" t="str">
        <f t="shared" si="866"/>
        <v>Other</v>
      </c>
      <c r="B293" s="209">
        <f>IF(IBIOtherFixedStateDeprec="Yes",IBIOtherFixed,0)</f>
        <v>0</v>
      </c>
    </row>
    <row r="294" spans="1:2">
      <c r="A294" s="238" t="str">
        <f t="shared" si="866"/>
        <v>Total</v>
      </c>
      <c r="B294" s="164">
        <f>SUM(B290:B293)</f>
        <v>0</v>
      </c>
    </row>
    <row r="295" spans="1:2">
      <c r="A295" s="222" t="str">
        <f t="shared" si="866"/>
        <v>Percentage of Pre-Financing Costs</v>
      </c>
    </row>
    <row r="296" spans="1:2">
      <c r="A296" s="238" t="str">
        <f t="shared" si="866"/>
        <v>Federal</v>
      </c>
      <c r="B296" s="164">
        <f>IF(IBIFedPercentStateDeprec="Yes",IBIFedPercent,0)</f>
        <v>0</v>
      </c>
    </row>
    <row r="297" spans="1:2">
      <c r="A297" s="238" t="str">
        <f>A637</f>
        <v>State</v>
      </c>
      <c r="B297" s="164">
        <f>IF(IBIStatePercentStateDeprec="Yes",IBIStatePercent,0)</f>
        <v>0</v>
      </c>
    </row>
    <row r="298" spans="1:2">
      <c r="A298" s="238" t="str">
        <f t="shared" si="866"/>
        <v>Utility</v>
      </c>
      <c r="B298" s="164">
        <f>IF(IBIUtilityPercentStateDeprec="Yes",IBIUtilityPercent,0)</f>
        <v>0</v>
      </c>
    </row>
    <row r="299" spans="1:2">
      <c r="A299" s="238" t="str">
        <f t="shared" si="866"/>
        <v>Other</v>
      </c>
      <c r="B299" s="209">
        <f>IF(IBIOtherPercentStateDeprec="Yes",IBIOtherPercent,0)</f>
        <v>0</v>
      </c>
    </row>
    <row r="300" spans="1:2">
      <c r="A300" s="238" t="str">
        <f t="shared" si="866"/>
        <v>Total</v>
      </c>
      <c r="B300" s="164">
        <f>SUM(B296:B299)</f>
        <v>0</v>
      </c>
    </row>
    <row r="301" spans="1:2">
      <c r="A301" s="206" t="str">
        <f t="shared" si="866"/>
        <v>Capacity Based Incentive (CBI)</v>
      </c>
    </row>
    <row r="302" spans="1:2">
      <c r="A302" s="222" t="str">
        <f t="shared" si="866"/>
        <v>Federal</v>
      </c>
      <c r="B302" s="164">
        <f>IF(CBIFedStateDeprec="Yes",CBIFed,0)</f>
        <v>0</v>
      </c>
    </row>
    <row r="303" spans="1:2">
      <c r="A303" s="222" t="str">
        <f>A643</f>
        <v>State</v>
      </c>
      <c r="B303" s="164">
        <f>IF(CBIStateStateDeprec="Yes",CBIState,0)</f>
        <v>0</v>
      </c>
    </row>
    <row r="304" spans="1:2">
      <c r="A304" s="222" t="str">
        <f t="shared" si="866"/>
        <v>Utility</v>
      </c>
      <c r="B304" s="164">
        <f>IF(CBIUtilityStateDeprec="Yes",CBIUtility,0)</f>
        <v>0</v>
      </c>
    </row>
    <row r="305" spans="1:42">
      <c r="A305" s="222" t="str">
        <f t="shared" si="866"/>
        <v>Other</v>
      </c>
      <c r="B305" s="209">
        <f>IF(CBIOtherStateDeprec="Yes",CBIOther,0)</f>
        <v>0</v>
      </c>
    </row>
    <row r="306" spans="1:42">
      <c r="A306" s="222" t="str">
        <f>A646</f>
        <v>Total</v>
      </c>
      <c r="B306" s="216">
        <f>SUM(B302:B305)</f>
        <v>0</v>
      </c>
    </row>
    <row r="307" spans="1:42">
      <c r="A307" s="206" t="s">
        <v>154</v>
      </c>
      <c r="B307" s="164">
        <f>B294+B300+B306</f>
        <v>0</v>
      </c>
    </row>
    <row r="309" spans="1:42">
      <c r="A309" s="37" t="s">
        <v>263</v>
      </c>
    </row>
    <row r="310" spans="1:42">
      <c r="A310" s="206" t="s">
        <v>160</v>
      </c>
    </row>
    <row r="311" spans="1:42">
      <c r="A311" s="227" t="str">
        <f>A278</f>
        <v>5-yr MACRS</v>
      </c>
      <c r="B311" s="239">
        <f>SUM(C311:AP311)</f>
        <v>0.99999999999999989</v>
      </c>
      <c r="C311" s="240">
        <f>LOOKUP(C$2,'Depreciation Schedules'!$A$3:$A$42,'Depreciation Schedules'!$B$3:$B$42)</f>
        <v>0.2</v>
      </c>
      <c r="D311" s="240">
        <f>LOOKUP(D$2,'Depreciation Schedules'!$A$3:$A$42,'Depreciation Schedules'!$B$3:$B$42)</f>
        <v>0.32</v>
      </c>
      <c r="E311" s="240">
        <f>LOOKUP(E$2,'Depreciation Schedules'!$A$3:$A$42,'Depreciation Schedules'!$B$3:$B$42)</f>
        <v>0.192</v>
      </c>
      <c r="F311" s="240">
        <f>LOOKUP(F$2,'Depreciation Schedules'!$A$3:$A$42,'Depreciation Schedules'!$B$3:$B$42)</f>
        <v>0.1152</v>
      </c>
      <c r="G311" s="240">
        <f>LOOKUP(G$2,'Depreciation Schedules'!$A$3:$A$42,'Depreciation Schedules'!$B$3:$B$42)</f>
        <v>0.1152</v>
      </c>
      <c r="H311" s="240">
        <f>LOOKUP(H$2,'Depreciation Schedules'!$A$3:$A$42,'Depreciation Schedules'!$B$3:$B$42)</f>
        <v>5.7599999999999998E-2</v>
      </c>
      <c r="I311" s="240">
        <f>LOOKUP(I$2,'Depreciation Schedules'!$A$3:$A$42,'Depreciation Schedules'!$B$3:$B$42)</f>
        <v>0</v>
      </c>
      <c r="J311" s="240">
        <f>LOOKUP(J$2,'Depreciation Schedules'!$A$3:$A$42,'Depreciation Schedules'!$B$3:$B$42)</f>
        <v>0</v>
      </c>
      <c r="K311" s="240">
        <f>LOOKUP(K$2,'Depreciation Schedules'!$A$3:$A$42,'Depreciation Schedules'!$B$3:$B$42)</f>
        <v>0</v>
      </c>
      <c r="L311" s="240">
        <f>LOOKUP(L$2,'Depreciation Schedules'!$A$3:$A$42,'Depreciation Schedules'!$B$3:$B$42)</f>
        <v>0</v>
      </c>
      <c r="M311" s="240">
        <f>LOOKUP(M$2,'Depreciation Schedules'!$A$3:$A$42,'Depreciation Schedules'!$B$3:$B$42)</f>
        <v>0</v>
      </c>
      <c r="N311" s="240">
        <f>LOOKUP(N$2,'Depreciation Schedules'!$A$3:$A$42,'Depreciation Schedules'!$B$3:$B$42)</f>
        <v>0</v>
      </c>
      <c r="O311" s="240">
        <f>LOOKUP(O$2,'Depreciation Schedules'!$A$3:$A$42,'Depreciation Schedules'!$B$3:$B$42)</f>
        <v>0</v>
      </c>
      <c r="P311" s="240">
        <f>LOOKUP(P$2,'Depreciation Schedules'!$A$3:$A$42,'Depreciation Schedules'!$B$3:$B$42)</f>
        <v>0</v>
      </c>
      <c r="Q311" s="240">
        <f>LOOKUP(Q$2,'Depreciation Schedules'!$A$3:$A$42,'Depreciation Schedules'!$B$3:$B$42)</f>
        <v>0</v>
      </c>
      <c r="R311" s="240">
        <f>LOOKUP(R$2,'Depreciation Schedules'!$A$3:$A$42,'Depreciation Schedules'!$B$3:$B$42)</f>
        <v>0</v>
      </c>
      <c r="S311" s="240">
        <f>LOOKUP(S$2,'Depreciation Schedules'!$A$3:$A$42,'Depreciation Schedules'!$B$3:$B$42)</f>
        <v>0</v>
      </c>
      <c r="T311" s="240">
        <f>LOOKUP(T$2,'Depreciation Schedules'!$A$3:$A$42,'Depreciation Schedules'!$B$3:$B$42)</f>
        <v>0</v>
      </c>
      <c r="U311" s="240">
        <f>LOOKUP(U$2,'Depreciation Schedules'!$A$3:$A$42,'Depreciation Schedules'!$B$3:$B$42)</f>
        <v>0</v>
      </c>
      <c r="V311" s="240">
        <f>LOOKUP(V$2,'Depreciation Schedules'!$A$3:$A$42,'Depreciation Schedules'!$B$3:$B$42)</f>
        <v>0</v>
      </c>
      <c r="W311" s="240">
        <f>LOOKUP(W$2,'Depreciation Schedules'!$A$3:$A$42,'Depreciation Schedules'!$B$3:$B$42)</f>
        <v>0</v>
      </c>
      <c r="X311" s="240">
        <f>LOOKUP(X$2,'Depreciation Schedules'!$A$3:$A$42,'Depreciation Schedules'!$B$3:$B$42)</f>
        <v>0</v>
      </c>
      <c r="Y311" s="240">
        <f>LOOKUP(Y$2,'Depreciation Schedules'!$A$3:$A$42,'Depreciation Schedules'!$B$3:$B$42)</f>
        <v>0</v>
      </c>
      <c r="Z311" s="240">
        <f>LOOKUP(Z$2,'Depreciation Schedules'!$A$3:$A$42,'Depreciation Schedules'!$B$3:$B$42)</f>
        <v>0</v>
      </c>
      <c r="AA311" s="240">
        <f>LOOKUP(AA$2,'Depreciation Schedules'!$A$3:$A$42,'Depreciation Schedules'!$B$3:$B$42)</f>
        <v>0</v>
      </c>
      <c r="AB311" s="240">
        <f>LOOKUP(AB$2,'Depreciation Schedules'!$A$3:$A$42,'Depreciation Schedules'!$B$3:$B$42)</f>
        <v>0</v>
      </c>
      <c r="AC311" s="240">
        <f>LOOKUP(AC$2,'Depreciation Schedules'!$A$3:$A$42,'Depreciation Schedules'!$B$3:$B$42)</f>
        <v>0</v>
      </c>
      <c r="AD311" s="240">
        <f>LOOKUP(AD$2,'Depreciation Schedules'!$A$3:$A$42,'Depreciation Schedules'!$B$3:$B$42)</f>
        <v>0</v>
      </c>
      <c r="AE311" s="240">
        <f>LOOKUP(AE$2,'Depreciation Schedules'!$A$3:$A$42,'Depreciation Schedules'!$B$3:$B$42)</f>
        <v>0</v>
      </c>
      <c r="AF311" s="240">
        <f>LOOKUP(AF$2,'Depreciation Schedules'!$A$3:$A$42,'Depreciation Schedules'!$B$3:$B$42)</f>
        <v>0</v>
      </c>
      <c r="AG311" s="240">
        <f>LOOKUP(AG$2,'Depreciation Schedules'!$A$3:$A$42,'Depreciation Schedules'!$B$3:$B$42)</f>
        <v>0</v>
      </c>
      <c r="AH311" s="240">
        <f>LOOKUP(AH$2,'Depreciation Schedules'!$A$3:$A$42,'Depreciation Schedules'!$B$3:$B$42)</f>
        <v>0</v>
      </c>
      <c r="AI311" s="240">
        <f>LOOKUP(AI$2,'Depreciation Schedules'!$A$3:$A$42,'Depreciation Schedules'!$B$3:$B$42)</f>
        <v>0</v>
      </c>
      <c r="AJ311" s="240">
        <f>LOOKUP(AJ$2,'Depreciation Schedules'!$A$3:$A$42,'Depreciation Schedules'!$B$3:$B$42)</f>
        <v>0</v>
      </c>
      <c r="AK311" s="240">
        <f>LOOKUP(AK$2,'Depreciation Schedules'!$A$3:$A$42,'Depreciation Schedules'!$B$3:$B$42)</f>
        <v>0</v>
      </c>
      <c r="AL311" s="240">
        <f>LOOKUP(AL$2,'Depreciation Schedules'!$A$3:$A$42,'Depreciation Schedules'!$B$3:$B$42)</f>
        <v>0</v>
      </c>
      <c r="AM311" s="240">
        <f>LOOKUP(AM$2,'Depreciation Schedules'!$A$3:$A$42,'Depreciation Schedules'!$B$3:$B$42)</f>
        <v>0</v>
      </c>
      <c r="AN311" s="240">
        <f>LOOKUP(AN$2,'Depreciation Schedules'!$A$3:$A$42,'Depreciation Schedules'!$B$3:$B$42)</f>
        <v>0</v>
      </c>
      <c r="AO311" s="240">
        <f>LOOKUP(AO$2,'Depreciation Schedules'!$A$3:$A$42,'Depreciation Schedules'!$B$3:$B$42)</f>
        <v>0</v>
      </c>
      <c r="AP311" s="240">
        <f>LOOKUP(AP$2,'Depreciation Schedules'!$A$3:$A$42,'Depreciation Schedules'!$B$3:$B$42)</f>
        <v>0</v>
      </c>
    </row>
    <row r="312" spans="1:42">
      <c r="A312" s="227" t="str">
        <f t="shared" ref="A312:A316" si="867">A279</f>
        <v>15-yr MACRS</v>
      </c>
      <c r="B312" s="241">
        <f t="shared" ref="B312:B316" si="868">SUM(C312:AP312)</f>
        <v>1.0000000000000002</v>
      </c>
      <c r="C312" s="240">
        <f>LOOKUP(C$2,'Depreciation Schedules'!$A$3:$A$42,'Depreciation Schedules'!$C$3:$C$42)</f>
        <v>0.05</v>
      </c>
      <c r="D312" s="240">
        <f>LOOKUP(D$2,'Depreciation Schedules'!$A$3:$A$42,'Depreciation Schedules'!$C$3:$C$42)</f>
        <v>9.5000000000000001E-2</v>
      </c>
      <c r="E312" s="240">
        <f>LOOKUP(E$2,'Depreciation Schedules'!$A$3:$A$42,'Depreciation Schedules'!$C$3:$C$42)</f>
        <v>8.5500000000000007E-2</v>
      </c>
      <c r="F312" s="240">
        <f>LOOKUP(F$2,'Depreciation Schedules'!$A$3:$A$42,'Depreciation Schedules'!$C$3:$C$42)</f>
        <v>7.6999999999999999E-2</v>
      </c>
      <c r="G312" s="240">
        <f>LOOKUP(G$2,'Depreciation Schedules'!$A$3:$A$42,'Depreciation Schedules'!$C$3:$C$42)</f>
        <v>6.93E-2</v>
      </c>
      <c r="H312" s="240">
        <f>LOOKUP(H$2,'Depreciation Schedules'!$A$3:$A$42,'Depreciation Schedules'!$C$3:$C$42)</f>
        <v>6.2300000000000001E-2</v>
      </c>
      <c r="I312" s="240">
        <f>LOOKUP(I$2,'Depreciation Schedules'!$A$3:$A$42,'Depreciation Schedules'!$C$3:$C$42)</f>
        <v>5.8999999999999997E-2</v>
      </c>
      <c r="J312" s="240">
        <f>LOOKUP(J$2,'Depreciation Schedules'!$A$3:$A$42,'Depreciation Schedules'!$C$3:$C$42)</f>
        <v>5.8999999999999997E-2</v>
      </c>
      <c r="K312" s="240">
        <f>LOOKUP(K$2,'Depreciation Schedules'!$A$3:$A$42,'Depreciation Schedules'!$C$3:$C$42)</f>
        <v>5.91E-2</v>
      </c>
      <c r="L312" s="240">
        <f>LOOKUP(L$2,'Depreciation Schedules'!$A$3:$A$42,'Depreciation Schedules'!$C$3:$C$42)</f>
        <v>5.8999999999999997E-2</v>
      </c>
      <c r="M312" s="240">
        <f>LOOKUP(M$2,'Depreciation Schedules'!$A$3:$A$42,'Depreciation Schedules'!$C$3:$C$42)</f>
        <v>5.91E-2</v>
      </c>
      <c r="N312" s="240">
        <f>LOOKUP(N$2,'Depreciation Schedules'!$A$3:$A$42,'Depreciation Schedules'!$C$3:$C$42)</f>
        <v>5.8999999999999997E-2</v>
      </c>
      <c r="O312" s="240">
        <f>LOOKUP(O$2,'Depreciation Schedules'!$A$3:$A$42,'Depreciation Schedules'!$C$3:$C$42)</f>
        <v>5.91E-2</v>
      </c>
      <c r="P312" s="240">
        <f>LOOKUP(P$2,'Depreciation Schedules'!$A$3:$A$42,'Depreciation Schedules'!$C$3:$C$42)</f>
        <v>5.8999999999999997E-2</v>
      </c>
      <c r="Q312" s="240">
        <f>LOOKUP(Q$2,'Depreciation Schedules'!$A$3:$A$42,'Depreciation Schedules'!$C$3:$C$42)</f>
        <v>5.91E-2</v>
      </c>
      <c r="R312" s="240">
        <f>LOOKUP(R$2,'Depreciation Schedules'!$A$3:$A$42,'Depreciation Schedules'!$C$3:$C$42)</f>
        <v>2.9499999999999998E-2</v>
      </c>
      <c r="S312" s="240">
        <f>LOOKUP(S$2,'Depreciation Schedules'!$A$3:$A$42,'Depreciation Schedules'!$C$3:$C$42)</f>
        <v>0</v>
      </c>
      <c r="T312" s="240">
        <f>LOOKUP(T$2,'Depreciation Schedules'!$A$3:$A$42,'Depreciation Schedules'!$C$3:$C$42)</f>
        <v>0</v>
      </c>
      <c r="U312" s="240">
        <f>LOOKUP(U$2,'Depreciation Schedules'!$A$3:$A$42,'Depreciation Schedules'!$C$3:$C$42)</f>
        <v>0</v>
      </c>
      <c r="V312" s="240">
        <f>LOOKUP(V$2,'Depreciation Schedules'!$A$3:$A$42,'Depreciation Schedules'!$C$3:$C$42)</f>
        <v>0</v>
      </c>
      <c r="W312" s="240">
        <f>LOOKUP(W$2,'Depreciation Schedules'!$A$3:$A$42,'Depreciation Schedules'!$C$3:$C$42)</f>
        <v>0</v>
      </c>
      <c r="X312" s="240">
        <f>LOOKUP(X$2,'Depreciation Schedules'!$A$3:$A$42,'Depreciation Schedules'!$C$3:$C$42)</f>
        <v>0</v>
      </c>
      <c r="Y312" s="240">
        <f>LOOKUP(Y$2,'Depreciation Schedules'!$A$3:$A$42,'Depreciation Schedules'!$C$3:$C$42)</f>
        <v>0</v>
      </c>
      <c r="Z312" s="240">
        <f>LOOKUP(Z$2,'Depreciation Schedules'!$A$3:$A$42,'Depreciation Schedules'!$C$3:$C$42)</f>
        <v>0</v>
      </c>
      <c r="AA312" s="240">
        <f>LOOKUP(AA$2,'Depreciation Schedules'!$A$3:$A$42,'Depreciation Schedules'!$C$3:$C$42)</f>
        <v>0</v>
      </c>
      <c r="AB312" s="240">
        <f>LOOKUP(AB$2,'Depreciation Schedules'!$A$3:$A$42,'Depreciation Schedules'!$C$3:$C$42)</f>
        <v>0</v>
      </c>
      <c r="AC312" s="240">
        <f>LOOKUP(AC$2,'Depreciation Schedules'!$A$3:$A$42,'Depreciation Schedules'!$C$3:$C$42)</f>
        <v>0</v>
      </c>
      <c r="AD312" s="240">
        <f>LOOKUP(AD$2,'Depreciation Schedules'!$A$3:$A$42,'Depreciation Schedules'!$C$3:$C$42)</f>
        <v>0</v>
      </c>
      <c r="AE312" s="240">
        <f>LOOKUP(AE$2,'Depreciation Schedules'!$A$3:$A$42,'Depreciation Schedules'!$C$3:$C$42)</f>
        <v>0</v>
      </c>
      <c r="AF312" s="240">
        <f>LOOKUP(AF$2,'Depreciation Schedules'!$A$3:$A$42,'Depreciation Schedules'!$C$3:$C$42)</f>
        <v>0</v>
      </c>
      <c r="AG312" s="240">
        <f>LOOKUP(AG$2,'Depreciation Schedules'!$A$3:$A$42,'Depreciation Schedules'!$C$3:$C$42)</f>
        <v>0</v>
      </c>
      <c r="AH312" s="240">
        <f>LOOKUP(AH$2,'Depreciation Schedules'!$A$3:$A$42,'Depreciation Schedules'!$C$3:$C$42)</f>
        <v>0</v>
      </c>
      <c r="AI312" s="240">
        <f>LOOKUP(AI$2,'Depreciation Schedules'!$A$3:$A$42,'Depreciation Schedules'!$C$3:$C$42)</f>
        <v>0</v>
      </c>
      <c r="AJ312" s="240">
        <f>LOOKUP(AJ$2,'Depreciation Schedules'!$A$3:$A$42,'Depreciation Schedules'!$C$3:$C$42)</f>
        <v>0</v>
      </c>
      <c r="AK312" s="240">
        <f>LOOKUP(AK$2,'Depreciation Schedules'!$A$3:$A$42,'Depreciation Schedules'!$C$3:$C$42)</f>
        <v>0</v>
      </c>
      <c r="AL312" s="240">
        <f>LOOKUP(AL$2,'Depreciation Schedules'!$A$3:$A$42,'Depreciation Schedules'!$C$3:$C$42)</f>
        <v>0</v>
      </c>
      <c r="AM312" s="240">
        <f>LOOKUP(AM$2,'Depreciation Schedules'!$A$3:$A$42,'Depreciation Schedules'!$C$3:$C$42)</f>
        <v>0</v>
      </c>
      <c r="AN312" s="240">
        <f>LOOKUP(AN$2,'Depreciation Schedules'!$A$3:$A$42,'Depreciation Schedules'!$C$3:$C$42)</f>
        <v>0</v>
      </c>
      <c r="AO312" s="240">
        <f>LOOKUP(AO$2,'Depreciation Schedules'!$A$3:$A$42,'Depreciation Schedules'!$C$3:$C$42)</f>
        <v>0</v>
      </c>
      <c r="AP312" s="240">
        <f>LOOKUP(AP$2,'Depreciation Schedules'!$A$3:$A$42,'Depreciation Schedules'!$C$3:$C$42)</f>
        <v>0</v>
      </c>
    </row>
    <row r="313" spans="1:42">
      <c r="A313" s="227" t="str">
        <f t="shared" si="867"/>
        <v>5-yr SL</v>
      </c>
      <c r="B313" s="241">
        <f t="shared" si="868"/>
        <v>0.99999999999999989</v>
      </c>
      <c r="C313" s="240">
        <f>LOOKUP(C$2,'Depreciation Schedules'!$A$3:$A$42,'Depreciation Schedules'!$D$3:$D$42)</f>
        <v>0.1</v>
      </c>
      <c r="D313" s="240">
        <f>LOOKUP(D$2,'Depreciation Schedules'!$A$3:$A$42,'Depreciation Schedules'!$D$3:$D$42)</f>
        <v>0.2</v>
      </c>
      <c r="E313" s="240">
        <f>LOOKUP(E$2,'Depreciation Schedules'!$A$3:$A$42,'Depreciation Schedules'!$D$3:$D$42)</f>
        <v>0.2</v>
      </c>
      <c r="F313" s="240">
        <f>LOOKUP(F$2,'Depreciation Schedules'!$A$3:$A$42,'Depreciation Schedules'!$D$3:$D$42)</f>
        <v>0.2</v>
      </c>
      <c r="G313" s="240">
        <f>LOOKUP(G$2,'Depreciation Schedules'!$A$3:$A$42,'Depreciation Schedules'!$D$3:$D$42)</f>
        <v>0.2</v>
      </c>
      <c r="H313" s="240">
        <f>LOOKUP(H$2,'Depreciation Schedules'!$A$3:$A$42,'Depreciation Schedules'!$D$3:$D$42)</f>
        <v>0.1</v>
      </c>
      <c r="I313" s="240">
        <f>LOOKUP(I$2,'Depreciation Schedules'!$A$3:$A$42,'Depreciation Schedules'!$D$3:$D$42)</f>
        <v>0</v>
      </c>
      <c r="J313" s="240">
        <f>LOOKUP(J$2,'Depreciation Schedules'!$A$3:$A$42,'Depreciation Schedules'!$D$3:$D$42)</f>
        <v>0</v>
      </c>
      <c r="K313" s="240">
        <f>LOOKUP(K$2,'Depreciation Schedules'!$A$3:$A$42,'Depreciation Schedules'!$D$3:$D$42)</f>
        <v>0</v>
      </c>
      <c r="L313" s="240">
        <f>LOOKUP(L$2,'Depreciation Schedules'!$A$3:$A$42,'Depreciation Schedules'!$D$3:$D$42)</f>
        <v>0</v>
      </c>
      <c r="M313" s="240">
        <f>LOOKUP(M$2,'Depreciation Schedules'!$A$3:$A$42,'Depreciation Schedules'!$D$3:$D$42)</f>
        <v>0</v>
      </c>
      <c r="N313" s="240">
        <f>LOOKUP(N$2,'Depreciation Schedules'!$A$3:$A$42,'Depreciation Schedules'!$D$3:$D$42)</f>
        <v>0</v>
      </c>
      <c r="O313" s="240">
        <f>LOOKUP(O$2,'Depreciation Schedules'!$A$3:$A$42,'Depreciation Schedules'!$D$3:$D$42)</f>
        <v>0</v>
      </c>
      <c r="P313" s="240">
        <f>LOOKUP(P$2,'Depreciation Schedules'!$A$3:$A$42,'Depreciation Schedules'!$D$3:$D$42)</f>
        <v>0</v>
      </c>
      <c r="Q313" s="240">
        <f>LOOKUP(Q$2,'Depreciation Schedules'!$A$3:$A$42,'Depreciation Schedules'!$D$3:$D$42)</f>
        <v>0</v>
      </c>
      <c r="R313" s="240">
        <f>LOOKUP(R$2,'Depreciation Schedules'!$A$3:$A$42,'Depreciation Schedules'!$D$3:$D$42)</f>
        <v>0</v>
      </c>
      <c r="S313" s="240">
        <f>LOOKUP(S$2,'Depreciation Schedules'!$A$3:$A$42,'Depreciation Schedules'!$D$3:$D$42)</f>
        <v>0</v>
      </c>
      <c r="T313" s="240">
        <f>LOOKUP(T$2,'Depreciation Schedules'!$A$3:$A$42,'Depreciation Schedules'!$D$3:$D$42)</f>
        <v>0</v>
      </c>
      <c r="U313" s="240">
        <f>LOOKUP(U$2,'Depreciation Schedules'!$A$3:$A$42,'Depreciation Schedules'!$D$3:$D$42)</f>
        <v>0</v>
      </c>
      <c r="V313" s="240">
        <f>LOOKUP(V$2,'Depreciation Schedules'!$A$3:$A$42,'Depreciation Schedules'!$D$3:$D$42)</f>
        <v>0</v>
      </c>
      <c r="W313" s="240">
        <f>LOOKUP(W$2,'Depreciation Schedules'!$A$3:$A$42,'Depreciation Schedules'!$D$3:$D$42)</f>
        <v>0</v>
      </c>
      <c r="X313" s="240">
        <f>LOOKUP(X$2,'Depreciation Schedules'!$A$3:$A$42,'Depreciation Schedules'!$D$3:$D$42)</f>
        <v>0</v>
      </c>
      <c r="Y313" s="240">
        <f>LOOKUP(Y$2,'Depreciation Schedules'!$A$3:$A$42,'Depreciation Schedules'!$D$3:$D$42)</f>
        <v>0</v>
      </c>
      <c r="Z313" s="240">
        <f>LOOKUP(Z$2,'Depreciation Schedules'!$A$3:$A$42,'Depreciation Schedules'!$D$3:$D$42)</f>
        <v>0</v>
      </c>
      <c r="AA313" s="240">
        <f>LOOKUP(AA$2,'Depreciation Schedules'!$A$3:$A$42,'Depreciation Schedules'!$D$3:$D$42)</f>
        <v>0</v>
      </c>
      <c r="AB313" s="240">
        <f>LOOKUP(AB$2,'Depreciation Schedules'!$A$3:$A$42,'Depreciation Schedules'!$D$3:$D$42)</f>
        <v>0</v>
      </c>
      <c r="AC313" s="240">
        <f>LOOKUP(AC$2,'Depreciation Schedules'!$A$3:$A$42,'Depreciation Schedules'!$D$3:$D$42)</f>
        <v>0</v>
      </c>
      <c r="AD313" s="240">
        <f>LOOKUP(AD$2,'Depreciation Schedules'!$A$3:$A$42,'Depreciation Schedules'!$D$3:$D$42)</f>
        <v>0</v>
      </c>
      <c r="AE313" s="240">
        <f>LOOKUP(AE$2,'Depreciation Schedules'!$A$3:$A$42,'Depreciation Schedules'!$D$3:$D$42)</f>
        <v>0</v>
      </c>
      <c r="AF313" s="240">
        <f>LOOKUP(AF$2,'Depreciation Schedules'!$A$3:$A$42,'Depreciation Schedules'!$D$3:$D$42)</f>
        <v>0</v>
      </c>
      <c r="AG313" s="240">
        <f>LOOKUP(AG$2,'Depreciation Schedules'!$A$3:$A$42,'Depreciation Schedules'!$D$3:$D$42)</f>
        <v>0</v>
      </c>
      <c r="AH313" s="240">
        <f>LOOKUP(AH$2,'Depreciation Schedules'!$A$3:$A$42,'Depreciation Schedules'!$D$3:$D$42)</f>
        <v>0</v>
      </c>
      <c r="AI313" s="240">
        <f>LOOKUP(AI$2,'Depreciation Schedules'!$A$3:$A$42,'Depreciation Schedules'!$D$3:$D$42)</f>
        <v>0</v>
      </c>
      <c r="AJ313" s="240">
        <f>LOOKUP(AJ$2,'Depreciation Schedules'!$A$3:$A$42,'Depreciation Schedules'!$D$3:$D$42)</f>
        <v>0</v>
      </c>
      <c r="AK313" s="240">
        <f>LOOKUP(AK$2,'Depreciation Schedules'!$A$3:$A$42,'Depreciation Schedules'!$D$3:$D$42)</f>
        <v>0</v>
      </c>
      <c r="AL313" s="240">
        <f>LOOKUP(AL$2,'Depreciation Schedules'!$A$3:$A$42,'Depreciation Schedules'!$D$3:$D$42)</f>
        <v>0</v>
      </c>
      <c r="AM313" s="240">
        <f>LOOKUP(AM$2,'Depreciation Schedules'!$A$3:$A$42,'Depreciation Schedules'!$D$3:$D$42)</f>
        <v>0</v>
      </c>
      <c r="AN313" s="240">
        <f>LOOKUP(AN$2,'Depreciation Schedules'!$A$3:$A$42,'Depreciation Schedules'!$D$3:$D$42)</f>
        <v>0</v>
      </c>
      <c r="AO313" s="240">
        <f>LOOKUP(AO$2,'Depreciation Schedules'!$A$3:$A$42,'Depreciation Schedules'!$D$3:$D$42)</f>
        <v>0</v>
      </c>
      <c r="AP313" s="240">
        <f>LOOKUP(AP$2,'Depreciation Schedules'!$A$3:$A$42,'Depreciation Schedules'!$D$3:$D$42)</f>
        <v>0</v>
      </c>
    </row>
    <row r="314" spans="1:42">
      <c r="A314" s="227" t="str">
        <f t="shared" si="867"/>
        <v>15-yr SL</v>
      </c>
      <c r="B314" s="241">
        <f t="shared" si="868"/>
        <v>0.99999999999999989</v>
      </c>
      <c r="C314" s="240">
        <f>LOOKUP(C$2,'Depreciation Schedules'!$A$3:$A$42,'Depreciation Schedules'!$E$3:$E$42)</f>
        <v>3.3300000000000003E-2</v>
      </c>
      <c r="D314" s="240">
        <f>LOOKUP(D$2,'Depreciation Schedules'!$A$3:$A$42,'Depreciation Schedules'!$E$3:$E$42)</f>
        <v>6.6699999999999995E-2</v>
      </c>
      <c r="E314" s="240">
        <f>LOOKUP(E$2,'Depreciation Schedules'!$A$3:$A$42,'Depreciation Schedules'!$E$3:$E$42)</f>
        <v>6.6699999999999995E-2</v>
      </c>
      <c r="F314" s="240">
        <f>LOOKUP(F$2,'Depreciation Schedules'!$A$3:$A$42,'Depreciation Schedules'!$E$3:$E$42)</f>
        <v>6.6699999999999995E-2</v>
      </c>
      <c r="G314" s="240">
        <f>LOOKUP(G$2,'Depreciation Schedules'!$A$3:$A$42,'Depreciation Schedules'!$E$3:$E$42)</f>
        <v>6.6699999999999995E-2</v>
      </c>
      <c r="H314" s="240">
        <f>LOOKUP(H$2,'Depreciation Schedules'!$A$3:$A$42,'Depreciation Schedules'!$E$3:$E$42)</f>
        <v>6.6699999999999995E-2</v>
      </c>
      <c r="I314" s="240">
        <f>LOOKUP(I$2,'Depreciation Schedules'!$A$3:$A$42,'Depreciation Schedules'!$E$3:$E$42)</f>
        <v>6.6699999999999995E-2</v>
      </c>
      <c r="J314" s="240">
        <f>LOOKUP(J$2,'Depreciation Schedules'!$A$3:$A$42,'Depreciation Schedules'!$E$3:$E$42)</f>
        <v>6.6600000000000006E-2</v>
      </c>
      <c r="K314" s="240">
        <f>LOOKUP(K$2,'Depreciation Schedules'!$A$3:$A$42,'Depreciation Schedules'!$E$3:$E$42)</f>
        <v>6.6699999999999995E-2</v>
      </c>
      <c r="L314" s="240">
        <f>LOOKUP(L$2,'Depreciation Schedules'!$A$3:$A$42,'Depreciation Schedules'!$E$3:$E$42)</f>
        <v>6.6600000000000006E-2</v>
      </c>
      <c r="M314" s="240">
        <f>LOOKUP(M$2,'Depreciation Schedules'!$A$3:$A$42,'Depreciation Schedules'!$E$3:$E$42)</f>
        <v>6.6699999999999995E-2</v>
      </c>
      <c r="N314" s="240">
        <f>LOOKUP(N$2,'Depreciation Schedules'!$A$3:$A$42,'Depreciation Schedules'!$E$3:$E$42)</f>
        <v>6.6600000000000006E-2</v>
      </c>
      <c r="O314" s="240">
        <f>LOOKUP(O$2,'Depreciation Schedules'!$A$3:$A$42,'Depreciation Schedules'!$E$3:$E$42)</f>
        <v>6.6699999999999995E-2</v>
      </c>
      <c r="P314" s="240">
        <f>LOOKUP(P$2,'Depreciation Schedules'!$A$3:$A$42,'Depreciation Schedules'!$E$3:$E$42)</f>
        <v>6.6600000000000006E-2</v>
      </c>
      <c r="Q314" s="240">
        <f>LOOKUP(Q$2,'Depreciation Schedules'!$A$3:$A$42,'Depreciation Schedules'!$E$3:$E$42)</f>
        <v>6.6699999999999995E-2</v>
      </c>
      <c r="R314" s="240">
        <f>LOOKUP(R$2,'Depreciation Schedules'!$A$3:$A$42,'Depreciation Schedules'!$E$3:$E$42)</f>
        <v>3.3300000000000003E-2</v>
      </c>
      <c r="S314" s="240">
        <f>LOOKUP(S$2,'Depreciation Schedules'!$A$3:$A$42,'Depreciation Schedules'!$E$3:$E$42)</f>
        <v>0</v>
      </c>
      <c r="T314" s="240">
        <f>LOOKUP(T$2,'Depreciation Schedules'!$A$3:$A$42,'Depreciation Schedules'!$E$3:$E$42)</f>
        <v>0</v>
      </c>
      <c r="U314" s="240">
        <f>LOOKUP(U$2,'Depreciation Schedules'!$A$3:$A$42,'Depreciation Schedules'!$E$3:$E$42)</f>
        <v>0</v>
      </c>
      <c r="V314" s="240">
        <f>LOOKUP(V$2,'Depreciation Schedules'!$A$3:$A$42,'Depreciation Schedules'!$E$3:$E$42)</f>
        <v>0</v>
      </c>
      <c r="W314" s="240">
        <f>LOOKUP(W$2,'Depreciation Schedules'!$A$3:$A$42,'Depreciation Schedules'!$E$3:$E$42)</f>
        <v>0</v>
      </c>
      <c r="X314" s="240">
        <f>LOOKUP(X$2,'Depreciation Schedules'!$A$3:$A$42,'Depreciation Schedules'!$E$3:$E$42)</f>
        <v>0</v>
      </c>
      <c r="Y314" s="240">
        <f>LOOKUP(Y$2,'Depreciation Schedules'!$A$3:$A$42,'Depreciation Schedules'!$E$3:$E$42)</f>
        <v>0</v>
      </c>
      <c r="Z314" s="240">
        <f>LOOKUP(Z$2,'Depreciation Schedules'!$A$3:$A$42,'Depreciation Schedules'!$E$3:$E$42)</f>
        <v>0</v>
      </c>
      <c r="AA314" s="240">
        <f>LOOKUP(AA$2,'Depreciation Schedules'!$A$3:$A$42,'Depreciation Schedules'!$E$3:$E$42)</f>
        <v>0</v>
      </c>
      <c r="AB314" s="240">
        <f>LOOKUP(AB$2,'Depreciation Schedules'!$A$3:$A$42,'Depreciation Schedules'!$E$3:$E$42)</f>
        <v>0</v>
      </c>
      <c r="AC314" s="240">
        <f>LOOKUP(AC$2,'Depreciation Schedules'!$A$3:$A$42,'Depreciation Schedules'!$E$3:$E$42)</f>
        <v>0</v>
      </c>
      <c r="AD314" s="240">
        <f>LOOKUP(AD$2,'Depreciation Schedules'!$A$3:$A$42,'Depreciation Schedules'!$E$3:$E$42)</f>
        <v>0</v>
      </c>
      <c r="AE314" s="240">
        <f>LOOKUP(AE$2,'Depreciation Schedules'!$A$3:$A$42,'Depreciation Schedules'!$E$3:$E$42)</f>
        <v>0</v>
      </c>
      <c r="AF314" s="240">
        <f>LOOKUP(AF$2,'Depreciation Schedules'!$A$3:$A$42,'Depreciation Schedules'!$E$3:$E$42)</f>
        <v>0</v>
      </c>
      <c r="AG314" s="240">
        <f>LOOKUP(AG$2,'Depreciation Schedules'!$A$3:$A$42,'Depreciation Schedules'!$E$3:$E$42)</f>
        <v>0</v>
      </c>
      <c r="AH314" s="240">
        <f>LOOKUP(AH$2,'Depreciation Schedules'!$A$3:$A$42,'Depreciation Schedules'!$E$3:$E$42)</f>
        <v>0</v>
      </c>
      <c r="AI314" s="240">
        <f>LOOKUP(AI$2,'Depreciation Schedules'!$A$3:$A$42,'Depreciation Schedules'!$E$3:$E$42)</f>
        <v>0</v>
      </c>
      <c r="AJ314" s="240">
        <f>LOOKUP(AJ$2,'Depreciation Schedules'!$A$3:$A$42,'Depreciation Schedules'!$E$3:$E$42)</f>
        <v>0</v>
      </c>
      <c r="AK314" s="240">
        <f>LOOKUP(AK$2,'Depreciation Schedules'!$A$3:$A$42,'Depreciation Schedules'!$E$3:$E$42)</f>
        <v>0</v>
      </c>
      <c r="AL314" s="240">
        <f>LOOKUP(AL$2,'Depreciation Schedules'!$A$3:$A$42,'Depreciation Schedules'!$E$3:$E$42)</f>
        <v>0</v>
      </c>
      <c r="AM314" s="240">
        <f>LOOKUP(AM$2,'Depreciation Schedules'!$A$3:$A$42,'Depreciation Schedules'!$E$3:$E$42)</f>
        <v>0</v>
      </c>
      <c r="AN314" s="240">
        <f>LOOKUP(AN$2,'Depreciation Schedules'!$A$3:$A$42,'Depreciation Schedules'!$E$3:$E$42)</f>
        <v>0</v>
      </c>
      <c r="AO314" s="240">
        <f>LOOKUP(AO$2,'Depreciation Schedules'!$A$3:$A$42,'Depreciation Schedules'!$E$3:$E$42)</f>
        <v>0</v>
      </c>
      <c r="AP314" s="240">
        <f>LOOKUP(AP$2,'Depreciation Schedules'!$A$3:$A$42,'Depreciation Schedules'!$E$3:$E$42)</f>
        <v>0</v>
      </c>
    </row>
    <row r="315" spans="1:42">
      <c r="A315" s="227" t="str">
        <f t="shared" si="867"/>
        <v>20-yr SL</v>
      </c>
      <c r="B315" s="241">
        <f t="shared" si="868"/>
        <v>1.0000000000000002</v>
      </c>
      <c r="C315" s="240">
        <f>LOOKUP(C$2,'Depreciation Schedules'!$A$3:$A$42,'Depreciation Schedules'!$F$3:$F$42)</f>
        <v>2.5000000000000001E-2</v>
      </c>
      <c r="D315" s="240">
        <f>LOOKUP(D$2,'Depreciation Schedules'!$A$3:$A$42,'Depreciation Schedules'!$F$3:$F$42)</f>
        <v>0.05</v>
      </c>
      <c r="E315" s="240">
        <f>LOOKUP(E$2,'Depreciation Schedules'!$A$3:$A$42,'Depreciation Schedules'!$F$3:$F$42)</f>
        <v>0.05</v>
      </c>
      <c r="F315" s="240">
        <f>LOOKUP(F$2,'Depreciation Schedules'!$A$3:$A$42,'Depreciation Schedules'!$F$3:$F$42)</f>
        <v>0.05</v>
      </c>
      <c r="G315" s="240">
        <f>LOOKUP(G$2,'Depreciation Schedules'!$A$3:$A$42,'Depreciation Schedules'!$F$3:$F$42)</f>
        <v>0.05</v>
      </c>
      <c r="H315" s="240">
        <f>LOOKUP(H$2,'Depreciation Schedules'!$A$3:$A$42,'Depreciation Schedules'!$F$3:$F$42)</f>
        <v>0.05</v>
      </c>
      <c r="I315" s="240">
        <f>LOOKUP(I$2,'Depreciation Schedules'!$A$3:$A$42,'Depreciation Schedules'!$F$3:$F$42)</f>
        <v>0.05</v>
      </c>
      <c r="J315" s="240">
        <f>LOOKUP(J$2,'Depreciation Schedules'!$A$3:$A$42,'Depreciation Schedules'!$F$3:$F$42)</f>
        <v>0.05</v>
      </c>
      <c r="K315" s="240">
        <f>LOOKUP(K$2,'Depreciation Schedules'!$A$3:$A$42,'Depreciation Schedules'!$F$3:$F$42)</f>
        <v>0.05</v>
      </c>
      <c r="L315" s="240">
        <f>LOOKUP(L$2,'Depreciation Schedules'!$A$3:$A$42,'Depreciation Schedules'!$F$3:$F$42)</f>
        <v>0.05</v>
      </c>
      <c r="M315" s="240">
        <f>LOOKUP(M$2,'Depreciation Schedules'!$A$3:$A$42,'Depreciation Schedules'!$F$3:$F$42)</f>
        <v>0.05</v>
      </c>
      <c r="N315" s="240">
        <f>LOOKUP(N$2,'Depreciation Schedules'!$A$3:$A$42,'Depreciation Schedules'!$F$3:$F$42)</f>
        <v>0.05</v>
      </c>
      <c r="O315" s="240">
        <f>LOOKUP(O$2,'Depreciation Schedules'!$A$3:$A$42,'Depreciation Schedules'!$F$3:$F$42)</f>
        <v>0.05</v>
      </c>
      <c r="P315" s="240">
        <f>LOOKUP(P$2,'Depreciation Schedules'!$A$3:$A$42,'Depreciation Schedules'!$F$3:$F$42)</f>
        <v>0.05</v>
      </c>
      <c r="Q315" s="240">
        <f>LOOKUP(Q$2,'Depreciation Schedules'!$A$3:$A$42,'Depreciation Schedules'!$F$3:$F$42)</f>
        <v>0.05</v>
      </c>
      <c r="R315" s="240">
        <f>LOOKUP(R$2,'Depreciation Schedules'!$A$3:$A$42,'Depreciation Schedules'!$F$3:$F$42)</f>
        <v>0.05</v>
      </c>
      <c r="S315" s="240">
        <f>LOOKUP(S$2,'Depreciation Schedules'!$A$3:$A$42,'Depreciation Schedules'!$F$3:$F$42)</f>
        <v>0.05</v>
      </c>
      <c r="T315" s="240">
        <f>LOOKUP(T$2,'Depreciation Schedules'!$A$3:$A$42,'Depreciation Schedules'!$F$3:$F$42)</f>
        <v>0.05</v>
      </c>
      <c r="U315" s="240">
        <f>LOOKUP(U$2,'Depreciation Schedules'!$A$3:$A$42,'Depreciation Schedules'!$F$3:$F$42)</f>
        <v>0.05</v>
      </c>
      <c r="V315" s="240">
        <f>LOOKUP(V$2,'Depreciation Schedules'!$A$3:$A$42,'Depreciation Schedules'!$F$3:$F$42)</f>
        <v>0.05</v>
      </c>
      <c r="W315" s="240">
        <f>LOOKUP(W$2,'Depreciation Schedules'!$A$3:$A$42,'Depreciation Schedules'!$F$3:$F$42)</f>
        <v>2.5000000000000001E-2</v>
      </c>
      <c r="X315" s="240">
        <f>LOOKUP(X$2,'Depreciation Schedules'!$A$3:$A$42,'Depreciation Schedules'!$F$3:$F$42)</f>
        <v>0</v>
      </c>
      <c r="Y315" s="240">
        <f>LOOKUP(Y$2,'Depreciation Schedules'!$A$3:$A$42,'Depreciation Schedules'!$F$3:$F$42)</f>
        <v>0</v>
      </c>
      <c r="Z315" s="240">
        <f>LOOKUP(Z$2,'Depreciation Schedules'!$A$3:$A$42,'Depreciation Schedules'!$F$3:$F$42)</f>
        <v>0</v>
      </c>
      <c r="AA315" s="240">
        <f>LOOKUP(AA$2,'Depreciation Schedules'!$A$3:$A$42,'Depreciation Schedules'!$F$3:$F$42)</f>
        <v>0</v>
      </c>
      <c r="AB315" s="240">
        <f>LOOKUP(AB$2,'Depreciation Schedules'!$A$3:$A$42,'Depreciation Schedules'!$F$3:$F$42)</f>
        <v>0</v>
      </c>
      <c r="AC315" s="240">
        <f>LOOKUP(AC$2,'Depreciation Schedules'!$A$3:$A$42,'Depreciation Schedules'!$F$3:$F$42)</f>
        <v>0</v>
      </c>
      <c r="AD315" s="240">
        <f>LOOKUP(AD$2,'Depreciation Schedules'!$A$3:$A$42,'Depreciation Schedules'!$F$3:$F$42)</f>
        <v>0</v>
      </c>
      <c r="AE315" s="240">
        <f>LOOKUP(AE$2,'Depreciation Schedules'!$A$3:$A$42,'Depreciation Schedules'!$F$3:$F$42)</f>
        <v>0</v>
      </c>
      <c r="AF315" s="240">
        <f>LOOKUP(AF$2,'Depreciation Schedules'!$A$3:$A$42,'Depreciation Schedules'!$F$3:$F$42)</f>
        <v>0</v>
      </c>
      <c r="AG315" s="240">
        <f>LOOKUP(AG$2,'Depreciation Schedules'!$A$3:$A$42,'Depreciation Schedules'!$F$3:$F$42)</f>
        <v>0</v>
      </c>
      <c r="AH315" s="240">
        <f>LOOKUP(AH$2,'Depreciation Schedules'!$A$3:$A$42,'Depreciation Schedules'!$F$3:$F$42)</f>
        <v>0</v>
      </c>
      <c r="AI315" s="240">
        <f>LOOKUP(AI$2,'Depreciation Schedules'!$A$3:$A$42,'Depreciation Schedules'!$F$3:$F$42)</f>
        <v>0</v>
      </c>
      <c r="AJ315" s="240">
        <f>LOOKUP(AJ$2,'Depreciation Schedules'!$A$3:$A$42,'Depreciation Schedules'!$F$3:$F$42)</f>
        <v>0</v>
      </c>
      <c r="AK315" s="240">
        <f>LOOKUP(AK$2,'Depreciation Schedules'!$A$3:$A$42,'Depreciation Schedules'!$F$3:$F$42)</f>
        <v>0</v>
      </c>
      <c r="AL315" s="240">
        <f>LOOKUP(AL$2,'Depreciation Schedules'!$A$3:$A$42,'Depreciation Schedules'!$F$3:$F$42)</f>
        <v>0</v>
      </c>
      <c r="AM315" s="240">
        <f>LOOKUP(AM$2,'Depreciation Schedules'!$A$3:$A$42,'Depreciation Schedules'!$F$3:$F$42)</f>
        <v>0</v>
      </c>
      <c r="AN315" s="240">
        <f>LOOKUP(AN$2,'Depreciation Schedules'!$A$3:$A$42,'Depreciation Schedules'!$F$3:$F$42)</f>
        <v>0</v>
      </c>
      <c r="AO315" s="240">
        <f>LOOKUP(AO$2,'Depreciation Schedules'!$A$3:$A$42,'Depreciation Schedules'!$F$3:$F$42)</f>
        <v>0</v>
      </c>
      <c r="AP315" s="240">
        <f>LOOKUP(AP$2,'Depreciation Schedules'!$A$3:$A$42,'Depreciation Schedules'!$F$3:$F$42)</f>
        <v>0</v>
      </c>
    </row>
    <row r="316" spans="1:42">
      <c r="A316" s="227" t="str">
        <f t="shared" si="867"/>
        <v>39-yr SL</v>
      </c>
      <c r="B316" s="242">
        <f t="shared" si="868"/>
        <v>1.0000000000000004</v>
      </c>
      <c r="C316" s="240">
        <f>LOOKUP(C$2,'Depreciation Schedules'!$A$3:$A$42,'Depreciation Schedules'!$G$3:$G$42)</f>
        <v>1.2820512820512799E-2</v>
      </c>
      <c r="D316" s="240">
        <f>LOOKUP(D$2,'Depreciation Schedules'!$A$3:$A$42,'Depreciation Schedules'!$G$3:$G$42)</f>
        <v>2.564102564102564E-2</v>
      </c>
      <c r="E316" s="240">
        <f>LOOKUP(E$2,'Depreciation Schedules'!$A$3:$A$42,'Depreciation Schedules'!$G$3:$G$42)</f>
        <v>2.564102564102564E-2</v>
      </c>
      <c r="F316" s="240">
        <f>LOOKUP(F$2,'Depreciation Schedules'!$A$3:$A$42,'Depreciation Schedules'!$G$3:$G$42)</f>
        <v>2.564102564102564E-2</v>
      </c>
      <c r="G316" s="240">
        <f>LOOKUP(G$2,'Depreciation Schedules'!$A$3:$A$42,'Depreciation Schedules'!$G$3:$G$42)</f>
        <v>2.564102564102564E-2</v>
      </c>
      <c r="H316" s="240">
        <f>LOOKUP(H$2,'Depreciation Schedules'!$A$3:$A$42,'Depreciation Schedules'!$G$3:$G$42)</f>
        <v>2.564102564102564E-2</v>
      </c>
      <c r="I316" s="240">
        <f>LOOKUP(I$2,'Depreciation Schedules'!$A$3:$A$42,'Depreciation Schedules'!$G$3:$G$42)</f>
        <v>2.564102564102564E-2</v>
      </c>
      <c r="J316" s="240">
        <f>LOOKUP(J$2,'Depreciation Schedules'!$A$3:$A$42,'Depreciation Schedules'!$G$3:$G$42)</f>
        <v>2.564102564102564E-2</v>
      </c>
      <c r="K316" s="240">
        <f>LOOKUP(K$2,'Depreciation Schedules'!$A$3:$A$42,'Depreciation Schedules'!$G$3:$G$42)</f>
        <v>2.564102564102564E-2</v>
      </c>
      <c r="L316" s="240">
        <f>LOOKUP(L$2,'Depreciation Schedules'!$A$3:$A$42,'Depreciation Schedules'!$G$3:$G$42)</f>
        <v>2.564102564102564E-2</v>
      </c>
      <c r="M316" s="240">
        <f>LOOKUP(M$2,'Depreciation Schedules'!$A$3:$A$42,'Depreciation Schedules'!$G$3:$G$42)</f>
        <v>2.564102564102564E-2</v>
      </c>
      <c r="N316" s="240">
        <f>LOOKUP(N$2,'Depreciation Schedules'!$A$3:$A$42,'Depreciation Schedules'!$G$3:$G$42)</f>
        <v>2.564102564102564E-2</v>
      </c>
      <c r="O316" s="240">
        <f>LOOKUP(O$2,'Depreciation Schedules'!$A$3:$A$42,'Depreciation Schedules'!$G$3:$G$42)</f>
        <v>2.564102564102564E-2</v>
      </c>
      <c r="P316" s="240">
        <f>LOOKUP(P$2,'Depreciation Schedules'!$A$3:$A$42,'Depreciation Schedules'!$G$3:$G$42)</f>
        <v>2.564102564102564E-2</v>
      </c>
      <c r="Q316" s="240">
        <f>LOOKUP(Q$2,'Depreciation Schedules'!$A$3:$A$42,'Depreciation Schedules'!$G$3:$G$42)</f>
        <v>2.564102564102564E-2</v>
      </c>
      <c r="R316" s="240">
        <f>LOOKUP(R$2,'Depreciation Schedules'!$A$3:$A$42,'Depreciation Schedules'!$G$3:$G$42)</f>
        <v>2.564102564102564E-2</v>
      </c>
      <c r="S316" s="240">
        <f>LOOKUP(S$2,'Depreciation Schedules'!$A$3:$A$42,'Depreciation Schedules'!$G$3:$G$42)</f>
        <v>2.564102564102564E-2</v>
      </c>
      <c r="T316" s="240">
        <f>LOOKUP(T$2,'Depreciation Schedules'!$A$3:$A$42,'Depreciation Schedules'!$G$3:$G$42)</f>
        <v>2.564102564102564E-2</v>
      </c>
      <c r="U316" s="240">
        <f>LOOKUP(U$2,'Depreciation Schedules'!$A$3:$A$42,'Depreciation Schedules'!$G$3:$G$42)</f>
        <v>2.564102564102564E-2</v>
      </c>
      <c r="V316" s="240">
        <f>LOOKUP(V$2,'Depreciation Schedules'!$A$3:$A$42,'Depreciation Schedules'!$G$3:$G$42)</f>
        <v>2.564102564102564E-2</v>
      </c>
      <c r="W316" s="240">
        <f>LOOKUP(W$2,'Depreciation Schedules'!$A$3:$A$42,'Depreciation Schedules'!$G$3:$G$42)</f>
        <v>2.564102564102564E-2</v>
      </c>
      <c r="X316" s="240">
        <f>LOOKUP(X$2,'Depreciation Schedules'!$A$3:$A$42,'Depreciation Schedules'!$G$3:$G$42)</f>
        <v>2.564102564102564E-2</v>
      </c>
      <c r="Y316" s="240">
        <f>LOOKUP(Y$2,'Depreciation Schedules'!$A$3:$A$42,'Depreciation Schedules'!$G$3:$G$42)</f>
        <v>2.564102564102564E-2</v>
      </c>
      <c r="Z316" s="240">
        <f>LOOKUP(Z$2,'Depreciation Schedules'!$A$3:$A$42,'Depreciation Schedules'!$G$3:$G$42)</f>
        <v>2.564102564102564E-2</v>
      </c>
      <c r="AA316" s="240">
        <f>LOOKUP(AA$2,'Depreciation Schedules'!$A$3:$A$42,'Depreciation Schedules'!$G$3:$G$42)</f>
        <v>2.564102564102564E-2</v>
      </c>
      <c r="AB316" s="240">
        <f>LOOKUP(AB$2,'Depreciation Schedules'!$A$3:$A$42,'Depreciation Schedules'!$G$3:$G$42)</f>
        <v>2.564102564102564E-2</v>
      </c>
      <c r="AC316" s="240">
        <f>LOOKUP(AC$2,'Depreciation Schedules'!$A$3:$A$42,'Depreciation Schedules'!$G$3:$G$42)</f>
        <v>2.564102564102564E-2</v>
      </c>
      <c r="AD316" s="240">
        <f>LOOKUP(AD$2,'Depreciation Schedules'!$A$3:$A$42,'Depreciation Schedules'!$G$3:$G$42)</f>
        <v>2.564102564102564E-2</v>
      </c>
      <c r="AE316" s="240">
        <f>LOOKUP(AE$2,'Depreciation Schedules'!$A$3:$A$42,'Depreciation Schedules'!$G$3:$G$42)</f>
        <v>2.564102564102564E-2</v>
      </c>
      <c r="AF316" s="240">
        <f>LOOKUP(AF$2,'Depreciation Schedules'!$A$3:$A$42,'Depreciation Schedules'!$G$3:$G$42)</f>
        <v>2.564102564102564E-2</v>
      </c>
      <c r="AG316" s="240">
        <f>LOOKUP(AG$2,'Depreciation Schedules'!$A$3:$A$42,'Depreciation Schedules'!$G$3:$G$42)</f>
        <v>2.564102564102564E-2</v>
      </c>
      <c r="AH316" s="240">
        <f>LOOKUP(AH$2,'Depreciation Schedules'!$A$3:$A$42,'Depreciation Schedules'!$G$3:$G$42)</f>
        <v>2.564102564102564E-2</v>
      </c>
      <c r="AI316" s="240">
        <f>LOOKUP(AI$2,'Depreciation Schedules'!$A$3:$A$42,'Depreciation Schedules'!$G$3:$G$42)</f>
        <v>2.564102564102564E-2</v>
      </c>
      <c r="AJ316" s="240">
        <f>LOOKUP(AJ$2,'Depreciation Schedules'!$A$3:$A$42,'Depreciation Schedules'!$G$3:$G$42)</f>
        <v>2.564102564102564E-2</v>
      </c>
      <c r="AK316" s="240">
        <f>LOOKUP(AK$2,'Depreciation Schedules'!$A$3:$A$42,'Depreciation Schedules'!$G$3:$G$42)</f>
        <v>2.564102564102564E-2</v>
      </c>
      <c r="AL316" s="240">
        <f>LOOKUP(AL$2,'Depreciation Schedules'!$A$3:$A$42,'Depreciation Schedules'!$G$3:$G$42)</f>
        <v>2.564102564102564E-2</v>
      </c>
      <c r="AM316" s="240">
        <f>LOOKUP(AM$2,'Depreciation Schedules'!$A$3:$A$42,'Depreciation Schedules'!$G$3:$G$42)</f>
        <v>2.564102564102564E-2</v>
      </c>
      <c r="AN316" s="240">
        <f>LOOKUP(AN$2,'Depreciation Schedules'!$A$3:$A$42,'Depreciation Schedules'!$G$3:$G$42)</f>
        <v>2.564102564102564E-2</v>
      </c>
      <c r="AO316" s="240">
        <f>LOOKUP(AO$2,'Depreciation Schedules'!$A$3:$A$42,'Depreciation Schedules'!$G$3:$G$42)</f>
        <v>2.564102564102564E-2</v>
      </c>
      <c r="AP316" s="240">
        <f>LOOKUP(AP$2,'Depreciation Schedules'!$A$3:$A$42,'Depreciation Schedules'!$G$3:$G$42)</f>
        <v>1.2820512820512799E-2</v>
      </c>
    </row>
    <row r="317" spans="1:42">
      <c r="A317" s="206" t="s">
        <v>34</v>
      </c>
      <c r="C317" s="208"/>
      <c r="D317" s="208"/>
      <c r="E317" s="208"/>
      <c r="F317" s="208"/>
      <c r="G317" s="208"/>
      <c r="H317" s="208"/>
      <c r="I317" s="208"/>
      <c r="J317" s="208"/>
      <c r="K317" s="208"/>
      <c r="L317" s="208"/>
      <c r="M317" s="208"/>
      <c r="N317" s="208"/>
      <c r="O317" s="208"/>
      <c r="P317" s="208"/>
      <c r="Q317" s="208"/>
      <c r="R317" s="208"/>
      <c r="S317" s="208"/>
      <c r="T317" s="208"/>
      <c r="U317" s="208"/>
      <c r="V317" s="208"/>
      <c r="W317" s="208"/>
      <c r="X317" s="208"/>
      <c r="Y317" s="208"/>
      <c r="Z317" s="208"/>
      <c r="AA317" s="208"/>
      <c r="AB317" s="208"/>
      <c r="AC317" s="208"/>
      <c r="AD317" s="208"/>
      <c r="AE317" s="208"/>
      <c r="AF317" s="208"/>
      <c r="AG317" s="208"/>
      <c r="AH317" s="208"/>
      <c r="AI317" s="208"/>
      <c r="AJ317" s="208"/>
      <c r="AK317" s="208"/>
      <c r="AL317" s="208"/>
      <c r="AM317" s="208"/>
      <c r="AN317" s="208"/>
      <c r="AO317" s="208"/>
      <c r="AP317" s="208"/>
    </row>
    <row r="318" spans="1:42">
      <c r="A318" s="227" t="str">
        <f>A311</f>
        <v>5-yr MACRS</v>
      </c>
      <c r="B318" s="243">
        <f>SUM(C318:AP318)</f>
        <v>37604162.206159748</v>
      </c>
      <c r="C318" s="208">
        <f t="shared" ref="C318:AP318" si="869">C311*$K278</f>
        <v>7520832.4412319502</v>
      </c>
      <c r="D318" s="208">
        <f t="shared" si="869"/>
        <v>12033331.905971119</v>
      </c>
      <c r="E318" s="208">
        <f t="shared" si="869"/>
        <v>7219999.1435826719</v>
      </c>
      <c r="F318" s="208">
        <f t="shared" si="869"/>
        <v>4331999.4861496026</v>
      </c>
      <c r="G318" s="208">
        <f t="shared" si="869"/>
        <v>4331999.4861496026</v>
      </c>
      <c r="H318" s="208">
        <f t="shared" si="869"/>
        <v>2165999.7430748013</v>
      </c>
      <c r="I318" s="208">
        <f t="shared" si="869"/>
        <v>0</v>
      </c>
      <c r="J318" s="208">
        <f t="shared" si="869"/>
        <v>0</v>
      </c>
      <c r="K318" s="208">
        <f t="shared" si="869"/>
        <v>0</v>
      </c>
      <c r="L318" s="208">
        <f t="shared" si="869"/>
        <v>0</v>
      </c>
      <c r="M318" s="208">
        <f t="shared" si="869"/>
        <v>0</v>
      </c>
      <c r="N318" s="208">
        <f t="shared" si="869"/>
        <v>0</v>
      </c>
      <c r="O318" s="208">
        <f t="shared" si="869"/>
        <v>0</v>
      </c>
      <c r="P318" s="208">
        <f t="shared" si="869"/>
        <v>0</v>
      </c>
      <c r="Q318" s="208">
        <f t="shared" si="869"/>
        <v>0</v>
      </c>
      <c r="R318" s="208">
        <f t="shared" si="869"/>
        <v>0</v>
      </c>
      <c r="S318" s="208">
        <f t="shared" si="869"/>
        <v>0</v>
      </c>
      <c r="T318" s="208">
        <f t="shared" si="869"/>
        <v>0</v>
      </c>
      <c r="U318" s="208">
        <f t="shared" si="869"/>
        <v>0</v>
      </c>
      <c r="V318" s="208">
        <f t="shared" si="869"/>
        <v>0</v>
      </c>
      <c r="W318" s="208">
        <f t="shared" si="869"/>
        <v>0</v>
      </c>
      <c r="X318" s="208">
        <f t="shared" si="869"/>
        <v>0</v>
      </c>
      <c r="Y318" s="208">
        <f t="shared" si="869"/>
        <v>0</v>
      </c>
      <c r="Z318" s="208">
        <f t="shared" si="869"/>
        <v>0</v>
      </c>
      <c r="AA318" s="208">
        <f t="shared" si="869"/>
        <v>0</v>
      </c>
      <c r="AB318" s="208">
        <f t="shared" si="869"/>
        <v>0</v>
      </c>
      <c r="AC318" s="208">
        <f t="shared" si="869"/>
        <v>0</v>
      </c>
      <c r="AD318" s="208">
        <f t="shared" si="869"/>
        <v>0</v>
      </c>
      <c r="AE318" s="208">
        <f t="shared" si="869"/>
        <v>0</v>
      </c>
      <c r="AF318" s="208">
        <f t="shared" si="869"/>
        <v>0</v>
      </c>
      <c r="AG318" s="208">
        <f t="shared" si="869"/>
        <v>0</v>
      </c>
      <c r="AH318" s="208">
        <f t="shared" si="869"/>
        <v>0</v>
      </c>
      <c r="AI318" s="208">
        <f t="shared" si="869"/>
        <v>0</v>
      </c>
      <c r="AJ318" s="208">
        <f t="shared" si="869"/>
        <v>0</v>
      </c>
      <c r="AK318" s="208">
        <f t="shared" si="869"/>
        <v>0</v>
      </c>
      <c r="AL318" s="208">
        <f t="shared" si="869"/>
        <v>0</v>
      </c>
      <c r="AM318" s="208">
        <f t="shared" si="869"/>
        <v>0</v>
      </c>
      <c r="AN318" s="208">
        <f t="shared" si="869"/>
        <v>0</v>
      </c>
      <c r="AO318" s="208">
        <f t="shared" si="869"/>
        <v>0</v>
      </c>
      <c r="AP318" s="208">
        <f t="shared" si="869"/>
        <v>0</v>
      </c>
    </row>
    <row r="319" spans="1:42">
      <c r="A319" s="227" t="str">
        <f t="shared" ref="A319:A323" si="870">A312</f>
        <v>15-yr MACRS</v>
      </c>
      <c r="B319" s="165">
        <f t="shared" ref="B319:B325" si="871">SUM(C319:AP319)</f>
        <v>667303.29165274557</v>
      </c>
      <c r="C319" s="208">
        <f t="shared" ref="C319:AP319" si="872">C312*$K279</f>
        <v>33365.164582637277</v>
      </c>
      <c r="D319" s="208">
        <f t="shared" si="872"/>
        <v>63393.812707010817</v>
      </c>
      <c r="E319" s="208">
        <f t="shared" si="872"/>
        <v>57054.431436309744</v>
      </c>
      <c r="F319" s="208">
        <f t="shared" si="872"/>
        <v>51382.353457261401</v>
      </c>
      <c r="G319" s="208">
        <f t="shared" si="872"/>
        <v>46244.118111535259</v>
      </c>
      <c r="H319" s="208">
        <f t="shared" si="872"/>
        <v>41572.99506996604</v>
      </c>
      <c r="I319" s="208">
        <f t="shared" si="872"/>
        <v>39370.894207511978</v>
      </c>
      <c r="J319" s="208">
        <f t="shared" si="872"/>
        <v>39370.894207511978</v>
      </c>
      <c r="K319" s="208">
        <f t="shared" si="872"/>
        <v>39437.624536677256</v>
      </c>
      <c r="L319" s="208">
        <f t="shared" si="872"/>
        <v>39370.894207511978</v>
      </c>
      <c r="M319" s="208">
        <f t="shared" si="872"/>
        <v>39437.624536677256</v>
      </c>
      <c r="N319" s="208">
        <f t="shared" si="872"/>
        <v>39370.894207511978</v>
      </c>
      <c r="O319" s="208">
        <f t="shared" si="872"/>
        <v>39437.624536677256</v>
      </c>
      <c r="P319" s="208">
        <f t="shared" si="872"/>
        <v>39370.894207511978</v>
      </c>
      <c r="Q319" s="208">
        <f t="shared" si="872"/>
        <v>39437.624536677256</v>
      </c>
      <c r="R319" s="208">
        <f t="shared" si="872"/>
        <v>19685.447103755989</v>
      </c>
      <c r="S319" s="208">
        <f t="shared" si="872"/>
        <v>0</v>
      </c>
      <c r="T319" s="208">
        <f t="shared" si="872"/>
        <v>0</v>
      </c>
      <c r="U319" s="208">
        <f t="shared" si="872"/>
        <v>0</v>
      </c>
      <c r="V319" s="208">
        <f t="shared" si="872"/>
        <v>0</v>
      </c>
      <c r="W319" s="208">
        <f t="shared" si="872"/>
        <v>0</v>
      </c>
      <c r="X319" s="208">
        <f t="shared" si="872"/>
        <v>0</v>
      </c>
      <c r="Y319" s="208">
        <f t="shared" si="872"/>
        <v>0</v>
      </c>
      <c r="Z319" s="208">
        <f t="shared" si="872"/>
        <v>0</v>
      </c>
      <c r="AA319" s="208">
        <f t="shared" si="872"/>
        <v>0</v>
      </c>
      <c r="AB319" s="208">
        <f t="shared" si="872"/>
        <v>0</v>
      </c>
      <c r="AC319" s="208">
        <f t="shared" si="872"/>
        <v>0</v>
      </c>
      <c r="AD319" s="208">
        <f t="shared" si="872"/>
        <v>0</v>
      </c>
      <c r="AE319" s="208">
        <f t="shared" si="872"/>
        <v>0</v>
      </c>
      <c r="AF319" s="208">
        <f t="shared" si="872"/>
        <v>0</v>
      </c>
      <c r="AG319" s="208">
        <f t="shared" si="872"/>
        <v>0</v>
      </c>
      <c r="AH319" s="208">
        <f t="shared" si="872"/>
        <v>0</v>
      </c>
      <c r="AI319" s="208">
        <f t="shared" si="872"/>
        <v>0</v>
      </c>
      <c r="AJ319" s="208">
        <f t="shared" si="872"/>
        <v>0</v>
      </c>
      <c r="AK319" s="208">
        <f t="shared" si="872"/>
        <v>0</v>
      </c>
      <c r="AL319" s="208">
        <f t="shared" si="872"/>
        <v>0</v>
      </c>
      <c r="AM319" s="208">
        <f t="shared" si="872"/>
        <v>0</v>
      </c>
      <c r="AN319" s="208">
        <f t="shared" si="872"/>
        <v>0</v>
      </c>
      <c r="AO319" s="208">
        <f t="shared" si="872"/>
        <v>0</v>
      </c>
      <c r="AP319" s="208">
        <f t="shared" si="872"/>
        <v>0</v>
      </c>
    </row>
    <row r="320" spans="1:42">
      <c r="A320" s="227" t="str">
        <f t="shared" si="870"/>
        <v>5-yr SL</v>
      </c>
      <c r="B320" s="165">
        <f t="shared" si="871"/>
        <v>0</v>
      </c>
      <c r="C320" s="208">
        <f t="shared" ref="C320:AP320" si="873">C313*$K280</f>
        <v>0</v>
      </c>
      <c r="D320" s="208">
        <f t="shared" si="873"/>
        <v>0</v>
      </c>
      <c r="E320" s="208">
        <f t="shared" si="873"/>
        <v>0</v>
      </c>
      <c r="F320" s="208">
        <f t="shared" si="873"/>
        <v>0</v>
      </c>
      <c r="G320" s="208">
        <f t="shared" si="873"/>
        <v>0</v>
      </c>
      <c r="H320" s="208">
        <f t="shared" si="873"/>
        <v>0</v>
      </c>
      <c r="I320" s="208">
        <f t="shared" si="873"/>
        <v>0</v>
      </c>
      <c r="J320" s="208">
        <f t="shared" si="873"/>
        <v>0</v>
      </c>
      <c r="K320" s="208">
        <f t="shared" si="873"/>
        <v>0</v>
      </c>
      <c r="L320" s="208">
        <f t="shared" si="873"/>
        <v>0</v>
      </c>
      <c r="M320" s="208">
        <f t="shared" si="873"/>
        <v>0</v>
      </c>
      <c r="N320" s="208">
        <f t="shared" si="873"/>
        <v>0</v>
      </c>
      <c r="O320" s="208">
        <f t="shared" si="873"/>
        <v>0</v>
      </c>
      <c r="P320" s="208">
        <f t="shared" si="873"/>
        <v>0</v>
      </c>
      <c r="Q320" s="208">
        <f t="shared" si="873"/>
        <v>0</v>
      </c>
      <c r="R320" s="208">
        <f t="shared" si="873"/>
        <v>0</v>
      </c>
      <c r="S320" s="208">
        <f t="shared" si="873"/>
        <v>0</v>
      </c>
      <c r="T320" s="208">
        <f t="shared" si="873"/>
        <v>0</v>
      </c>
      <c r="U320" s="208">
        <f t="shared" si="873"/>
        <v>0</v>
      </c>
      <c r="V320" s="208">
        <f t="shared" si="873"/>
        <v>0</v>
      </c>
      <c r="W320" s="208">
        <f t="shared" si="873"/>
        <v>0</v>
      </c>
      <c r="X320" s="208">
        <f t="shared" si="873"/>
        <v>0</v>
      </c>
      <c r="Y320" s="208">
        <f t="shared" si="873"/>
        <v>0</v>
      </c>
      <c r="Z320" s="208">
        <f t="shared" si="873"/>
        <v>0</v>
      </c>
      <c r="AA320" s="208">
        <f t="shared" si="873"/>
        <v>0</v>
      </c>
      <c r="AB320" s="208">
        <f t="shared" si="873"/>
        <v>0</v>
      </c>
      <c r="AC320" s="208">
        <f t="shared" si="873"/>
        <v>0</v>
      </c>
      <c r="AD320" s="208">
        <f t="shared" si="873"/>
        <v>0</v>
      </c>
      <c r="AE320" s="208">
        <f t="shared" si="873"/>
        <v>0</v>
      </c>
      <c r="AF320" s="208">
        <f t="shared" si="873"/>
        <v>0</v>
      </c>
      <c r="AG320" s="208">
        <f t="shared" si="873"/>
        <v>0</v>
      </c>
      <c r="AH320" s="208">
        <f t="shared" si="873"/>
        <v>0</v>
      </c>
      <c r="AI320" s="208">
        <f t="shared" si="873"/>
        <v>0</v>
      </c>
      <c r="AJ320" s="208">
        <f t="shared" si="873"/>
        <v>0</v>
      </c>
      <c r="AK320" s="208">
        <f t="shared" si="873"/>
        <v>0</v>
      </c>
      <c r="AL320" s="208">
        <f t="shared" si="873"/>
        <v>0</v>
      </c>
      <c r="AM320" s="208">
        <f t="shared" si="873"/>
        <v>0</v>
      </c>
      <c r="AN320" s="208">
        <f t="shared" si="873"/>
        <v>0</v>
      </c>
      <c r="AO320" s="208">
        <f t="shared" si="873"/>
        <v>0</v>
      </c>
      <c r="AP320" s="208">
        <f t="shared" si="873"/>
        <v>0</v>
      </c>
    </row>
    <row r="321" spans="1:42">
      <c r="A321" s="227" t="str">
        <f t="shared" si="870"/>
        <v>15-yr SL</v>
      </c>
      <c r="B321" s="165">
        <f t="shared" si="871"/>
        <v>1334606.5833054909</v>
      </c>
      <c r="C321" s="208">
        <f t="shared" ref="C321:AP321" si="874">C314*$K281</f>
        <v>44442.399224072855</v>
      </c>
      <c r="D321" s="208">
        <f t="shared" si="874"/>
        <v>89018.259106476238</v>
      </c>
      <c r="E321" s="208">
        <f t="shared" si="874"/>
        <v>89018.259106476238</v>
      </c>
      <c r="F321" s="208">
        <f t="shared" si="874"/>
        <v>89018.259106476238</v>
      </c>
      <c r="G321" s="208">
        <f t="shared" si="874"/>
        <v>89018.259106476238</v>
      </c>
      <c r="H321" s="208">
        <f t="shared" si="874"/>
        <v>89018.259106476238</v>
      </c>
      <c r="I321" s="208">
        <f t="shared" si="874"/>
        <v>89018.259106476238</v>
      </c>
      <c r="J321" s="208">
        <f t="shared" si="874"/>
        <v>88884.79844814571</v>
      </c>
      <c r="K321" s="208">
        <f t="shared" si="874"/>
        <v>89018.259106476238</v>
      </c>
      <c r="L321" s="208">
        <f t="shared" si="874"/>
        <v>88884.79844814571</v>
      </c>
      <c r="M321" s="208">
        <f t="shared" si="874"/>
        <v>89018.259106476238</v>
      </c>
      <c r="N321" s="208">
        <f t="shared" si="874"/>
        <v>88884.79844814571</v>
      </c>
      <c r="O321" s="208">
        <f t="shared" si="874"/>
        <v>89018.259106476238</v>
      </c>
      <c r="P321" s="208">
        <f t="shared" si="874"/>
        <v>88884.79844814571</v>
      </c>
      <c r="Q321" s="208">
        <f t="shared" si="874"/>
        <v>89018.259106476238</v>
      </c>
      <c r="R321" s="208">
        <f t="shared" si="874"/>
        <v>44442.399224072855</v>
      </c>
      <c r="S321" s="208">
        <f t="shared" si="874"/>
        <v>0</v>
      </c>
      <c r="T321" s="208">
        <f t="shared" si="874"/>
        <v>0</v>
      </c>
      <c r="U321" s="208">
        <f t="shared" si="874"/>
        <v>0</v>
      </c>
      <c r="V321" s="208">
        <f t="shared" si="874"/>
        <v>0</v>
      </c>
      <c r="W321" s="208">
        <f t="shared" si="874"/>
        <v>0</v>
      </c>
      <c r="X321" s="208">
        <f t="shared" si="874"/>
        <v>0</v>
      </c>
      <c r="Y321" s="208">
        <f t="shared" si="874"/>
        <v>0</v>
      </c>
      <c r="Z321" s="208">
        <f t="shared" si="874"/>
        <v>0</v>
      </c>
      <c r="AA321" s="208">
        <f t="shared" si="874"/>
        <v>0</v>
      </c>
      <c r="AB321" s="208">
        <f t="shared" si="874"/>
        <v>0</v>
      </c>
      <c r="AC321" s="208">
        <f t="shared" si="874"/>
        <v>0</v>
      </c>
      <c r="AD321" s="208">
        <f t="shared" si="874"/>
        <v>0</v>
      </c>
      <c r="AE321" s="208">
        <f t="shared" si="874"/>
        <v>0</v>
      </c>
      <c r="AF321" s="208">
        <f t="shared" si="874"/>
        <v>0</v>
      </c>
      <c r="AG321" s="208">
        <f t="shared" si="874"/>
        <v>0</v>
      </c>
      <c r="AH321" s="208">
        <f t="shared" si="874"/>
        <v>0</v>
      </c>
      <c r="AI321" s="208">
        <f t="shared" si="874"/>
        <v>0</v>
      </c>
      <c r="AJ321" s="208">
        <f t="shared" si="874"/>
        <v>0</v>
      </c>
      <c r="AK321" s="208">
        <f t="shared" si="874"/>
        <v>0</v>
      </c>
      <c r="AL321" s="208">
        <f t="shared" si="874"/>
        <v>0</v>
      </c>
      <c r="AM321" s="208">
        <f t="shared" si="874"/>
        <v>0</v>
      </c>
      <c r="AN321" s="208">
        <f t="shared" si="874"/>
        <v>0</v>
      </c>
      <c r="AO321" s="208">
        <f t="shared" si="874"/>
        <v>0</v>
      </c>
      <c r="AP321" s="208">
        <f t="shared" si="874"/>
        <v>0</v>
      </c>
    </row>
    <row r="322" spans="1:42">
      <c r="A322" s="227" t="str">
        <f t="shared" si="870"/>
        <v>20-yr SL</v>
      </c>
      <c r="B322" s="165">
        <f t="shared" si="871"/>
        <v>1334606.5833054909</v>
      </c>
      <c r="C322" s="208">
        <f t="shared" ref="C322:AP322" si="875">C315*$K282</f>
        <v>33365.164582637277</v>
      </c>
      <c r="D322" s="208">
        <f t="shared" si="875"/>
        <v>66730.329165274554</v>
      </c>
      <c r="E322" s="208">
        <f t="shared" si="875"/>
        <v>66730.329165274554</v>
      </c>
      <c r="F322" s="208">
        <f t="shared" si="875"/>
        <v>66730.329165274554</v>
      </c>
      <c r="G322" s="208">
        <f t="shared" si="875"/>
        <v>66730.329165274554</v>
      </c>
      <c r="H322" s="208">
        <f t="shared" si="875"/>
        <v>66730.329165274554</v>
      </c>
      <c r="I322" s="208">
        <f t="shared" si="875"/>
        <v>66730.329165274554</v>
      </c>
      <c r="J322" s="208">
        <f t="shared" si="875"/>
        <v>66730.329165274554</v>
      </c>
      <c r="K322" s="208">
        <f t="shared" si="875"/>
        <v>66730.329165274554</v>
      </c>
      <c r="L322" s="208">
        <f t="shared" si="875"/>
        <v>66730.329165274554</v>
      </c>
      <c r="M322" s="208">
        <f t="shared" si="875"/>
        <v>66730.329165274554</v>
      </c>
      <c r="N322" s="208">
        <f t="shared" si="875"/>
        <v>66730.329165274554</v>
      </c>
      <c r="O322" s="208">
        <f t="shared" si="875"/>
        <v>66730.329165274554</v>
      </c>
      <c r="P322" s="208">
        <f t="shared" si="875"/>
        <v>66730.329165274554</v>
      </c>
      <c r="Q322" s="208">
        <f t="shared" si="875"/>
        <v>66730.329165274554</v>
      </c>
      <c r="R322" s="208">
        <f t="shared" si="875"/>
        <v>66730.329165274554</v>
      </c>
      <c r="S322" s="208">
        <f t="shared" si="875"/>
        <v>66730.329165274554</v>
      </c>
      <c r="T322" s="208">
        <f t="shared" si="875"/>
        <v>66730.329165274554</v>
      </c>
      <c r="U322" s="208">
        <f t="shared" si="875"/>
        <v>66730.329165274554</v>
      </c>
      <c r="V322" s="208">
        <f t="shared" si="875"/>
        <v>66730.329165274554</v>
      </c>
      <c r="W322" s="208">
        <f t="shared" si="875"/>
        <v>33365.164582637277</v>
      </c>
      <c r="X322" s="208">
        <f t="shared" si="875"/>
        <v>0</v>
      </c>
      <c r="Y322" s="208">
        <f t="shared" si="875"/>
        <v>0</v>
      </c>
      <c r="Z322" s="208">
        <f t="shared" si="875"/>
        <v>0</v>
      </c>
      <c r="AA322" s="208">
        <f t="shared" si="875"/>
        <v>0</v>
      </c>
      <c r="AB322" s="208">
        <f t="shared" si="875"/>
        <v>0</v>
      </c>
      <c r="AC322" s="208">
        <f t="shared" si="875"/>
        <v>0</v>
      </c>
      <c r="AD322" s="208">
        <f t="shared" si="875"/>
        <v>0</v>
      </c>
      <c r="AE322" s="208">
        <f t="shared" si="875"/>
        <v>0</v>
      </c>
      <c r="AF322" s="208">
        <f t="shared" si="875"/>
        <v>0</v>
      </c>
      <c r="AG322" s="208">
        <f t="shared" si="875"/>
        <v>0</v>
      </c>
      <c r="AH322" s="208">
        <f t="shared" si="875"/>
        <v>0</v>
      </c>
      <c r="AI322" s="208">
        <f t="shared" si="875"/>
        <v>0</v>
      </c>
      <c r="AJ322" s="208">
        <f t="shared" si="875"/>
        <v>0</v>
      </c>
      <c r="AK322" s="208">
        <f t="shared" si="875"/>
        <v>0</v>
      </c>
      <c r="AL322" s="208">
        <f t="shared" si="875"/>
        <v>0</v>
      </c>
      <c r="AM322" s="208">
        <f t="shared" si="875"/>
        <v>0</v>
      </c>
      <c r="AN322" s="208">
        <f t="shared" si="875"/>
        <v>0</v>
      </c>
      <c r="AO322" s="208">
        <f t="shared" si="875"/>
        <v>0</v>
      </c>
      <c r="AP322" s="208">
        <f t="shared" si="875"/>
        <v>0</v>
      </c>
    </row>
    <row r="323" spans="1:42">
      <c r="A323" s="227" t="str">
        <f t="shared" si="870"/>
        <v>39-yr SL</v>
      </c>
      <c r="B323" s="165">
        <f t="shared" si="871"/>
        <v>222434.43055091501</v>
      </c>
      <c r="C323" s="208">
        <f t="shared" ref="C323:AP323" si="876">C316*$K283</f>
        <v>2851.7234686014717</v>
      </c>
      <c r="D323" s="208">
        <f t="shared" si="876"/>
        <v>5703.4469372029525</v>
      </c>
      <c r="E323" s="208">
        <f t="shared" si="876"/>
        <v>5703.4469372029525</v>
      </c>
      <c r="F323" s="208">
        <f t="shared" si="876"/>
        <v>5703.4469372029525</v>
      </c>
      <c r="G323" s="208">
        <f t="shared" si="876"/>
        <v>5703.4469372029525</v>
      </c>
      <c r="H323" s="208">
        <f t="shared" si="876"/>
        <v>5703.4469372029525</v>
      </c>
      <c r="I323" s="208">
        <f t="shared" si="876"/>
        <v>5703.4469372029525</v>
      </c>
      <c r="J323" s="208">
        <f t="shared" si="876"/>
        <v>5703.4469372029525</v>
      </c>
      <c r="K323" s="208">
        <f t="shared" si="876"/>
        <v>5703.4469372029525</v>
      </c>
      <c r="L323" s="208">
        <f t="shared" si="876"/>
        <v>5703.4469372029525</v>
      </c>
      <c r="M323" s="208">
        <f t="shared" si="876"/>
        <v>5703.4469372029525</v>
      </c>
      <c r="N323" s="208">
        <f t="shared" si="876"/>
        <v>5703.4469372029525</v>
      </c>
      <c r="O323" s="208">
        <f t="shared" si="876"/>
        <v>5703.4469372029525</v>
      </c>
      <c r="P323" s="208">
        <f t="shared" si="876"/>
        <v>5703.4469372029525</v>
      </c>
      <c r="Q323" s="208">
        <f t="shared" si="876"/>
        <v>5703.4469372029525</v>
      </c>
      <c r="R323" s="208">
        <f t="shared" si="876"/>
        <v>5703.4469372029525</v>
      </c>
      <c r="S323" s="208">
        <f t="shared" si="876"/>
        <v>5703.4469372029525</v>
      </c>
      <c r="T323" s="208">
        <f t="shared" si="876"/>
        <v>5703.4469372029525</v>
      </c>
      <c r="U323" s="208">
        <f t="shared" si="876"/>
        <v>5703.4469372029525</v>
      </c>
      <c r="V323" s="208">
        <f t="shared" si="876"/>
        <v>5703.4469372029525</v>
      </c>
      <c r="W323" s="208">
        <f t="shared" si="876"/>
        <v>5703.4469372029525</v>
      </c>
      <c r="X323" s="208">
        <f t="shared" si="876"/>
        <v>5703.4469372029525</v>
      </c>
      <c r="Y323" s="208">
        <f t="shared" si="876"/>
        <v>5703.4469372029525</v>
      </c>
      <c r="Z323" s="208">
        <f t="shared" si="876"/>
        <v>5703.4469372029525</v>
      </c>
      <c r="AA323" s="208">
        <f t="shared" si="876"/>
        <v>5703.4469372029525</v>
      </c>
      <c r="AB323" s="208">
        <f t="shared" si="876"/>
        <v>5703.4469372029525</v>
      </c>
      <c r="AC323" s="208">
        <f t="shared" si="876"/>
        <v>5703.4469372029525</v>
      </c>
      <c r="AD323" s="208">
        <f t="shared" si="876"/>
        <v>5703.4469372029525</v>
      </c>
      <c r="AE323" s="208">
        <f t="shared" si="876"/>
        <v>5703.4469372029525</v>
      </c>
      <c r="AF323" s="208">
        <f t="shared" si="876"/>
        <v>5703.4469372029525</v>
      </c>
      <c r="AG323" s="208">
        <f t="shared" si="876"/>
        <v>5703.4469372029525</v>
      </c>
      <c r="AH323" s="208">
        <f t="shared" si="876"/>
        <v>5703.4469372029525</v>
      </c>
      <c r="AI323" s="208">
        <f t="shared" si="876"/>
        <v>5703.4469372029525</v>
      </c>
      <c r="AJ323" s="208">
        <f t="shared" si="876"/>
        <v>5703.4469372029525</v>
      </c>
      <c r="AK323" s="208">
        <f t="shared" si="876"/>
        <v>5703.4469372029525</v>
      </c>
      <c r="AL323" s="208">
        <f t="shared" si="876"/>
        <v>5703.4469372029525</v>
      </c>
      <c r="AM323" s="208">
        <f t="shared" si="876"/>
        <v>5703.4469372029525</v>
      </c>
      <c r="AN323" s="208">
        <f t="shared" si="876"/>
        <v>5703.4469372029525</v>
      </c>
      <c r="AO323" s="208">
        <f t="shared" si="876"/>
        <v>5703.4469372029525</v>
      </c>
      <c r="AP323" s="208">
        <f t="shared" si="876"/>
        <v>2851.7234686014717</v>
      </c>
    </row>
    <row r="324" spans="1:42">
      <c r="A324" s="227" t="s">
        <v>332</v>
      </c>
      <c r="B324" s="237">
        <f t="shared" ref="B324" si="877">SUM(C324:AP324)</f>
        <v>1979166.4319031448</v>
      </c>
      <c r="C324" s="209">
        <f>J285</f>
        <v>1979166.4319031448</v>
      </c>
      <c r="D324" s="209">
        <v>0</v>
      </c>
      <c r="E324" s="209">
        <v>0</v>
      </c>
      <c r="F324" s="209">
        <v>0</v>
      </c>
      <c r="G324" s="209">
        <v>0</v>
      </c>
      <c r="H324" s="209">
        <v>0</v>
      </c>
      <c r="I324" s="209">
        <v>0</v>
      </c>
      <c r="J324" s="209">
        <v>0</v>
      </c>
      <c r="K324" s="209">
        <v>0</v>
      </c>
      <c r="L324" s="209">
        <v>0</v>
      </c>
      <c r="M324" s="209">
        <v>0</v>
      </c>
      <c r="N324" s="209">
        <v>0</v>
      </c>
      <c r="O324" s="209">
        <v>0</v>
      </c>
      <c r="P324" s="209">
        <v>0</v>
      </c>
      <c r="Q324" s="209">
        <v>0</v>
      </c>
      <c r="R324" s="209">
        <v>0</v>
      </c>
      <c r="S324" s="209">
        <v>0</v>
      </c>
      <c r="T324" s="209">
        <v>0</v>
      </c>
      <c r="U324" s="209">
        <v>0</v>
      </c>
      <c r="V324" s="209">
        <v>0</v>
      </c>
      <c r="W324" s="209">
        <v>0</v>
      </c>
      <c r="X324" s="209">
        <v>0</v>
      </c>
      <c r="Y324" s="209">
        <v>0</v>
      </c>
      <c r="Z324" s="209">
        <v>0</v>
      </c>
      <c r="AA324" s="209">
        <v>0</v>
      </c>
      <c r="AB324" s="209">
        <v>0</v>
      </c>
      <c r="AC324" s="209">
        <v>0</v>
      </c>
      <c r="AD324" s="209">
        <v>0</v>
      </c>
      <c r="AE324" s="209">
        <v>0</v>
      </c>
      <c r="AF324" s="209">
        <v>0</v>
      </c>
      <c r="AG324" s="209">
        <v>0</v>
      </c>
      <c r="AH324" s="209">
        <v>0</v>
      </c>
      <c r="AI324" s="209">
        <v>0</v>
      </c>
      <c r="AJ324" s="209">
        <v>0</v>
      </c>
      <c r="AK324" s="209">
        <v>0</v>
      </c>
      <c r="AL324" s="209">
        <v>0</v>
      </c>
      <c r="AM324" s="209">
        <v>0</v>
      </c>
      <c r="AN324" s="209">
        <v>0</v>
      </c>
      <c r="AO324" s="209">
        <v>0</v>
      </c>
      <c r="AP324" s="209">
        <v>0</v>
      </c>
    </row>
    <row r="325" spans="1:42">
      <c r="A325" s="226"/>
      <c r="B325" s="237">
        <f t="shared" si="871"/>
        <v>43142279.526877552</v>
      </c>
      <c r="C325" s="208">
        <f>SUM(C318:C324)</f>
        <v>9614023.3249930441</v>
      </c>
      <c r="D325" s="208">
        <f t="shared" ref="D325:AP325" si="878">SUM(D318:D324)</f>
        <v>12258177.753887083</v>
      </c>
      <c r="E325" s="208">
        <f t="shared" si="878"/>
        <v>7438505.610227935</v>
      </c>
      <c r="F325" s="208">
        <f t="shared" si="878"/>
        <v>4544833.8748158179</v>
      </c>
      <c r="G325" s="208">
        <f t="shared" si="878"/>
        <v>4539695.6394700911</v>
      </c>
      <c r="H325" s="208">
        <f t="shared" si="878"/>
        <v>2369024.7733537215</v>
      </c>
      <c r="I325" s="208">
        <f t="shared" si="878"/>
        <v>200822.92941646569</v>
      </c>
      <c r="J325" s="208">
        <f t="shared" si="878"/>
        <v>200689.46875813516</v>
      </c>
      <c r="K325" s="208">
        <f t="shared" si="878"/>
        <v>200889.65974563098</v>
      </c>
      <c r="L325" s="208">
        <f t="shared" si="878"/>
        <v>200689.46875813516</v>
      </c>
      <c r="M325" s="208">
        <f t="shared" si="878"/>
        <v>200889.65974563098</v>
      </c>
      <c r="N325" s="208">
        <f t="shared" si="878"/>
        <v>200689.46875813516</v>
      </c>
      <c r="O325" s="208">
        <f t="shared" si="878"/>
        <v>200889.65974563098</v>
      </c>
      <c r="P325" s="208">
        <f t="shared" si="878"/>
        <v>200689.46875813516</v>
      </c>
      <c r="Q325" s="208">
        <f t="shared" si="878"/>
        <v>200889.65974563098</v>
      </c>
      <c r="R325" s="208">
        <f t="shared" si="878"/>
        <v>136561.62243030634</v>
      </c>
      <c r="S325" s="208">
        <f t="shared" si="878"/>
        <v>72433.77610247751</v>
      </c>
      <c r="T325" s="208">
        <f t="shared" si="878"/>
        <v>72433.77610247751</v>
      </c>
      <c r="U325" s="208">
        <f t="shared" si="878"/>
        <v>72433.77610247751</v>
      </c>
      <c r="V325" s="208">
        <f t="shared" si="878"/>
        <v>72433.77610247751</v>
      </c>
      <c r="W325" s="208">
        <f t="shared" si="878"/>
        <v>39068.611519840226</v>
      </c>
      <c r="X325" s="208">
        <f t="shared" si="878"/>
        <v>5703.4469372029525</v>
      </c>
      <c r="Y325" s="208">
        <f t="shared" si="878"/>
        <v>5703.4469372029525</v>
      </c>
      <c r="Z325" s="208">
        <f t="shared" si="878"/>
        <v>5703.4469372029525</v>
      </c>
      <c r="AA325" s="208">
        <f t="shared" si="878"/>
        <v>5703.4469372029525</v>
      </c>
      <c r="AB325" s="208">
        <f t="shared" si="878"/>
        <v>5703.4469372029525</v>
      </c>
      <c r="AC325" s="208">
        <f t="shared" si="878"/>
        <v>5703.4469372029525</v>
      </c>
      <c r="AD325" s="208">
        <f t="shared" si="878"/>
        <v>5703.4469372029525</v>
      </c>
      <c r="AE325" s="208">
        <f t="shared" si="878"/>
        <v>5703.4469372029525</v>
      </c>
      <c r="AF325" s="208">
        <f t="shared" si="878"/>
        <v>5703.4469372029525</v>
      </c>
      <c r="AG325" s="208">
        <f t="shared" si="878"/>
        <v>5703.4469372029525</v>
      </c>
      <c r="AH325" s="208">
        <f t="shared" si="878"/>
        <v>5703.4469372029525</v>
      </c>
      <c r="AI325" s="208">
        <f t="shared" si="878"/>
        <v>5703.4469372029525</v>
      </c>
      <c r="AJ325" s="208">
        <f t="shared" si="878"/>
        <v>5703.4469372029525</v>
      </c>
      <c r="AK325" s="208">
        <f t="shared" si="878"/>
        <v>5703.4469372029525</v>
      </c>
      <c r="AL325" s="208">
        <f t="shared" si="878"/>
        <v>5703.4469372029525</v>
      </c>
      <c r="AM325" s="208">
        <f t="shared" si="878"/>
        <v>5703.4469372029525</v>
      </c>
      <c r="AN325" s="208">
        <f t="shared" si="878"/>
        <v>5703.4469372029525</v>
      </c>
      <c r="AO325" s="208">
        <f t="shared" si="878"/>
        <v>5703.4469372029525</v>
      </c>
      <c r="AP325" s="208">
        <f t="shared" si="878"/>
        <v>2851.7234686014717</v>
      </c>
    </row>
    <row r="326" spans="1:42">
      <c r="A326" s="226"/>
      <c r="C326" s="208"/>
      <c r="D326" s="208"/>
      <c r="E326" s="208"/>
      <c r="F326" s="208"/>
      <c r="G326" s="208"/>
      <c r="H326" s="208"/>
      <c r="I326" s="208"/>
      <c r="J326" s="208"/>
      <c r="K326" s="208"/>
      <c r="L326" s="208"/>
      <c r="M326" s="208"/>
      <c r="N326" s="208"/>
      <c r="O326" s="208"/>
      <c r="P326" s="208"/>
      <c r="Q326" s="208"/>
      <c r="R326" s="208"/>
      <c r="S326" s="208"/>
      <c r="T326" s="208"/>
      <c r="U326" s="208"/>
      <c r="V326" s="208"/>
      <c r="W326" s="208"/>
      <c r="X326" s="208"/>
      <c r="Y326" s="208"/>
      <c r="Z326" s="208"/>
      <c r="AA326" s="208"/>
      <c r="AB326" s="208"/>
      <c r="AC326" s="208"/>
      <c r="AD326" s="208"/>
      <c r="AE326" s="208"/>
      <c r="AF326" s="208"/>
      <c r="AG326" s="208"/>
      <c r="AH326" s="208"/>
      <c r="AI326" s="208"/>
      <c r="AJ326" s="208"/>
      <c r="AK326" s="208"/>
      <c r="AL326" s="208"/>
      <c r="AM326" s="208"/>
      <c r="AN326" s="208"/>
      <c r="AO326" s="208"/>
      <c r="AP326" s="208"/>
    </row>
    <row r="327" spans="1:42">
      <c r="A327" s="219" t="s">
        <v>216</v>
      </c>
      <c r="C327" s="208"/>
      <c r="D327" s="208"/>
      <c r="E327" s="208"/>
      <c r="F327" s="208"/>
      <c r="G327" s="208"/>
      <c r="H327" s="208"/>
      <c r="I327" s="208"/>
      <c r="J327" s="208"/>
      <c r="K327" s="208"/>
      <c r="L327" s="208"/>
      <c r="M327" s="208"/>
      <c r="N327" s="208"/>
      <c r="O327" s="208"/>
      <c r="P327" s="208"/>
      <c r="Q327" s="208"/>
      <c r="R327" s="208"/>
      <c r="S327" s="208"/>
      <c r="T327" s="208"/>
      <c r="U327" s="208"/>
      <c r="V327" s="208"/>
      <c r="W327" s="208"/>
      <c r="X327" s="208"/>
      <c r="Y327" s="208"/>
      <c r="Z327" s="208"/>
      <c r="AA327" s="208"/>
      <c r="AB327" s="208"/>
      <c r="AC327" s="208"/>
      <c r="AD327" s="208"/>
      <c r="AE327" s="208"/>
      <c r="AF327" s="208"/>
      <c r="AG327" s="208"/>
      <c r="AH327" s="208"/>
      <c r="AI327" s="208"/>
      <c r="AJ327" s="208"/>
      <c r="AK327" s="208"/>
      <c r="AL327" s="208"/>
      <c r="AM327" s="208"/>
      <c r="AN327" s="208"/>
      <c r="AO327" s="208"/>
      <c r="AP327" s="208"/>
    </row>
    <row r="328" spans="1:42">
      <c r="A328" s="226" t="s">
        <v>218</v>
      </c>
      <c r="B328" s="244" t="str">
        <f>MMStateTaxTreatment</f>
        <v>5-yr MACRS</v>
      </c>
      <c r="C328" s="208"/>
      <c r="D328" s="208"/>
      <c r="E328" s="208"/>
      <c r="F328" s="208"/>
      <c r="G328" s="208"/>
      <c r="H328" s="208"/>
      <c r="I328" s="208"/>
      <c r="J328" s="208"/>
      <c r="K328" s="208"/>
      <c r="L328" s="208"/>
      <c r="M328" s="208"/>
      <c r="N328" s="208"/>
      <c r="O328" s="208"/>
      <c r="P328" s="208"/>
      <c r="Q328" s="208"/>
      <c r="R328" s="208"/>
      <c r="S328" s="208"/>
      <c r="T328" s="208"/>
      <c r="U328" s="208"/>
      <c r="V328" s="208"/>
      <c r="W328" s="208"/>
      <c r="X328" s="208"/>
      <c r="Y328" s="208"/>
      <c r="Z328" s="208"/>
      <c r="AA328" s="208"/>
      <c r="AB328" s="208"/>
      <c r="AC328" s="208"/>
      <c r="AD328" s="208"/>
      <c r="AE328" s="208"/>
      <c r="AF328" s="208"/>
      <c r="AG328" s="208"/>
      <c r="AH328" s="208"/>
      <c r="AI328" s="208"/>
      <c r="AJ328" s="208"/>
      <c r="AK328" s="208"/>
      <c r="AL328" s="208"/>
      <c r="AM328" s="208"/>
      <c r="AN328" s="208"/>
      <c r="AO328" s="208"/>
      <c r="AP328" s="208"/>
    </row>
    <row r="329" spans="1:42">
      <c r="A329" s="226" t="s">
        <v>219</v>
      </c>
      <c r="B329" s="208">
        <f t="shared" ref="B329:AP329" si="879">B2</f>
        <v>0</v>
      </c>
      <c r="C329" s="208">
        <f t="shared" si="879"/>
        <v>1</v>
      </c>
      <c r="D329" s="208">
        <f t="shared" si="879"/>
        <v>2</v>
      </c>
      <c r="E329" s="208">
        <f t="shared" si="879"/>
        <v>3</v>
      </c>
      <c r="F329" s="208">
        <f t="shared" si="879"/>
        <v>4</v>
      </c>
      <c r="G329" s="208">
        <f t="shared" si="879"/>
        <v>5</v>
      </c>
      <c r="H329" s="208">
        <f t="shared" si="879"/>
        <v>6</v>
      </c>
      <c r="I329" s="208">
        <f t="shared" si="879"/>
        <v>7</v>
      </c>
      <c r="J329" s="208">
        <f t="shared" si="879"/>
        <v>8</v>
      </c>
      <c r="K329" s="208">
        <f t="shared" si="879"/>
        <v>9</v>
      </c>
      <c r="L329" s="208">
        <f t="shared" si="879"/>
        <v>10</v>
      </c>
      <c r="M329" s="208">
        <f t="shared" si="879"/>
        <v>11</v>
      </c>
      <c r="N329" s="208">
        <f t="shared" si="879"/>
        <v>12</v>
      </c>
      <c r="O329" s="208">
        <f t="shared" si="879"/>
        <v>13</v>
      </c>
      <c r="P329" s="208">
        <f t="shared" si="879"/>
        <v>14</v>
      </c>
      <c r="Q329" s="208">
        <f t="shared" si="879"/>
        <v>15</v>
      </c>
      <c r="R329" s="208">
        <f t="shared" si="879"/>
        <v>16</v>
      </c>
      <c r="S329" s="208">
        <f t="shared" si="879"/>
        <v>17</v>
      </c>
      <c r="T329" s="208">
        <f t="shared" si="879"/>
        <v>18</v>
      </c>
      <c r="U329" s="208">
        <f t="shared" si="879"/>
        <v>19</v>
      </c>
      <c r="V329" s="208">
        <f t="shared" si="879"/>
        <v>20</v>
      </c>
      <c r="W329" s="208">
        <f t="shared" si="879"/>
        <v>21</v>
      </c>
      <c r="X329" s="208">
        <f t="shared" si="879"/>
        <v>22</v>
      </c>
      <c r="Y329" s="208">
        <f t="shared" si="879"/>
        <v>23</v>
      </c>
      <c r="Z329" s="208">
        <f t="shared" si="879"/>
        <v>24</v>
      </c>
      <c r="AA329" s="208">
        <f t="shared" si="879"/>
        <v>25</v>
      </c>
      <c r="AB329" s="208">
        <f t="shared" si="879"/>
        <v>26</v>
      </c>
      <c r="AC329" s="208">
        <f t="shared" si="879"/>
        <v>27</v>
      </c>
      <c r="AD329" s="208">
        <f t="shared" si="879"/>
        <v>28</v>
      </c>
      <c r="AE329" s="208">
        <f t="shared" si="879"/>
        <v>29</v>
      </c>
      <c r="AF329" s="208">
        <f t="shared" si="879"/>
        <v>30</v>
      </c>
      <c r="AG329" s="208">
        <f t="shared" si="879"/>
        <v>31</v>
      </c>
      <c r="AH329" s="208">
        <f t="shared" si="879"/>
        <v>32</v>
      </c>
      <c r="AI329" s="208">
        <f t="shared" si="879"/>
        <v>33</v>
      </c>
      <c r="AJ329" s="208">
        <f t="shared" si="879"/>
        <v>34</v>
      </c>
      <c r="AK329" s="208">
        <f t="shared" si="879"/>
        <v>35</v>
      </c>
      <c r="AL329" s="208">
        <f t="shared" si="879"/>
        <v>36</v>
      </c>
      <c r="AM329" s="208">
        <f t="shared" si="879"/>
        <v>37</v>
      </c>
      <c r="AN329" s="208">
        <f t="shared" si="879"/>
        <v>38</v>
      </c>
      <c r="AO329" s="208">
        <f t="shared" si="879"/>
        <v>39</v>
      </c>
      <c r="AP329" s="208">
        <f t="shared" si="879"/>
        <v>40</v>
      </c>
    </row>
    <row r="330" spans="1:42">
      <c r="A330" s="226" t="s">
        <v>220</v>
      </c>
      <c r="B330" s="245">
        <v>0</v>
      </c>
      <c r="C330" s="240">
        <f t="shared" ref="C330:AP330" si="880">IF($B$328=$A311,C311,0)+IF($B$328=$A312,C312,0)+IF($B$328=$A313,C313,0)+IF($B$328=$A314,C314,0)+IF($B$328=$A315,C315,0)+IF($B$328=$A316,C316,0)</f>
        <v>0.2</v>
      </c>
      <c r="D330" s="240">
        <f t="shared" si="880"/>
        <v>0.32</v>
      </c>
      <c r="E330" s="240">
        <f t="shared" si="880"/>
        <v>0.192</v>
      </c>
      <c r="F330" s="240">
        <f t="shared" si="880"/>
        <v>0.1152</v>
      </c>
      <c r="G330" s="240">
        <f t="shared" si="880"/>
        <v>0.1152</v>
      </c>
      <c r="H330" s="240">
        <f t="shared" si="880"/>
        <v>5.7599999999999998E-2</v>
      </c>
      <c r="I330" s="240">
        <f t="shared" si="880"/>
        <v>0</v>
      </c>
      <c r="J330" s="240">
        <f t="shared" si="880"/>
        <v>0</v>
      </c>
      <c r="K330" s="240">
        <f t="shared" si="880"/>
        <v>0</v>
      </c>
      <c r="L330" s="240">
        <f t="shared" si="880"/>
        <v>0</v>
      </c>
      <c r="M330" s="240">
        <f t="shared" si="880"/>
        <v>0</v>
      </c>
      <c r="N330" s="240">
        <f t="shared" si="880"/>
        <v>0</v>
      </c>
      <c r="O330" s="240">
        <f t="shared" si="880"/>
        <v>0</v>
      </c>
      <c r="P330" s="240">
        <f t="shared" si="880"/>
        <v>0</v>
      </c>
      <c r="Q330" s="240">
        <f t="shared" si="880"/>
        <v>0</v>
      </c>
      <c r="R330" s="240">
        <f t="shared" si="880"/>
        <v>0</v>
      </c>
      <c r="S330" s="240">
        <f t="shared" si="880"/>
        <v>0</v>
      </c>
      <c r="T330" s="240">
        <f t="shared" si="880"/>
        <v>0</v>
      </c>
      <c r="U330" s="240">
        <f t="shared" si="880"/>
        <v>0</v>
      </c>
      <c r="V330" s="240">
        <f t="shared" si="880"/>
        <v>0</v>
      </c>
      <c r="W330" s="240">
        <f t="shared" si="880"/>
        <v>0</v>
      </c>
      <c r="X330" s="240">
        <f t="shared" si="880"/>
        <v>0</v>
      </c>
      <c r="Y330" s="240">
        <f t="shared" si="880"/>
        <v>0</v>
      </c>
      <c r="Z330" s="240">
        <f t="shared" si="880"/>
        <v>0</v>
      </c>
      <c r="AA330" s="240">
        <f t="shared" si="880"/>
        <v>0</v>
      </c>
      <c r="AB330" s="240">
        <f t="shared" si="880"/>
        <v>0</v>
      </c>
      <c r="AC330" s="240">
        <f t="shared" si="880"/>
        <v>0</v>
      </c>
      <c r="AD330" s="240">
        <f t="shared" si="880"/>
        <v>0</v>
      </c>
      <c r="AE330" s="240">
        <f t="shared" si="880"/>
        <v>0</v>
      </c>
      <c r="AF330" s="240">
        <f t="shared" si="880"/>
        <v>0</v>
      </c>
      <c r="AG330" s="240">
        <f t="shared" si="880"/>
        <v>0</v>
      </c>
      <c r="AH330" s="240">
        <f t="shared" si="880"/>
        <v>0</v>
      </c>
      <c r="AI330" s="240">
        <f t="shared" si="880"/>
        <v>0</v>
      </c>
      <c r="AJ330" s="240">
        <f t="shared" si="880"/>
        <v>0</v>
      </c>
      <c r="AK330" s="240">
        <f t="shared" si="880"/>
        <v>0</v>
      </c>
      <c r="AL330" s="240">
        <f t="shared" si="880"/>
        <v>0</v>
      </c>
      <c r="AM330" s="240">
        <f t="shared" si="880"/>
        <v>0</v>
      </c>
      <c r="AN330" s="240">
        <f t="shared" si="880"/>
        <v>0</v>
      </c>
      <c r="AO330" s="240">
        <f t="shared" si="880"/>
        <v>0</v>
      </c>
      <c r="AP330" s="240">
        <f t="shared" si="880"/>
        <v>0</v>
      </c>
    </row>
    <row r="331" spans="1:42">
      <c r="A331" s="226"/>
      <c r="B331" s="245"/>
      <c r="C331" s="240"/>
      <c r="D331" s="240"/>
      <c r="E331" s="240"/>
      <c r="F331" s="240"/>
      <c r="G331" s="240"/>
      <c r="H331" s="240"/>
      <c r="I331" s="240"/>
      <c r="J331" s="240"/>
      <c r="K331" s="240"/>
      <c r="L331" s="240"/>
      <c r="M331" s="240"/>
      <c r="N331" s="240"/>
      <c r="O331" s="240"/>
      <c r="P331" s="240"/>
      <c r="Q331" s="240"/>
      <c r="R331" s="240"/>
      <c r="S331" s="240"/>
      <c r="T331" s="240"/>
      <c r="U331" s="240"/>
      <c r="V331" s="240"/>
      <c r="W331" s="240"/>
      <c r="X331" s="240"/>
      <c r="Y331" s="240"/>
      <c r="Z331" s="240"/>
      <c r="AA331" s="240"/>
      <c r="AB331" s="240"/>
      <c r="AC331" s="240"/>
      <c r="AD331" s="240"/>
      <c r="AE331" s="240"/>
      <c r="AF331" s="240"/>
      <c r="AG331" s="240"/>
      <c r="AH331" s="240"/>
      <c r="AI331" s="240"/>
      <c r="AJ331" s="240"/>
      <c r="AK331" s="240"/>
      <c r="AL331" s="240"/>
      <c r="AM331" s="240"/>
      <c r="AN331" s="240"/>
      <c r="AO331" s="240"/>
      <c r="AP331" s="240"/>
    </row>
    <row r="332" spans="1:42">
      <c r="A332" s="219" t="s">
        <v>383</v>
      </c>
      <c r="C332" s="208"/>
      <c r="D332" s="208"/>
      <c r="E332" s="208"/>
      <c r="F332" s="208"/>
      <c r="G332" s="208"/>
      <c r="H332" s="208"/>
      <c r="I332" s="208"/>
      <c r="J332" s="208"/>
      <c r="K332" s="208"/>
      <c r="L332" s="208"/>
      <c r="M332" s="208"/>
      <c r="N332" s="208"/>
      <c r="O332" s="208"/>
      <c r="P332" s="208"/>
      <c r="Q332" s="208"/>
      <c r="R332" s="208"/>
      <c r="S332" s="208"/>
      <c r="T332" s="208"/>
      <c r="U332" s="208"/>
      <c r="V332" s="208"/>
      <c r="W332" s="208"/>
      <c r="X332" s="208"/>
      <c r="Y332" s="208"/>
      <c r="Z332" s="208"/>
      <c r="AA332" s="208"/>
      <c r="AB332" s="208"/>
      <c r="AC332" s="208"/>
      <c r="AD332" s="208"/>
      <c r="AE332" s="208"/>
      <c r="AF332" s="208"/>
      <c r="AG332" s="208"/>
      <c r="AH332" s="208"/>
      <c r="AI332" s="208"/>
      <c r="AJ332" s="208"/>
      <c r="AK332" s="208"/>
      <c r="AL332" s="208"/>
      <c r="AM332" s="208"/>
      <c r="AN332" s="208"/>
      <c r="AO332" s="208"/>
      <c r="AP332" s="208"/>
    </row>
    <row r="333" spans="1:42">
      <c r="A333" s="226" t="s">
        <v>217</v>
      </c>
      <c r="C333" s="208"/>
      <c r="D333" s="208"/>
      <c r="E333" s="208"/>
      <c r="F333" s="208"/>
      <c r="G333" s="208"/>
      <c r="H333" s="208"/>
      <c r="I333" s="208"/>
      <c r="J333" s="208"/>
      <c r="K333" s="208"/>
      <c r="L333" s="208"/>
      <c r="M333" s="208"/>
      <c r="N333" s="208"/>
      <c r="O333" s="208"/>
      <c r="P333" s="208"/>
      <c r="Q333" s="208"/>
      <c r="R333" s="208"/>
      <c r="S333" s="208"/>
      <c r="T333" s="208"/>
      <c r="U333" s="208"/>
      <c r="V333" s="208"/>
      <c r="W333" s="208"/>
      <c r="X333" s="208"/>
      <c r="Y333" s="208"/>
      <c r="Z333" s="208"/>
      <c r="AA333" s="208"/>
      <c r="AB333" s="208"/>
      <c r="AC333" s="208"/>
      <c r="AD333" s="208"/>
      <c r="AE333" s="208"/>
      <c r="AF333" s="208"/>
      <c r="AG333" s="208"/>
      <c r="AH333" s="208"/>
      <c r="AI333" s="208"/>
      <c r="AJ333" s="208"/>
      <c r="AK333" s="208"/>
      <c r="AL333" s="208"/>
      <c r="AM333" s="208"/>
      <c r="AN333" s="208"/>
      <c r="AO333" s="208"/>
      <c r="AP333" s="208"/>
    </row>
    <row r="334" spans="1:42">
      <c r="A334" s="37">
        <v>1</v>
      </c>
      <c r="C334" s="208">
        <f>IF(C$2&lt;=AnalysisPeriod,IF(SUM($C715:C715)&gt;0,B334+1,0),0)</f>
        <v>0</v>
      </c>
      <c r="D334" s="208">
        <f>IF(D$2&lt;=AnalysisPeriod,IF(SUM($C715:D715)&gt;0,C334+1,0),0)</f>
        <v>0</v>
      </c>
      <c r="E334" s="208">
        <f>IF(E$2&lt;=AnalysisPeriod,IF(SUM($C715:E715)&gt;0,D334+1,0),0)</f>
        <v>0</v>
      </c>
      <c r="F334" s="208">
        <f>IF(F$2&lt;=AnalysisPeriod,IF(SUM($C715:F715)&gt;0,E334+1,0),0)</f>
        <v>0</v>
      </c>
      <c r="G334" s="208">
        <f>IF(G$2&lt;=AnalysisPeriod,IF(SUM($C715:G715)&gt;0,F334+1,0),0)</f>
        <v>0</v>
      </c>
      <c r="H334" s="208">
        <f>IF(H$2&lt;=AnalysisPeriod,IF(SUM($C715:H715)&gt;0,G334+1,0),0)</f>
        <v>0</v>
      </c>
      <c r="I334" s="208">
        <f>IF(I$2&lt;=AnalysisPeriod,IF(SUM($C715:I715)&gt;0,H334+1,0),0)</f>
        <v>0</v>
      </c>
      <c r="J334" s="208">
        <f>IF(J$2&lt;=AnalysisPeriod,IF(SUM($C715:J715)&gt;0,I334+1,0),0)</f>
        <v>0</v>
      </c>
      <c r="K334" s="208">
        <f>IF(K$2&lt;=AnalysisPeriod,IF(SUM($C715:K715)&gt;0,J334+1,0),0)</f>
        <v>0</v>
      </c>
      <c r="L334" s="208">
        <f>IF(L$2&lt;=AnalysisPeriod,IF(SUM($C715:L715)&gt;0,K334+1,0),0)</f>
        <v>0</v>
      </c>
      <c r="M334" s="208">
        <f>IF(M$2&lt;=AnalysisPeriod,IF(SUM($C715:M715)&gt;0,L334+1,0),0)</f>
        <v>0</v>
      </c>
      <c r="N334" s="208">
        <f>IF(N$2&lt;=AnalysisPeriod,IF(SUM($C715:N715)&gt;0,M334+1,0),0)</f>
        <v>1</v>
      </c>
      <c r="O334" s="208">
        <f>IF(O$2&lt;=AnalysisPeriod,IF(SUM($C715:O715)&gt;0,N334+1,0),0)</f>
        <v>2</v>
      </c>
      <c r="P334" s="208">
        <f>IF(P$2&lt;=AnalysisPeriod,IF(SUM($C715:P715)&gt;0,O334+1,0),0)</f>
        <v>3</v>
      </c>
      <c r="Q334" s="208">
        <f>IF(Q$2&lt;=AnalysisPeriod,IF(SUM($C715:Q715)&gt;0,P334+1,0),0)</f>
        <v>4</v>
      </c>
      <c r="R334" s="208">
        <f>IF(R$2&lt;=AnalysisPeriod,IF(SUM($C715:R715)&gt;0,Q334+1,0),0)</f>
        <v>5</v>
      </c>
      <c r="S334" s="208">
        <f>IF(S$2&lt;=AnalysisPeriod,IF(SUM($C715:S715)&gt;0,R334+1,0),0)</f>
        <v>6</v>
      </c>
      <c r="T334" s="208">
        <f>IF(T$2&lt;=AnalysisPeriod,IF(SUM($C715:T715)&gt;0,S334+1,0),0)</f>
        <v>7</v>
      </c>
      <c r="U334" s="208">
        <f>IF(U$2&lt;=AnalysisPeriod,IF(SUM($C715:U715)&gt;0,T334+1,0),0)</f>
        <v>8</v>
      </c>
      <c r="V334" s="208">
        <f>IF(V$2&lt;=AnalysisPeriod,IF(SUM($C715:V715)&gt;0,U334+1,0),0)</f>
        <v>9</v>
      </c>
      <c r="W334" s="208">
        <f>IF(W$2&lt;=AnalysisPeriod,IF(SUM($C715:W715)&gt;0,V334+1,0),0)</f>
        <v>10</v>
      </c>
      <c r="X334" s="208">
        <f>IF(X$2&lt;=AnalysisPeriod,IF(SUM($C715:X715)&gt;0,W334+1,0),0)</f>
        <v>11</v>
      </c>
      <c r="Y334" s="208">
        <f>IF(Y$2&lt;=AnalysisPeriod,IF(SUM($C715:Y715)&gt;0,X334+1,0),0)</f>
        <v>12</v>
      </c>
      <c r="Z334" s="208">
        <f>IF(Z$2&lt;=AnalysisPeriod,IF(SUM($C715:Z715)&gt;0,Y334+1,0),0)</f>
        <v>13</v>
      </c>
      <c r="AA334" s="208">
        <f>IF(AA$2&lt;=AnalysisPeriod,IF(SUM($C715:AA715)&gt;0,Z334+1,0),0)</f>
        <v>14</v>
      </c>
      <c r="AB334" s="208">
        <f>IF(AB$2&lt;=AnalysisPeriod,IF(SUM($C715:AB715)&gt;0,AA334+1,0),0)</f>
        <v>15</v>
      </c>
      <c r="AC334" s="208">
        <f>IF(AC$2&lt;=AnalysisPeriod,IF(SUM($C715:AC715)&gt;0,AB334+1,0),0)</f>
        <v>16</v>
      </c>
      <c r="AD334" s="208">
        <f>IF(AD$2&lt;=AnalysisPeriod,IF(SUM($C715:AD715)&gt;0,AC334+1,0),0)</f>
        <v>17</v>
      </c>
      <c r="AE334" s="208">
        <f>IF(AE$2&lt;=AnalysisPeriod,IF(SUM($C715:AE715)&gt;0,AD334+1,0),0)</f>
        <v>18</v>
      </c>
      <c r="AF334" s="208">
        <f>IF(AF$2&lt;=AnalysisPeriod,IF(SUM($C715:AF715)&gt;0,AE334+1,0),0)</f>
        <v>19</v>
      </c>
      <c r="AG334" s="208">
        <f>IF(AG$2&lt;=AnalysisPeriod,IF(SUM($C715:AG715)&gt;0,AF334+1,0),0)</f>
        <v>0</v>
      </c>
      <c r="AH334" s="208">
        <f>IF(AH$2&lt;=AnalysisPeriod,IF(SUM($C715:AH715)&gt;0,AG334+1,0),0)</f>
        <v>0</v>
      </c>
      <c r="AI334" s="208">
        <f>IF(AI$2&lt;=AnalysisPeriod,IF(SUM($C715:AI715)&gt;0,AH334+1,0),0)</f>
        <v>0</v>
      </c>
      <c r="AJ334" s="208">
        <f>IF(AJ$2&lt;=AnalysisPeriod,IF(SUM($C715:AJ715)&gt;0,AI334+1,0),0)</f>
        <v>0</v>
      </c>
      <c r="AK334" s="208">
        <f>IF(AK$2&lt;=AnalysisPeriod,IF(SUM($C715:AK715)&gt;0,AJ334+1,0),0)</f>
        <v>0</v>
      </c>
      <c r="AL334" s="208">
        <f>IF(AL$2&lt;=AnalysisPeriod,IF(SUM($C715:AL715)&gt;0,AK334+1,0),0)</f>
        <v>0</v>
      </c>
      <c r="AM334" s="208">
        <f>IF(AM$2&lt;=AnalysisPeriod,IF(SUM($C715:AM715)&gt;0,AL334+1,0),0)</f>
        <v>0</v>
      </c>
      <c r="AN334" s="208">
        <f>IF(AN$2&lt;=AnalysisPeriod,IF(SUM($C715:AN715)&gt;0,AM334+1,0),0)</f>
        <v>0</v>
      </c>
      <c r="AO334" s="208">
        <f>IF(AO$2&lt;=AnalysisPeriod,IF(SUM($C715:AO715)&gt;0,AN334+1,0),0)</f>
        <v>0</v>
      </c>
      <c r="AP334" s="208">
        <f>IF(AP$2&lt;=AnalysisPeriod,IF(SUM($C715:AP715)&gt;0,AO334+1,0),0)</f>
        <v>0</v>
      </c>
    </row>
    <row r="335" spans="1:42">
      <c r="A335" s="37">
        <f>A334+1</f>
        <v>2</v>
      </c>
      <c r="C335" s="208">
        <f>IF(C$2&lt;=AnalysisPeriod,IF(SUM($C716:C716)&gt;0,B335+1,0),0)</f>
        <v>0</v>
      </c>
      <c r="D335" s="208">
        <f>IF(D$2&lt;=AnalysisPeriod,IF(SUM($C716:D716)&gt;0,C335+1,0),0)</f>
        <v>0</v>
      </c>
      <c r="E335" s="208">
        <f>IF(E$2&lt;=AnalysisPeriod,IF(SUM($C716:E716)&gt;0,D335+1,0),0)</f>
        <v>0</v>
      </c>
      <c r="F335" s="208">
        <f>IF(F$2&lt;=AnalysisPeriod,IF(SUM($C716:F716)&gt;0,E335+1,0),0)</f>
        <v>0</v>
      </c>
      <c r="G335" s="208">
        <f>IF(G$2&lt;=AnalysisPeriod,IF(SUM($C716:G716)&gt;0,F335+1,0),0)</f>
        <v>0</v>
      </c>
      <c r="H335" s="208">
        <f>IF(H$2&lt;=AnalysisPeriod,IF(SUM($C716:H716)&gt;0,G335+1,0),0)</f>
        <v>0</v>
      </c>
      <c r="I335" s="208">
        <f>IF(I$2&lt;=AnalysisPeriod,IF(SUM($C716:I716)&gt;0,H335+1,0),0)</f>
        <v>0</v>
      </c>
      <c r="J335" s="208">
        <f>IF(J$2&lt;=AnalysisPeriod,IF(SUM($C716:J716)&gt;0,I335+1,0),0)</f>
        <v>0</v>
      </c>
      <c r="K335" s="208">
        <f>IF(K$2&lt;=AnalysisPeriod,IF(SUM($C716:K716)&gt;0,J335+1,0),0)</f>
        <v>0</v>
      </c>
      <c r="L335" s="208">
        <f>IF(L$2&lt;=AnalysisPeriod,IF(SUM($C716:L716)&gt;0,K335+1,0),0)</f>
        <v>0</v>
      </c>
      <c r="M335" s="208">
        <f>IF(M$2&lt;=AnalysisPeriod,IF(SUM($C716:M716)&gt;0,L335+1,0),0)</f>
        <v>0</v>
      </c>
      <c r="N335" s="208">
        <f>IF(N$2&lt;=AnalysisPeriod,IF(SUM($C716:N716)&gt;0,M335+1,0),0)</f>
        <v>0</v>
      </c>
      <c r="O335" s="208">
        <f>IF(O$2&lt;=AnalysisPeriod,IF(SUM($C716:O716)&gt;0,N335+1,0),0)</f>
        <v>0</v>
      </c>
      <c r="P335" s="208">
        <f>IF(P$2&lt;=AnalysisPeriod,IF(SUM($C716:P716)&gt;0,O335+1,0),0)</f>
        <v>0</v>
      </c>
      <c r="Q335" s="208">
        <f>IF(Q$2&lt;=AnalysisPeriod,IF(SUM($C716:Q716)&gt;0,P335+1,0),0)</f>
        <v>0</v>
      </c>
      <c r="R335" s="208">
        <f>IF(R$2&lt;=AnalysisPeriod,IF(SUM($C716:R716)&gt;0,Q335+1,0),0)</f>
        <v>0</v>
      </c>
      <c r="S335" s="208">
        <f>IF(S$2&lt;=AnalysisPeriod,IF(SUM($C716:S716)&gt;0,R335+1,0),0)</f>
        <v>0</v>
      </c>
      <c r="T335" s="208">
        <f>IF(T$2&lt;=AnalysisPeriod,IF(SUM($C716:T716)&gt;0,S335+1,0),0)</f>
        <v>0</v>
      </c>
      <c r="U335" s="208">
        <f>IF(U$2&lt;=AnalysisPeriod,IF(SUM($C716:U716)&gt;0,T335+1,0),0)</f>
        <v>0</v>
      </c>
      <c r="V335" s="208">
        <f>IF(V$2&lt;=AnalysisPeriod,IF(SUM($C716:V716)&gt;0,U335+1,0),0)</f>
        <v>0</v>
      </c>
      <c r="W335" s="208">
        <f>IF(W$2&lt;=AnalysisPeriod,IF(SUM($C716:W716)&gt;0,V335+1,0),0)</f>
        <v>0</v>
      </c>
      <c r="X335" s="208">
        <f>IF(X$2&lt;=AnalysisPeriod,IF(SUM($C716:X716)&gt;0,W335+1,0),0)</f>
        <v>0</v>
      </c>
      <c r="Y335" s="208">
        <f>IF(Y$2&lt;=AnalysisPeriod,IF(SUM($C716:Y716)&gt;0,X335+1,0),0)</f>
        <v>0</v>
      </c>
      <c r="Z335" s="208">
        <f>IF(Z$2&lt;=AnalysisPeriod,IF(SUM($C716:Z716)&gt;0,Y335+1,0),0)</f>
        <v>1</v>
      </c>
      <c r="AA335" s="208">
        <f>IF(AA$2&lt;=AnalysisPeriod,IF(SUM($C716:AA716)&gt;0,Z335+1,0),0)</f>
        <v>2</v>
      </c>
      <c r="AB335" s="208">
        <f>IF(AB$2&lt;=AnalysisPeriod,IF(SUM($C716:AB716)&gt;0,AA335+1,0),0)</f>
        <v>3</v>
      </c>
      <c r="AC335" s="208">
        <f>IF(AC$2&lt;=AnalysisPeriod,IF(SUM($C716:AC716)&gt;0,AB335+1,0),0)</f>
        <v>4</v>
      </c>
      <c r="AD335" s="208">
        <f>IF(AD$2&lt;=AnalysisPeriod,IF(SUM($C716:AD716)&gt;0,AC335+1,0),0)</f>
        <v>5</v>
      </c>
      <c r="AE335" s="208">
        <f>IF(AE$2&lt;=AnalysisPeriod,IF(SUM($C716:AE716)&gt;0,AD335+1,0),0)</f>
        <v>6</v>
      </c>
      <c r="AF335" s="208">
        <f>IF(AF$2&lt;=AnalysisPeriod,IF(SUM($C716:AF716)&gt;0,AE335+1,0),0)</f>
        <v>7</v>
      </c>
      <c r="AG335" s="208">
        <f>IF(AG$2&lt;=AnalysisPeriod,IF(SUM($C716:AG716)&gt;0,AF335+1,0),0)</f>
        <v>0</v>
      </c>
      <c r="AH335" s="208">
        <f>IF(AH$2&lt;=AnalysisPeriod,IF(SUM($C716:AH716)&gt;0,AG335+1,0),0)</f>
        <v>0</v>
      </c>
      <c r="AI335" s="208">
        <f>IF(AI$2&lt;=AnalysisPeriod,IF(SUM($C716:AI716)&gt;0,AH335+1,0),0)</f>
        <v>0</v>
      </c>
      <c r="AJ335" s="208">
        <f>IF(AJ$2&lt;=AnalysisPeriod,IF(SUM($C716:AJ716)&gt;0,AI335+1,0),0)</f>
        <v>0</v>
      </c>
      <c r="AK335" s="208">
        <f>IF(AK$2&lt;=AnalysisPeriod,IF(SUM($C716:AK716)&gt;0,AJ335+1,0),0)</f>
        <v>0</v>
      </c>
      <c r="AL335" s="208">
        <f>IF(AL$2&lt;=AnalysisPeriod,IF(SUM($C716:AL716)&gt;0,AK335+1,0),0)</f>
        <v>0</v>
      </c>
      <c r="AM335" s="208">
        <f>IF(AM$2&lt;=AnalysisPeriod,IF(SUM($C716:AM716)&gt;0,AL335+1,0),0)</f>
        <v>0</v>
      </c>
      <c r="AN335" s="208">
        <f>IF(AN$2&lt;=AnalysisPeriod,IF(SUM($C716:AN716)&gt;0,AM335+1,0),0)</f>
        <v>0</v>
      </c>
      <c r="AO335" s="208">
        <f>IF(AO$2&lt;=AnalysisPeriod,IF(SUM($C716:AO716)&gt;0,AN335+1,0),0)</f>
        <v>0</v>
      </c>
      <c r="AP335" s="208">
        <f>IF(AP$2&lt;=AnalysisPeriod,IF(SUM($C716:AP716)&gt;0,AO335+1,0),0)</f>
        <v>0</v>
      </c>
    </row>
    <row r="336" spans="1:42">
      <c r="A336" s="37">
        <f t="shared" ref="A336:A343" si="881">A335+1</f>
        <v>3</v>
      </c>
      <c r="C336" s="208">
        <f>IF(C$2&lt;=AnalysisPeriod,IF(SUM($C717:C717)&gt;0,B336+1,0),0)</f>
        <v>0</v>
      </c>
      <c r="D336" s="208">
        <f>IF(D$2&lt;=AnalysisPeriod,IF(SUM($C717:D717)&gt;0,C336+1,0),0)</f>
        <v>0</v>
      </c>
      <c r="E336" s="208">
        <f>IF(E$2&lt;=AnalysisPeriod,IF(SUM($C717:E717)&gt;0,D336+1,0),0)</f>
        <v>0</v>
      </c>
      <c r="F336" s="208">
        <f>IF(F$2&lt;=AnalysisPeriod,IF(SUM($C717:F717)&gt;0,E336+1,0),0)</f>
        <v>0</v>
      </c>
      <c r="G336" s="208">
        <f>IF(G$2&lt;=AnalysisPeriod,IF(SUM($C717:G717)&gt;0,F336+1,0),0)</f>
        <v>0</v>
      </c>
      <c r="H336" s="208">
        <f>IF(H$2&lt;=AnalysisPeriod,IF(SUM($C717:H717)&gt;0,G336+1,0),0)</f>
        <v>0</v>
      </c>
      <c r="I336" s="208">
        <f>IF(I$2&lt;=AnalysisPeriod,IF(SUM($C717:I717)&gt;0,H336+1,0),0)</f>
        <v>0</v>
      </c>
      <c r="J336" s="208">
        <f>IF(J$2&lt;=AnalysisPeriod,IF(SUM($C717:J717)&gt;0,I336+1,0),0)</f>
        <v>0</v>
      </c>
      <c r="K336" s="208">
        <f>IF(K$2&lt;=AnalysisPeriod,IF(SUM($C717:K717)&gt;0,J336+1,0),0)</f>
        <v>0</v>
      </c>
      <c r="L336" s="208">
        <f>IF(L$2&lt;=AnalysisPeriod,IF(SUM($C717:L717)&gt;0,K336+1,0),0)</f>
        <v>0</v>
      </c>
      <c r="M336" s="208">
        <f>IF(M$2&lt;=AnalysisPeriod,IF(SUM($C717:M717)&gt;0,L336+1,0),0)</f>
        <v>0</v>
      </c>
      <c r="N336" s="208">
        <f>IF(N$2&lt;=AnalysisPeriod,IF(SUM($C717:N717)&gt;0,M336+1,0),0)</f>
        <v>0</v>
      </c>
      <c r="O336" s="208">
        <f>IF(O$2&lt;=AnalysisPeriod,IF(SUM($C717:O717)&gt;0,N336+1,0),0)</f>
        <v>0</v>
      </c>
      <c r="P336" s="208">
        <f>IF(P$2&lt;=AnalysisPeriod,IF(SUM($C717:P717)&gt;0,O336+1,0),0)</f>
        <v>0</v>
      </c>
      <c r="Q336" s="208">
        <f>IF(Q$2&lt;=AnalysisPeriod,IF(SUM($C717:Q717)&gt;0,P336+1,0),0)</f>
        <v>0</v>
      </c>
      <c r="R336" s="208">
        <f>IF(R$2&lt;=AnalysisPeriod,IF(SUM($C717:R717)&gt;0,Q336+1,0),0)</f>
        <v>0</v>
      </c>
      <c r="S336" s="208">
        <f>IF(S$2&lt;=AnalysisPeriod,IF(SUM($C717:S717)&gt;0,R336+1,0),0)</f>
        <v>0</v>
      </c>
      <c r="T336" s="208">
        <f>IF(T$2&lt;=AnalysisPeriod,IF(SUM($C717:T717)&gt;0,S336+1,0),0)</f>
        <v>0</v>
      </c>
      <c r="U336" s="208">
        <f>IF(U$2&lt;=AnalysisPeriod,IF(SUM($C717:U717)&gt;0,T336+1,0),0)</f>
        <v>0</v>
      </c>
      <c r="V336" s="208">
        <f>IF(V$2&lt;=AnalysisPeriod,IF(SUM($C717:V717)&gt;0,U336+1,0),0)</f>
        <v>0</v>
      </c>
      <c r="W336" s="208">
        <f>IF(W$2&lt;=AnalysisPeriod,IF(SUM($C717:W717)&gt;0,V336+1,0),0)</f>
        <v>0</v>
      </c>
      <c r="X336" s="208">
        <f>IF(X$2&lt;=AnalysisPeriod,IF(SUM($C717:X717)&gt;0,W336+1,0),0)</f>
        <v>0</v>
      </c>
      <c r="Y336" s="208">
        <f>IF(Y$2&lt;=AnalysisPeriod,IF(SUM($C717:Y717)&gt;0,X336+1,0),0)</f>
        <v>0</v>
      </c>
      <c r="Z336" s="208">
        <f>IF(Z$2&lt;=AnalysisPeriod,IF(SUM($C717:Z717)&gt;0,Y336+1,0),0)</f>
        <v>0</v>
      </c>
      <c r="AA336" s="208">
        <f>IF(AA$2&lt;=AnalysisPeriod,IF(SUM($C717:AA717)&gt;0,Z336+1,0),0)</f>
        <v>0</v>
      </c>
      <c r="AB336" s="208">
        <f>IF(AB$2&lt;=AnalysisPeriod,IF(SUM($C717:AB717)&gt;0,AA336+1,0),0)</f>
        <v>0</v>
      </c>
      <c r="AC336" s="208">
        <f>IF(AC$2&lt;=AnalysisPeriod,IF(SUM($C717:AC717)&gt;0,AB336+1,0),0)</f>
        <v>0</v>
      </c>
      <c r="AD336" s="208">
        <f>IF(AD$2&lt;=AnalysisPeriod,IF(SUM($C717:AD717)&gt;0,AC336+1,0),0)</f>
        <v>0</v>
      </c>
      <c r="AE336" s="208">
        <f>IF(AE$2&lt;=AnalysisPeriod,IF(SUM($C717:AE717)&gt;0,AD336+1,0),0)</f>
        <v>0</v>
      </c>
      <c r="AF336" s="208">
        <f>IF(AF$2&lt;=AnalysisPeriod,IF(SUM($C717:AF717)&gt;0,AE336+1,0),0)</f>
        <v>0</v>
      </c>
      <c r="AG336" s="208">
        <f>IF(AG$2&lt;=AnalysisPeriod,IF(SUM($C717:AG717)&gt;0,AF336+1,0),0)</f>
        <v>0</v>
      </c>
      <c r="AH336" s="208">
        <f>IF(AH$2&lt;=AnalysisPeriod,IF(SUM($C717:AH717)&gt;0,AG336+1,0),0)</f>
        <v>0</v>
      </c>
      <c r="AI336" s="208">
        <f>IF(AI$2&lt;=AnalysisPeriod,IF(SUM($C717:AI717)&gt;0,AH336+1,0),0)</f>
        <v>0</v>
      </c>
      <c r="AJ336" s="208">
        <f>IF(AJ$2&lt;=AnalysisPeriod,IF(SUM($C717:AJ717)&gt;0,AI336+1,0),0)</f>
        <v>0</v>
      </c>
      <c r="AK336" s="208">
        <f>IF(AK$2&lt;=AnalysisPeriod,IF(SUM($C717:AK717)&gt;0,AJ336+1,0),0)</f>
        <v>0</v>
      </c>
      <c r="AL336" s="208">
        <f>IF(AL$2&lt;=AnalysisPeriod,IF(SUM($C717:AL717)&gt;0,AK336+1,0),0)</f>
        <v>0</v>
      </c>
      <c r="AM336" s="208">
        <f>IF(AM$2&lt;=AnalysisPeriod,IF(SUM($C717:AM717)&gt;0,AL336+1,0),0)</f>
        <v>0</v>
      </c>
      <c r="AN336" s="208">
        <f>IF(AN$2&lt;=AnalysisPeriod,IF(SUM($C717:AN717)&gt;0,AM336+1,0),0)</f>
        <v>0</v>
      </c>
      <c r="AO336" s="208">
        <f>IF(AO$2&lt;=AnalysisPeriod,IF(SUM($C717:AO717)&gt;0,AN336+1,0),0)</f>
        <v>0</v>
      </c>
      <c r="AP336" s="208">
        <f>IF(AP$2&lt;=AnalysisPeriod,IF(SUM($C717:AP717)&gt;0,AO336+1,0),0)</f>
        <v>0</v>
      </c>
    </row>
    <row r="337" spans="1:42">
      <c r="A337" s="37">
        <f t="shared" si="881"/>
        <v>4</v>
      </c>
      <c r="C337" s="208">
        <f>IF(C$2&lt;=AnalysisPeriod,IF(SUM($C718:C718)&gt;0,B337+1,0),0)</f>
        <v>0</v>
      </c>
      <c r="D337" s="208">
        <f>IF(D$2&lt;=AnalysisPeriod,IF(SUM($C718:D718)&gt;0,C337+1,0),0)</f>
        <v>0</v>
      </c>
      <c r="E337" s="208">
        <f>IF(E$2&lt;=AnalysisPeriod,IF(SUM($C718:E718)&gt;0,D337+1,0),0)</f>
        <v>0</v>
      </c>
      <c r="F337" s="208">
        <f>IF(F$2&lt;=AnalysisPeriod,IF(SUM($C718:F718)&gt;0,E337+1,0),0)</f>
        <v>0</v>
      </c>
      <c r="G337" s="208">
        <f>IF(G$2&lt;=AnalysisPeriod,IF(SUM($C718:G718)&gt;0,F337+1,0),0)</f>
        <v>0</v>
      </c>
      <c r="H337" s="208">
        <f>IF(H$2&lt;=AnalysisPeriod,IF(SUM($C718:H718)&gt;0,G337+1,0),0)</f>
        <v>0</v>
      </c>
      <c r="I337" s="208">
        <f>IF(I$2&lt;=AnalysisPeriod,IF(SUM($C718:I718)&gt;0,H337+1,0),0)</f>
        <v>0</v>
      </c>
      <c r="J337" s="208">
        <f>IF(J$2&lt;=AnalysisPeriod,IF(SUM($C718:J718)&gt;0,I337+1,0),0)</f>
        <v>0</v>
      </c>
      <c r="K337" s="208">
        <f>IF(K$2&lt;=AnalysisPeriod,IF(SUM($C718:K718)&gt;0,J337+1,0),0)</f>
        <v>0</v>
      </c>
      <c r="L337" s="208">
        <f>IF(L$2&lt;=AnalysisPeriod,IF(SUM($C718:L718)&gt;0,K337+1,0),0)</f>
        <v>0</v>
      </c>
      <c r="M337" s="208">
        <f>IF(M$2&lt;=AnalysisPeriod,IF(SUM($C718:M718)&gt;0,L337+1,0),0)</f>
        <v>0</v>
      </c>
      <c r="N337" s="208">
        <f>IF(N$2&lt;=AnalysisPeriod,IF(SUM($C718:N718)&gt;0,M337+1,0),0)</f>
        <v>0</v>
      </c>
      <c r="O337" s="208">
        <f>IF(O$2&lt;=AnalysisPeriod,IF(SUM($C718:O718)&gt;0,N337+1,0),0)</f>
        <v>0</v>
      </c>
      <c r="P337" s="208">
        <f>IF(P$2&lt;=AnalysisPeriod,IF(SUM($C718:P718)&gt;0,O337+1,0),0)</f>
        <v>0</v>
      </c>
      <c r="Q337" s="208">
        <f>IF(Q$2&lt;=AnalysisPeriod,IF(SUM($C718:Q718)&gt;0,P337+1,0),0)</f>
        <v>0</v>
      </c>
      <c r="R337" s="208">
        <f>IF(R$2&lt;=AnalysisPeriod,IF(SUM($C718:R718)&gt;0,Q337+1,0),0)</f>
        <v>0</v>
      </c>
      <c r="S337" s="208">
        <f>IF(S$2&lt;=AnalysisPeriod,IF(SUM($C718:S718)&gt;0,R337+1,0),0)</f>
        <v>0</v>
      </c>
      <c r="T337" s="208">
        <f>IF(T$2&lt;=AnalysisPeriod,IF(SUM($C718:T718)&gt;0,S337+1,0),0)</f>
        <v>0</v>
      </c>
      <c r="U337" s="208">
        <f>IF(U$2&lt;=AnalysisPeriod,IF(SUM($C718:U718)&gt;0,T337+1,0),0)</f>
        <v>0</v>
      </c>
      <c r="V337" s="208">
        <f>IF(V$2&lt;=AnalysisPeriod,IF(SUM($C718:V718)&gt;0,U337+1,0),0)</f>
        <v>0</v>
      </c>
      <c r="W337" s="208">
        <f>IF(W$2&lt;=AnalysisPeriod,IF(SUM($C718:W718)&gt;0,V337+1,0),0)</f>
        <v>0</v>
      </c>
      <c r="X337" s="208">
        <f>IF(X$2&lt;=AnalysisPeriod,IF(SUM($C718:X718)&gt;0,W337+1,0),0)</f>
        <v>0</v>
      </c>
      <c r="Y337" s="208">
        <f>IF(Y$2&lt;=AnalysisPeriod,IF(SUM($C718:Y718)&gt;0,X337+1,0),0)</f>
        <v>0</v>
      </c>
      <c r="Z337" s="208">
        <f>IF(Z$2&lt;=AnalysisPeriod,IF(SUM($C718:Z718)&gt;0,Y337+1,0),0)</f>
        <v>0</v>
      </c>
      <c r="AA337" s="208">
        <f>IF(AA$2&lt;=AnalysisPeriod,IF(SUM($C718:AA718)&gt;0,Z337+1,0),0)</f>
        <v>0</v>
      </c>
      <c r="AB337" s="208">
        <f>IF(AB$2&lt;=AnalysisPeriod,IF(SUM($C718:AB718)&gt;0,AA337+1,0),0)</f>
        <v>0</v>
      </c>
      <c r="AC337" s="208">
        <f>IF(AC$2&lt;=AnalysisPeriod,IF(SUM($C718:AC718)&gt;0,AB337+1,0),0)</f>
        <v>0</v>
      </c>
      <c r="AD337" s="208">
        <f>IF(AD$2&lt;=AnalysisPeriod,IF(SUM($C718:AD718)&gt;0,AC337+1,0),0)</f>
        <v>0</v>
      </c>
      <c r="AE337" s="208">
        <f>IF(AE$2&lt;=AnalysisPeriod,IF(SUM($C718:AE718)&gt;0,AD337+1,0),0)</f>
        <v>0</v>
      </c>
      <c r="AF337" s="208">
        <f>IF(AF$2&lt;=AnalysisPeriod,IF(SUM($C718:AF718)&gt;0,AE337+1,0),0)</f>
        <v>0</v>
      </c>
      <c r="AG337" s="208">
        <f>IF(AG$2&lt;=AnalysisPeriod,IF(SUM($C718:AG718)&gt;0,AF337+1,0),0)</f>
        <v>0</v>
      </c>
      <c r="AH337" s="208">
        <f>IF(AH$2&lt;=AnalysisPeriod,IF(SUM($C718:AH718)&gt;0,AG337+1,0),0)</f>
        <v>0</v>
      </c>
      <c r="AI337" s="208">
        <f>IF(AI$2&lt;=AnalysisPeriod,IF(SUM($C718:AI718)&gt;0,AH337+1,0),0)</f>
        <v>0</v>
      </c>
      <c r="AJ337" s="208">
        <f>IF(AJ$2&lt;=AnalysisPeriod,IF(SUM($C718:AJ718)&gt;0,AI337+1,0),0)</f>
        <v>0</v>
      </c>
      <c r="AK337" s="208">
        <f>IF(AK$2&lt;=AnalysisPeriod,IF(SUM($C718:AK718)&gt;0,AJ337+1,0),0)</f>
        <v>0</v>
      </c>
      <c r="AL337" s="208">
        <f>IF(AL$2&lt;=AnalysisPeriod,IF(SUM($C718:AL718)&gt;0,AK337+1,0),0)</f>
        <v>0</v>
      </c>
      <c r="AM337" s="208">
        <f>IF(AM$2&lt;=AnalysisPeriod,IF(SUM($C718:AM718)&gt;0,AL337+1,0),0)</f>
        <v>0</v>
      </c>
      <c r="AN337" s="208">
        <f>IF(AN$2&lt;=AnalysisPeriod,IF(SUM($C718:AN718)&gt;0,AM337+1,0),0)</f>
        <v>0</v>
      </c>
      <c r="AO337" s="208">
        <f>IF(AO$2&lt;=AnalysisPeriod,IF(SUM($C718:AO718)&gt;0,AN337+1,0),0)</f>
        <v>0</v>
      </c>
      <c r="AP337" s="208">
        <f>IF(AP$2&lt;=AnalysisPeriod,IF(SUM($C718:AP718)&gt;0,AO337+1,0),0)</f>
        <v>0</v>
      </c>
    </row>
    <row r="338" spans="1:42">
      <c r="A338" s="37">
        <f t="shared" si="881"/>
        <v>5</v>
      </c>
      <c r="C338" s="208">
        <f>IF(C$2&lt;=AnalysisPeriod,IF(SUM($C719:C719)&gt;0,B338+1,0),0)</f>
        <v>0</v>
      </c>
      <c r="D338" s="208">
        <f>IF(D$2&lt;=AnalysisPeriod,IF(SUM($C719:D719)&gt;0,C338+1,0),0)</f>
        <v>0</v>
      </c>
      <c r="E338" s="208">
        <f>IF(E$2&lt;=AnalysisPeriod,IF(SUM($C719:E719)&gt;0,D338+1,0),0)</f>
        <v>0</v>
      </c>
      <c r="F338" s="208">
        <f>IF(F$2&lt;=AnalysisPeriod,IF(SUM($C719:F719)&gt;0,E338+1,0),0)</f>
        <v>0</v>
      </c>
      <c r="G338" s="208">
        <f>IF(G$2&lt;=AnalysisPeriod,IF(SUM($C719:G719)&gt;0,F338+1,0),0)</f>
        <v>0</v>
      </c>
      <c r="H338" s="208">
        <f>IF(H$2&lt;=AnalysisPeriod,IF(SUM($C719:H719)&gt;0,G338+1,0),0)</f>
        <v>0</v>
      </c>
      <c r="I338" s="208">
        <f>IF(I$2&lt;=AnalysisPeriod,IF(SUM($C719:I719)&gt;0,H338+1,0),0)</f>
        <v>0</v>
      </c>
      <c r="J338" s="208">
        <f>IF(J$2&lt;=AnalysisPeriod,IF(SUM($C719:J719)&gt;0,I338+1,0),0)</f>
        <v>0</v>
      </c>
      <c r="K338" s="208">
        <f>IF(K$2&lt;=AnalysisPeriod,IF(SUM($C719:K719)&gt;0,J338+1,0),0)</f>
        <v>0</v>
      </c>
      <c r="L338" s="208">
        <f>IF(L$2&lt;=AnalysisPeriod,IF(SUM($C719:L719)&gt;0,K338+1,0),0)</f>
        <v>0</v>
      </c>
      <c r="M338" s="208">
        <f>IF(M$2&lt;=AnalysisPeriod,IF(SUM($C719:M719)&gt;0,L338+1,0),0)</f>
        <v>0</v>
      </c>
      <c r="N338" s="208">
        <f>IF(N$2&lt;=AnalysisPeriod,IF(SUM($C719:N719)&gt;0,M338+1,0),0)</f>
        <v>0</v>
      </c>
      <c r="O338" s="208">
        <f>IF(O$2&lt;=AnalysisPeriod,IF(SUM($C719:O719)&gt;0,N338+1,0),0)</f>
        <v>0</v>
      </c>
      <c r="P338" s="208">
        <f>IF(P$2&lt;=AnalysisPeriod,IF(SUM($C719:P719)&gt;0,O338+1,0),0)</f>
        <v>0</v>
      </c>
      <c r="Q338" s="208">
        <f>IF(Q$2&lt;=AnalysisPeriod,IF(SUM($C719:Q719)&gt;0,P338+1,0),0)</f>
        <v>0</v>
      </c>
      <c r="R338" s="208">
        <f>IF(R$2&lt;=AnalysisPeriod,IF(SUM($C719:R719)&gt;0,Q338+1,0),0)</f>
        <v>0</v>
      </c>
      <c r="S338" s="208">
        <f>IF(S$2&lt;=AnalysisPeriod,IF(SUM($C719:S719)&gt;0,R338+1,0),0)</f>
        <v>0</v>
      </c>
      <c r="T338" s="208">
        <f>IF(T$2&lt;=AnalysisPeriod,IF(SUM($C719:T719)&gt;0,S338+1,0),0)</f>
        <v>0</v>
      </c>
      <c r="U338" s="208">
        <f>IF(U$2&lt;=AnalysisPeriod,IF(SUM($C719:U719)&gt;0,T338+1,0),0)</f>
        <v>0</v>
      </c>
      <c r="V338" s="208">
        <f>IF(V$2&lt;=AnalysisPeriod,IF(SUM($C719:V719)&gt;0,U338+1,0),0)</f>
        <v>0</v>
      </c>
      <c r="W338" s="208">
        <f>IF(W$2&lt;=AnalysisPeriod,IF(SUM($C719:W719)&gt;0,V338+1,0),0)</f>
        <v>0</v>
      </c>
      <c r="X338" s="208">
        <f>IF(X$2&lt;=AnalysisPeriod,IF(SUM($C719:X719)&gt;0,W338+1,0),0)</f>
        <v>0</v>
      </c>
      <c r="Y338" s="208">
        <f>IF(Y$2&lt;=AnalysisPeriod,IF(SUM($C719:Y719)&gt;0,X338+1,0),0)</f>
        <v>0</v>
      </c>
      <c r="Z338" s="208">
        <f>IF(Z$2&lt;=AnalysisPeriod,IF(SUM($C719:Z719)&gt;0,Y338+1,0),0)</f>
        <v>0</v>
      </c>
      <c r="AA338" s="208">
        <f>IF(AA$2&lt;=AnalysisPeriod,IF(SUM($C719:AA719)&gt;0,Z338+1,0),0)</f>
        <v>0</v>
      </c>
      <c r="AB338" s="208">
        <f>IF(AB$2&lt;=AnalysisPeriod,IF(SUM($C719:AB719)&gt;0,AA338+1,0),0)</f>
        <v>0</v>
      </c>
      <c r="AC338" s="208">
        <f>IF(AC$2&lt;=AnalysisPeriod,IF(SUM($C719:AC719)&gt;0,AB338+1,0),0)</f>
        <v>0</v>
      </c>
      <c r="AD338" s="208">
        <f>IF(AD$2&lt;=AnalysisPeriod,IF(SUM($C719:AD719)&gt;0,AC338+1,0),0)</f>
        <v>0</v>
      </c>
      <c r="AE338" s="208">
        <f>IF(AE$2&lt;=AnalysisPeriod,IF(SUM($C719:AE719)&gt;0,AD338+1,0),0)</f>
        <v>0</v>
      </c>
      <c r="AF338" s="208">
        <f>IF(AF$2&lt;=AnalysisPeriod,IF(SUM($C719:AF719)&gt;0,AE338+1,0),0)</f>
        <v>0</v>
      </c>
      <c r="AG338" s="208">
        <f>IF(AG$2&lt;=AnalysisPeriod,IF(SUM($C719:AG719)&gt;0,AF338+1,0),0)</f>
        <v>0</v>
      </c>
      <c r="AH338" s="208">
        <f>IF(AH$2&lt;=AnalysisPeriod,IF(SUM($C719:AH719)&gt;0,AG338+1,0),0)</f>
        <v>0</v>
      </c>
      <c r="AI338" s="208">
        <f>IF(AI$2&lt;=AnalysisPeriod,IF(SUM($C719:AI719)&gt;0,AH338+1,0),0)</f>
        <v>0</v>
      </c>
      <c r="AJ338" s="208">
        <f>IF(AJ$2&lt;=AnalysisPeriod,IF(SUM($C719:AJ719)&gt;0,AI338+1,0),0)</f>
        <v>0</v>
      </c>
      <c r="AK338" s="208">
        <f>IF(AK$2&lt;=AnalysisPeriod,IF(SUM($C719:AK719)&gt;0,AJ338+1,0),0)</f>
        <v>0</v>
      </c>
      <c r="AL338" s="208">
        <f>IF(AL$2&lt;=AnalysisPeriod,IF(SUM($C719:AL719)&gt;0,AK338+1,0),0)</f>
        <v>0</v>
      </c>
      <c r="AM338" s="208">
        <f>IF(AM$2&lt;=AnalysisPeriod,IF(SUM($C719:AM719)&gt;0,AL338+1,0),0)</f>
        <v>0</v>
      </c>
      <c r="AN338" s="208">
        <f>IF(AN$2&lt;=AnalysisPeriod,IF(SUM($C719:AN719)&gt;0,AM338+1,0),0)</f>
        <v>0</v>
      </c>
      <c r="AO338" s="208">
        <f>IF(AO$2&lt;=AnalysisPeriod,IF(SUM($C719:AO719)&gt;0,AN338+1,0),0)</f>
        <v>0</v>
      </c>
      <c r="AP338" s="208">
        <f>IF(AP$2&lt;=AnalysisPeriod,IF(SUM($C719:AP719)&gt;0,AO338+1,0),0)</f>
        <v>0</v>
      </c>
    </row>
    <row r="339" spans="1:42">
      <c r="A339" s="37">
        <f t="shared" si="881"/>
        <v>6</v>
      </c>
      <c r="C339" s="208">
        <f>IF(C$2&lt;=AnalysisPeriod,IF(SUM($C720:C720)&gt;0,B339+1,0),0)</f>
        <v>0</v>
      </c>
      <c r="D339" s="208">
        <f>IF(D$2&lt;=AnalysisPeriod,IF(SUM($C720:D720)&gt;0,C339+1,0),0)</f>
        <v>0</v>
      </c>
      <c r="E339" s="208">
        <f>IF(E$2&lt;=AnalysisPeriod,IF(SUM($C720:E720)&gt;0,D339+1,0),0)</f>
        <v>0</v>
      </c>
      <c r="F339" s="208">
        <f>IF(F$2&lt;=AnalysisPeriod,IF(SUM($C720:F720)&gt;0,E339+1,0),0)</f>
        <v>0</v>
      </c>
      <c r="G339" s="208">
        <f>IF(G$2&lt;=AnalysisPeriod,IF(SUM($C720:G720)&gt;0,F339+1,0),0)</f>
        <v>0</v>
      </c>
      <c r="H339" s="208">
        <f>IF(H$2&lt;=AnalysisPeriod,IF(SUM($C720:H720)&gt;0,G339+1,0),0)</f>
        <v>0</v>
      </c>
      <c r="I339" s="208">
        <f>IF(I$2&lt;=AnalysisPeriod,IF(SUM($C720:I720)&gt;0,H339+1,0),0)</f>
        <v>0</v>
      </c>
      <c r="J339" s="208">
        <f>IF(J$2&lt;=AnalysisPeriod,IF(SUM($C720:J720)&gt;0,I339+1,0),0)</f>
        <v>0</v>
      </c>
      <c r="K339" s="208">
        <f>IF(K$2&lt;=AnalysisPeriod,IF(SUM($C720:K720)&gt;0,J339+1,0),0)</f>
        <v>0</v>
      </c>
      <c r="L339" s="208">
        <f>IF(L$2&lt;=AnalysisPeriod,IF(SUM($C720:L720)&gt;0,K339+1,0),0)</f>
        <v>0</v>
      </c>
      <c r="M339" s="208">
        <f>IF(M$2&lt;=AnalysisPeriod,IF(SUM($C720:M720)&gt;0,L339+1,0),0)</f>
        <v>0</v>
      </c>
      <c r="N339" s="208">
        <f>IF(N$2&lt;=AnalysisPeriod,IF(SUM($C720:N720)&gt;0,M339+1,0),0)</f>
        <v>0</v>
      </c>
      <c r="O339" s="208">
        <f>IF(O$2&lt;=AnalysisPeriod,IF(SUM($C720:O720)&gt;0,N339+1,0),0)</f>
        <v>0</v>
      </c>
      <c r="P339" s="208">
        <f>IF(P$2&lt;=AnalysisPeriod,IF(SUM($C720:P720)&gt;0,O339+1,0),0)</f>
        <v>0</v>
      </c>
      <c r="Q339" s="208">
        <f>IF(Q$2&lt;=AnalysisPeriod,IF(SUM($C720:Q720)&gt;0,P339+1,0),0)</f>
        <v>0</v>
      </c>
      <c r="R339" s="208">
        <f>IF(R$2&lt;=AnalysisPeriod,IF(SUM($C720:R720)&gt;0,Q339+1,0),0)</f>
        <v>0</v>
      </c>
      <c r="S339" s="208">
        <f>IF(S$2&lt;=AnalysisPeriod,IF(SUM($C720:S720)&gt;0,R339+1,0),0)</f>
        <v>0</v>
      </c>
      <c r="T339" s="208">
        <f>IF(T$2&lt;=AnalysisPeriod,IF(SUM($C720:T720)&gt;0,S339+1,0),0)</f>
        <v>0</v>
      </c>
      <c r="U339" s="208">
        <f>IF(U$2&lt;=AnalysisPeriod,IF(SUM($C720:U720)&gt;0,T339+1,0),0)</f>
        <v>0</v>
      </c>
      <c r="V339" s="208">
        <f>IF(V$2&lt;=AnalysisPeriod,IF(SUM($C720:V720)&gt;0,U339+1,0),0)</f>
        <v>0</v>
      </c>
      <c r="W339" s="208">
        <f>IF(W$2&lt;=AnalysisPeriod,IF(SUM($C720:W720)&gt;0,V339+1,0),0)</f>
        <v>0</v>
      </c>
      <c r="X339" s="208">
        <f>IF(X$2&lt;=AnalysisPeriod,IF(SUM($C720:X720)&gt;0,W339+1,0),0)</f>
        <v>0</v>
      </c>
      <c r="Y339" s="208">
        <f>IF(Y$2&lt;=AnalysisPeriod,IF(SUM($C720:Y720)&gt;0,X339+1,0),0)</f>
        <v>0</v>
      </c>
      <c r="Z339" s="208">
        <f>IF(Z$2&lt;=AnalysisPeriod,IF(SUM($C720:Z720)&gt;0,Y339+1,0),0)</f>
        <v>0</v>
      </c>
      <c r="AA339" s="208">
        <f>IF(AA$2&lt;=AnalysisPeriod,IF(SUM($C720:AA720)&gt;0,Z339+1,0),0)</f>
        <v>0</v>
      </c>
      <c r="AB339" s="208">
        <f>IF(AB$2&lt;=AnalysisPeriod,IF(SUM($C720:AB720)&gt;0,AA339+1,0),0)</f>
        <v>0</v>
      </c>
      <c r="AC339" s="208">
        <f>IF(AC$2&lt;=AnalysisPeriod,IF(SUM($C720:AC720)&gt;0,AB339+1,0),0)</f>
        <v>0</v>
      </c>
      <c r="AD339" s="208">
        <f>IF(AD$2&lt;=AnalysisPeriod,IF(SUM($C720:AD720)&gt;0,AC339+1,0),0)</f>
        <v>0</v>
      </c>
      <c r="AE339" s="208">
        <f>IF(AE$2&lt;=AnalysisPeriod,IF(SUM($C720:AE720)&gt;0,AD339+1,0),0)</f>
        <v>0</v>
      </c>
      <c r="AF339" s="208">
        <f>IF(AF$2&lt;=AnalysisPeriod,IF(SUM($C720:AF720)&gt;0,AE339+1,0),0)</f>
        <v>0</v>
      </c>
      <c r="AG339" s="208">
        <f>IF(AG$2&lt;=AnalysisPeriod,IF(SUM($C720:AG720)&gt;0,AF339+1,0),0)</f>
        <v>0</v>
      </c>
      <c r="AH339" s="208">
        <f>IF(AH$2&lt;=AnalysisPeriod,IF(SUM($C720:AH720)&gt;0,AG339+1,0),0)</f>
        <v>0</v>
      </c>
      <c r="AI339" s="208">
        <f>IF(AI$2&lt;=AnalysisPeriod,IF(SUM($C720:AI720)&gt;0,AH339+1,0),0)</f>
        <v>0</v>
      </c>
      <c r="AJ339" s="208">
        <f>IF(AJ$2&lt;=AnalysisPeriod,IF(SUM($C720:AJ720)&gt;0,AI339+1,0),0)</f>
        <v>0</v>
      </c>
      <c r="AK339" s="208">
        <f>IF(AK$2&lt;=AnalysisPeriod,IF(SUM($C720:AK720)&gt;0,AJ339+1,0),0)</f>
        <v>0</v>
      </c>
      <c r="AL339" s="208">
        <f>IF(AL$2&lt;=AnalysisPeriod,IF(SUM($C720:AL720)&gt;0,AK339+1,0),0)</f>
        <v>0</v>
      </c>
      <c r="AM339" s="208">
        <f>IF(AM$2&lt;=AnalysisPeriod,IF(SUM($C720:AM720)&gt;0,AL339+1,0),0)</f>
        <v>0</v>
      </c>
      <c r="AN339" s="208">
        <f>IF(AN$2&lt;=AnalysisPeriod,IF(SUM($C720:AN720)&gt;0,AM339+1,0),0)</f>
        <v>0</v>
      </c>
      <c r="AO339" s="208">
        <f>IF(AO$2&lt;=AnalysisPeriod,IF(SUM($C720:AO720)&gt;0,AN339+1,0),0)</f>
        <v>0</v>
      </c>
      <c r="AP339" s="208">
        <f>IF(AP$2&lt;=AnalysisPeriod,IF(SUM($C720:AP720)&gt;0,AO339+1,0),0)</f>
        <v>0</v>
      </c>
    </row>
    <row r="340" spans="1:42">
      <c r="A340" s="37">
        <f t="shared" si="881"/>
        <v>7</v>
      </c>
      <c r="C340" s="208">
        <f>IF(C$2&lt;=AnalysisPeriod,IF(SUM($C721:C721)&gt;0,B340+1,0),0)</f>
        <v>0</v>
      </c>
      <c r="D340" s="208">
        <f>IF(D$2&lt;=AnalysisPeriod,IF(SUM($C721:D721)&gt;0,C340+1,0),0)</f>
        <v>0</v>
      </c>
      <c r="E340" s="208">
        <f>IF(E$2&lt;=AnalysisPeriod,IF(SUM($C721:E721)&gt;0,D340+1,0),0)</f>
        <v>0</v>
      </c>
      <c r="F340" s="208">
        <f>IF(F$2&lt;=AnalysisPeriod,IF(SUM($C721:F721)&gt;0,E340+1,0),0)</f>
        <v>0</v>
      </c>
      <c r="G340" s="208">
        <f>IF(G$2&lt;=AnalysisPeriod,IF(SUM($C721:G721)&gt;0,F340+1,0),0)</f>
        <v>0</v>
      </c>
      <c r="H340" s="208">
        <f>IF(H$2&lt;=AnalysisPeriod,IF(SUM($C721:H721)&gt;0,G340+1,0),0)</f>
        <v>0</v>
      </c>
      <c r="I340" s="208">
        <f>IF(I$2&lt;=AnalysisPeriod,IF(SUM($C721:I721)&gt;0,H340+1,0),0)</f>
        <v>0</v>
      </c>
      <c r="J340" s="208">
        <f>IF(J$2&lt;=AnalysisPeriod,IF(SUM($C721:J721)&gt;0,I340+1,0),0)</f>
        <v>0</v>
      </c>
      <c r="K340" s="208">
        <f>IF(K$2&lt;=AnalysisPeriod,IF(SUM($C721:K721)&gt;0,J340+1,0),0)</f>
        <v>0</v>
      </c>
      <c r="L340" s="208">
        <f>IF(L$2&lt;=AnalysisPeriod,IF(SUM($C721:L721)&gt;0,K340+1,0),0)</f>
        <v>0</v>
      </c>
      <c r="M340" s="208">
        <f>IF(M$2&lt;=AnalysisPeriod,IF(SUM($C721:M721)&gt;0,L340+1,0),0)</f>
        <v>0</v>
      </c>
      <c r="N340" s="208">
        <f>IF(N$2&lt;=AnalysisPeriod,IF(SUM($C721:N721)&gt;0,M340+1,0),0)</f>
        <v>0</v>
      </c>
      <c r="O340" s="208">
        <f>IF(O$2&lt;=AnalysisPeriod,IF(SUM($C721:O721)&gt;0,N340+1,0),0)</f>
        <v>0</v>
      </c>
      <c r="P340" s="208">
        <f>IF(P$2&lt;=AnalysisPeriod,IF(SUM($C721:P721)&gt;0,O340+1,0),0)</f>
        <v>0</v>
      </c>
      <c r="Q340" s="208">
        <f>IF(Q$2&lt;=AnalysisPeriod,IF(SUM($C721:Q721)&gt;0,P340+1,0),0)</f>
        <v>0</v>
      </c>
      <c r="R340" s="208">
        <f>IF(R$2&lt;=AnalysisPeriod,IF(SUM($C721:R721)&gt;0,Q340+1,0),0)</f>
        <v>0</v>
      </c>
      <c r="S340" s="208">
        <f>IF(S$2&lt;=AnalysisPeriod,IF(SUM($C721:S721)&gt;0,R340+1,0),0)</f>
        <v>0</v>
      </c>
      <c r="T340" s="208">
        <f>IF(T$2&lt;=AnalysisPeriod,IF(SUM($C721:T721)&gt;0,S340+1,0),0)</f>
        <v>0</v>
      </c>
      <c r="U340" s="208">
        <f>IF(U$2&lt;=AnalysisPeriod,IF(SUM($C721:U721)&gt;0,T340+1,0),0)</f>
        <v>0</v>
      </c>
      <c r="V340" s="208">
        <f>IF(V$2&lt;=AnalysisPeriod,IF(SUM($C721:V721)&gt;0,U340+1,0),0)</f>
        <v>0</v>
      </c>
      <c r="W340" s="208">
        <f>IF(W$2&lt;=AnalysisPeriod,IF(SUM($C721:W721)&gt;0,V340+1,0),0)</f>
        <v>0</v>
      </c>
      <c r="X340" s="208">
        <f>IF(X$2&lt;=AnalysisPeriod,IF(SUM($C721:X721)&gt;0,W340+1,0),0)</f>
        <v>0</v>
      </c>
      <c r="Y340" s="208">
        <f>IF(Y$2&lt;=AnalysisPeriod,IF(SUM($C721:Y721)&gt;0,X340+1,0),0)</f>
        <v>0</v>
      </c>
      <c r="Z340" s="208">
        <f>IF(Z$2&lt;=AnalysisPeriod,IF(SUM($C721:Z721)&gt;0,Y340+1,0),0)</f>
        <v>0</v>
      </c>
      <c r="AA340" s="208">
        <f>IF(AA$2&lt;=AnalysisPeriod,IF(SUM($C721:AA721)&gt;0,Z340+1,0),0)</f>
        <v>0</v>
      </c>
      <c r="AB340" s="208">
        <f>IF(AB$2&lt;=AnalysisPeriod,IF(SUM($C721:AB721)&gt;0,AA340+1,0),0)</f>
        <v>0</v>
      </c>
      <c r="AC340" s="208">
        <f>IF(AC$2&lt;=AnalysisPeriod,IF(SUM($C721:AC721)&gt;0,AB340+1,0),0)</f>
        <v>0</v>
      </c>
      <c r="AD340" s="208">
        <f>IF(AD$2&lt;=AnalysisPeriod,IF(SUM($C721:AD721)&gt;0,AC340+1,0),0)</f>
        <v>0</v>
      </c>
      <c r="AE340" s="208">
        <f>IF(AE$2&lt;=AnalysisPeriod,IF(SUM($C721:AE721)&gt;0,AD340+1,0),0)</f>
        <v>0</v>
      </c>
      <c r="AF340" s="208">
        <f>IF(AF$2&lt;=AnalysisPeriod,IF(SUM($C721:AF721)&gt;0,AE340+1,0),0)</f>
        <v>0</v>
      </c>
      <c r="AG340" s="208">
        <f>IF(AG$2&lt;=AnalysisPeriod,IF(SUM($C721:AG721)&gt;0,AF340+1,0),0)</f>
        <v>0</v>
      </c>
      <c r="AH340" s="208">
        <f>IF(AH$2&lt;=AnalysisPeriod,IF(SUM($C721:AH721)&gt;0,AG340+1,0),0)</f>
        <v>0</v>
      </c>
      <c r="AI340" s="208">
        <f>IF(AI$2&lt;=AnalysisPeriod,IF(SUM($C721:AI721)&gt;0,AH340+1,0),0)</f>
        <v>0</v>
      </c>
      <c r="AJ340" s="208">
        <f>IF(AJ$2&lt;=AnalysisPeriod,IF(SUM($C721:AJ721)&gt;0,AI340+1,0),0)</f>
        <v>0</v>
      </c>
      <c r="AK340" s="208">
        <f>IF(AK$2&lt;=AnalysisPeriod,IF(SUM($C721:AK721)&gt;0,AJ340+1,0),0)</f>
        <v>0</v>
      </c>
      <c r="AL340" s="208">
        <f>IF(AL$2&lt;=AnalysisPeriod,IF(SUM($C721:AL721)&gt;0,AK340+1,0),0)</f>
        <v>0</v>
      </c>
      <c r="AM340" s="208">
        <f>IF(AM$2&lt;=AnalysisPeriod,IF(SUM($C721:AM721)&gt;0,AL340+1,0),0)</f>
        <v>0</v>
      </c>
      <c r="AN340" s="208">
        <f>IF(AN$2&lt;=AnalysisPeriod,IF(SUM($C721:AN721)&gt;0,AM340+1,0),0)</f>
        <v>0</v>
      </c>
      <c r="AO340" s="208">
        <f>IF(AO$2&lt;=AnalysisPeriod,IF(SUM($C721:AO721)&gt;0,AN340+1,0),0)</f>
        <v>0</v>
      </c>
      <c r="AP340" s="208">
        <f>IF(AP$2&lt;=AnalysisPeriod,IF(SUM($C721:AP721)&gt;0,AO340+1,0),0)</f>
        <v>0</v>
      </c>
    </row>
    <row r="341" spans="1:42">
      <c r="A341" s="37">
        <f t="shared" si="881"/>
        <v>8</v>
      </c>
      <c r="C341" s="208">
        <f>IF(C$2&lt;=AnalysisPeriod,IF(SUM($C722:C722)&gt;0,B341+1,0),0)</f>
        <v>0</v>
      </c>
      <c r="D341" s="208">
        <f>IF(D$2&lt;=AnalysisPeriod,IF(SUM($C722:D722)&gt;0,C341+1,0),0)</f>
        <v>0</v>
      </c>
      <c r="E341" s="208">
        <f>IF(E$2&lt;=AnalysisPeriod,IF(SUM($C722:E722)&gt;0,D341+1,0),0)</f>
        <v>0</v>
      </c>
      <c r="F341" s="208">
        <f>IF(F$2&lt;=AnalysisPeriod,IF(SUM($C722:F722)&gt;0,E341+1,0),0)</f>
        <v>0</v>
      </c>
      <c r="G341" s="208">
        <f>IF(G$2&lt;=AnalysisPeriod,IF(SUM($C722:G722)&gt;0,F341+1,0),0)</f>
        <v>0</v>
      </c>
      <c r="H341" s="208">
        <f>IF(H$2&lt;=AnalysisPeriod,IF(SUM($C722:H722)&gt;0,G341+1,0),0)</f>
        <v>0</v>
      </c>
      <c r="I341" s="208">
        <f>IF(I$2&lt;=AnalysisPeriod,IF(SUM($C722:I722)&gt;0,H341+1,0),0)</f>
        <v>0</v>
      </c>
      <c r="J341" s="208">
        <f>IF(J$2&lt;=AnalysisPeriod,IF(SUM($C722:J722)&gt;0,I341+1,0),0)</f>
        <v>0</v>
      </c>
      <c r="K341" s="208">
        <f>IF(K$2&lt;=AnalysisPeriod,IF(SUM($C722:K722)&gt;0,J341+1,0),0)</f>
        <v>0</v>
      </c>
      <c r="L341" s="208">
        <f>IF(L$2&lt;=AnalysisPeriod,IF(SUM($C722:L722)&gt;0,K341+1,0),0)</f>
        <v>0</v>
      </c>
      <c r="M341" s="208">
        <f>IF(M$2&lt;=AnalysisPeriod,IF(SUM($C722:M722)&gt;0,L341+1,0),0)</f>
        <v>0</v>
      </c>
      <c r="N341" s="208">
        <f>IF(N$2&lt;=AnalysisPeriod,IF(SUM($C722:N722)&gt;0,M341+1,0),0)</f>
        <v>0</v>
      </c>
      <c r="O341" s="208">
        <f>IF(O$2&lt;=AnalysisPeriod,IF(SUM($C722:O722)&gt;0,N341+1,0),0)</f>
        <v>0</v>
      </c>
      <c r="P341" s="208">
        <f>IF(P$2&lt;=AnalysisPeriod,IF(SUM($C722:P722)&gt;0,O341+1,0),0)</f>
        <v>0</v>
      </c>
      <c r="Q341" s="208">
        <f>IF(Q$2&lt;=AnalysisPeriod,IF(SUM($C722:Q722)&gt;0,P341+1,0),0)</f>
        <v>0</v>
      </c>
      <c r="R341" s="208">
        <f>IF(R$2&lt;=AnalysisPeriod,IF(SUM($C722:R722)&gt;0,Q341+1,0),0)</f>
        <v>0</v>
      </c>
      <c r="S341" s="208">
        <f>IF(S$2&lt;=AnalysisPeriod,IF(SUM($C722:S722)&gt;0,R341+1,0),0)</f>
        <v>0</v>
      </c>
      <c r="T341" s="208">
        <f>IF(T$2&lt;=AnalysisPeriod,IF(SUM($C722:T722)&gt;0,S341+1,0),0)</f>
        <v>0</v>
      </c>
      <c r="U341" s="208">
        <f>IF(U$2&lt;=AnalysisPeriod,IF(SUM($C722:U722)&gt;0,T341+1,0),0)</f>
        <v>0</v>
      </c>
      <c r="V341" s="208">
        <f>IF(V$2&lt;=AnalysisPeriod,IF(SUM($C722:V722)&gt;0,U341+1,0),0)</f>
        <v>0</v>
      </c>
      <c r="W341" s="208">
        <f>IF(W$2&lt;=AnalysisPeriod,IF(SUM($C722:W722)&gt;0,V341+1,0),0)</f>
        <v>0</v>
      </c>
      <c r="X341" s="208">
        <f>IF(X$2&lt;=AnalysisPeriod,IF(SUM($C722:X722)&gt;0,W341+1,0),0)</f>
        <v>0</v>
      </c>
      <c r="Y341" s="208">
        <f>IF(Y$2&lt;=AnalysisPeriod,IF(SUM($C722:Y722)&gt;0,X341+1,0),0)</f>
        <v>0</v>
      </c>
      <c r="Z341" s="208">
        <f>IF(Z$2&lt;=AnalysisPeriod,IF(SUM($C722:Z722)&gt;0,Y341+1,0),0)</f>
        <v>0</v>
      </c>
      <c r="AA341" s="208">
        <f>IF(AA$2&lt;=AnalysisPeriod,IF(SUM($C722:AA722)&gt;0,Z341+1,0),0)</f>
        <v>0</v>
      </c>
      <c r="AB341" s="208">
        <f>IF(AB$2&lt;=AnalysisPeriod,IF(SUM($C722:AB722)&gt;0,AA341+1,0),0)</f>
        <v>0</v>
      </c>
      <c r="AC341" s="208">
        <f>IF(AC$2&lt;=AnalysisPeriod,IF(SUM($C722:AC722)&gt;0,AB341+1,0),0)</f>
        <v>0</v>
      </c>
      <c r="AD341" s="208">
        <f>IF(AD$2&lt;=AnalysisPeriod,IF(SUM($C722:AD722)&gt;0,AC341+1,0),0)</f>
        <v>0</v>
      </c>
      <c r="AE341" s="208">
        <f>IF(AE$2&lt;=AnalysisPeriod,IF(SUM($C722:AE722)&gt;0,AD341+1,0),0)</f>
        <v>0</v>
      </c>
      <c r="AF341" s="208">
        <f>IF(AF$2&lt;=AnalysisPeriod,IF(SUM($C722:AF722)&gt;0,AE341+1,0),0)</f>
        <v>0</v>
      </c>
      <c r="AG341" s="208">
        <f>IF(AG$2&lt;=AnalysisPeriod,IF(SUM($C722:AG722)&gt;0,AF341+1,0),0)</f>
        <v>0</v>
      </c>
      <c r="AH341" s="208">
        <f>IF(AH$2&lt;=AnalysisPeriod,IF(SUM($C722:AH722)&gt;0,AG341+1,0),0)</f>
        <v>0</v>
      </c>
      <c r="AI341" s="208">
        <f>IF(AI$2&lt;=AnalysisPeriod,IF(SUM($C722:AI722)&gt;0,AH341+1,0),0)</f>
        <v>0</v>
      </c>
      <c r="AJ341" s="208">
        <f>IF(AJ$2&lt;=AnalysisPeriod,IF(SUM($C722:AJ722)&gt;0,AI341+1,0),0)</f>
        <v>0</v>
      </c>
      <c r="AK341" s="208">
        <f>IF(AK$2&lt;=AnalysisPeriod,IF(SUM($C722:AK722)&gt;0,AJ341+1,0),0)</f>
        <v>0</v>
      </c>
      <c r="AL341" s="208">
        <f>IF(AL$2&lt;=AnalysisPeriod,IF(SUM($C722:AL722)&gt;0,AK341+1,0),0)</f>
        <v>0</v>
      </c>
      <c r="AM341" s="208">
        <f>IF(AM$2&lt;=AnalysisPeriod,IF(SUM($C722:AM722)&gt;0,AL341+1,0),0)</f>
        <v>0</v>
      </c>
      <c r="AN341" s="208">
        <f>IF(AN$2&lt;=AnalysisPeriod,IF(SUM($C722:AN722)&gt;0,AM341+1,0),0)</f>
        <v>0</v>
      </c>
      <c r="AO341" s="208">
        <f>IF(AO$2&lt;=AnalysisPeriod,IF(SUM($C722:AO722)&gt;0,AN341+1,0),0)</f>
        <v>0</v>
      </c>
      <c r="AP341" s="208">
        <f>IF(AP$2&lt;=AnalysisPeriod,IF(SUM($C722:AP722)&gt;0,AO341+1,0),0)</f>
        <v>0</v>
      </c>
    </row>
    <row r="342" spans="1:42">
      <c r="A342" s="37">
        <f>A341+1</f>
        <v>9</v>
      </c>
      <c r="C342" s="208">
        <f>IF(C$2&lt;=AnalysisPeriod,IF(SUM($C723:C723)&gt;0,B342+1,0),0)</f>
        <v>0</v>
      </c>
      <c r="D342" s="208">
        <f>IF(D$2&lt;=AnalysisPeriod,IF(SUM($C723:D723)&gt;0,C342+1,0),0)</f>
        <v>0</v>
      </c>
      <c r="E342" s="208">
        <f>IF(E$2&lt;=AnalysisPeriod,IF(SUM($C723:E723)&gt;0,D342+1,0),0)</f>
        <v>0</v>
      </c>
      <c r="F342" s="208">
        <f>IF(F$2&lt;=AnalysisPeriod,IF(SUM($C723:F723)&gt;0,E342+1,0),0)</f>
        <v>0</v>
      </c>
      <c r="G342" s="208">
        <f>IF(G$2&lt;=AnalysisPeriod,IF(SUM($C723:G723)&gt;0,F342+1,0),0)</f>
        <v>0</v>
      </c>
      <c r="H342" s="208">
        <f>IF(H$2&lt;=AnalysisPeriod,IF(SUM($C723:H723)&gt;0,G342+1,0),0)</f>
        <v>0</v>
      </c>
      <c r="I342" s="208">
        <f>IF(I$2&lt;=AnalysisPeriod,IF(SUM($C723:I723)&gt;0,H342+1,0),0)</f>
        <v>0</v>
      </c>
      <c r="J342" s="208">
        <f>IF(J$2&lt;=AnalysisPeriod,IF(SUM($C723:J723)&gt;0,I342+1,0),0)</f>
        <v>0</v>
      </c>
      <c r="K342" s="208">
        <f>IF(K$2&lt;=AnalysisPeriod,IF(SUM($C723:K723)&gt;0,J342+1,0),0)</f>
        <v>0</v>
      </c>
      <c r="L342" s="208">
        <f>IF(L$2&lt;=AnalysisPeriod,IF(SUM($C723:L723)&gt;0,K342+1,0),0)</f>
        <v>0</v>
      </c>
      <c r="M342" s="208">
        <f>IF(M$2&lt;=AnalysisPeriod,IF(SUM($C723:M723)&gt;0,L342+1,0),0)</f>
        <v>0</v>
      </c>
      <c r="N342" s="208">
        <f>IF(N$2&lt;=AnalysisPeriod,IF(SUM($C723:N723)&gt;0,M342+1,0),0)</f>
        <v>0</v>
      </c>
      <c r="O342" s="208">
        <f>IF(O$2&lt;=AnalysisPeriod,IF(SUM($C723:O723)&gt;0,N342+1,0),0)</f>
        <v>0</v>
      </c>
      <c r="P342" s="208">
        <f>IF(P$2&lt;=AnalysisPeriod,IF(SUM($C723:P723)&gt;0,O342+1,0),0)</f>
        <v>0</v>
      </c>
      <c r="Q342" s="208">
        <f>IF(Q$2&lt;=AnalysisPeriod,IF(SUM($C723:Q723)&gt;0,P342+1,0),0)</f>
        <v>0</v>
      </c>
      <c r="R342" s="208">
        <f>IF(R$2&lt;=AnalysisPeriod,IF(SUM($C723:R723)&gt;0,Q342+1,0),0)</f>
        <v>0</v>
      </c>
      <c r="S342" s="208">
        <f>IF(S$2&lt;=AnalysisPeriod,IF(SUM($C723:S723)&gt;0,R342+1,0),0)</f>
        <v>0</v>
      </c>
      <c r="T342" s="208">
        <f>IF(T$2&lt;=AnalysisPeriod,IF(SUM($C723:T723)&gt;0,S342+1,0),0)</f>
        <v>0</v>
      </c>
      <c r="U342" s="208">
        <f>IF(U$2&lt;=AnalysisPeriod,IF(SUM($C723:U723)&gt;0,T342+1,0),0)</f>
        <v>0</v>
      </c>
      <c r="V342" s="208">
        <f>IF(V$2&lt;=AnalysisPeriod,IF(SUM($C723:V723)&gt;0,U342+1,0),0)</f>
        <v>0</v>
      </c>
      <c r="W342" s="208">
        <f>IF(W$2&lt;=AnalysisPeriod,IF(SUM($C723:W723)&gt;0,V342+1,0),0)</f>
        <v>0</v>
      </c>
      <c r="X342" s="208">
        <f>IF(X$2&lt;=AnalysisPeriod,IF(SUM($C723:X723)&gt;0,W342+1,0),0)</f>
        <v>0</v>
      </c>
      <c r="Y342" s="208">
        <f>IF(Y$2&lt;=AnalysisPeriod,IF(SUM($C723:Y723)&gt;0,X342+1,0),0)</f>
        <v>0</v>
      </c>
      <c r="Z342" s="208">
        <f>IF(Z$2&lt;=AnalysisPeriod,IF(SUM($C723:Z723)&gt;0,Y342+1,0),0)</f>
        <v>0</v>
      </c>
      <c r="AA342" s="208">
        <f>IF(AA$2&lt;=AnalysisPeriod,IF(SUM($C723:AA723)&gt;0,Z342+1,0),0)</f>
        <v>0</v>
      </c>
      <c r="AB342" s="208">
        <f>IF(AB$2&lt;=AnalysisPeriod,IF(SUM($C723:AB723)&gt;0,AA342+1,0),0)</f>
        <v>0</v>
      </c>
      <c r="AC342" s="208">
        <f>IF(AC$2&lt;=AnalysisPeriod,IF(SUM($C723:AC723)&gt;0,AB342+1,0),0)</f>
        <v>0</v>
      </c>
      <c r="AD342" s="208">
        <f>IF(AD$2&lt;=AnalysisPeriod,IF(SUM($C723:AD723)&gt;0,AC342+1,0),0)</f>
        <v>0</v>
      </c>
      <c r="AE342" s="208">
        <f>IF(AE$2&lt;=AnalysisPeriod,IF(SUM($C723:AE723)&gt;0,AD342+1,0),0)</f>
        <v>0</v>
      </c>
      <c r="AF342" s="208">
        <f>IF(AF$2&lt;=AnalysisPeriod,IF(SUM($C723:AF723)&gt;0,AE342+1,0),0)</f>
        <v>0</v>
      </c>
      <c r="AG342" s="208">
        <f>IF(AG$2&lt;=AnalysisPeriod,IF(SUM($C723:AG723)&gt;0,AF342+1,0),0)</f>
        <v>0</v>
      </c>
      <c r="AH342" s="208">
        <f>IF(AH$2&lt;=AnalysisPeriod,IF(SUM($C723:AH723)&gt;0,AG342+1,0),0)</f>
        <v>0</v>
      </c>
      <c r="AI342" s="208">
        <f>IF(AI$2&lt;=AnalysisPeriod,IF(SUM($C723:AI723)&gt;0,AH342+1,0),0)</f>
        <v>0</v>
      </c>
      <c r="AJ342" s="208">
        <f>IF(AJ$2&lt;=AnalysisPeriod,IF(SUM($C723:AJ723)&gt;0,AI342+1,0),0)</f>
        <v>0</v>
      </c>
      <c r="AK342" s="208">
        <f>IF(AK$2&lt;=AnalysisPeriod,IF(SUM($C723:AK723)&gt;0,AJ342+1,0),0)</f>
        <v>0</v>
      </c>
      <c r="AL342" s="208">
        <f>IF(AL$2&lt;=AnalysisPeriod,IF(SUM($C723:AL723)&gt;0,AK342+1,0),0)</f>
        <v>0</v>
      </c>
      <c r="AM342" s="208">
        <f>IF(AM$2&lt;=AnalysisPeriod,IF(SUM($C723:AM723)&gt;0,AL342+1,0),0)</f>
        <v>0</v>
      </c>
      <c r="AN342" s="208">
        <f>IF(AN$2&lt;=AnalysisPeriod,IF(SUM($C723:AN723)&gt;0,AM342+1,0),0)</f>
        <v>0</v>
      </c>
      <c r="AO342" s="208">
        <f>IF(AO$2&lt;=AnalysisPeriod,IF(SUM($C723:AO723)&gt;0,AN342+1,0),0)</f>
        <v>0</v>
      </c>
      <c r="AP342" s="208">
        <f>IF(AP$2&lt;=AnalysisPeriod,IF(SUM($C723:AP723)&gt;0,AO342+1,0),0)</f>
        <v>0</v>
      </c>
    </row>
    <row r="343" spans="1:42">
      <c r="A343" s="37">
        <f t="shared" si="881"/>
        <v>10</v>
      </c>
      <c r="C343" s="208">
        <f>IF(C$2&lt;=AnalysisPeriod,IF(SUM($C724:C724)&gt;0,B343+1,0),0)</f>
        <v>0</v>
      </c>
      <c r="D343" s="208">
        <f>IF(D$2&lt;=AnalysisPeriod,IF(SUM($C724:D724)&gt;0,C343+1,0),0)</f>
        <v>0</v>
      </c>
      <c r="E343" s="208">
        <f>IF(E$2&lt;=AnalysisPeriod,IF(SUM($C724:E724)&gt;0,D343+1,0),0)</f>
        <v>0</v>
      </c>
      <c r="F343" s="208">
        <f>IF(F$2&lt;=AnalysisPeriod,IF(SUM($C724:F724)&gt;0,E343+1,0),0)</f>
        <v>0</v>
      </c>
      <c r="G343" s="208">
        <f>IF(G$2&lt;=AnalysisPeriod,IF(SUM($C724:G724)&gt;0,F343+1,0),0)</f>
        <v>0</v>
      </c>
      <c r="H343" s="208">
        <f>IF(H$2&lt;=AnalysisPeriod,IF(SUM($C724:H724)&gt;0,G343+1,0),0)</f>
        <v>0</v>
      </c>
      <c r="I343" s="208">
        <f>IF(I$2&lt;=AnalysisPeriod,IF(SUM($C724:I724)&gt;0,H343+1,0),0)</f>
        <v>0</v>
      </c>
      <c r="J343" s="208">
        <f>IF(J$2&lt;=AnalysisPeriod,IF(SUM($C724:J724)&gt;0,I343+1,0),0)</f>
        <v>0</v>
      </c>
      <c r="K343" s="208">
        <f>IF(K$2&lt;=AnalysisPeriod,IF(SUM($C724:K724)&gt;0,J343+1,0),0)</f>
        <v>0</v>
      </c>
      <c r="L343" s="208">
        <f>IF(L$2&lt;=AnalysisPeriod,IF(SUM($C724:L724)&gt;0,K343+1,0),0)</f>
        <v>0</v>
      </c>
      <c r="M343" s="208">
        <f>IF(M$2&lt;=AnalysisPeriod,IF(SUM($C724:M724)&gt;0,L343+1,0),0)</f>
        <v>0</v>
      </c>
      <c r="N343" s="208">
        <f>IF(N$2&lt;=AnalysisPeriod,IF(SUM($C724:N724)&gt;0,M343+1,0),0)</f>
        <v>0</v>
      </c>
      <c r="O343" s="208">
        <f>IF(O$2&lt;=AnalysisPeriod,IF(SUM($C724:O724)&gt;0,N343+1,0),0)</f>
        <v>0</v>
      </c>
      <c r="P343" s="208">
        <f>IF(P$2&lt;=AnalysisPeriod,IF(SUM($C724:P724)&gt;0,O343+1,0),0)</f>
        <v>0</v>
      </c>
      <c r="Q343" s="208">
        <f>IF(Q$2&lt;=AnalysisPeriod,IF(SUM($C724:Q724)&gt;0,P343+1,0),0)</f>
        <v>0</v>
      </c>
      <c r="R343" s="208">
        <f>IF(R$2&lt;=AnalysisPeriod,IF(SUM($C724:R724)&gt;0,Q343+1,0),0)</f>
        <v>0</v>
      </c>
      <c r="S343" s="208">
        <f>IF(S$2&lt;=AnalysisPeriod,IF(SUM($C724:S724)&gt;0,R343+1,0),0)</f>
        <v>0</v>
      </c>
      <c r="T343" s="208">
        <f>IF(T$2&lt;=AnalysisPeriod,IF(SUM($C724:T724)&gt;0,S343+1,0),0)</f>
        <v>0</v>
      </c>
      <c r="U343" s="208">
        <f>IF(U$2&lt;=AnalysisPeriod,IF(SUM($C724:U724)&gt;0,T343+1,0),0)</f>
        <v>0</v>
      </c>
      <c r="V343" s="208">
        <f>IF(V$2&lt;=AnalysisPeriod,IF(SUM($C724:V724)&gt;0,U343+1,0),0)</f>
        <v>0</v>
      </c>
      <c r="W343" s="208">
        <f>IF(W$2&lt;=AnalysisPeriod,IF(SUM($C724:W724)&gt;0,V343+1,0),0)</f>
        <v>0</v>
      </c>
      <c r="X343" s="208">
        <f>IF(X$2&lt;=AnalysisPeriod,IF(SUM($C724:X724)&gt;0,W343+1,0),0)</f>
        <v>0</v>
      </c>
      <c r="Y343" s="208">
        <f>IF(Y$2&lt;=AnalysisPeriod,IF(SUM($C724:Y724)&gt;0,X343+1,0),0)</f>
        <v>0</v>
      </c>
      <c r="Z343" s="208">
        <f>IF(Z$2&lt;=AnalysisPeriod,IF(SUM($C724:Z724)&gt;0,Y343+1,0),0)</f>
        <v>0</v>
      </c>
      <c r="AA343" s="208">
        <f>IF(AA$2&lt;=AnalysisPeriod,IF(SUM($C724:AA724)&gt;0,Z343+1,0),0)</f>
        <v>0</v>
      </c>
      <c r="AB343" s="208">
        <f>IF(AB$2&lt;=AnalysisPeriod,IF(SUM($C724:AB724)&gt;0,AA343+1,0),0)</f>
        <v>0</v>
      </c>
      <c r="AC343" s="208">
        <f>IF(AC$2&lt;=AnalysisPeriod,IF(SUM($C724:AC724)&gt;0,AB343+1,0),0)</f>
        <v>0</v>
      </c>
      <c r="AD343" s="208">
        <f>IF(AD$2&lt;=AnalysisPeriod,IF(SUM($C724:AD724)&gt;0,AC343+1,0),0)</f>
        <v>0</v>
      </c>
      <c r="AE343" s="208">
        <f>IF(AE$2&lt;=AnalysisPeriod,IF(SUM($C724:AE724)&gt;0,AD343+1,0),0)</f>
        <v>0</v>
      </c>
      <c r="AF343" s="208">
        <f>IF(AF$2&lt;=AnalysisPeriod,IF(SUM($C724:AF724)&gt;0,AE343+1,0),0)</f>
        <v>0</v>
      </c>
      <c r="AG343" s="208">
        <f>IF(AG$2&lt;=AnalysisPeriod,IF(SUM($C724:AG724)&gt;0,AF343+1,0),0)</f>
        <v>0</v>
      </c>
      <c r="AH343" s="208">
        <f>IF(AH$2&lt;=AnalysisPeriod,IF(SUM($C724:AH724)&gt;0,AG343+1,0),0)</f>
        <v>0</v>
      </c>
      <c r="AI343" s="208">
        <f>IF(AI$2&lt;=AnalysisPeriod,IF(SUM($C724:AI724)&gt;0,AH343+1,0),0)</f>
        <v>0</v>
      </c>
      <c r="AJ343" s="208">
        <f>IF(AJ$2&lt;=AnalysisPeriod,IF(SUM($C724:AJ724)&gt;0,AI343+1,0),0)</f>
        <v>0</v>
      </c>
      <c r="AK343" s="208">
        <f>IF(AK$2&lt;=AnalysisPeriod,IF(SUM($C724:AK724)&gt;0,AJ343+1,0),0)</f>
        <v>0</v>
      </c>
      <c r="AL343" s="208">
        <f>IF(AL$2&lt;=AnalysisPeriod,IF(SUM($C724:AL724)&gt;0,AK343+1,0),0)</f>
        <v>0</v>
      </c>
      <c r="AM343" s="208">
        <f>IF(AM$2&lt;=AnalysisPeriod,IF(SUM($C724:AM724)&gt;0,AL343+1,0),0)</f>
        <v>0</v>
      </c>
      <c r="AN343" s="208">
        <f>IF(AN$2&lt;=AnalysisPeriod,IF(SUM($C724:AN724)&gt;0,AM343+1,0),0)</f>
        <v>0</v>
      </c>
      <c r="AO343" s="208">
        <f>IF(AO$2&lt;=AnalysisPeriod,IF(SUM($C724:AO724)&gt;0,AN343+1,0),0)</f>
        <v>0</v>
      </c>
      <c r="AP343" s="208">
        <f>IF(AP$2&lt;=AnalysisPeriod,IF(SUM($C724:AP724)&gt;0,AO343+1,0),0)</f>
        <v>0</v>
      </c>
    </row>
    <row r="344" spans="1:42">
      <c r="A344" s="226" t="s">
        <v>221</v>
      </c>
      <c r="C344" s="208"/>
      <c r="D344" s="208"/>
      <c r="E344" s="208"/>
      <c r="F344" s="208"/>
      <c r="G344" s="208"/>
      <c r="H344" s="208"/>
      <c r="I344" s="208"/>
      <c r="J344" s="208"/>
      <c r="K344" s="208"/>
      <c r="L344" s="208"/>
      <c r="M344" s="208"/>
      <c r="N344" s="208"/>
      <c r="O344" s="208"/>
      <c r="P344" s="208"/>
      <c r="Q344" s="208"/>
      <c r="R344" s="208"/>
      <c r="S344" s="208"/>
      <c r="T344" s="208"/>
      <c r="U344" s="208"/>
      <c r="V344" s="208"/>
      <c r="W344" s="208"/>
      <c r="X344" s="208"/>
      <c r="Y344" s="208"/>
      <c r="Z344" s="208"/>
      <c r="AA344" s="208"/>
      <c r="AB344" s="208"/>
      <c r="AC344" s="208"/>
      <c r="AD344" s="208"/>
      <c r="AE344" s="208"/>
      <c r="AF344" s="208"/>
      <c r="AG344" s="208"/>
      <c r="AH344" s="208"/>
      <c r="AI344" s="208"/>
      <c r="AJ344" s="208"/>
      <c r="AK344" s="208"/>
      <c r="AL344" s="208"/>
      <c r="AM344" s="208"/>
      <c r="AN344" s="208"/>
      <c r="AO344" s="208"/>
      <c r="AP344" s="208"/>
    </row>
    <row r="345" spans="1:42">
      <c r="A345" s="37">
        <v>1</v>
      </c>
      <c r="B345" s="218">
        <f t="shared" ref="B345:B354" si="882">SUM(C345:AP345)</f>
        <v>2944872.3435013141</v>
      </c>
      <c r="C345" s="208">
        <f t="shared" ref="C345:AP345" si="883">LOOKUP(C334,$B$329:$AP$329,$B$330:$AP$330)*$B715</f>
        <v>0</v>
      </c>
      <c r="D345" s="208">
        <f t="shared" si="883"/>
        <v>0</v>
      </c>
      <c r="E345" s="208">
        <f t="shared" si="883"/>
        <v>0</v>
      </c>
      <c r="F345" s="208">
        <f t="shared" si="883"/>
        <v>0</v>
      </c>
      <c r="G345" s="208">
        <f t="shared" si="883"/>
        <v>0</v>
      </c>
      <c r="H345" s="208">
        <f t="shared" si="883"/>
        <v>0</v>
      </c>
      <c r="I345" s="208">
        <f t="shared" si="883"/>
        <v>0</v>
      </c>
      <c r="J345" s="208">
        <f t="shared" si="883"/>
        <v>0</v>
      </c>
      <c r="K345" s="208">
        <f t="shared" si="883"/>
        <v>0</v>
      </c>
      <c r="L345" s="208">
        <f t="shared" si="883"/>
        <v>0</v>
      </c>
      <c r="M345" s="208">
        <f t="shared" si="883"/>
        <v>0</v>
      </c>
      <c r="N345" s="208">
        <f t="shared" si="883"/>
        <v>588974.46870026283</v>
      </c>
      <c r="O345" s="208">
        <f t="shared" si="883"/>
        <v>942359.14992042049</v>
      </c>
      <c r="P345" s="208">
        <f t="shared" si="883"/>
        <v>565415.48995225236</v>
      </c>
      <c r="Q345" s="208">
        <f t="shared" si="883"/>
        <v>339249.29397135135</v>
      </c>
      <c r="R345" s="208">
        <f t="shared" si="883"/>
        <v>339249.29397135135</v>
      </c>
      <c r="S345" s="208">
        <f t="shared" si="883"/>
        <v>169624.64698567567</v>
      </c>
      <c r="T345" s="208">
        <f t="shared" si="883"/>
        <v>0</v>
      </c>
      <c r="U345" s="208">
        <f t="shared" si="883"/>
        <v>0</v>
      </c>
      <c r="V345" s="208">
        <f t="shared" si="883"/>
        <v>0</v>
      </c>
      <c r="W345" s="208">
        <f t="shared" si="883"/>
        <v>0</v>
      </c>
      <c r="X345" s="208">
        <f t="shared" si="883"/>
        <v>0</v>
      </c>
      <c r="Y345" s="208">
        <f t="shared" si="883"/>
        <v>0</v>
      </c>
      <c r="Z345" s="208">
        <f t="shared" si="883"/>
        <v>0</v>
      </c>
      <c r="AA345" s="208">
        <f t="shared" si="883"/>
        <v>0</v>
      </c>
      <c r="AB345" s="208">
        <f t="shared" si="883"/>
        <v>0</v>
      </c>
      <c r="AC345" s="208">
        <f t="shared" si="883"/>
        <v>0</v>
      </c>
      <c r="AD345" s="208">
        <f t="shared" si="883"/>
        <v>0</v>
      </c>
      <c r="AE345" s="208">
        <f t="shared" si="883"/>
        <v>0</v>
      </c>
      <c r="AF345" s="208">
        <f t="shared" si="883"/>
        <v>0</v>
      </c>
      <c r="AG345" s="208">
        <f t="shared" si="883"/>
        <v>0</v>
      </c>
      <c r="AH345" s="208">
        <f t="shared" si="883"/>
        <v>0</v>
      </c>
      <c r="AI345" s="208">
        <f t="shared" si="883"/>
        <v>0</v>
      </c>
      <c r="AJ345" s="208">
        <f t="shared" si="883"/>
        <v>0</v>
      </c>
      <c r="AK345" s="208">
        <f t="shared" si="883"/>
        <v>0</v>
      </c>
      <c r="AL345" s="208">
        <f t="shared" si="883"/>
        <v>0</v>
      </c>
      <c r="AM345" s="208">
        <f t="shared" si="883"/>
        <v>0</v>
      </c>
      <c r="AN345" s="208">
        <f t="shared" si="883"/>
        <v>0</v>
      </c>
      <c r="AO345" s="208">
        <f t="shared" si="883"/>
        <v>0</v>
      </c>
      <c r="AP345" s="208">
        <f t="shared" si="883"/>
        <v>0</v>
      </c>
    </row>
    <row r="346" spans="1:42">
      <c r="A346" s="37">
        <f>A345+1</f>
        <v>2</v>
      </c>
      <c r="B346" s="218">
        <f t="shared" si="882"/>
        <v>3520942.886524681</v>
      </c>
      <c r="C346" s="208">
        <f t="shared" ref="C346:AP346" si="884">LOOKUP(C335,$B$329:$AP$329,$B$330:$AP$330)*$B716</f>
        <v>0</v>
      </c>
      <c r="D346" s="208">
        <f t="shared" si="884"/>
        <v>0</v>
      </c>
      <c r="E346" s="208">
        <f t="shared" si="884"/>
        <v>0</v>
      </c>
      <c r="F346" s="208">
        <f t="shared" si="884"/>
        <v>0</v>
      </c>
      <c r="G346" s="208">
        <f t="shared" si="884"/>
        <v>0</v>
      </c>
      <c r="H346" s="208">
        <f t="shared" si="884"/>
        <v>0</v>
      </c>
      <c r="I346" s="208">
        <f t="shared" si="884"/>
        <v>0</v>
      </c>
      <c r="J346" s="208">
        <f t="shared" si="884"/>
        <v>0</v>
      </c>
      <c r="K346" s="208">
        <f t="shared" si="884"/>
        <v>0</v>
      </c>
      <c r="L346" s="208">
        <f t="shared" si="884"/>
        <v>0</v>
      </c>
      <c r="M346" s="208">
        <f t="shared" si="884"/>
        <v>0</v>
      </c>
      <c r="N346" s="208">
        <f t="shared" si="884"/>
        <v>0</v>
      </c>
      <c r="O346" s="208">
        <f t="shared" si="884"/>
        <v>0</v>
      </c>
      <c r="P346" s="208">
        <f t="shared" si="884"/>
        <v>0</v>
      </c>
      <c r="Q346" s="208">
        <f t="shared" si="884"/>
        <v>0</v>
      </c>
      <c r="R346" s="208">
        <f t="shared" si="884"/>
        <v>0</v>
      </c>
      <c r="S346" s="208">
        <f t="shared" si="884"/>
        <v>0</v>
      </c>
      <c r="T346" s="208">
        <f t="shared" si="884"/>
        <v>0</v>
      </c>
      <c r="U346" s="208">
        <f t="shared" si="884"/>
        <v>0</v>
      </c>
      <c r="V346" s="208">
        <f t="shared" si="884"/>
        <v>0</v>
      </c>
      <c r="W346" s="208">
        <f t="shared" si="884"/>
        <v>0</v>
      </c>
      <c r="X346" s="208">
        <f t="shared" si="884"/>
        <v>0</v>
      </c>
      <c r="Y346" s="208">
        <f t="shared" si="884"/>
        <v>0</v>
      </c>
      <c r="Z346" s="208">
        <f t="shared" si="884"/>
        <v>704188.57730493625</v>
      </c>
      <c r="AA346" s="208">
        <f t="shared" si="884"/>
        <v>1126701.7236878979</v>
      </c>
      <c r="AB346" s="208">
        <f t="shared" si="884"/>
        <v>676021.03421273874</v>
      </c>
      <c r="AC346" s="208">
        <f t="shared" si="884"/>
        <v>405612.62052764324</v>
      </c>
      <c r="AD346" s="208">
        <f t="shared" si="884"/>
        <v>405612.62052764324</v>
      </c>
      <c r="AE346" s="208">
        <f t="shared" si="884"/>
        <v>202806.31026382162</v>
      </c>
      <c r="AF346" s="208">
        <f t="shared" si="884"/>
        <v>0</v>
      </c>
      <c r="AG346" s="208">
        <f t="shared" si="884"/>
        <v>0</v>
      </c>
      <c r="AH346" s="208">
        <f t="shared" si="884"/>
        <v>0</v>
      </c>
      <c r="AI346" s="208">
        <f t="shared" si="884"/>
        <v>0</v>
      </c>
      <c r="AJ346" s="208">
        <f t="shared" si="884"/>
        <v>0</v>
      </c>
      <c r="AK346" s="208">
        <f t="shared" si="884"/>
        <v>0</v>
      </c>
      <c r="AL346" s="208">
        <f t="shared" si="884"/>
        <v>0</v>
      </c>
      <c r="AM346" s="208">
        <f t="shared" si="884"/>
        <v>0</v>
      </c>
      <c r="AN346" s="208">
        <f t="shared" si="884"/>
        <v>0</v>
      </c>
      <c r="AO346" s="208">
        <f t="shared" si="884"/>
        <v>0</v>
      </c>
      <c r="AP346" s="208">
        <f t="shared" si="884"/>
        <v>0</v>
      </c>
    </row>
    <row r="347" spans="1:42">
      <c r="A347" s="37">
        <f t="shared" ref="A347:A354" si="885">A346+1</f>
        <v>3</v>
      </c>
      <c r="B347" s="218">
        <f t="shared" si="882"/>
        <v>0</v>
      </c>
      <c r="C347" s="208">
        <f t="shared" ref="C347:AP347" si="886">LOOKUP(C336,$B$329:$AP$329,$B$330:$AP$330)*$B717</f>
        <v>0</v>
      </c>
      <c r="D347" s="208">
        <f t="shared" si="886"/>
        <v>0</v>
      </c>
      <c r="E347" s="208">
        <f t="shared" si="886"/>
        <v>0</v>
      </c>
      <c r="F347" s="208">
        <f t="shared" si="886"/>
        <v>0</v>
      </c>
      <c r="G347" s="208">
        <f t="shared" si="886"/>
        <v>0</v>
      </c>
      <c r="H347" s="208">
        <f t="shared" si="886"/>
        <v>0</v>
      </c>
      <c r="I347" s="208">
        <f t="shared" si="886"/>
        <v>0</v>
      </c>
      <c r="J347" s="208">
        <f t="shared" si="886"/>
        <v>0</v>
      </c>
      <c r="K347" s="208">
        <f t="shared" si="886"/>
        <v>0</v>
      </c>
      <c r="L347" s="208">
        <f t="shared" si="886"/>
        <v>0</v>
      </c>
      <c r="M347" s="208">
        <f t="shared" si="886"/>
        <v>0</v>
      </c>
      <c r="N347" s="208">
        <f t="shared" si="886"/>
        <v>0</v>
      </c>
      <c r="O347" s="208">
        <f t="shared" si="886"/>
        <v>0</v>
      </c>
      <c r="P347" s="208">
        <f t="shared" si="886"/>
        <v>0</v>
      </c>
      <c r="Q347" s="208">
        <f t="shared" si="886"/>
        <v>0</v>
      </c>
      <c r="R347" s="208">
        <f t="shared" si="886"/>
        <v>0</v>
      </c>
      <c r="S347" s="208">
        <f t="shared" si="886"/>
        <v>0</v>
      </c>
      <c r="T347" s="208">
        <f t="shared" si="886"/>
        <v>0</v>
      </c>
      <c r="U347" s="208">
        <f t="shared" si="886"/>
        <v>0</v>
      </c>
      <c r="V347" s="208">
        <f t="shared" si="886"/>
        <v>0</v>
      </c>
      <c r="W347" s="208">
        <f t="shared" si="886"/>
        <v>0</v>
      </c>
      <c r="X347" s="208">
        <f t="shared" si="886"/>
        <v>0</v>
      </c>
      <c r="Y347" s="208">
        <f t="shared" si="886"/>
        <v>0</v>
      </c>
      <c r="Z347" s="208">
        <f t="shared" si="886"/>
        <v>0</v>
      </c>
      <c r="AA347" s="208">
        <f t="shared" si="886"/>
        <v>0</v>
      </c>
      <c r="AB347" s="208">
        <f t="shared" si="886"/>
        <v>0</v>
      </c>
      <c r="AC347" s="208">
        <f t="shared" si="886"/>
        <v>0</v>
      </c>
      <c r="AD347" s="208">
        <f t="shared" si="886"/>
        <v>0</v>
      </c>
      <c r="AE347" s="208">
        <f t="shared" si="886"/>
        <v>0</v>
      </c>
      <c r="AF347" s="208">
        <f t="shared" si="886"/>
        <v>0</v>
      </c>
      <c r="AG347" s="208">
        <f t="shared" si="886"/>
        <v>0</v>
      </c>
      <c r="AH347" s="208">
        <f t="shared" si="886"/>
        <v>0</v>
      </c>
      <c r="AI347" s="208">
        <f t="shared" si="886"/>
        <v>0</v>
      </c>
      <c r="AJ347" s="208">
        <f t="shared" si="886"/>
        <v>0</v>
      </c>
      <c r="AK347" s="208">
        <f t="shared" si="886"/>
        <v>0</v>
      </c>
      <c r="AL347" s="208">
        <f t="shared" si="886"/>
        <v>0</v>
      </c>
      <c r="AM347" s="208">
        <f t="shared" si="886"/>
        <v>0</v>
      </c>
      <c r="AN347" s="208">
        <f t="shared" si="886"/>
        <v>0</v>
      </c>
      <c r="AO347" s="208">
        <f t="shared" si="886"/>
        <v>0</v>
      </c>
      <c r="AP347" s="208">
        <f t="shared" si="886"/>
        <v>0</v>
      </c>
    </row>
    <row r="348" spans="1:42">
      <c r="A348" s="37">
        <f t="shared" si="885"/>
        <v>4</v>
      </c>
      <c r="B348" s="218">
        <f t="shared" si="882"/>
        <v>0</v>
      </c>
      <c r="C348" s="208">
        <f t="shared" ref="C348:AP348" si="887">LOOKUP(C337,$B$329:$AP$329,$B$330:$AP$330)*$B718</f>
        <v>0</v>
      </c>
      <c r="D348" s="208">
        <f t="shared" si="887"/>
        <v>0</v>
      </c>
      <c r="E348" s="208">
        <f t="shared" si="887"/>
        <v>0</v>
      </c>
      <c r="F348" s="208">
        <f t="shared" si="887"/>
        <v>0</v>
      </c>
      <c r="G348" s="208">
        <f t="shared" si="887"/>
        <v>0</v>
      </c>
      <c r="H348" s="208">
        <f t="shared" si="887"/>
        <v>0</v>
      </c>
      <c r="I348" s="208">
        <f t="shared" si="887"/>
        <v>0</v>
      </c>
      <c r="J348" s="208">
        <f t="shared" si="887"/>
        <v>0</v>
      </c>
      <c r="K348" s="208">
        <f t="shared" si="887"/>
        <v>0</v>
      </c>
      <c r="L348" s="208">
        <f t="shared" si="887"/>
        <v>0</v>
      </c>
      <c r="M348" s="208">
        <f t="shared" si="887"/>
        <v>0</v>
      </c>
      <c r="N348" s="208">
        <f t="shared" si="887"/>
        <v>0</v>
      </c>
      <c r="O348" s="208">
        <f t="shared" si="887"/>
        <v>0</v>
      </c>
      <c r="P348" s="208">
        <f t="shared" si="887"/>
        <v>0</v>
      </c>
      <c r="Q348" s="208">
        <f t="shared" si="887"/>
        <v>0</v>
      </c>
      <c r="R348" s="208">
        <f t="shared" si="887"/>
        <v>0</v>
      </c>
      <c r="S348" s="208">
        <f t="shared" si="887"/>
        <v>0</v>
      </c>
      <c r="T348" s="208">
        <f t="shared" si="887"/>
        <v>0</v>
      </c>
      <c r="U348" s="208">
        <f t="shared" si="887"/>
        <v>0</v>
      </c>
      <c r="V348" s="208">
        <f t="shared" si="887"/>
        <v>0</v>
      </c>
      <c r="W348" s="208">
        <f t="shared" si="887"/>
        <v>0</v>
      </c>
      <c r="X348" s="208">
        <f t="shared" si="887"/>
        <v>0</v>
      </c>
      <c r="Y348" s="208">
        <f t="shared" si="887"/>
        <v>0</v>
      </c>
      <c r="Z348" s="208">
        <f t="shared" si="887"/>
        <v>0</v>
      </c>
      <c r="AA348" s="208">
        <f t="shared" si="887"/>
        <v>0</v>
      </c>
      <c r="AB348" s="208">
        <f t="shared" si="887"/>
        <v>0</v>
      </c>
      <c r="AC348" s="208">
        <f t="shared" si="887"/>
        <v>0</v>
      </c>
      <c r="AD348" s="208">
        <f t="shared" si="887"/>
        <v>0</v>
      </c>
      <c r="AE348" s="208">
        <f t="shared" si="887"/>
        <v>0</v>
      </c>
      <c r="AF348" s="208">
        <f t="shared" si="887"/>
        <v>0</v>
      </c>
      <c r="AG348" s="208">
        <f t="shared" si="887"/>
        <v>0</v>
      </c>
      <c r="AH348" s="208">
        <f t="shared" si="887"/>
        <v>0</v>
      </c>
      <c r="AI348" s="208">
        <f t="shared" si="887"/>
        <v>0</v>
      </c>
      <c r="AJ348" s="208">
        <f t="shared" si="887"/>
        <v>0</v>
      </c>
      <c r="AK348" s="208">
        <f t="shared" si="887"/>
        <v>0</v>
      </c>
      <c r="AL348" s="208">
        <f t="shared" si="887"/>
        <v>0</v>
      </c>
      <c r="AM348" s="208">
        <f t="shared" si="887"/>
        <v>0</v>
      </c>
      <c r="AN348" s="208">
        <f t="shared" si="887"/>
        <v>0</v>
      </c>
      <c r="AO348" s="208">
        <f t="shared" si="887"/>
        <v>0</v>
      </c>
      <c r="AP348" s="208">
        <f t="shared" si="887"/>
        <v>0</v>
      </c>
    </row>
    <row r="349" spans="1:42">
      <c r="A349" s="37">
        <f t="shared" si="885"/>
        <v>5</v>
      </c>
      <c r="B349" s="218">
        <f t="shared" si="882"/>
        <v>0</v>
      </c>
      <c r="C349" s="208">
        <f t="shared" ref="C349:AP349" si="888">LOOKUP(C338,$B$329:$AP$329,$B$330:$AP$330)*$B719</f>
        <v>0</v>
      </c>
      <c r="D349" s="208">
        <f t="shared" si="888"/>
        <v>0</v>
      </c>
      <c r="E349" s="208">
        <f t="shared" si="888"/>
        <v>0</v>
      </c>
      <c r="F349" s="208">
        <f t="shared" si="888"/>
        <v>0</v>
      </c>
      <c r="G349" s="208">
        <f t="shared" si="888"/>
        <v>0</v>
      </c>
      <c r="H349" s="208">
        <f t="shared" si="888"/>
        <v>0</v>
      </c>
      <c r="I349" s="208">
        <f t="shared" si="888"/>
        <v>0</v>
      </c>
      <c r="J349" s="208">
        <f t="shared" si="888"/>
        <v>0</v>
      </c>
      <c r="K349" s="208">
        <f t="shared" si="888"/>
        <v>0</v>
      </c>
      <c r="L349" s="208">
        <f t="shared" si="888"/>
        <v>0</v>
      </c>
      <c r="M349" s="208">
        <f t="shared" si="888"/>
        <v>0</v>
      </c>
      <c r="N349" s="208">
        <f t="shared" si="888"/>
        <v>0</v>
      </c>
      <c r="O349" s="208">
        <f t="shared" si="888"/>
        <v>0</v>
      </c>
      <c r="P349" s="208">
        <f t="shared" si="888"/>
        <v>0</v>
      </c>
      <c r="Q349" s="208">
        <f t="shared" si="888"/>
        <v>0</v>
      </c>
      <c r="R349" s="208">
        <f t="shared" si="888"/>
        <v>0</v>
      </c>
      <c r="S349" s="208">
        <f t="shared" si="888"/>
        <v>0</v>
      </c>
      <c r="T349" s="208">
        <f t="shared" si="888"/>
        <v>0</v>
      </c>
      <c r="U349" s="208">
        <f t="shared" si="888"/>
        <v>0</v>
      </c>
      <c r="V349" s="208">
        <f t="shared" si="888"/>
        <v>0</v>
      </c>
      <c r="W349" s="208">
        <f t="shared" si="888"/>
        <v>0</v>
      </c>
      <c r="X349" s="208">
        <f t="shared" si="888"/>
        <v>0</v>
      </c>
      <c r="Y349" s="208">
        <f t="shared" si="888"/>
        <v>0</v>
      </c>
      <c r="Z349" s="208">
        <f t="shared" si="888"/>
        <v>0</v>
      </c>
      <c r="AA349" s="208">
        <f t="shared" si="888"/>
        <v>0</v>
      </c>
      <c r="AB349" s="208">
        <f t="shared" si="888"/>
        <v>0</v>
      </c>
      <c r="AC349" s="208">
        <f t="shared" si="888"/>
        <v>0</v>
      </c>
      <c r="AD349" s="208">
        <f t="shared" si="888"/>
        <v>0</v>
      </c>
      <c r="AE349" s="208">
        <f t="shared" si="888"/>
        <v>0</v>
      </c>
      <c r="AF349" s="208">
        <f t="shared" si="888"/>
        <v>0</v>
      </c>
      <c r="AG349" s="208">
        <f t="shared" si="888"/>
        <v>0</v>
      </c>
      <c r="AH349" s="208">
        <f t="shared" si="888"/>
        <v>0</v>
      </c>
      <c r="AI349" s="208">
        <f t="shared" si="888"/>
        <v>0</v>
      </c>
      <c r="AJ349" s="208">
        <f t="shared" si="888"/>
        <v>0</v>
      </c>
      <c r="AK349" s="208">
        <f t="shared" si="888"/>
        <v>0</v>
      </c>
      <c r="AL349" s="208">
        <f t="shared" si="888"/>
        <v>0</v>
      </c>
      <c r="AM349" s="208">
        <f t="shared" si="888"/>
        <v>0</v>
      </c>
      <c r="AN349" s="208">
        <f t="shared" si="888"/>
        <v>0</v>
      </c>
      <c r="AO349" s="208">
        <f t="shared" si="888"/>
        <v>0</v>
      </c>
      <c r="AP349" s="208">
        <f t="shared" si="888"/>
        <v>0</v>
      </c>
    </row>
    <row r="350" spans="1:42">
      <c r="A350" s="119">
        <f t="shared" si="885"/>
        <v>6</v>
      </c>
      <c r="B350" s="218">
        <f t="shared" si="882"/>
        <v>0</v>
      </c>
      <c r="C350" s="208">
        <f t="shared" ref="C350:AP350" si="889">LOOKUP(C339,$B$329:$AP$329,$B$330:$AP$330)*$B720</f>
        <v>0</v>
      </c>
      <c r="D350" s="208">
        <f t="shared" si="889"/>
        <v>0</v>
      </c>
      <c r="E350" s="208">
        <f t="shared" si="889"/>
        <v>0</v>
      </c>
      <c r="F350" s="208">
        <f t="shared" si="889"/>
        <v>0</v>
      </c>
      <c r="G350" s="208">
        <f t="shared" si="889"/>
        <v>0</v>
      </c>
      <c r="H350" s="208">
        <f t="shared" si="889"/>
        <v>0</v>
      </c>
      <c r="I350" s="208">
        <f t="shared" si="889"/>
        <v>0</v>
      </c>
      <c r="J350" s="208">
        <f t="shared" si="889"/>
        <v>0</v>
      </c>
      <c r="K350" s="208">
        <f t="shared" si="889"/>
        <v>0</v>
      </c>
      <c r="L350" s="208">
        <f t="shared" si="889"/>
        <v>0</v>
      </c>
      <c r="M350" s="208">
        <f t="shared" si="889"/>
        <v>0</v>
      </c>
      <c r="N350" s="208">
        <f t="shared" si="889"/>
        <v>0</v>
      </c>
      <c r="O350" s="208">
        <f t="shared" si="889"/>
        <v>0</v>
      </c>
      <c r="P350" s="208">
        <f t="shared" si="889"/>
        <v>0</v>
      </c>
      <c r="Q350" s="208">
        <f t="shared" si="889"/>
        <v>0</v>
      </c>
      <c r="R350" s="208">
        <f t="shared" si="889"/>
        <v>0</v>
      </c>
      <c r="S350" s="208">
        <f t="shared" si="889"/>
        <v>0</v>
      </c>
      <c r="T350" s="208">
        <f t="shared" si="889"/>
        <v>0</v>
      </c>
      <c r="U350" s="208">
        <f t="shared" si="889"/>
        <v>0</v>
      </c>
      <c r="V350" s="208">
        <f t="shared" si="889"/>
        <v>0</v>
      </c>
      <c r="W350" s="208">
        <f t="shared" si="889"/>
        <v>0</v>
      </c>
      <c r="X350" s="208">
        <f t="shared" si="889"/>
        <v>0</v>
      </c>
      <c r="Y350" s="208">
        <f t="shared" si="889"/>
        <v>0</v>
      </c>
      <c r="Z350" s="208">
        <f t="shared" si="889"/>
        <v>0</v>
      </c>
      <c r="AA350" s="208">
        <f t="shared" si="889"/>
        <v>0</v>
      </c>
      <c r="AB350" s="208">
        <f t="shared" si="889"/>
        <v>0</v>
      </c>
      <c r="AC350" s="208">
        <f t="shared" si="889"/>
        <v>0</v>
      </c>
      <c r="AD350" s="208">
        <f t="shared" si="889"/>
        <v>0</v>
      </c>
      <c r="AE350" s="208">
        <f t="shared" si="889"/>
        <v>0</v>
      </c>
      <c r="AF350" s="208">
        <f t="shared" si="889"/>
        <v>0</v>
      </c>
      <c r="AG350" s="208">
        <f t="shared" si="889"/>
        <v>0</v>
      </c>
      <c r="AH350" s="208">
        <f t="shared" si="889"/>
        <v>0</v>
      </c>
      <c r="AI350" s="208">
        <f t="shared" si="889"/>
        <v>0</v>
      </c>
      <c r="AJ350" s="208">
        <f t="shared" si="889"/>
        <v>0</v>
      </c>
      <c r="AK350" s="208">
        <f t="shared" si="889"/>
        <v>0</v>
      </c>
      <c r="AL350" s="208">
        <f t="shared" si="889"/>
        <v>0</v>
      </c>
      <c r="AM350" s="208">
        <f t="shared" si="889"/>
        <v>0</v>
      </c>
      <c r="AN350" s="208">
        <f t="shared" si="889"/>
        <v>0</v>
      </c>
      <c r="AO350" s="208">
        <f t="shared" si="889"/>
        <v>0</v>
      </c>
      <c r="AP350" s="208">
        <f t="shared" si="889"/>
        <v>0</v>
      </c>
    </row>
    <row r="351" spans="1:42">
      <c r="A351" s="119">
        <f t="shared" si="885"/>
        <v>7</v>
      </c>
      <c r="B351" s="218">
        <f t="shared" si="882"/>
        <v>0</v>
      </c>
      <c r="C351" s="208">
        <f t="shared" ref="C351:AP351" si="890">LOOKUP(C340,$B$329:$AP$329,$B$330:$AP$330)*$B721</f>
        <v>0</v>
      </c>
      <c r="D351" s="208">
        <f t="shared" si="890"/>
        <v>0</v>
      </c>
      <c r="E351" s="208">
        <f t="shared" si="890"/>
        <v>0</v>
      </c>
      <c r="F351" s="208">
        <f t="shared" si="890"/>
        <v>0</v>
      </c>
      <c r="G351" s="208">
        <f t="shared" si="890"/>
        <v>0</v>
      </c>
      <c r="H351" s="208">
        <f t="shared" si="890"/>
        <v>0</v>
      </c>
      <c r="I351" s="208">
        <f t="shared" si="890"/>
        <v>0</v>
      </c>
      <c r="J351" s="208">
        <f t="shared" si="890"/>
        <v>0</v>
      </c>
      <c r="K351" s="208">
        <f t="shared" si="890"/>
        <v>0</v>
      </c>
      <c r="L351" s="208">
        <f t="shared" si="890"/>
        <v>0</v>
      </c>
      <c r="M351" s="208">
        <f t="shared" si="890"/>
        <v>0</v>
      </c>
      <c r="N351" s="208">
        <f t="shared" si="890"/>
        <v>0</v>
      </c>
      <c r="O351" s="208">
        <f t="shared" si="890"/>
        <v>0</v>
      </c>
      <c r="P351" s="208">
        <f t="shared" si="890"/>
        <v>0</v>
      </c>
      <c r="Q351" s="208">
        <f t="shared" si="890"/>
        <v>0</v>
      </c>
      <c r="R351" s="208">
        <f t="shared" si="890"/>
        <v>0</v>
      </c>
      <c r="S351" s="208">
        <f t="shared" si="890"/>
        <v>0</v>
      </c>
      <c r="T351" s="208">
        <f t="shared" si="890"/>
        <v>0</v>
      </c>
      <c r="U351" s="208">
        <f t="shared" si="890"/>
        <v>0</v>
      </c>
      <c r="V351" s="208">
        <f t="shared" si="890"/>
        <v>0</v>
      </c>
      <c r="W351" s="208">
        <f t="shared" si="890"/>
        <v>0</v>
      </c>
      <c r="X351" s="208">
        <f t="shared" si="890"/>
        <v>0</v>
      </c>
      <c r="Y351" s="208">
        <f t="shared" si="890"/>
        <v>0</v>
      </c>
      <c r="Z351" s="208">
        <f t="shared" si="890"/>
        <v>0</v>
      </c>
      <c r="AA351" s="208">
        <f t="shared" si="890"/>
        <v>0</v>
      </c>
      <c r="AB351" s="208">
        <f t="shared" si="890"/>
        <v>0</v>
      </c>
      <c r="AC351" s="208">
        <f t="shared" si="890"/>
        <v>0</v>
      </c>
      <c r="AD351" s="208">
        <f t="shared" si="890"/>
        <v>0</v>
      </c>
      <c r="AE351" s="208">
        <f t="shared" si="890"/>
        <v>0</v>
      </c>
      <c r="AF351" s="208">
        <f t="shared" si="890"/>
        <v>0</v>
      </c>
      <c r="AG351" s="208">
        <f t="shared" si="890"/>
        <v>0</v>
      </c>
      <c r="AH351" s="208">
        <f t="shared" si="890"/>
        <v>0</v>
      </c>
      <c r="AI351" s="208">
        <f t="shared" si="890"/>
        <v>0</v>
      </c>
      <c r="AJ351" s="208">
        <f t="shared" si="890"/>
        <v>0</v>
      </c>
      <c r="AK351" s="208">
        <f t="shared" si="890"/>
        <v>0</v>
      </c>
      <c r="AL351" s="208">
        <f t="shared" si="890"/>
        <v>0</v>
      </c>
      <c r="AM351" s="208">
        <f t="shared" si="890"/>
        <v>0</v>
      </c>
      <c r="AN351" s="208">
        <f t="shared" si="890"/>
        <v>0</v>
      </c>
      <c r="AO351" s="208">
        <f t="shared" si="890"/>
        <v>0</v>
      </c>
      <c r="AP351" s="208">
        <f t="shared" si="890"/>
        <v>0</v>
      </c>
    </row>
    <row r="352" spans="1:42">
      <c r="A352" s="119">
        <f t="shared" si="885"/>
        <v>8</v>
      </c>
      <c r="B352" s="218">
        <f t="shared" si="882"/>
        <v>0</v>
      </c>
      <c r="C352" s="208">
        <f t="shared" ref="C352:AP352" si="891">LOOKUP(C341,$B$329:$AP$329,$B$330:$AP$330)*$B722</f>
        <v>0</v>
      </c>
      <c r="D352" s="208">
        <f t="shared" si="891"/>
        <v>0</v>
      </c>
      <c r="E352" s="208">
        <f t="shared" si="891"/>
        <v>0</v>
      </c>
      <c r="F352" s="208">
        <f t="shared" si="891"/>
        <v>0</v>
      </c>
      <c r="G352" s="208">
        <f t="shared" si="891"/>
        <v>0</v>
      </c>
      <c r="H352" s="208">
        <f t="shared" si="891"/>
        <v>0</v>
      </c>
      <c r="I352" s="208">
        <f t="shared" si="891"/>
        <v>0</v>
      </c>
      <c r="J352" s="208">
        <f t="shared" si="891"/>
        <v>0</v>
      </c>
      <c r="K352" s="208">
        <f t="shared" si="891"/>
        <v>0</v>
      </c>
      <c r="L352" s="208">
        <f t="shared" si="891"/>
        <v>0</v>
      </c>
      <c r="M352" s="208">
        <f t="shared" si="891"/>
        <v>0</v>
      </c>
      <c r="N352" s="208">
        <f t="shared" si="891"/>
        <v>0</v>
      </c>
      <c r="O352" s="208">
        <f t="shared" si="891"/>
        <v>0</v>
      </c>
      <c r="P352" s="208">
        <f t="shared" si="891"/>
        <v>0</v>
      </c>
      <c r="Q352" s="208">
        <f t="shared" si="891"/>
        <v>0</v>
      </c>
      <c r="R352" s="208">
        <f t="shared" si="891"/>
        <v>0</v>
      </c>
      <c r="S352" s="208">
        <f t="shared" si="891"/>
        <v>0</v>
      </c>
      <c r="T352" s="208">
        <f t="shared" si="891"/>
        <v>0</v>
      </c>
      <c r="U352" s="208">
        <f t="shared" si="891"/>
        <v>0</v>
      </c>
      <c r="V352" s="208">
        <f t="shared" si="891"/>
        <v>0</v>
      </c>
      <c r="W352" s="208">
        <f t="shared" si="891"/>
        <v>0</v>
      </c>
      <c r="X352" s="208">
        <f t="shared" si="891"/>
        <v>0</v>
      </c>
      <c r="Y352" s="208">
        <f t="shared" si="891"/>
        <v>0</v>
      </c>
      <c r="Z352" s="208">
        <f t="shared" si="891"/>
        <v>0</v>
      </c>
      <c r="AA352" s="208">
        <f t="shared" si="891"/>
        <v>0</v>
      </c>
      <c r="AB352" s="208">
        <f t="shared" si="891"/>
        <v>0</v>
      </c>
      <c r="AC352" s="208">
        <f t="shared" si="891"/>
        <v>0</v>
      </c>
      <c r="AD352" s="208">
        <f t="shared" si="891"/>
        <v>0</v>
      </c>
      <c r="AE352" s="208">
        <f t="shared" si="891"/>
        <v>0</v>
      </c>
      <c r="AF352" s="208">
        <f t="shared" si="891"/>
        <v>0</v>
      </c>
      <c r="AG352" s="208">
        <f t="shared" si="891"/>
        <v>0</v>
      </c>
      <c r="AH352" s="208">
        <f t="shared" si="891"/>
        <v>0</v>
      </c>
      <c r="AI352" s="208">
        <f t="shared" si="891"/>
        <v>0</v>
      </c>
      <c r="AJ352" s="208">
        <f t="shared" si="891"/>
        <v>0</v>
      </c>
      <c r="AK352" s="208">
        <f t="shared" si="891"/>
        <v>0</v>
      </c>
      <c r="AL352" s="208">
        <f t="shared" si="891"/>
        <v>0</v>
      </c>
      <c r="AM352" s="208">
        <f t="shared" si="891"/>
        <v>0</v>
      </c>
      <c r="AN352" s="208">
        <f t="shared" si="891"/>
        <v>0</v>
      </c>
      <c r="AO352" s="208">
        <f t="shared" si="891"/>
        <v>0</v>
      </c>
      <c r="AP352" s="208">
        <f t="shared" si="891"/>
        <v>0</v>
      </c>
    </row>
    <row r="353" spans="1:42">
      <c r="A353" s="119">
        <f>A352+1</f>
        <v>9</v>
      </c>
      <c r="B353" s="218">
        <f t="shared" si="882"/>
        <v>0</v>
      </c>
      <c r="C353" s="208">
        <f t="shared" ref="C353:AP353" si="892">LOOKUP(C342,$B$329:$AP$329,$B$330:$AP$330)*$B723</f>
        <v>0</v>
      </c>
      <c r="D353" s="208">
        <f t="shared" si="892"/>
        <v>0</v>
      </c>
      <c r="E353" s="208">
        <f t="shared" si="892"/>
        <v>0</v>
      </c>
      <c r="F353" s="208">
        <f t="shared" si="892"/>
        <v>0</v>
      </c>
      <c r="G353" s="208">
        <f t="shared" si="892"/>
        <v>0</v>
      </c>
      <c r="H353" s="208">
        <f t="shared" si="892"/>
        <v>0</v>
      </c>
      <c r="I353" s="208">
        <f t="shared" si="892"/>
        <v>0</v>
      </c>
      <c r="J353" s="208">
        <f t="shared" si="892"/>
        <v>0</v>
      </c>
      <c r="K353" s="208">
        <f t="shared" si="892"/>
        <v>0</v>
      </c>
      <c r="L353" s="208">
        <f t="shared" si="892"/>
        <v>0</v>
      </c>
      <c r="M353" s="208">
        <f t="shared" si="892"/>
        <v>0</v>
      </c>
      <c r="N353" s="208">
        <f t="shared" si="892"/>
        <v>0</v>
      </c>
      <c r="O353" s="208">
        <f t="shared" si="892"/>
        <v>0</v>
      </c>
      <c r="P353" s="208">
        <f t="shared" si="892"/>
        <v>0</v>
      </c>
      <c r="Q353" s="208">
        <f t="shared" si="892"/>
        <v>0</v>
      </c>
      <c r="R353" s="208">
        <f t="shared" si="892"/>
        <v>0</v>
      </c>
      <c r="S353" s="208">
        <f t="shared" si="892"/>
        <v>0</v>
      </c>
      <c r="T353" s="208">
        <f t="shared" si="892"/>
        <v>0</v>
      </c>
      <c r="U353" s="208">
        <f t="shared" si="892"/>
        <v>0</v>
      </c>
      <c r="V353" s="208">
        <f t="shared" si="892"/>
        <v>0</v>
      </c>
      <c r="W353" s="208">
        <f t="shared" si="892"/>
        <v>0</v>
      </c>
      <c r="X353" s="208">
        <f t="shared" si="892"/>
        <v>0</v>
      </c>
      <c r="Y353" s="208">
        <f t="shared" si="892"/>
        <v>0</v>
      </c>
      <c r="Z353" s="208">
        <f t="shared" si="892"/>
        <v>0</v>
      </c>
      <c r="AA353" s="208">
        <f t="shared" si="892"/>
        <v>0</v>
      </c>
      <c r="AB353" s="208">
        <f t="shared" si="892"/>
        <v>0</v>
      </c>
      <c r="AC353" s="208">
        <f t="shared" si="892"/>
        <v>0</v>
      </c>
      <c r="AD353" s="208">
        <f t="shared" si="892"/>
        <v>0</v>
      </c>
      <c r="AE353" s="208">
        <f t="shared" si="892"/>
        <v>0</v>
      </c>
      <c r="AF353" s="208">
        <f t="shared" si="892"/>
        <v>0</v>
      </c>
      <c r="AG353" s="208">
        <f t="shared" si="892"/>
        <v>0</v>
      </c>
      <c r="AH353" s="208">
        <f t="shared" si="892"/>
        <v>0</v>
      </c>
      <c r="AI353" s="208">
        <f t="shared" si="892"/>
        <v>0</v>
      </c>
      <c r="AJ353" s="208">
        <f t="shared" si="892"/>
        <v>0</v>
      </c>
      <c r="AK353" s="208">
        <f t="shared" si="892"/>
        <v>0</v>
      </c>
      <c r="AL353" s="208">
        <f t="shared" si="892"/>
        <v>0</v>
      </c>
      <c r="AM353" s="208">
        <f t="shared" si="892"/>
        <v>0</v>
      </c>
      <c r="AN353" s="208">
        <f t="shared" si="892"/>
        <v>0</v>
      </c>
      <c r="AO353" s="208">
        <f t="shared" si="892"/>
        <v>0</v>
      </c>
      <c r="AP353" s="208">
        <f t="shared" si="892"/>
        <v>0</v>
      </c>
    </row>
    <row r="354" spans="1:42">
      <c r="A354" s="119">
        <f t="shared" si="885"/>
        <v>10</v>
      </c>
      <c r="B354" s="218">
        <f t="shared" si="882"/>
        <v>0</v>
      </c>
      <c r="C354" s="246">
        <f t="shared" ref="C354:AP354" si="893">LOOKUP(C343,$B$329:$AP$329,$B$330:$AP$330)*$B724</f>
        <v>0</v>
      </c>
      <c r="D354" s="209">
        <f t="shared" si="893"/>
        <v>0</v>
      </c>
      <c r="E354" s="209">
        <f t="shared" si="893"/>
        <v>0</v>
      </c>
      <c r="F354" s="209">
        <f t="shared" si="893"/>
        <v>0</v>
      </c>
      <c r="G354" s="209">
        <f t="shared" si="893"/>
        <v>0</v>
      </c>
      <c r="H354" s="209">
        <f t="shared" si="893"/>
        <v>0</v>
      </c>
      <c r="I354" s="209">
        <f t="shared" si="893"/>
        <v>0</v>
      </c>
      <c r="J354" s="209">
        <f t="shared" si="893"/>
        <v>0</v>
      </c>
      <c r="K354" s="209">
        <f t="shared" si="893"/>
        <v>0</v>
      </c>
      <c r="L354" s="209">
        <f t="shared" si="893"/>
        <v>0</v>
      </c>
      <c r="M354" s="209">
        <f t="shared" si="893"/>
        <v>0</v>
      </c>
      <c r="N354" s="209">
        <f t="shared" si="893"/>
        <v>0</v>
      </c>
      <c r="O354" s="209">
        <f t="shared" si="893"/>
        <v>0</v>
      </c>
      <c r="P354" s="209">
        <f t="shared" si="893"/>
        <v>0</v>
      </c>
      <c r="Q354" s="209">
        <f t="shared" si="893"/>
        <v>0</v>
      </c>
      <c r="R354" s="209">
        <f t="shared" si="893"/>
        <v>0</v>
      </c>
      <c r="S354" s="209">
        <f t="shared" si="893"/>
        <v>0</v>
      </c>
      <c r="T354" s="209">
        <f t="shared" si="893"/>
        <v>0</v>
      </c>
      <c r="U354" s="209">
        <f t="shared" si="893"/>
        <v>0</v>
      </c>
      <c r="V354" s="209">
        <f t="shared" si="893"/>
        <v>0</v>
      </c>
      <c r="W354" s="209">
        <f t="shared" si="893"/>
        <v>0</v>
      </c>
      <c r="X354" s="209">
        <f t="shared" si="893"/>
        <v>0</v>
      </c>
      <c r="Y354" s="209">
        <f t="shared" si="893"/>
        <v>0</v>
      </c>
      <c r="Z354" s="209">
        <f t="shared" si="893"/>
        <v>0</v>
      </c>
      <c r="AA354" s="209">
        <f t="shared" si="893"/>
        <v>0</v>
      </c>
      <c r="AB354" s="209">
        <f t="shared" si="893"/>
        <v>0</v>
      </c>
      <c r="AC354" s="209">
        <f t="shared" si="893"/>
        <v>0</v>
      </c>
      <c r="AD354" s="209">
        <f t="shared" si="893"/>
        <v>0</v>
      </c>
      <c r="AE354" s="209">
        <f t="shared" si="893"/>
        <v>0</v>
      </c>
      <c r="AF354" s="209">
        <f t="shared" si="893"/>
        <v>0</v>
      </c>
      <c r="AG354" s="209">
        <f t="shared" si="893"/>
        <v>0</v>
      </c>
      <c r="AH354" s="209">
        <f t="shared" si="893"/>
        <v>0</v>
      </c>
      <c r="AI354" s="209">
        <f t="shared" si="893"/>
        <v>0</v>
      </c>
      <c r="AJ354" s="209">
        <f t="shared" si="893"/>
        <v>0</v>
      </c>
      <c r="AK354" s="209">
        <f t="shared" si="893"/>
        <v>0</v>
      </c>
      <c r="AL354" s="209">
        <f t="shared" si="893"/>
        <v>0</v>
      </c>
      <c r="AM354" s="209">
        <f t="shared" si="893"/>
        <v>0</v>
      </c>
      <c r="AN354" s="209">
        <f t="shared" si="893"/>
        <v>0</v>
      </c>
      <c r="AO354" s="209">
        <f t="shared" si="893"/>
        <v>0</v>
      </c>
      <c r="AP354" s="209">
        <f t="shared" si="893"/>
        <v>0</v>
      </c>
    </row>
    <row r="355" spans="1:42" s="119" customFormat="1" ht="12" customHeight="1">
      <c r="A355" s="247" t="s">
        <v>53</v>
      </c>
      <c r="B355" s="146"/>
      <c r="C355" s="146">
        <f>SUM(C345:C354)</f>
        <v>0</v>
      </c>
      <c r="D355" s="146">
        <f t="shared" ref="D355:AP355" si="894">SUM(D345:D354)</f>
        <v>0</v>
      </c>
      <c r="E355" s="146">
        <f t="shared" si="894"/>
        <v>0</v>
      </c>
      <c r="F355" s="146">
        <f t="shared" si="894"/>
        <v>0</v>
      </c>
      <c r="G355" s="146">
        <f t="shared" si="894"/>
        <v>0</v>
      </c>
      <c r="H355" s="146">
        <f t="shared" si="894"/>
        <v>0</v>
      </c>
      <c r="I355" s="146">
        <f t="shared" si="894"/>
        <v>0</v>
      </c>
      <c r="J355" s="146">
        <f t="shared" si="894"/>
        <v>0</v>
      </c>
      <c r="K355" s="146">
        <f t="shared" si="894"/>
        <v>0</v>
      </c>
      <c r="L355" s="146">
        <f t="shared" si="894"/>
        <v>0</v>
      </c>
      <c r="M355" s="146">
        <f t="shared" si="894"/>
        <v>0</v>
      </c>
      <c r="N355" s="146">
        <f t="shared" si="894"/>
        <v>588974.46870026283</v>
      </c>
      <c r="O355" s="146">
        <f t="shared" si="894"/>
        <v>942359.14992042049</v>
      </c>
      <c r="P355" s="146">
        <f t="shared" si="894"/>
        <v>565415.48995225236</v>
      </c>
      <c r="Q355" s="146">
        <f t="shared" si="894"/>
        <v>339249.29397135135</v>
      </c>
      <c r="R355" s="146">
        <f t="shared" si="894"/>
        <v>339249.29397135135</v>
      </c>
      <c r="S355" s="146">
        <f t="shared" si="894"/>
        <v>169624.64698567567</v>
      </c>
      <c r="T355" s="146">
        <f t="shared" si="894"/>
        <v>0</v>
      </c>
      <c r="U355" s="146">
        <f t="shared" si="894"/>
        <v>0</v>
      </c>
      <c r="V355" s="146">
        <f t="shared" si="894"/>
        <v>0</v>
      </c>
      <c r="W355" s="146">
        <f t="shared" si="894"/>
        <v>0</v>
      </c>
      <c r="X355" s="146">
        <f t="shared" si="894"/>
        <v>0</v>
      </c>
      <c r="Y355" s="146">
        <f t="shared" si="894"/>
        <v>0</v>
      </c>
      <c r="Z355" s="146">
        <f t="shared" si="894"/>
        <v>704188.57730493625</v>
      </c>
      <c r="AA355" s="146">
        <f t="shared" si="894"/>
        <v>1126701.7236878979</v>
      </c>
      <c r="AB355" s="146">
        <f t="shared" si="894"/>
        <v>676021.03421273874</v>
      </c>
      <c r="AC355" s="146">
        <f t="shared" si="894"/>
        <v>405612.62052764324</v>
      </c>
      <c r="AD355" s="146">
        <f t="shared" si="894"/>
        <v>405612.62052764324</v>
      </c>
      <c r="AE355" s="146">
        <f t="shared" si="894"/>
        <v>202806.31026382162</v>
      </c>
      <c r="AF355" s="146">
        <f t="shared" si="894"/>
        <v>0</v>
      </c>
      <c r="AG355" s="146">
        <f t="shared" si="894"/>
        <v>0</v>
      </c>
      <c r="AH355" s="146">
        <f t="shared" si="894"/>
        <v>0</v>
      </c>
      <c r="AI355" s="146">
        <f t="shared" si="894"/>
        <v>0</v>
      </c>
      <c r="AJ355" s="146">
        <f t="shared" si="894"/>
        <v>0</v>
      </c>
      <c r="AK355" s="146">
        <f t="shared" si="894"/>
        <v>0</v>
      </c>
      <c r="AL355" s="146">
        <f t="shared" si="894"/>
        <v>0</v>
      </c>
      <c r="AM355" s="146">
        <f t="shared" si="894"/>
        <v>0</v>
      </c>
      <c r="AN355" s="146">
        <f t="shared" si="894"/>
        <v>0</v>
      </c>
      <c r="AO355" s="146">
        <f t="shared" si="894"/>
        <v>0</v>
      </c>
      <c r="AP355" s="146">
        <f t="shared" si="894"/>
        <v>0</v>
      </c>
    </row>
    <row r="356" spans="1:42">
      <c r="A356" s="226"/>
      <c r="C356" s="208"/>
      <c r="D356" s="208"/>
      <c r="E356" s="208"/>
      <c r="F356" s="208"/>
      <c r="G356" s="208"/>
      <c r="H356" s="208"/>
      <c r="I356" s="208"/>
      <c r="J356" s="208"/>
      <c r="K356" s="208"/>
      <c r="L356" s="208"/>
      <c r="M356" s="208"/>
      <c r="N356" s="208"/>
      <c r="O356" s="208"/>
      <c r="P356" s="208"/>
      <c r="Q356" s="208"/>
      <c r="R356" s="208"/>
      <c r="S356" s="208"/>
      <c r="T356" s="208"/>
      <c r="U356" s="208"/>
      <c r="V356" s="208"/>
      <c r="W356" s="208"/>
      <c r="X356" s="208"/>
      <c r="Y356" s="208"/>
      <c r="Z356" s="208"/>
      <c r="AA356" s="208"/>
      <c r="AB356" s="208"/>
      <c r="AC356" s="208"/>
      <c r="AD356" s="208"/>
      <c r="AE356" s="208"/>
      <c r="AF356" s="208"/>
      <c r="AG356" s="208"/>
      <c r="AH356" s="208"/>
      <c r="AI356" s="208"/>
      <c r="AJ356" s="208"/>
      <c r="AK356" s="208"/>
      <c r="AL356" s="208"/>
      <c r="AM356" s="208"/>
      <c r="AN356" s="208"/>
      <c r="AO356" s="208"/>
      <c r="AP356" s="208"/>
    </row>
    <row r="357" spans="1:42">
      <c r="A357" s="219" t="s">
        <v>384</v>
      </c>
      <c r="C357" s="208"/>
      <c r="D357" s="208"/>
      <c r="E357" s="208"/>
      <c r="F357" s="208"/>
      <c r="G357" s="208"/>
      <c r="H357" s="208"/>
      <c r="I357" s="208"/>
      <c r="J357" s="208"/>
      <c r="K357" s="208"/>
      <c r="L357" s="208"/>
      <c r="M357" s="208"/>
      <c r="N357" s="208"/>
      <c r="O357" s="208"/>
      <c r="P357" s="208"/>
      <c r="Q357" s="208"/>
      <c r="R357" s="208"/>
      <c r="S357" s="208"/>
      <c r="T357" s="208"/>
      <c r="U357" s="208"/>
      <c r="V357" s="208"/>
      <c r="W357" s="208"/>
      <c r="X357" s="208"/>
      <c r="Y357" s="208"/>
      <c r="Z357" s="208"/>
      <c r="AA357" s="208"/>
      <c r="AB357" s="208"/>
      <c r="AC357" s="208"/>
      <c r="AD357" s="208"/>
      <c r="AE357" s="208"/>
      <c r="AF357" s="208"/>
      <c r="AG357" s="208"/>
      <c r="AH357" s="208"/>
      <c r="AI357" s="208"/>
      <c r="AJ357" s="208"/>
      <c r="AK357" s="208"/>
      <c r="AL357" s="208"/>
      <c r="AM357" s="208"/>
      <c r="AN357" s="208"/>
      <c r="AO357" s="208"/>
      <c r="AP357" s="208"/>
    </row>
    <row r="358" spans="1:42">
      <c r="A358" s="226" t="s">
        <v>217</v>
      </c>
      <c r="C358" s="208"/>
      <c r="D358" s="208"/>
      <c r="E358" s="208"/>
      <c r="F358" s="208"/>
      <c r="G358" s="208"/>
      <c r="H358" s="208"/>
      <c r="I358" s="208"/>
      <c r="J358" s="208"/>
      <c r="K358" s="208"/>
      <c r="L358" s="208"/>
      <c r="M358" s="208"/>
      <c r="N358" s="208"/>
      <c r="O358" s="208"/>
      <c r="P358" s="208"/>
      <c r="Q358" s="208"/>
      <c r="R358" s="208"/>
      <c r="S358" s="208"/>
      <c r="T358" s="208"/>
      <c r="U358" s="208"/>
      <c r="V358" s="208"/>
      <c r="W358" s="208"/>
      <c r="X358" s="208"/>
      <c r="Y358" s="208"/>
      <c r="Z358" s="208"/>
      <c r="AA358" s="208"/>
      <c r="AB358" s="208"/>
      <c r="AC358" s="208"/>
      <c r="AD358" s="208"/>
      <c r="AE358" s="208"/>
      <c r="AF358" s="208"/>
      <c r="AG358" s="208"/>
      <c r="AH358" s="208"/>
      <c r="AI358" s="208"/>
      <c r="AJ358" s="208"/>
      <c r="AK358" s="208"/>
      <c r="AL358" s="208"/>
      <c r="AM358" s="208"/>
      <c r="AN358" s="208"/>
      <c r="AO358" s="208"/>
      <c r="AP358" s="208"/>
    </row>
    <row r="359" spans="1:42">
      <c r="A359" s="119">
        <v>1</v>
      </c>
      <c r="C359" s="208">
        <f>IF(C$2&lt;=AnalysisPeriod,IF(SUM($C747:C747)&gt;0,B359+1,0),0)</f>
        <v>0</v>
      </c>
      <c r="D359" s="208">
        <f>IF(D$2&lt;=AnalysisPeriod,IF(SUM($C747:D747)&gt;0,C359+1,0),0)</f>
        <v>0</v>
      </c>
      <c r="E359" s="208">
        <f>IF(E$2&lt;=AnalysisPeriod,IF(SUM($C747:E747)&gt;0,D359+1,0),0)</f>
        <v>0</v>
      </c>
      <c r="F359" s="208">
        <f>IF(F$2&lt;=AnalysisPeriod,IF(SUM($C747:F747)&gt;0,E359+1,0),0)</f>
        <v>0</v>
      </c>
      <c r="G359" s="208">
        <f>IF(G$2&lt;=AnalysisPeriod,IF(SUM($C747:G747)&gt;0,F359+1,0),0)</f>
        <v>0</v>
      </c>
      <c r="H359" s="208">
        <f>IF(H$2&lt;=AnalysisPeriod,IF(SUM($C747:H747)&gt;0,G359+1,0),0)</f>
        <v>0</v>
      </c>
      <c r="I359" s="208">
        <f>IF(I$2&lt;=AnalysisPeriod,IF(SUM($C747:I747)&gt;0,H359+1,0),0)</f>
        <v>0</v>
      </c>
      <c r="J359" s="208">
        <f>IF(J$2&lt;=AnalysisPeriod,IF(SUM($C747:J747)&gt;0,I359+1,0),0)</f>
        <v>0</v>
      </c>
      <c r="K359" s="208">
        <f>IF(K$2&lt;=AnalysisPeriod,IF(SUM($C747:K747)&gt;0,J359+1,0),0)</f>
        <v>0</v>
      </c>
      <c r="L359" s="208">
        <f>IF(L$2&lt;=AnalysisPeriod,IF(SUM($C747:L747)&gt;0,K359+1,0),0)</f>
        <v>0</v>
      </c>
      <c r="M359" s="208">
        <f>IF(M$2&lt;=AnalysisPeriod,IF(SUM($C747:M747)&gt;0,L359+1,0),0)</f>
        <v>0</v>
      </c>
      <c r="N359" s="208">
        <f>IF(N$2&lt;=AnalysisPeriod,IF(SUM($C747:N747)&gt;0,M359+1,0),0)</f>
        <v>0</v>
      </c>
      <c r="O359" s="208">
        <f>IF(O$2&lt;=AnalysisPeriod,IF(SUM($C747:O747)&gt;0,N359+1,0),0)</f>
        <v>0</v>
      </c>
      <c r="P359" s="208">
        <f>IF(P$2&lt;=AnalysisPeriod,IF(SUM($C747:P747)&gt;0,O359+1,0),0)</f>
        <v>0</v>
      </c>
      <c r="Q359" s="208">
        <f>IF(Q$2&lt;=AnalysisPeriod,IF(SUM($C747:Q747)&gt;0,P359+1,0),0)</f>
        <v>1</v>
      </c>
      <c r="R359" s="208">
        <f>IF(R$2&lt;=AnalysisPeriod,IF(SUM($C747:R747)&gt;0,Q359+1,0),0)</f>
        <v>2</v>
      </c>
      <c r="S359" s="208">
        <f>IF(S$2&lt;=AnalysisPeriod,IF(SUM($C747:S747)&gt;0,R359+1,0),0)</f>
        <v>3</v>
      </c>
      <c r="T359" s="208">
        <f>IF(T$2&lt;=AnalysisPeriod,IF(SUM($C747:T747)&gt;0,S359+1,0),0)</f>
        <v>4</v>
      </c>
      <c r="U359" s="208">
        <f>IF(U$2&lt;=AnalysisPeriod,IF(SUM($C747:U747)&gt;0,T359+1,0),0)</f>
        <v>5</v>
      </c>
      <c r="V359" s="208">
        <f>IF(V$2&lt;=AnalysisPeriod,IF(SUM($C747:V747)&gt;0,U359+1,0),0)</f>
        <v>6</v>
      </c>
      <c r="W359" s="208">
        <f>IF(W$2&lt;=AnalysisPeriod,IF(SUM($C747:W747)&gt;0,V359+1,0),0)</f>
        <v>7</v>
      </c>
      <c r="X359" s="208">
        <f>IF(X$2&lt;=AnalysisPeriod,IF(SUM($C747:X747)&gt;0,W359+1,0),0)</f>
        <v>8</v>
      </c>
      <c r="Y359" s="208">
        <f>IF(Y$2&lt;=AnalysisPeriod,IF(SUM($C747:Y747)&gt;0,X359+1,0),0)</f>
        <v>9</v>
      </c>
      <c r="Z359" s="208">
        <f>IF(Z$2&lt;=AnalysisPeriod,IF(SUM($C747:Z747)&gt;0,Y359+1,0),0)</f>
        <v>10</v>
      </c>
      <c r="AA359" s="208">
        <f>IF(AA$2&lt;=AnalysisPeriod,IF(SUM($C747:AA747)&gt;0,Z359+1,0),0)</f>
        <v>11</v>
      </c>
      <c r="AB359" s="208">
        <f>IF(AB$2&lt;=AnalysisPeriod,IF(SUM($C747:AB747)&gt;0,AA359+1,0),0)</f>
        <v>12</v>
      </c>
      <c r="AC359" s="208">
        <f>IF(AC$2&lt;=AnalysisPeriod,IF(SUM($C747:AC747)&gt;0,AB359+1,0),0)</f>
        <v>13</v>
      </c>
      <c r="AD359" s="208">
        <f>IF(AD$2&lt;=AnalysisPeriod,IF(SUM($C747:AD747)&gt;0,AC359+1,0),0)</f>
        <v>14</v>
      </c>
      <c r="AE359" s="208">
        <f>IF(AE$2&lt;=AnalysisPeriod,IF(SUM($C747:AE747)&gt;0,AD359+1,0),0)</f>
        <v>15</v>
      </c>
      <c r="AF359" s="208">
        <f>IF(AF$2&lt;=AnalysisPeriod,IF(SUM($C747:AF747)&gt;0,AE359+1,0),0)</f>
        <v>16</v>
      </c>
      <c r="AG359" s="208">
        <f>IF(AG$2&lt;=AnalysisPeriod,IF(SUM($C747:AG747)&gt;0,AF359+1,0),0)</f>
        <v>0</v>
      </c>
      <c r="AH359" s="208">
        <f>IF(AH$2&lt;=AnalysisPeriod,IF(SUM($C747:AH747)&gt;0,AG359+1,0),0)</f>
        <v>0</v>
      </c>
      <c r="AI359" s="208">
        <f>IF(AI$2&lt;=AnalysisPeriod,IF(SUM($C747:AI747)&gt;0,AH359+1,0),0)</f>
        <v>0</v>
      </c>
      <c r="AJ359" s="208">
        <f>IF(AJ$2&lt;=AnalysisPeriod,IF(SUM($C747:AJ747)&gt;0,AI359+1,0),0)</f>
        <v>0</v>
      </c>
      <c r="AK359" s="208">
        <f>IF(AK$2&lt;=AnalysisPeriod,IF(SUM($C747:AK747)&gt;0,AJ359+1,0),0)</f>
        <v>0</v>
      </c>
      <c r="AL359" s="208">
        <f>IF(AL$2&lt;=AnalysisPeriod,IF(SUM($C747:AL747)&gt;0,AK359+1,0),0)</f>
        <v>0</v>
      </c>
      <c r="AM359" s="208">
        <f>IF(AM$2&lt;=AnalysisPeriod,IF(SUM($C747:AM747)&gt;0,AL359+1,0),0)</f>
        <v>0</v>
      </c>
      <c r="AN359" s="208">
        <f>IF(AN$2&lt;=AnalysisPeriod,IF(SUM($C747:AN747)&gt;0,AM359+1,0),0)</f>
        <v>0</v>
      </c>
      <c r="AO359" s="208">
        <f>IF(AO$2&lt;=AnalysisPeriod,IF(SUM($C747:AO747)&gt;0,AN359+1,0),0)</f>
        <v>0</v>
      </c>
      <c r="AP359" s="208">
        <f>IF(AP$2&lt;=AnalysisPeriod,IF(SUM($C747:AP747)&gt;0,AO359+1,0),0)</f>
        <v>0</v>
      </c>
    </row>
    <row r="360" spans="1:42">
      <c r="A360" s="119">
        <f>A359+1</f>
        <v>2</v>
      </c>
      <c r="C360" s="208">
        <f>IF(C$2&lt;=AnalysisPeriod,IF(SUM($C748:C748)&gt;0,B360+1,0),0)</f>
        <v>0</v>
      </c>
      <c r="D360" s="208">
        <f>IF(D$2&lt;=AnalysisPeriod,IF(SUM($C748:D748)&gt;0,C360+1,0),0)</f>
        <v>0</v>
      </c>
      <c r="E360" s="208">
        <f>IF(E$2&lt;=AnalysisPeriod,IF(SUM($C748:E748)&gt;0,D360+1,0),0)</f>
        <v>0</v>
      </c>
      <c r="F360" s="208">
        <f>IF(F$2&lt;=AnalysisPeriod,IF(SUM($C748:F748)&gt;0,E360+1,0),0)</f>
        <v>0</v>
      </c>
      <c r="G360" s="208">
        <f>IF(G$2&lt;=AnalysisPeriod,IF(SUM($C748:G748)&gt;0,F360+1,0),0)</f>
        <v>0</v>
      </c>
      <c r="H360" s="208">
        <f>IF(H$2&lt;=AnalysisPeriod,IF(SUM($C748:H748)&gt;0,G360+1,0),0)</f>
        <v>0</v>
      </c>
      <c r="I360" s="208">
        <f>IF(I$2&lt;=AnalysisPeriod,IF(SUM($C748:I748)&gt;0,H360+1,0),0)</f>
        <v>0</v>
      </c>
      <c r="J360" s="208">
        <f>IF(J$2&lt;=AnalysisPeriod,IF(SUM($C748:J748)&gt;0,I360+1,0),0)</f>
        <v>0</v>
      </c>
      <c r="K360" s="208">
        <f>IF(K$2&lt;=AnalysisPeriod,IF(SUM($C748:K748)&gt;0,J360+1,0),0)</f>
        <v>0</v>
      </c>
      <c r="L360" s="208">
        <f>IF(L$2&lt;=AnalysisPeriod,IF(SUM($C748:L748)&gt;0,K360+1,0),0)</f>
        <v>0</v>
      </c>
      <c r="M360" s="208">
        <f>IF(M$2&lt;=AnalysisPeriod,IF(SUM($C748:M748)&gt;0,L360+1,0),0)</f>
        <v>0</v>
      </c>
      <c r="N360" s="208">
        <f>IF(N$2&lt;=AnalysisPeriod,IF(SUM($C748:N748)&gt;0,M360+1,0),0)</f>
        <v>0</v>
      </c>
      <c r="O360" s="208">
        <f>IF(O$2&lt;=AnalysisPeriod,IF(SUM($C748:O748)&gt;0,N360+1,0),0)</f>
        <v>0</v>
      </c>
      <c r="P360" s="208">
        <f>IF(P$2&lt;=AnalysisPeriod,IF(SUM($C748:P748)&gt;0,O360+1,0),0)</f>
        <v>0</v>
      </c>
      <c r="Q360" s="208">
        <f>IF(Q$2&lt;=AnalysisPeriod,IF(SUM($C748:Q748)&gt;0,P360+1,0),0)</f>
        <v>0</v>
      </c>
      <c r="R360" s="208">
        <f>IF(R$2&lt;=AnalysisPeriod,IF(SUM($C748:R748)&gt;0,Q360+1,0),0)</f>
        <v>0</v>
      </c>
      <c r="S360" s="208">
        <f>IF(S$2&lt;=AnalysisPeriod,IF(SUM($C748:S748)&gt;0,R360+1,0),0)</f>
        <v>0</v>
      </c>
      <c r="T360" s="208">
        <f>IF(T$2&lt;=AnalysisPeriod,IF(SUM($C748:T748)&gt;0,S360+1,0),0)</f>
        <v>0</v>
      </c>
      <c r="U360" s="208">
        <f>IF(U$2&lt;=AnalysisPeriod,IF(SUM($C748:U748)&gt;0,T360+1,0),0)</f>
        <v>0</v>
      </c>
      <c r="V360" s="208">
        <f>IF(V$2&lt;=AnalysisPeriod,IF(SUM($C748:V748)&gt;0,U360+1,0),0)</f>
        <v>0</v>
      </c>
      <c r="W360" s="208">
        <f>IF(W$2&lt;=AnalysisPeriod,IF(SUM($C748:W748)&gt;0,V360+1,0),0)</f>
        <v>0</v>
      </c>
      <c r="X360" s="208">
        <f>IF(X$2&lt;=AnalysisPeriod,IF(SUM($C748:X748)&gt;0,W360+1,0),0)</f>
        <v>0</v>
      </c>
      <c r="Y360" s="208">
        <f>IF(Y$2&lt;=AnalysisPeriod,IF(SUM($C748:Y748)&gt;0,X360+1,0),0)</f>
        <v>0</v>
      </c>
      <c r="Z360" s="208">
        <f>IF(Z$2&lt;=AnalysisPeriod,IF(SUM($C748:Z748)&gt;0,Y360+1,0),0)</f>
        <v>0</v>
      </c>
      <c r="AA360" s="208">
        <f>IF(AA$2&lt;=AnalysisPeriod,IF(SUM($C748:AA748)&gt;0,Z360+1,0),0)</f>
        <v>0</v>
      </c>
      <c r="AB360" s="208">
        <f>IF(AB$2&lt;=AnalysisPeriod,IF(SUM($C748:AB748)&gt;0,AA360+1,0),0)</f>
        <v>0</v>
      </c>
      <c r="AC360" s="208">
        <f>IF(AC$2&lt;=AnalysisPeriod,IF(SUM($C748:AC748)&gt;0,AB360+1,0),0)</f>
        <v>0</v>
      </c>
      <c r="AD360" s="208">
        <f>IF(AD$2&lt;=AnalysisPeriod,IF(SUM($C748:AD748)&gt;0,AC360+1,0),0)</f>
        <v>0</v>
      </c>
      <c r="AE360" s="208">
        <f>IF(AE$2&lt;=AnalysisPeriod,IF(SUM($C748:AE748)&gt;0,AD360+1,0),0)</f>
        <v>0</v>
      </c>
      <c r="AF360" s="208">
        <f>IF(AF$2&lt;=AnalysisPeriod,IF(SUM($C748:AF748)&gt;0,AE360+1,0),0)</f>
        <v>1</v>
      </c>
      <c r="AG360" s="208">
        <f>IF(AG$2&lt;=AnalysisPeriod,IF(SUM($C748:AG748)&gt;0,AF360+1,0),0)</f>
        <v>0</v>
      </c>
      <c r="AH360" s="208">
        <f>IF(AH$2&lt;=AnalysisPeriod,IF(SUM($C748:AH748)&gt;0,AG360+1,0),0)</f>
        <v>0</v>
      </c>
      <c r="AI360" s="208">
        <f>IF(AI$2&lt;=AnalysisPeriod,IF(SUM($C748:AI748)&gt;0,AH360+1,0),0)</f>
        <v>0</v>
      </c>
      <c r="AJ360" s="208">
        <f>IF(AJ$2&lt;=AnalysisPeriod,IF(SUM($C748:AJ748)&gt;0,AI360+1,0),0)</f>
        <v>0</v>
      </c>
      <c r="AK360" s="208">
        <f>IF(AK$2&lt;=AnalysisPeriod,IF(SUM($C748:AK748)&gt;0,AJ360+1,0),0)</f>
        <v>0</v>
      </c>
      <c r="AL360" s="208">
        <f>IF(AL$2&lt;=AnalysisPeriod,IF(SUM($C748:AL748)&gt;0,AK360+1,0),0)</f>
        <v>0</v>
      </c>
      <c r="AM360" s="208">
        <f>IF(AM$2&lt;=AnalysisPeriod,IF(SUM($C748:AM748)&gt;0,AL360+1,0),0)</f>
        <v>0</v>
      </c>
      <c r="AN360" s="208">
        <f>IF(AN$2&lt;=AnalysisPeriod,IF(SUM($C748:AN748)&gt;0,AM360+1,0),0)</f>
        <v>0</v>
      </c>
      <c r="AO360" s="208">
        <f>IF(AO$2&lt;=AnalysisPeriod,IF(SUM($C748:AO748)&gt;0,AN360+1,0),0)</f>
        <v>0</v>
      </c>
      <c r="AP360" s="208">
        <f>IF(AP$2&lt;=AnalysisPeriod,IF(SUM($C748:AP748)&gt;0,AO360+1,0),0)</f>
        <v>0</v>
      </c>
    </row>
    <row r="361" spans="1:42">
      <c r="A361" s="119">
        <f t="shared" ref="A361:A368" si="895">A360+1</f>
        <v>3</v>
      </c>
      <c r="C361" s="208">
        <f>IF(C$2&lt;=AnalysisPeriod,IF(SUM($C749:C749)&gt;0,B361+1,0),0)</f>
        <v>0</v>
      </c>
      <c r="D361" s="208">
        <f>IF(D$2&lt;=AnalysisPeriod,IF(SUM($C749:D749)&gt;0,C361+1,0),0)</f>
        <v>0</v>
      </c>
      <c r="E361" s="208">
        <f>IF(E$2&lt;=AnalysisPeriod,IF(SUM($C749:E749)&gt;0,D361+1,0),0)</f>
        <v>0</v>
      </c>
      <c r="F361" s="208">
        <f>IF(F$2&lt;=AnalysisPeriod,IF(SUM($C749:F749)&gt;0,E361+1,0),0)</f>
        <v>0</v>
      </c>
      <c r="G361" s="208">
        <f>IF(G$2&lt;=AnalysisPeriod,IF(SUM($C749:G749)&gt;0,F361+1,0),0)</f>
        <v>0</v>
      </c>
      <c r="H361" s="208">
        <f>IF(H$2&lt;=AnalysisPeriod,IF(SUM($C749:H749)&gt;0,G361+1,0),0)</f>
        <v>0</v>
      </c>
      <c r="I361" s="208">
        <f>IF(I$2&lt;=AnalysisPeriod,IF(SUM($C749:I749)&gt;0,H361+1,0),0)</f>
        <v>0</v>
      </c>
      <c r="J361" s="208">
        <f>IF(J$2&lt;=AnalysisPeriod,IF(SUM($C749:J749)&gt;0,I361+1,0),0)</f>
        <v>0</v>
      </c>
      <c r="K361" s="208">
        <f>IF(K$2&lt;=AnalysisPeriod,IF(SUM($C749:K749)&gt;0,J361+1,0),0)</f>
        <v>0</v>
      </c>
      <c r="L361" s="208">
        <f>IF(L$2&lt;=AnalysisPeriod,IF(SUM($C749:L749)&gt;0,K361+1,0),0)</f>
        <v>0</v>
      </c>
      <c r="M361" s="208">
        <f>IF(M$2&lt;=AnalysisPeriod,IF(SUM($C749:M749)&gt;0,L361+1,0),0)</f>
        <v>0</v>
      </c>
      <c r="N361" s="208">
        <f>IF(N$2&lt;=AnalysisPeriod,IF(SUM($C749:N749)&gt;0,M361+1,0),0)</f>
        <v>0</v>
      </c>
      <c r="O361" s="208">
        <f>IF(O$2&lt;=AnalysisPeriod,IF(SUM($C749:O749)&gt;0,N361+1,0),0)</f>
        <v>0</v>
      </c>
      <c r="P361" s="208">
        <f>IF(P$2&lt;=AnalysisPeriod,IF(SUM($C749:P749)&gt;0,O361+1,0),0)</f>
        <v>0</v>
      </c>
      <c r="Q361" s="208">
        <f>IF(Q$2&lt;=AnalysisPeriod,IF(SUM($C749:Q749)&gt;0,P361+1,0),0)</f>
        <v>0</v>
      </c>
      <c r="R361" s="208">
        <f>IF(R$2&lt;=AnalysisPeriod,IF(SUM($C749:R749)&gt;0,Q361+1,0),0)</f>
        <v>0</v>
      </c>
      <c r="S361" s="208">
        <f>IF(S$2&lt;=AnalysisPeriod,IF(SUM($C749:S749)&gt;0,R361+1,0),0)</f>
        <v>0</v>
      </c>
      <c r="T361" s="208">
        <f>IF(T$2&lt;=AnalysisPeriod,IF(SUM($C749:T749)&gt;0,S361+1,0),0)</f>
        <v>0</v>
      </c>
      <c r="U361" s="208">
        <f>IF(U$2&lt;=AnalysisPeriod,IF(SUM($C749:U749)&gt;0,T361+1,0),0)</f>
        <v>0</v>
      </c>
      <c r="V361" s="208">
        <f>IF(V$2&lt;=AnalysisPeriod,IF(SUM($C749:V749)&gt;0,U361+1,0),0)</f>
        <v>0</v>
      </c>
      <c r="W361" s="208">
        <f>IF(W$2&lt;=AnalysisPeriod,IF(SUM($C749:W749)&gt;0,V361+1,0),0)</f>
        <v>0</v>
      </c>
      <c r="X361" s="208">
        <f>IF(X$2&lt;=AnalysisPeriod,IF(SUM($C749:X749)&gt;0,W361+1,0),0)</f>
        <v>0</v>
      </c>
      <c r="Y361" s="208">
        <f>IF(Y$2&lt;=AnalysisPeriod,IF(SUM($C749:Y749)&gt;0,X361+1,0),0)</f>
        <v>0</v>
      </c>
      <c r="Z361" s="208">
        <f>IF(Z$2&lt;=AnalysisPeriod,IF(SUM($C749:Z749)&gt;0,Y361+1,0),0)</f>
        <v>0</v>
      </c>
      <c r="AA361" s="208">
        <f>IF(AA$2&lt;=AnalysisPeriod,IF(SUM($C749:AA749)&gt;0,Z361+1,0),0)</f>
        <v>0</v>
      </c>
      <c r="AB361" s="208">
        <f>IF(AB$2&lt;=AnalysisPeriod,IF(SUM($C749:AB749)&gt;0,AA361+1,0),0)</f>
        <v>0</v>
      </c>
      <c r="AC361" s="208">
        <f>IF(AC$2&lt;=AnalysisPeriod,IF(SUM($C749:AC749)&gt;0,AB361+1,0),0)</f>
        <v>0</v>
      </c>
      <c r="AD361" s="208">
        <f>IF(AD$2&lt;=AnalysisPeriod,IF(SUM($C749:AD749)&gt;0,AC361+1,0),0)</f>
        <v>0</v>
      </c>
      <c r="AE361" s="208">
        <f>IF(AE$2&lt;=AnalysisPeriod,IF(SUM($C749:AE749)&gt;0,AD361+1,0),0)</f>
        <v>0</v>
      </c>
      <c r="AF361" s="208">
        <f>IF(AF$2&lt;=AnalysisPeriod,IF(SUM($C749:AF749)&gt;0,AE361+1,0),0)</f>
        <v>0</v>
      </c>
      <c r="AG361" s="208">
        <f>IF(AG$2&lt;=AnalysisPeriod,IF(SUM($C749:AG749)&gt;0,AF361+1,0),0)</f>
        <v>0</v>
      </c>
      <c r="AH361" s="208">
        <f>IF(AH$2&lt;=AnalysisPeriod,IF(SUM($C749:AH749)&gt;0,AG361+1,0),0)</f>
        <v>0</v>
      </c>
      <c r="AI361" s="208">
        <f>IF(AI$2&lt;=AnalysisPeriod,IF(SUM($C749:AI749)&gt;0,AH361+1,0),0)</f>
        <v>0</v>
      </c>
      <c r="AJ361" s="208">
        <f>IF(AJ$2&lt;=AnalysisPeriod,IF(SUM($C749:AJ749)&gt;0,AI361+1,0),0)</f>
        <v>0</v>
      </c>
      <c r="AK361" s="208">
        <f>IF(AK$2&lt;=AnalysisPeriod,IF(SUM($C749:AK749)&gt;0,AJ361+1,0),0)</f>
        <v>0</v>
      </c>
      <c r="AL361" s="208">
        <f>IF(AL$2&lt;=AnalysisPeriod,IF(SUM($C749:AL749)&gt;0,AK361+1,0),0)</f>
        <v>0</v>
      </c>
      <c r="AM361" s="208">
        <f>IF(AM$2&lt;=AnalysisPeriod,IF(SUM($C749:AM749)&gt;0,AL361+1,0),0)</f>
        <v>0</v>
      </c>
      <c r="AN361" s="208">
        <f>IF(AN$2&lt;=AnalysisPeriod,IF(SUM($C749:AN749)&gt;0,AM361+1,0),0)</f>
        <v>0</v>
      </c>
      <c r="AO361" s="208">
        <f>IF(AO$2&lt;=AnalysisPeriod,IF(SUM($C749:AO749)&gt;0,AN361+1,0),0)</f>
        <v>0</v>
      </c>
      <c r="AP361" s="208">
        <f>IF(AP$2&lt;=AnalysisPeriod,IF(SUM($C749:AP749)&gt;0,AO361+1,0),0)</f>
        <v>0</v>
      </c>
    </row>
    <row r="362" spans="1:42">
      <c r="A362" s="119">
        <f t="shared" si="895"/>
        <v>4</v>
      </c>
      <c r="C362" s="208">
        <f>IF(C$2&lt;=AnalysisPeriod,IF(SUM($C750:C750)&gt;0,B362+1,0),0)</f>
        <v>0</v>
      </c>
      <c r="D362" s="208">
        <f>IF(D$2&lt;=AnalysisPeriod,IF(SUM($C750:D750)&gt;0,C362+1,0),0)</f>
        <v>0</v>
      </c>
      <c r="E362" s="208">
        <f>IF(E$2&lt;=AnalysisPeriod,IF(SUM($C750:E750)&gt;0,D362+1,0),0)</f>
        <v>0</v>
      </c>
      <c r="F362" s="208">
        <f>IF(F$2&lt;=AnalysisPeriod,IF(SUM($C750:F750)&gt;0,E362+1,0),0)</f>
        <v>0</v>
      </c>
      <c r="G362" s="208">
        <f>IF(G$2&lt;=AnalysisPeriod,IF(SUM($C750:G750)&gt;0,F362+1,0),0)</f>
        <v>0</v>
      </c>
      <c r="H362" s="208">
        <f>IF(H$2&lt;=AnalysisPeriod,IF(SUM($C750:H750)&gt;0,G362+1,0),0)</f>
        <v>0</v>
      </c>
      <c r="I362" s="208">
        <f>IF(I$2&lt;=AnalysisPeriod,IF(SUM($C750:I750)&gt;0,H362+1,0),0)</f>
        <v>0</v>
      </c>
      <c r="J362" s="208">
        <f>IF(J$2&lt;=AnalysisPeriod,IF(SUM($C750:J750)&gt;0,I362+1,0),0)</f>
        <v>0</v>
      </c>
      <c r="K362" s="208">
        <f>IF(K$2&lt;=AnalysisPeriod,IF(SUM($C750:K750)&gt;0,J362+1,0),0)</f>
        <v>0</v>
      </c>
      <c r="L362" s="208">
        <f>IF(L$2&lt;=AnalysisPeriod,IF(SUM($C750:L750)&gt;0,K362+1,0),0)</f>
        <v>0</v>
      </c>
      <c r="M362" s="208">
        <f>IF(M$2&lt;=AnalysisPeriod,IF(SUM($C750:M750)&gt;0,L362+1,0),0)</f>
        <v>0</v>
      </c>
      <c r="N362" s="208">
        <f>IF(N$2&lt;=AnalysisPeriod,IF(SUM($C750:N750)&gt;0,M362+1,0),0)</f>
        <v>0</v>
      </c>
      <c r="O362" s="208">
        <f>IF(O$2&lt;=AnalysisPeriod,IF(SUM($C750:O750)&gt;0,N362+1,0),0)</f>
        <v>0</v>
      </c>
      <c r="P362" s="208">
        <f>IF(P$2&lt;=AnalysisPeriod,IF(SUM($C750:P750)&gt;0,O362+1,0),0)</f>
        <v>0</v>
      </c>
      <c r="Q362" s="208">
        <f>IF(Q$2&lt;=AnalysisPeriod,IF(SUM($C750:Q750)&gt;0,P362+1,0),0)</f>
        <v>0</v>
      </c>
      <c r="R362" s="208">
        <f>IF(R$2&lt;=AnalysisPeriod,IF(SUM($C750:R750)&gt;0,Q362+1,0),0)</f>
        <v>0</v>
      </c>
      <c r="S362" s="208">
        <f>IF(S$2&lt;=AnalysisPeriod,IF(SUM($C750:S750)&gt;0,R362+1,0),0)</f>
        <v>0</v>
      </c>
      <c r="T362" s="208">
        <f>IF(T$2&lt;=AnalysisPeriod,IF(SUM($C750:T750)&gt;0,S362+1,0),0)</f>
        <v>0</v>
      </c>
      <c r="U362" s="208">
        <f>IF(U$2&lt;=AnalysisPeriod,IF(SUM($C750:U750)&gt;0,T362+1,0),0)</f>
        <v>0</v>
      </c>
      <c r="V362" s="208">
        <f>IF(V$2&lt;=AnalysisPeriod,IF(SUM($C750:V750)&gt;0,U362+1,0),0)</f>
        <v>0</v>
      </c>
      <c r="W362" s="208">
        <f>IF(W$2&lt;=AnalysisPeriod,IF(SUM($C750:W750)&gt;0,V362+1,0),0)</f>
        <v>0</v>
      </c>
      <c r="X362" s="208">
        <f>IF(X$2&lt;=AnalysisPeriod,IF(SUM($C750:X750)&gt;0,W362+1,0),0)</f>
        <v>0</v>
      </c>
      <c r="Y362" s="208">
        <f>IF(Y$2&lt;=AnalysisPeriod,IF(SUM($C750:Y750)&gt;0,X362+1,0),0)</f>
        <v>0</v>
      </c>
      <c r="Z362" s="208">
        <f>IF(Z$2&lt;=AnalysisPeriod,IF(SUM($C750:Z750)&gt;0,Y362+1,0),0)</f>
        <v>0</v>
      </c>
      <c r="AA362" s="208">
        <f>IF(AA$2&lt;=AnalysisPeriod,IF(SUM($C750:AA750)&gt;0,Z362+1,0),0)</f>
        <v>0</v>
      </c>
      <c r="AB362" s="208">
        <f>IF(AB$2&lt;=AnalysisPeriod,IF(SUM($C750:AB750)&gt;0,AA362+1,0),0)</f>
        <v>0</v>
      </c>
      <c r="AC362" s="208">
        <f>IF(AC$2&lt;=AnalysisPeriod,IF(SUM($C750:AC750)&gt;0,AB362+1,0),0)</f>
        <v>0</v>
      </c>
      <c r="AD362" s="208">
        <f>IF(AD$2&lt;=AnalysisPeriod,IF(SUM($C750:AD750)&gt;0,AC362+1,0),0)</f>
        <v>0</v>
      </c>
      <c r="AE362" s="208">
        <f>IF(AE$2&lt;=AnalysisPeriod,IF(SUM($C750:AE750)&gt;0,AD362+1,0),0)</f>
        <v>0</v>
      </c>
      <c r="AF362" s="208">
        <f>IF(AF$2&lt;=AnalysisPeriod,IF(SUM($C750:AF750)&gt;0,AE362+1,0),0)</f>
        <v>0</v>
      </c>
      <c r="AG362" s="208">
        <f>IF(AG$2&lt;=AnalysisPeriod,IF(SUM($C750:AG750)&gt;0,AF362+1,0),0)</f>
        <v>0</v>
      </c>
      <c r="AH362" s="208">
        <f>IF(AH$2&lt;=AnalysisPeriod,IF(SUM($C750:AH750)&gt;0,AG362+1,0),0)</f>
        <v>0</v>
      </c>
      <c r="AI362" s="208">
        <f>IF(AI$2&lt;=AnalysisPeriod,IF(SUM($C750:AI750)&gt;0,AH362+1,0),0)</f>
        <v>0</v>
      </c>
      <c r="AJ362" s="208">
        <f>IF(AJ$2&lt;=AnalysisPeriod,IF(SUM($C750:AJ750)&gt;0,AI362+1,0),0)</f>
        <v>0</v>
      </c>
      <c r="AK362" s="208">
        <f>IF(AK$2&lt;=AnalysisPeriod,IF(SUM($C750:AK750)&gt;0,AJ362+1,0),0)</f>
        <v>0</v>
      </c>
      <c r="AL362" s="208">
        <f>IF(AL$2&lt;=AnalysisPeriod,IF(SUM($C750:AL750)&gt;0,AK362+1,0),0)</f>
        <v>0</v>
      </c>
      <c r="AM362" s="208">
        <f>IF(AM$2&lt;=AnalysisPeriod,IF(SUM($C750:AM750)&gt;0,AL362+1,0),0)</f>
        <v>0</v>
      </c>
      <c r="AN362" s="208">
        <f>IF(AN$2&lt;=AnalysisPeriod,IF(SUM($C750:AN750)&gt;0,AM362+1,0),0)</f>
        <v>0</v>
      </c>
      <c r="AO362" s="208">
        <f>IF(AO$2&lt;=AnalysisPeriod,IF(SUM($C750:AO750)&gt;0,AN362+1,0),0)</f>
        <v>0</v>
      </c>
      <c r="AP362" s="208">
        <f>IF(AP$2&lt;=AnalysisPeriod,IF(SUM($C750:AP750)&gt;0,AO362+1,0),0)</f>
        <v>0</v>
      </c>
    </row>
    <row r="363" spans="1:42">
      <c r="A363" s="119">
        <f t="shared" si="895"/>
        <v>5</v>
      </c>
      <c r="C363" s="208">
        <f>IF(C$2&lt;=AnalysisPeriod,IF(SUM($C751:C751)&gt;0,B363+1,0),0)</f>
        <v>0</v>
      </c>
      <c r="D363" s="208">
        <f>IF(D$2&lt;=AnalysisPeriod,IF(SUM($C751:D751)&gt;0,C363+1,0),0)</f>
        <v>0</v>
      </c>
      <c r="E363" s="208">
        <f>IF(E$2&lt;=AnalysisPeriod,IF(SUM($C751:E751)&gt;0,D363+1,0),0)</f>
        <v>0</v>
      </c>
      <c r="F363" s="208">
        <f>IF(F$2&lt;=AnalysisPeriod,IF(SUM($C751:F751)&gt;0,E363+1,0),0)</f>
        <v>0</v>
      </c>
      <c r="G363" s="208">
        <f>IF(G$2&lt;=AnalysisPeriod,IF(SUM($C751:G751)&gt;0,F363+1,0),0)</f>
        <v>0</v>
      </c>
      <c r="H363" s="208">
        <f>IF(H$2&lt;=AnalysisPeriod,IF(SUM($C751:H751)&gt;0,G363+1,0),0)</f>
        <v>0</v>
      </c>
      <c r="I363" s="208">
        <f>IF(I$2&lt;=AnalysisPeriod,IF(SUM($C751:I751)&gt;0,H363+1,0),0)</f>
        <v>0</v>
      </c>
      <c r="J363" s="208">
        <f>IF(J$2&lt;=AnalysisPeriod,IF(SUM($C751:J751)&gt;0,I363+1,0),0)</f>
        <v>0</v>
      </c>
      <c r="K363" s="208">
        <f>IF(K$2&lt;=AnalysisPeriod,IF(SUM($C751:K751)&gt;0,J363+1,0),0)</f>
        <v>0</v>
      </c>
      <c r="L363" s="208">
        <f>IF(L$2&lt;=AnalysisPeriod,IF(SUM($C751:L751)&gt;0,K363+1,0),0)</f>
        <v>0</v>
      </c>
      <c r="M363" s="208">
        <f>IF(M$2&lt;=AnalysisPeriod,IF(SUM($C751:M751)&gt;0,L363+1,0),0)</f>
        <v>0</v>
      </c>
      <c r="N363" s="208">
        <f>IF(N$2&lt;=AnalysisPeriod,IF(SUM($C751:N751)&gt;0,M363+1,0),0)</f>
        <v>0</v>
      </c>
      <c r="O363" s="208">
        <f>IF(O$2&lt;=AnalysisPeriod,IF(SUM($C751:O751)&gt;0,N363+1,0),0)</f>
        <v>0</v>
      </c>
      <c r="P363" s="208">
        <f>IF(P$2&lt;=AnalysisPeriod,IF(SUM($C751:P751)&gt;0,O363+1,0),0)</f>
        <v>0</v>
      </c>
      <c r="Q363" s="208">
        <f>IF(Q$2&lt;=AnalysisPeriod,IF(SUM($C751:Q751)&gt;0,P363+1,0),0)</f>
        <v>0</v>
      </c>
      <c r="R363" s="208">
        <f>IF(R$2&lt;=AnalysisPeriod,IF(SUM($C751:R751)&gt;0,Q363+1,0),0)</f>
        <v>0</v>
      </c>
      <c r="S363" s="208">
        <f>IF(S$2&lt;=AnalysisPeriod,IF(SUM($C751:S751)&gt;0,R363+1,0),0)</f>
        <v>0</v>
      </c>
      <c r="T363" s="208">
        <f>IF(T$2&lt;=AnalysisPeriod,IF(SUM($C751:T751)&gt;0,S363+1,0),0)</f>
        <v>0</v>
      </c>
      <c r="U363" s="208">
        <f>IF(U$2&lt;=AnalysisPeriod,IF(SUM($C751:U751)&gt;0,T363+1,0),0)</f>
        <v>0</v>
      </c>
      <c r="V363" s="208">
        <f>IF(V$2&lt;=AnalysisPeriod,IF(SUM($C751:V751)&gt;0,U363+1,0),0)</f>
        <v>0</v>
      </c>
      <c r="W363" s="208">
        <f>IF(W$2&lt;=AnalysisPeriod,IF(SUM($C751:W751)&gt;0,V363+1,0),0)</f>
        <v>0</v>
      </c>
      <c r="X363" s="208">
        <f>IF(X$2&lt;=AnalysisPeriod,IF(SUM($C751:X751)&gt;0,W363+1,0),0)</f>
        <v>0</v>
      </c>
      <c r="Y363" s="208">
        <f>IF(Y$2&lt;=AnalysisPeriod,IF(SUM($C751:Y751)&gt;0,X363+1,0),0)</f>
        <v>0</v>
      </c>
      <c r="Z363" s="208">
        <f>IF(Z$2&lt;=AnalysisPeriod,IF(SUM($C751:Z751)&gt;0,Y363+1,0),0)</f>
        <v>0</v>
      </c>
      <c r="AA363" s="208">
        <f>IF(AA$2&lt;=AnalysisPeriod,IF(SUM($C751:AA751)&gt;0,Z363+1,0),0)</f>
        <v>0</v>
      </c>
      <c r="AB363" s="208">
        <f>IF(AB$2&lt;=AnalysisPeriod,IF(SUM($C751:AB751)&gt;0,AA363+1,0),0)</f>
        <v>0</v>
      </c>
      <c r="AC363" s="208">
        <f>IF(AC$2&lt;=AnalysisPeriod,IF(SUM($C751:AC751)&gt;0,AB363+1,0),0)</f>
        <v>0</v>
      </c>
      <c r="AD363" s="208">
        <f>IF(AD$2&lt;=AnalysisPeriod,IF(SUM($C751:AD751)&gt;0,AC363+1,0),0)</f>
        <v>0</v>
      </c>
      <c r="AE363" s="208">
        <f>IF(AE$2&lt;=AnalysisPeriod,IF(SUM($C751:AE751)&gt;0,AD363+1,0),0)</f>
        <v>0</v>
      </c>
      <c r="AF363" s="208">
        <f>IF(AF$2&lt;=AnalysisPeriod,IF(SUM($C751:AF751)&gt;0,AE363+1,0),0)</f>
        <v>0</v>
      </c>
      <c r="AG363" s="208">
        <f>IF(AG$2&lt;=AnalysisPeriod,IF(SUM($C751:AG751)&gt;0,AF363+1,0),0)</f>
        <v>0</v>
      </c>
      <c r="AH363" s="208">
        <f>IF(AH$2&lt;=AnalysisPeriod,IF(SUM($C751:AH751)&gt;0,AG363+1,0),0)</f>
        <v>0</v>
      </c>
      <c r="AI363" s="208">
        <f>IF(AI$2&lt;=AnalysisPeriod,IF(SUM($C751:AI751)&gt;0,AH363+1,0),0)</f>
        <v>0</v>
      </c>
      <c r="AJ363" s="208">
        <f>IF(AJ$2&lt;=AnalysisPeriod,IF(SUM($C751:AJ751)&gt;0,AI363+1,0),0)</f>
        <v>0</v>
      </c>
      <c r="AK363" s="208">
        <f>IF(AK$2&lt;=AnalysisPeriod,IF(SUM($C751:AK751)&gt;0,AJ363+1,0),0)</f>
        <v>0</v>
      </c>
      <c r="AL363" s="208">
        <f>IF(AL$2&lt;=AnalysisPeriod,IF(SUM($C751:AL751)&gt;0,AK363+1,0),0)</f>
        <v>0</v>
      </c>
      <c r="AM363" s="208">
        <f>IF(AM$2&lt;=AnalysisPeriod,IF(SUM($C751:AM751)&gt;0,AL363+1,0),0)</f>
        <v>0</v>
      </c>
      <c r="AN363" s="208">
        <f>IF(AN$2&lt;=AnalysisPeriod,IF(SUM($C751:AN751)&gt;0,AM363+1,0),0)</f>
        <v>0</v>
      </c>
      <c r="AO363" s="208">
        <f>IF(AO$2&lt;=AnalysisPeriod,IF(SUM($C751:AO751)&gt;0,AN363+1,0),0)</f>
        <v>0</v>
      </c>
      <c r="AP363" s="208">
        <f>IF(AP$2&lt;=AnalysisPeriod,IF(SUM($C751:AP751)&gt;0,AO363+1,0),0)</f>
        <v>0</v>
      </c>
    </row>
    <row r="364" spans="1:42">
      <c r="A364" s="119">
        <f t="shared" si="895"/>
        <v>6</v>
      </c>
      <c r="C364" s="208">
        <f>IF(C$2&lt;=AnalysisPeriod,IF(SUM($C752:C752)&gt;0,B364+1,0),0)</f>
        <v>0</v>
      </c>
      <c r="D364" s="208">
        <f>IF(D$2&lt;=AnalysisPeriod,IF(SUM($C752:D752)&gt;0,C364+1,0),0)</f>
        <v>0</v>
      </c>
      <c r="E364" s="208">
        <f>IF(E$2&lt;=AnalysisPeriod,IF(SUM($C752:E752)&gt;0,D364+1,0),0)</f>
        <v>0</v>
      </c>
      <c r="F364" s="208">
        <f>IF(F$2&lt;=AnalysisPeriod,IF(SUM($C752:F752)&gt;0,E364+1,0),0)</f>
        <v>0</v>
      </c>
      <c r="G364" s="208">
        <f>IF(G$2&lt;=AnalysisPeriod,IF(SUM($C752:G752)&gt;0,F364+1,0),0)</f>
        <v>0</v>
      </c>
      <c r="H364" s="208">
        <f>IF(H$2&lt;=AnalysisPeriod,IF(SUM($C752:H752)&gt;0,G364+1,0),0)</f>
        <v>0</v>
      </c>
      <c r="I364" s="208">
        <f>IF(I$2&lt;=AnalysisPeriod,IF(SUM($C752:I752)&gt;0,H364+1,0),0)</f>
        <v>0</v>
      </c>
      <c r="J364" s="208">
        <f>IF(J$2&lt;=AnalysisPeriod,IF(SUM($C752:J752)&gt;0,I364+1,0),0)</f>
        <v>0</v>
      </c>
      <c r="K364" s="208">
        <f>IF(K$2&lt;=AnalysisPeriod,IF(SUM($C752:K752)&gt;0,J364+1,0),0)</f>
        <v>0</v>
      </c>
      <c r="L364" s="208">
        <f>IF(L$2&lt;=AnalysisPeriod,IF(SUM($C752:L752)&gt;0,K364+1,0),0)</f>
        <v>0</v>
      </c>
      <c r="M364" s="208">
        <f>IF(M$2&lt;=AnalysisPeriod,IF(SUM($C752:M752)&gt;0,L364+1,0),0)</f>
        <v>0</v>
      </c>
      <c r="N364" s="208">
        <f>IF(N$2&lt;=AnalysisPeriod,IF(SUM($C752:N752)&gt;0,M364+1,0),0)</f>
        <v>0</v>
      </c>
      <c r="O364" s="208">
        <f>IF(O$2&lt;=AnalysisPeriod,IF(SUM($C752:O752)&gt;0,N364+1,0),0)</f>
        <v>0</v>
      </c>
      <c r="P364" s="208">
        <f>IF(P$2&lt;=AnalysisPeriod,IF(SUM($C752:P752)&gt;0,O364+1,0),0)</f>
        <v>0</v>
      </c>
      <c r="Q364" s="208">
        <f>IF(Q$2&lt;=AnalysisPeriod,IF(SUM($C752:Q752)&gt;0,P364+1,0),0)</f>
        <v>0</v>
      </c>
      <c r="R364" s="208">
        <f>IF(R$2&lt;=AnalysisPeriod,IF(SUM($C752:R752)&gt;0,Q364+1,0),0)</f>
        <v>0</v>
      </c>
      <c r="S364" s="208">
        <f>IF(S$2&lt;=AnalysisPeriod,IF(SUM($C752:S752)&gt;0,R364+1,0),0)</f>
        <v>0</v>
      </c>
      <c r="T364" s="208">
        <f>IF(T$2&lt;=AnalysisPeriod,IF(SUM($C752:T752)&gt;0,S364+1,0),0)</f>
        <v>0</v>
      </c>
      <c r="U364" s="208">
        <f>IF(U$2&lt;=AnalysisPeriod,IF(SUM($C752:U752)&gt;0,T364+1,0),0)</f>
        <v>0</v>
      </c>
      <c r="V364" s="208">
        <f>IF(V$2&lt;=AnalysisPeriod,IF(SUM($C752:V752)&gt;0,U364+1,0),0)</f>
        <v>0</v>
      </c>
      <c r="W364" s="208">
        <f>IF(W$2&lt;=AnalysisPeriod,IF(SUM($C752:W752)&gt;0,V364+1,0),0)</f>
        <v>0</v>
      </c>
      <c r="X364" s="208">
        <f>IF(X$2&lt;=AnalysisPeriod,IF(SUM($C752:X752)&gt;0,W364+1,0),0)</f>
        <v>0</v>
      </c>
      <c r="Y364" s="208">
        <f>IF(Y$2&lt;=AnalysisPeriod,IF(SUM($C752:Y752)&gt;0,X364+1,0),0)</f>
        <v>0</v>
      </c>
      <c r="Z364" s="208">
        <f>IF(Z$2&lt;=AnalysisPeriod,IF(SUM($C752:Z752)&gt;0,Y364+1,0),0)</f>
        <v>0</v>
      </c>
      <c r="AA364" s="208">
        <f>IF(AA$2&lt;=AnalysisPeriod,IF(SUM($C752:AA752)&gt;0,Z364+1,0),0)</f>
        <v>0</v>
      </c>
      <c r="AB364" s="208">
        <f>IF(AB$2&lt;=AnalysisPeriod,IF(SUM($C752:AB752)&gt;0,AA364+1,0),0)</f>
        <v>0</v>
      </c>
      <c r="AC364" s="208">
        <f>IF(AC$2&lt;=AnalysisPeriod,IF(SUM($C752:AC752)&gt;0,AB364+1,0),0)</f>
        <v>0</v>
      </c>
      <c r="AD364" s="208">
        <f>IF(AD$2&lt;=AnalysisPeriod,IF(SUM($C752:AD752)&gt;0,AC364+1,0),0)</f>
        <v>0</v>
      </c>
      <c r="AE364" s="208">
        <f>IF(AE$2&lt;=AnalysisPeriod,IF(SUM($C752:AE752)&gt;0,AD364+1,0),0)</f>
        <v>0</v>
      </c>
      <c r="AF364" s="208">
        <f>IF(AF$2&lt;=AnalysisPeriod,IF(SUM($C752:AF752)&gt;0,AE364+1,0),0)</f>
        <v>0</v>
      </c>
      <c r="AG364" s="208">
        <f>IF(AG$2&lt;=AnalysisPeriod,IF(SUM($C752:AG752)&gt;0,AF364+1,0),0)</f>
        <v>0</v>
      </c>
      <c r="AH364" s="208">
        <f>IF(AH$2&lt;=AnalysisPeriod,IF(SUM($C752:AH752)&gt;0,AG364+1,0),0)</f>
        <v>0</v>
      </c>
      <c r="AI364" s="208">
        <f>IF(AI$2&lt;=AnalysisPeriod,IF(SUM($C752:AI752)&gt;0,AH364+1,0),0)</f>
        <v>0</v>
      </c>
      <c r="AJ364" s="208">
        <f>IF(AJ$2&lt;=AnalysisPeriod,IF(SUM($C752:AJ752)&gt;0,AI364+1,0),0)</f>
        <v>0</v>
      </c>
      <c r="AK364" s="208">
        <f>IF(AK$2&lt;=AnalysisPeriod,IF(SUM($C752:AK752)&gt;0,AJ364+1,0),0)</f>
        <v>0</v>
      </c>
      <c r="AL364" s="208">
        <f>IF(AL$2&lt;=AnalysisPeriod,IF(SUM($C752:AL752)&gt;0,AK364+1,0),0)</f>
        <v>0</v>
      </c>
      <c r="AM364" s="208">
        <f>IF(AM$2&lt;=AnalysisPeriod,IF(SUM($C752:AM752)&gt;0,AL364+1,0),0)</f>
        <v>0</v>
      </c>
      <c r="AN364" s="208">
        <f>IF(AN$2&lt;=AnalysisPeriod,IF(SUM($C752:AN752)&gt;0,AM364+1,0),0)</f>
        <v>0</v>
      </c>
      <c r="AO364" s="208">
        <f>IF(AO$2&lt;=AnalysisPeriod,IF(SUM($C752:AO752)&gt;0,AN364+1,0),0)</f>
        <v>0</v>
      </c>
      <c r="AP364" s="208">
        <f>IF(AP$2&lt;=AnalysisPeriod,IF(SUM($C752:AP752)&gt;0,AO364+1,0),0)</f>
        <v>0</v>
      </c>
    </row>
    <row r="365" spans="1:42">
      <c r="A365" s="119">
        <f t="shared" si="895"/>
        <v>7</v>
      </c>
      <c r="C365" s="208">
        <f>IF(C$2&lt;=AnalysisPeriod,IF(SUM($C753:C753)&gt;0,B365+1,0),0)</f>
        <v>0</v>
      </c>
      <c r="D365" s="208">
        <f>IF(D$2&lt;=AnalysisPeriod,IF(SUM($C753:D753)&gt;0,C365+1,0),0)</f>
        <v>0</v>
      </c>
      <c r="E365" s="208">
        <f>IF(E$2&lt;=AnalysisPeriod,IF(SUM($C753:E753)&gt;0,D365+1,0),0)</f>
        <v>0</v>
      </c>
      <c r="F365" s="208">
        <f>IF(F$2&lt;=AnalysisPeriod,IF(SUM($C753:F753)&gt;0,E365+1,0),0)</f>
        <v>0</v>
      </c>
      <c r="G365" s="208">
        <f>IF(G$2&lt;=AnalysisPeriod,IF(SUM($C753:G753)&gt;0,F365+1,0),0)</f>
        <v>0</v>
      </c>
      <c r="H365" s="208">
        <f>IF(H$2&lt;=AnalysisPeriod,IF(SUM($C753:H753)&gt;0,G365+1,0),0)</f>
        <v>0</v>
      </c>
      <c r="I365" s="208">
        <f>IF(I$2&lt;=AnalysisPeriod,IF(SUM($C753:I753)&gt;0,H365+1,0),0)</f>
        <v>0</v>
      </c>
      <c r="J365" s="208">
        <f>IF(J$2&lt;=AnalysisPeriod,IF(SUM($C753:J753)&gt;0,I365+1,0),0)</f>
        <v>0</v>
      </c>
      <c r="K365" s="208">
        <f>IF(K$2&lt;=AnalysisPeriod,IF(SUM($C753:K753)&gt;0,J365+1,0),0)</f>
        <v>0</v>
      </c>
      <c r="L365" s="208">
        <f>IF(L$2&lt;=AnalysisPeriod,IF(SUM($C753:L753)&gt;0,K365+1,0),0)</f>
        <v>0</v>
      </c>
      <c r="M365" s="208">
        <f>IF(M$2&lt;=AnalysisPeriod,IF(SUM($C753:M753)&gt;0,L365+1,0),0)</f>
        <v>0</v>
      </c>
      <c r="N365" s="208">
        <f>IF(N$2&lt;=AnalysisPeriod,IF(SUM($C753:N753)&gt;0,M365+1,0),0)</f>
        <v>0</v>
      </c>
      <c r="O365" s="208">
        <f>IF(O$2&lt;=AnalysisPeriod,IF(SUM($C753:O753)&gt;0,N365+1,0),0)</f>
        <v>0</v>
      </c>
      <c r="P365" s="208">
        <f>IF(P$2&lt;=AnalysisPeriod,IF(SUM($C753:P753)&gt;0,O365+1,0),0)</f>
        <v>0</v>
      </c>
      <c r="Q365" s="208">
        <f>IF(Q$2&lt;=AnalysisPeriod,IF(SUM($C753:Q753)&gt;0,P365+1,0),0)</f>
        <v>0</v>
      </c>
      <c r="R365" s="208">
        <f>IF(R$2&lt;=AnalysisPeriod,IF(SUM($C753:R753)&gt;0,Q365+1,0),0)</f>
        <v>0</v>
      </c>
      <c r="S365" s="208">
        <f>IF(S$2&lt;=AnalysisPeriod,IF(SUM($C753:S753)&gt;0,R365+1,0),0)</f>
        <v>0</v>
      </c>
      <c r="T365" s="208">
        <f>IF(T$2&lt;=AnalysisPeriod,IF(SUM($C753:T753)&gt;0,S365+1,0),0)</f>
        <v>0</v>
      </c>
      <c r="U365" s="208">
        <f>IF(U$2&lt;=AnalysisPeriod,IF(SUM($C753:U753)&gt;0,T365+1,0),0)</f>
        <v>0</v>
      </c>
      <c r="V365" s="208">
        <f>IF(V$2&lt;=AnalysisPeriod,IF(SUM($C753:V753)&gt;0,U365+1,0),0)</f>
        <v>0</v>
      </c>
      <c r="W365" s="208">
        <f>IF(W$2&lt;=AnalysisPeriod,IF(SUM($C753:W753)&gt;0,V365+1,0),0)</f>
        <v>0</v>
      </c>
      <c r="X365" s="208">
        <f>IF(X$2&lt;=AnalysisPeriod,IF(SUM($C753:X753)&gt;0,W365+1,0),0)</f>
        <v>0</v>
      </c>
      <c r="Y365" s="208">
        <f>IF(Y$2&lt;=AnalysisPeriod,IF(SUM($C753:Y753)&gt;0,X365+1,0),0)</f>
        <v>0</v>
      </c>
      <c r="Z365" s="208">
        <f>IF(Z$2&lt;=AnalysisPeriod,IF(SUM($C753:Z753)&gt;0,Y365+1,0),0)</f>
        <v>0</v>
      </c>
      <c r="AA365" s="208">
        <f>IF(AA$2&lt;=AnalysisPeriod,IF(SUM($C753:AA753)&gt;0,Z365+1,0),0)</f>
        <v>0</v>
      </c>
      <c r="AB365" s="208">
        <f>IF(AB$2&lt;=AnalysisPeriod,IF(SUM($C753:AB753)&gt;0,AA365+1,0),0)</f>
        <v>0</v>
      </c>
      <c r="AC365" s="208">
        <f>IF(AC$2&lt;=AnalysisPeriod,IF(SUM($C753:AC753)&gt;0,AB365+1,0),0)</f>
        <v>0</v>
      </c>
      <c r="AD365" s="208">
        <f>IF(AD$2&lt;=AnalysisPeriod,IF(SUM($C753:AD753)&gt;0,AC365+1,0),0)</f>
        <v>0</v>
      </c>
      <c r="AE365" s="208">
        <f>IF(AE$2&lt;=AnalysisPeriod,IF(SUM($C753:AE753)&gt;0,AD365+1,0),0)</f>
        <v>0</v>
      </c>
      <c r="AF365" s="208">
        <f>IF(AF$2&lt;=AnalysisPeriod,IF(SUM($C753:AF753)&gt;0,AE365+1,0),0)</f>
        <v>0</v>
      </c>
      <c r="AG365" s="208">
        <f>IF(AG$2&lt;=AnalysisPeriod,IF(SUM($C753:AG753)&gt;0,AF365+1,0),0)</f>
        <v>0</v>
      </c>
      <c r="AH365" s="208">
        <f>IF(AH$2&lt;=AnalysisPeriod,IF(SUM($C753:AH753)&gt;0,AG365+1,0),0)</f>
        <v>0</v>
      </c>
      <c r="AI365" s="208">
        <f>IF(AI$2&lt;=AnalysisPeriod,IF(SUM($C753:AI753)&gt;0,AH365+1,0),0)</f>
        <v>0</v>
      </c>
      <c r="AJ365" s="208">
        <f>IF(AJ$2&lt;=AnalysisPeriod,IF(SUM($C753:AJ753)&gt;0,AI365+1,0),0)</f>
        <v>0</v>
      </c>
      <c r="AK365" s="208">
        <f>IF(AK$2&lt;=AnalysisPeriod,IF(SUM($C753:AK753)&gt;0,AJ365+1,0),0)</f>
        <v>0</v>
      </c>
      <c r="AL365" s="208">
        <f>IF(AL$2&lt;=AnalysisPeriod,IF(SUM($C753:AL753)&gt;0,AK365+1,0),0)</f>
        <v>0</v>
      </c>
      <c r="AM365" s="208">
        <f>IF(AM$2&lt;=AnalysisPeriod,IF(SUM($C753:AM753)&gt;0,AL365+1,0),0)</f>
        <v>0</v>
      </c>
      <c r="AN365" s="208">
        <f>IF(AN$2&lt;=AnalysisPeriod,IF(SUM($C753:AN753)&gt;0,AM365+1,0),0)</f>
        <v>0</v>
      </c>
      <c r="AO365" s="208">
        <f>IF(AO$2&lt;=AnalysisPeriod,IF(SUM($C753:AO753)&gt;0,AN365+1,0),0)</f>
        <v>0</v>
      </c>
      <c r="AP365" s="208">
        <f>IF(AP$2&lt;=AnalysisPeriod,IF(SUM($C753:AP753)&gt;0,AO365+1,0),0)</f>
        <v>0</v>
      </c>
    </row>
    <row r="366" spans="1:42">
      <c r="A366" s="119">
        <f t="shared" si="895"/>
        <v>8</v>
      </c>
      <c r="C366" s="208">
        <f>IF(C$2&lt;=AnalysisPeriod,IF(SUM($C754:C754)&gt;0,B366+1,0),0)</f>
        <v>0</v>
      </c>
      <c r="D366" s="208">
        <f>IF(D$2&lt;=AnalysisPeriod,IF(SUM($C754:D754)&gt;0,C366+1,0),0)</f>
        <v>0</v>
      </c>
      <c r="E366" s="208">
        <f>IF(E$2&lt;=AnalysisPeriod,IF(SUM($C754:E754)&gt;0,D366+1,0),0)</f>
        <v>0</v>
      </c>
      <c r="F366" s="208">
        <f>IF(F$2&lt;=AnalysisPeriod,IF(SUM($C754:F754)&gt;0,E366+1,0),0)</f>
        <v>0</v>
      </c>
      <c r="G366" s="208">
        <f>IF(G$2&lt;=AnalysisPeriod,IF(SUM($C754:G754)&gt;0,F366+1,0),0)</f>
        <v>0</v>
      </c>
      <c r="H366" s="208">
        <f>IF(H$2&lt;=AnalysisPeriod,IF(SUM($C754:H754)&gt;0,G366+1,0),0)</f>
        <v>0</v>
      </c>
      <c r="I366" s="208">
        <f>IF(I$2&lt;=AnalysisPeriod,IF(SUM($C754:I754)&gt;0,H366+1,0),0)</f>
        <v>0</v>
      </c>
      <c r="J366" s="208">
        <f>IF(J$2&lt;=AnalysisPeriod,IF(SUM($C754:J754)&gt;0,I366+1,0),0)</f>
        <v>0</v>
      </c>
      <c r="K366" s="208">
        <f>IF(K$2&lt;=AnalysisPeriod,IF(SUM($C754:K754)&gt;0,J366+1,0),0)</f>
        <v>0</v>
      </c>
      <c r="L366" s="208">
        <f>IF(L$2&lt;=AnalysisPeriod,IF(SUM($C754:L754)&gt;0,K366+1,0),0)</f>
        <v>0</v>
      </c>
      <c r="M366" s="208">
        <f>IF(M$2&lt;=AnalysisPeriod,IF(SUM($C754:M754)&gt;0,L366+1,0),0)</f>
        <v>0</v>
      </c>
      <c r="N366" s="208">
        <f>IF(N$2&lt;=AnalysisPeriod,IF(SUM($C754:N754)&gt;0,M366+1,0),0)</f>
        <v>0</v>
      </c>
      <c r="O366" s="208">
        <f>IF(O$2&lt;=AnalysisPeriod,IF(SUM($C754:O754)&gt;0,N366+1,0),0)</f>
        <v>0</v>
      </c>
      <c r="P366" s="208">
        <f>IF(P$2&lt;=AnalysisPeriod,IF(SUM($C754:P754)&gt;0,O366+1,0),0)</f>
        <v>0</v>
      </c>
      <c r="Q366" s="208">
        <f>IF(Q$2&lt;=AnalysisPeriod,IF(SUM($C754:Q754)&gt;0,P366+1,0),0)</f>
        <v>0</v>
      </c>
      <c r="R366" s="208">
        <f>IF(R$2&lt;=AnalysisPeriod,IF(SUM($C754:R754)&gt;0,Q366+1,0),0)</f>
        <v>0</v>
      </c>
      <c r="S366" s="208">
        <f>IF(S$2&lt;=AnalysisPeriod,IF(SUM($C754:S754)&gt;0,R366+1,0),0)</f>
        <v>0</v>
      </c>
      <c r="T366" s="208">
        <f>IF(T$2&lt;=AnalysisPeriod,IF(SUM($C754:T754)&gt;0,S366+1,0),0)</f>
        <v>0</v>
      </c>
      <c r="U366" s="208">
        <f>IF(U$2&lt;=AnalysisPeriod,IF(SUM($C754:U754)&gt;0,T366+1,0),0)</f>
        <v>0</v>
      </c>
      <c r="V366" s="208">
        <f>IF(V$2&lt;=AnalysisPeriod,IF(SUM($C754:V754)&gt;0,U366+1,0),0)</f>
        <v>0</v>
      </c>
      <c r="W366" s="208">
        <f>IF(W$2&lt;=AnalysisPeriod,IF(SUM($C754:W754)&gt;0,V366+1,0),0)</f>
        <v>0</v>
      </c>
      <c r="X366" s="208">
        <f>IF(X$2&lt;=AnalysisPeriod,IF(SUM($C754:X754)&gt;0,W366+1,0),0)</f>
        <v>0</v>
      </c>
      <c r="Y366" s="208">
        <f>IF(Y$2&lt;=AnalysisPeriod,IF(SUM($C754:Y754)&gt;0,X366+1,0),0)</f>
        <v>0</v>
      </c>
      <c r="Z366" s="208">
        <f>IF(Z$2&lt;=AnalysisPeriod,IF(SUM($C754:Z754)&gt;0,Y366+1,0),0)</f>
        <v>0</v>
      </c>
      <c r="AA366" s="208">
        <f>IF(AA$2&lt;=AnalysisPeriod,IF(SUM($C754:AA754)&gt;0,Z366+1,0),0)</f>
        <v>0</v>
      </c>
      <c r="AB366" s="208">
        <f>IF(AB$2&lt;=AnalysisPeriod,IF(SUM($C754:AB754)&gt;0,AA366+1,0),0)</f>
        <v>0</v>
      </c>
      <c r="AC366" s="208">
        <f>IF(AC$2&lt;=AnalysisPeriod,IF(SUM($C754:AC754)&gt;0,AB366+1,0),0)</f>
        <v>0</v>
      </c>
      <c r="AD366" s="208">
        <f>IF(AD$2&lt;=AnalysisPeriod,IF(SUM($C754:AD754)&gt;0,AC366+1,0),0)</f>
        <v>0</v>
      </c>
      <c r="AE366" s="208">
        <f>IF(AE$2&lt;=AnalysisPeriod,IF(SUM($C754:AE754)&gt;0,AD366+1,0),0)</f>
        <v>0</v>
      </c>
      <c r="AF366" s="208">
        <f>IF(AF$2&lt;=AnalysisPeriod,IF(SUM($C754:AF754)&gt;0,AE366+1,0),0)</f>
        <v>0</v>
      </c>
      <c r="AG366" s="208">
        <f>IF(AG$2&lt;=AnalysisPeriod,IF(SUM($C754:AG754)&gt;0,AF366+1,0),0)</f>
        <v>0</v>
      </c>
      <c r="AH366" s="208">
        <f>IF(AH$2&lt;=AnalysisPeriod,IF(SUM($C754:AH754)&gt;0,AG366+1,0),0)</f>
        <v>0</v>
      </c>
      <c r="AI366" s="208">
        <f>IF(AI$2&lt;=AnalysisPeriod,IF(SUM($C754:AI754)&gt;0,AH366+1,0),0)</f>
        <v>0</v>
      </c>
      <c r="AJ366" s="208">
        <f>IF(AJ$2&lt;=AnalysisPeriod,IF(SUM($C754:AJ754)&gt;0,AI366+1,0),0)</f>
        <v>0</v>
      </c>
      <c r="AK366" s="208">
        <f>IF(AK$2&lt;=AnalysisPeriod,IF(SUM($C754:AK754)&gt;0,AJ366+1,0),0)</f>
        <v>0</v>
      </c>
      <c r="AL366" s="208">
        <f>IF(AL$2&lt;=AnalysisPeriod,IF(SUM($C754:AL754)&gt;0,AK366+1,0),0)</f>
        <v>0</v>
      </c>
      <c r="AM366" s="208">
        <f>IF(AM$2&lt;=AnalysisPeriod,IF(SUM($C754:AM754)&gt;0,AL366+1,0),0)</f>
        <v>0</v>
      </c>
      <c r="AN366" s="208">
        <f>IF(AN$2&lt;=AnalysisPeriod,IF(SUM($C754:AN754)&gt;0,AM366+1,0),0)</f>
        <v>0</v>
      </c>
      <c r="AO366" s="208">
        <f>IF(AO$2&lt;=AnalysisPeriod,IF(SUM($C754:AO754)&gt;0,AN366+1,0),0)</f>
        <v>0</v>
      </c>
      <c r="AP366" s="208">
        <f>IF(AP$2&lt;=AnalysisPeriod,IF(SUM($C754:AP754)&gt;0,AO366+1,0),0)</f>
        <v>0</v>
      </c>
    </row>
    <row r="367" spans="1:42">
      <c r="A367" s="119">
        <f>A366+1</f>
        <v>9</v>
      </c>
      <c r="C367" s="208">
        <f>IF(C$2&lt;=AnalysisPeriod,IF(SUM($C755:C755)&gt;0,B367+1,0),0)</f>
        <v>0</v>
      </c>
      <c r="D367" s="208">
        <f>IF(D$2&lt;=AnalysisPeriod,IF(SUM($C755:D755)&gt;0,C367+1,0),0)</f>
        <v>0</v>
      </c>
      <c r="E367" s="208">
        <f>IF(E$2&lt;=AnalysisPeriod,IF(SUM($C755:E755)&gt;0,D367+1,0),0)</f>
        <v>0</v>
      </c>
      <c r="F367" s="208">
        <f>IF(F$2&lt;=AnalysisPeriod,IF(SUM($C755:F755)&gt;0,E367+1,0),0)</f>
        <v>0</v>
      </c>
      <c r="G367" s="208">
        <f>IF(G$2&lt;=AnalysisPeriod,IF(SUM($C755:G755)&gt;0,F367+1,0),0)</f>
        <v>0</v>
      </c>
      <c r="H367" s="208">
        <f>IF(H$2&lt;=AnalysisPeriod,IF(SUM($C755:H755)&gt;0,G367+1,0),0)</f>
        <v>0</v>
      </c>
      <c r="I367" s="208">
        <f>IF(I$2&lt;=AnalysisPeriod,IF(SUM($C755:I755)&gt;0,H367+1,0),0)</f>
        <v>0</v>
      </c>
      <c r="J367" s="208">
        <f>IF(J$2&lt;=AnalysisPeriod,IF(SUM($C755:J755)&gt;0,I367+1,0),0)</f>
        <v>0</v>
      </c>
      <c r="K367" s="208">
        <f>IF(K$2&lt;=AnalysisPeriod,IF(SUM($C755:K755)&gt;0,J367+1,0),0)</f>
        <v>0</v>
      </c>
      <c r="L367" s="208">
        <f>IF(L$2&lt;=AnalysisPeriod,IF(SUM($C755:L755)&gt;0,K367+1,0),0)</f>
        <v>0</v>
      </c>
      <c r="M367" s="208">
        <f>IF(M$2&lt;=AnalysisPeriod,IF(SUM($C755:M755)&gt;0,L367+1,0),0)</f>
        <v>0</v>
      </c>
      <c r="N367" s="208">
        <f>IF(N$2&lt;=AnalysisPeriod,IF(SUM($C755:N755)&gt;0,M367+1,0),0)</f>
        <v>0</v>
      </c>
      <c r="O367" s="208">
        <f>IF(O$2&lt;=AnalysisPeriod,IF(SUM($C755:O755)&gt;0,N367+1,0),0)</f>
        <v>0</v>
      </c>
      <c r="P367" s="208">
        <f>IF(P$2&lt;=AnalysisPeriod,IF(SUM($C755:P755)&gt;0,O367+1,0),0)</f>
        <v>0</v>
      </c>
      <c r="Q367" s="208">
        <f>IF(Q$2&lt;=AnalysisPeriod,IF(SUM($C755:Q755)&gt;0,P367+1,0),0)</f>
        <v>0</v>
      </c>
      <c r="R367" s="208">
        <f>IF(R$2&lt;=AnalysisPeriod,IF(SUM($C755:R755)&gt;0,Q367+1,0),0)</f>
        <v>0</v>
      </c>
      <c r="S367" s="208">
        <f>IF(S$2&lt;=AnalysisPeriod,IF(SUM($C755:S755)&gt;0,R367+1,0),0)</f>
        <v>0</v>
      </c>
      <c r="T367" s="208">
        <f>IF(T$2&lt;=AnalysisPeriod,IF(SUM($C755:T755)&gt;0,S367+1,0),0)</f>
        <v>0</v>
      </c>
      <c r="U367" s="208">
        <f>IF(U$2&lt;=AnalysisPeriod,IF(SUM($C755:U755)&gt;0,T367+1,0),0)</f>
        <v>0</v>
      </c>
      <c r="V367" s="208">
        <f>IF(V$2&lt;=AnalysisPeriod,IF(SUM($C755:V755)&gt;0,U367+1,0),0)</f>
        <v>0</v>
      </c>
      <c r="W367" s="208">
        <f>IF(W$2&lt;=AnalysisPeriod,IF(SUM($C755:W755)&gt;0,V367+1,0),0)</f>
        <v>0</v>
      </c>
      <c r="X367" s="208">
        <f>IF(X$2&lt;=AnalysisPeriod,IF(SUM($C755:X755)&gt;0,W367+1,0),0)</f>
        <v>0</v>
      </c>
      <c r="Y367" s="208">
        <f>IF(Y$2&lt;=AnalysisPeriod,IF(SUM($C755:Y755)&gt;0,X367+1,0),0)</f>
        <v>0</v>
      </c>
      <c r="Z367" s="208">
        <f>IF(Z$2&lt;=AnalysisPeriod,IF(SUM($C755:Z755)&gt;0,Y367+1,0),0)</f>
        <v>0</v>
      </c>
      <c r="AA367" s="208">
        <f>IF(AA$2&lt;=AnalysisPeriod,IF(SUM($C755:AA755)&gt;0,Z367+1,0),0)</f>
        <v>0</v>
      </c>
      <c r="AB367" s="208">
        <f>IF(AB$2&lt;=AnalysisPeriod,IF(SUM($C755:AB755)&gt;0,AA367+1,0),0)</f>
        <v>0</v>
      </c>
      <c r="AC367" s="208">
        <f>IF(AC$2&lt;=AnalysisPeriod,IF(SUM($C755:AC755)&gt;0,AB367+1,0),0)</f>
        <v>0</v>
      </c>
      <c r="AD367" s="208">
        <f>IF(AD$2&lt;=AnalysisPeriod,IF(SUM($C755:AD755)&gt;0,AC367+1,0),0)</f>
        <v>0</v>
      </c>
      <c r="AE367" s="208">
        <f>IF(AE$2&lt;=AnalysisPeriod,IF(SUM($C755:AE755)&gt;0,AD367+1,0),0)</f>
        <v>0</v>
      </c>
      <c r="AF367" s="208">
        <f>IF(AF$2&lt;=AnalysisPeriod,IF(SUM($C755:AF755)&gt;0,AE367+1,0),0)</f>
        <v>0</v>
      </c>
      <c r="AG367" s="208">
        <f>IF(AG$2&lt;=AnalysisPeriod,IF(SUM($C755:AG755)&gt;0,AF367+1,0),0)</f>
        <v>0</v>
      </c>
      <c r="AH367" s="208">
        <f>IF(AH$2&lt;=AnalysisPeriod,IF(SUM($C755:AH755)&gt;0,AG367+1,0),0)</f>
        <v>0</v>
      </c>
      <c r="AI367" s="208">
        <f>IF(AI$2&lt;=AnalysisPeriod,IF(SUM($C755:AI755)&gt;0,AH367+1,0),0)</f>
        <v>0</v>
      </c>
      <c r="AJ367" s="208">
        <f>IF(AJ$2&lt;=AnalysisPeriod,IF(SUM($C755:AJ755)&gt;0,AI367+1,0),0)</f>
        <v>0</v>
      </c>
      <c r="AK367" s="208">
        <f>IF(AK$2&lt;=AnalysisPeriod,IF(SUM($C755:AK755)&gt;0,AJ367+1,0),0)</f>
        <v>0</v>
      </c>
      <c r="AL367" s="208">
        <f>IF(AL$2&lt;=AnalysisPeriod,IF(SUM($C755:AL755)&gt;0,AK367+1,0),0)</f>
        <v>0</v>
      </c>
      <c r="AM367" s="208">
        <f>IF(AM$2&lt;=AnalysisPeriod,IF(SUM($C755:AM755)&gt;0,AL367+1,0),0)</f>
        <v>0</v>
      </c>
      <c r="AN367" s="208">
        <f>IF(AN$2&lt;=AnalysisPeriod,IF(SUM($C755:AN755)&gt;0,AM367+1,0),0)</f>
        <v>0</v>
      </c>
      <c r="AO367" s="208">
        <f>IF(AO$2&lt;=AnalysisPeriod,IF(SUM($C755:AO755)&gt;0,AN367+1,0),0)</f>
        <v>0</v>
      </c>
      <c r="AP367" s="208">
        <f>IF(AP$2&lt;=AnalysisPeriod,IF(SUM($C755:AP755)&gt;0,AO367+1,0),0)</f>
        <v>0</v>
      </c>
    </row>
    <row r="368" spans="1:42">
      <c r="A368" s="119">
        <f t="shared" si="895"/>
        <v>10</v>
      </c>
      <c r="C368" s="208">
        <f>IF(C$2&lt;=AnalysisPeriod,IF(SUM($C756:C756)&gt;0,B368+1,0),0)</f>
        <v>0</v>
      </c>
      <c r="D368" s="208">
        <f>IF(D$2&lt;=AnalysisPeriod,IF(SUM($C756:D756)&gt;0,C368+1,0),0)</f>
        <v>0</v>
      </c>
      <c r="E368" s="208">
        <f>IF(E$2&lt;=AnalysisPeriod,IF(SUM($C756:E756)&gt;0,D368+1,0),0)</f>
        <v>0</v>
      </c>
      <c r="F368" s="208">
        <f>IF(F$2&lt;=AnalysisPeriod,IF(SUM($C756:F756)&gt;0,E368+1,0),0)</f>
        <v>0</v>
      </c>
      <c r="G368" s="208">
        <f>IF(G$2&lt;=AnalysisPeriod,IF(SUM($C756:G756)&gt;0,F368+1,0),0)</f>
        <v>0</v>
      </c>
      <c r="H368" s="208">
        <f>IF(H$2&lt;=AnalysisPeriod,IF(SUM($C756:H756)&gt;0,G368+1,0),0)</f>
        <v>0</v>
      </c>
      <c r="I368" s="208">
        <f>IF(I$2&lt;=AnalysisPeriod,IF(SUM($C756:I756)&gt;0,H368+1,0),0)</f>
        <v>0</v>
      </c>
      <c r="J368" s="208">
        <f>IF(J$2&lt;=AnalysisPeriod,IF(SUM($C756:J756)&gt;0,I368+1,0),0)</f>
        <v>0</v>
      </c>
      <c r="K368" s="208">
        <f>IF(K$2&lt;=AnalysisPeriod,IF(SUM($C756:K756)&gt;0,J368+1,0),0)</f>
        <v>0</v>
      </c>
      <c r="L368" s="208">
        <f>IF(L$2&lt;=AnalysisPeriod,IF(SUM($C756:L756)&gt;0,K368+1,0),0)</f>
        <v>0</v>
      </c>
      <c r="M368" s="208">
        <f>IF(M$2&lt;=AnalysisPeriod,IF(SUM($C756:M756)&gt;0,L368+1,0),0)</f>
        <v>0</v>
      </c>
      <c r="N368" s="208">
        <f>IF(N$2&lt;=AnalysisPeriod,IF(SUM($C756:N756)&gt;0,M368+1,0),0)</f>
        <v>0</v>
      </c>
      <c r="O368" s="208">
        <f>IF(O$2&lt;=AnalysisPeriod,IF(SUM($C756:O756)&gt;0,N368+1,0),0)</f>
        <v>0</v>
      </c>
      <c r="P368" s="208">
        <f>IF(P$2&lt;=AnalysisPeriod,IF(SUM($C756:P756)&gt;0,O368+1,0),0)</f>
        <v>0</v>
      </c>
      <c r="Q368" s="208">
        <f>IF(Q$2&lt;=AnalysisPeriod,IF(SUM($C756:Q756)&gt;0,P368+1,0),0)</f>
        <v>0</v>
      </c>
      <c r="R368" s="208">
        <f>IF(R$2&lt;=AnalysisPeriod,IF(SUM($C756:R756)&gt;0,Q368+1,0),0)</f>
        <v>0</v>
      </c>
      <c r="S368" s="208">
        <f>IF(S$2&lt;=AnalysisPeriod,IF(SUM($C756:S756)&gt;0,R368+1,0),0)</f>
        <v>0</v>
      </c>
      <c r="T368" s="208">
        <f>IF(T$2&lt;=AnalysisPeriod,IF(SUM($C756:T756)&gt;0,S368+1,0),0)</f>
        <v>0</v>
      </c>
      <c r="U368" s="208">
        <f>IF(U$2&lt;=AnalysisPeriod,IF(SUM($C756:U756)&gt;0,T368+1,0),0)</f>
        <v>0</v>
      </c>
      <c r="V368" s="208">
        <f>IF(V$2&lt;=AnalysisPeriod,IF(SUM($C756:V756)&gt;0,U368+1,0),0)</f>
        <v>0</v>
      </c>
      <c r="W368" s="208">
        <f>IF(W$2&lt;=AnalysisPeriod,IF(SUM($C756:W756)&gt;0,V368+1,0),0)</f>
        <v>0</v>
      </c>
      <c r="X368" s="208">
        <f>IF(X$2&lt;=AnalysisPeriod,IF(SUM($C756:X756)&gt;0,W368+1,0),0)</f>
        <v>0</v>
      </c>
      <c r="Y368" s="208">
        <f>IF(Y$2&lt;=AnalysisPeriod,IF(SUM($C756:Y756)&gt;0,X368+1,0),0)</f>
        <v>0</v>
      </c>
      <c r="Z368" s="208">
        <f>IF(Z$2&lt;=AnalysisPeriod,IF(SUM($C756:Z756)&gt;0,Y368+1,0),0)</f>
        <v>0</v>
      </c>
      <c r="AA368" s="208">
        <f>IF(AA$2&lt;=AnalysisPeriod,IF(SUM($C756:AA756)&gt;0,Z368+1,0),0)</f>
        <v>0</v>
      </c>
      <c r="AB368" s="208">
        <f>IF(AB$2&lt;=AnalysisPeriod,IF(SUM($C756:AB756)&gt;0,AA368+1,0),0)</f>
        <v>0</v>
      </c>
      <c r="AC368" s="208">
        <f>IF(AC$2&lt;=AnalysisPeriod,IF(SUM($C756:AC756)&gt;0,AB368+1,0),0)</f>
        <v>0</v>
      </c>
      <c r="AD368" s="208">
        <f>IF(AD$2&lt;=AnalysisPeriod,IF(SUM($C756:AD756)&gt;0,AC368+1,0),0)</f>
        <v>0</v>
      </c>
      <c r="AE368" s="208">
        <f>IF(AE$2&lt;=AnalysisPeriod,IF(SUM($C756:AE756)&gt;0,AD368+1,0),0)</f>
        <v>0</v>
      </c>
      <c r="AF368" s="208">
        <f>IF(AF$2&lt;=AnalysisPeriod,IF(SUM($C756:AF756)&gt;0,AE368+1,0),0)</f>
        <v>0</v>
      </c>
      <c r="AG368" s="208">
        <f>IF(AG$2&lt;=AnalysisPeriod,IF(SUM($C756:AG756)&gt;0,AF368+1,0),0)</f>
        <v>0</v>
      </c>
      <c r="AH368" s="208">
        <f>IF(AH$2&lt;=AnalysisPeriod,IF(SUM($C756:AH756)&gt;0,AG368+1,0),0)</f>
        <v>0</v>
      </c>
      <c r="AI368" s="208">
        <f>IF(AI$2&lt;=AnalysisPeriod,IF(SUM($C756:AI756)&gt;0,AH368+1,0),0)</f>
        <v>0</v>
      </c>
      <c r="AJ368" s="208">
        <f>IF(AJ$2&lt;=AnalysisPeriod,IF(SUM($C756:AJ756)&gt;0,AI368+1,0),0)</f>
        <v>0</v>
      </c>
      <c r="AK368" s="208">
        <f>IF(AK$2&lt;=AnalysisPeriod,IF(SUM($C756:AK756)&gt;0,AJ368+1,0),0)</f>
        <v>0</v>
      </c>
      <c r="AL368" s="208">
        <f>IF(AL$2&lt;=AnalysisPeriod,IF(SUM($C756:AL756)&gt;0,AK368+1,0),0)</f>
        <v>0</v>
      </c>
      <c r="AM368" s="208">
        <f>IF(AM$2&lt;=AnalysisPeriod,IF(SUM($C756:AM756)&gt;0,AL368+1,0),0)</f>
        <v>0</v>
      </c>
      <c r="AN368" s="208">
        <f>IF(AN$2&lt;=AnalysisPeriod,IF(SUM($C756:AN756)&gt;0,AM368+1,0),0)</f>
        <v>0</v>
      </c>
      <c r="AO368" s="208">
        <f>IF(AO$2&lt;=AnalysisPeriod,IF(SUM($C756:AO756)&gt;0,AN368+1,0),0)</f>
        <v>0</v>
      </c>
      <c r="AP368" s="208">
        <f>IF(AP$2&lt;=AnalysisPeriod,IF(SUM($C756:AP756)&gt;0,AO368+1,0),0)</f>
        <v>0</v>
      </c>
    </row>
    <row r="369" spans="1:42">
      <c r="A369" s="226"/>
      <c r="C369" s="208"/>
      <c r="D369" s="208"/>
      <c r="E369" s="208"/>
      <c r="F369" s="208"/>
      <c r="G369" s="208"/>
      <c r="H369" s="208"/>
      <c r="I369" s="208"/>
      <c r="J369" s="208"/>
      <c r="K369" s="208"/>
      <c r="L369" s="208"/>
      <c r="M369" s="208"/>
      <c r="N369" s="208"/>
      <c r="O369" s="208"/>
      <c r="P369" s="208"/>
      <c r="Q369" s="208"/>
      <c r="R369" s="208"/>
      <c r="S369" s="208"/>
      <c r="T369" s="208"/>
      <c r="U369" s="208"/>
      <c r="V369" s="208"/>
      <c r="W369" s="208"/>
      <c r="X369" s="208"/>
      <c r="Y369" s="208"/>
      <c r="Z369" s="208"/>
      <c r="AA369" s="208"/>
      <c r="AB369" s="208"/>
      <c r="AC369" s="208"/>
      <c r="AD369" s="208"/>
      <c r="AE369" s="208"/>
      <c r="AF369" s="208"/>
      <c r="AG369" s="208"/>
      <c r="AH369" s="208"/>
      <c r="AI369" s="208"/>
      <c r="AJ369" s="208"/>
      <c r="AK369" s="208"/>
      <c r="AL369" s="208"/>
      <c r="AM369" s="208"/>
      <c r="AN369" s="208"/>
      <c r="AO369" s="208"/>
      <c r="AP369" s="208"/>
    </row>
    <row r="370" spans="1:42">
      <c r="A370" s="226" t="s">
        <v>221</v>
      </c>
      <c r="C370" s="208"/>
      <c r="D370" s="208"/>
      <c r="E370" s="208"/>
      <c r="F370" s="208"/>
      <c r="G370" s="208"/>
      <c r="H370" s="208"/>
      <c r="I370" s="208"/>
      <c r="J370" s="208"/>
      <c r="K370" s="208"/>
      <c r="L370" s="208"/>
      <c r="M370" s="208"/>
      <c r="N370" s="208"/>
      <c r="O370" s="208"/>
      <c r="P370" s="208"/>
      <c r="Q370" s="208"/>
      <c r="R370" s="208"/>
      <c r="S370" s="208"/>
      <c r="T370" s="208"/>
      <c r="U370" s="208"/>
      <c r="V370" s="208"/>
      <c r="W370" s="208"/>
      <c r="X370" s="208"/>
      <c r="Y370" s="208"/>
      <c r="Z370" s="208"/>
      <c r="AA370" s="208"/>
      <c r="AB370" s="208"/>
      <c r="AC370" s="208"/>
      <c r="AD370" s="208"/>
      <c r="AE370" s="208"/>
      <c r="AF370" s="208"/>
      <c r="AG370" s="208"/>
      <c r="AH370" s="208"/>
      <c r="AI370" s="208"/>
      <c r="AJ370" s="208"/>
      <c r="AK370" s="208"/>
      <c r="AL370" s="208"/>
      <c r="AM370" s="208"/>
      <c r="AN370" s="208"/>
      <c r="AO370" s="208"/>
      <c r="AP370" s="208"/>
    </row>
    <row r="371" spans="1:42">
      <c r="A371" s="119">
        <v>1</v>
      </c>
      <c r="B371" s="218">
        <f t="shared" ref="B371:B380" si="896">SUM(C371:AP371)</f>
        <v>6158778.6534697898</v>
      </c>
      <c r="C371" s="250">
        <f t="shared" ref="C371:AP371" si="897">LOOKUP(C359,$B$329:$AP$329,$B$330:$AP$330)*$B747</f>
        <v>0</v>
      </c>
      <c r="D371" s="208">
        <f t="shared" si="897"/>
        <v>0</v>
      </c>
      <c r="E371" s="208">
        <f t="shared" si="897"/>
        <v>0</v>
      </c>
      <c r="F371" s="208">
        <f t="shared" si="897"/>
        <v>0</v>
      </c>
      <c r="G371" s="208">
        <f t="shared" si="897"/>
        <v>0</v>
      </c>
      <c r="H371" s="208">
        <f t="shared" si="897"/>
        <v>0</v>
      </c>
      <c r="I371" s="208">
        <f t="shared" si="897"/>
        <v>0</v>
      </c>
      <c r="J371" s="208">
        <f t="shared" si="897"/>
        <v>0</v>
      </c>
      <c r="K371" s="208">
        <f t="shared" si="897"/>
        <v>0</v>
      </c>
      <c r="L371" s="208">
        <f t="shared" si="897"/>
        <v>0</v>
      </c>
      <c r="M371" s="208">
        <f t="shared" si="897"/>
        <v>0</v>
      </c>
      <c r="N371" s="208">
        <f t="shared" si="897"/>
        <v>0</v>
      </c>
      <c r="O371" s="208">
        <f t="shared" si="897"/>
        <v>0</v>
      </c>
      <c r="P371" s="208">
        <f t="shared" si="897"/>
        <v>0</v>
      </c>
      <c r="Q371" s="208">
        <f t="shared" si="897"/>
        <v>1231755.7306939578</v>
      </c>
      <c r="R371" s="208">
        <f t="shared" si="897"/>
        <v>1970809.1691103324</v>
      </c>
      <c r="S371" s="208">
        <f t="shared" si="897"/>
        <v>1182485.5014661995</v>
      </c>
      <c r="T371" s="208">
        <f t="shared" si="897"/>
        <v>709491.30087971967</v>
      </c>
      <c r="U371" s="208">
        <f t="shared" si="897"/>
        <v>709491.30087971967</v>
      </c>
      <c r="V371" s="208">
        <f t="shared" si="897"/>
        <v>354745.65043985983</v>
      </c>
      <c r="W371" s="208">
        <f t="shared" si="897"/>
        <v>0</v>
      </c>
      <c r="X371" s="208">
        <f t="shared" si="897"/>
        <v>0</v>
      </c>
      <c r="Y371" s="208">
        <f t="shared" si="897"/>
        <v>0</v>
      </c>
      <c r="Z371" s="208">
        <f t="shared" si="897"/>
        <v>0</v>
      </c>
      <c r="AA371" s="208">
        <f t="shared" si="897"/>
        <v>0</v>
      </c>
      <c r="AB371" s="208">
        <f t="shared" si="897"/>
        <v>0</v>
      </c>
      <c r="AC371" s="208">
        <f t="shared" si="897"/>
        <v>0</v>
      </c>
      <c r="AD371" s="208">
        <f t="shared" si="897"/>
        <v>0</v>
      </c>
      <c r="AE371" s="208">
        <f t="shared" si="897"/>
        <v>0</v>
      </c>
      <c r="AF371" s="208">
        <f t="shared" si="897"/>
        <v>0</v>
      </c>
      <c r="AG371" s="208">
        <f t="shared" si="897"/>
        <v>0</v>
      </c>
      <c r="AH371" s="208">
        <f t="shared" si="897"/>
        <v>0</v>
      </c>
      <c r="AI371" s="208">
        <f t="shared" si="897"/>
        <v>0</v>
      </c>
      <c r="AJ371" s="208">
        <f t="shared" si="897"/>
        <v>0</v>
      </c>
      <c r="AK371" s="208">
        <f t="shared" si="897"/>
        <v>0</v>
      </c>
      <c r="AL371" s="208">
        <f t="shared" si="897"/>
        <v>0</v>
      </c>
      <c r="AM371" s="208">
        <f t="shared" si="897"/>
        <v>0</v>
      </c>
      <c r="AN371" s="208">
        <f t="shared" si="897"/>
        <v>0</v>
      </c>
      <c r="AO371" s="208">
        <f t="shared" si="897"/>
        <v>0</v>
      </c>
      <c r="AP371" s="208">
        <f t="shared" si="897"/>
        <v>0</v>
      </c>
    </row>
    <row r="372" spans="1:42">
      <c r="A372" s="119">
        <f>A371+1</f>
        <v>2</v>
      </c>
      <c r="B372" s="218">
        <f t="shared" si="896"/>
        <v>1539980.512798867</v>
      </c>
      <c r="C372" s="250">
        <f t="shared" ref="C372:AP372" si="898">LOOKUP(C360,$B$329:$AP$329,$B$330:$AP$330)*$B748</f>
        <v>0</v>
      </c>
      <c r="D372" s="208">
        <f t="shared" si="898"/>
        <v>0</v>
      </c>
      <c r="E372" s="208">
        <f t="shared" si="898"/>
        <v>0</v>
      </c>
      <c r="F372" s="208">
        <f t="shared" si="898"/>
        <v>0</v>
      </c>
      <c r="G372" s="208">
        <f t="shared" si="898"/>
        <v>0</v>
      </c>
      <c r="H372" s="208">
        <f t="shared" si="898"/>
        <v>0</v>
      </c>
      <c r="I372" s="208">
        <f t="shared" si="898"/>
        <v>0</v>
      </c>
      <c r="J372" s="208">
        <f t="shared" si="898"/>
        <v>0</v>
      </c>
      <c r="K372" s="208">
        <f t="shared" si="898"/>
        <v>0</v>
      </c>
      <c r="L372" s="208">
        <f t="shared" si="898"/>
        <v>0</v>
      </c>
      <c r="M372" s="208">
        <f t="shared" si="898"/>
        <v>0</v>
      </c>
      <c r="N372" s="208">
        <f t="shared" si="898"/>
        <v>0</v>
      </c>
      <c r="O372" s="208">
        <f t="shared" si="898"/>
        <v>0</v>
      </c>
      <c r="P372" s="208">
        <f t="shared" si="898"/>
        <v>0</v>
      </c>
      <c r="Q372" s="208">
        <f t="shared" si="898"/>
        <v>0</v>
      </c>
      <c r="R372" s="208">
        <f t="shared" si="898"/>
        <v>0</v>
      </c>
      <c r="S372" s="208">
        <f t="shared" si="898"/>
        <v>0</v>
      </c>
      <c r="T372" s="208">
        <f t="shared" si="898"/>
        <v>0</v>
      </c>
      <c r="U372" s="208">
        <f t="shared" si="898"/>
        <v>0</v>
      </c>
      <c r="V372" s="208">
        <f t="shared" si="898"/>
        <v>0</v>
      </c>
      <c r="W372" s="208">
        <f t="shared" si="898"/>
        <v>0</v>
      </c>
      <c r="X372" s="208">
        <f t="shared" si="898"/>
        <v>0</v>
      </c>
      <c r="Y372" s="208">
        <f t="shared" si="898"/>
        <v>0</v>
      </c>
      <c r="Z372" s="208">
        <f t="shared" si="898"/>
        <v>0</v>
      </c>
      <c r="AA372" s="208">
        <f t="shared" si="898"/>
        <v>0</v>
      </c>
      <c r="AB372" s="208">
        <f t="shared" si="898"/>
        <v>0</v>
      </c>
      <c r="AC372" s="208">
        <f t="shared" si="898"/>
        <v>0</v>
      </c>
      <c r="AD372" s="208">
        <f t="shared" si="898"/>
        <v>0</v>
      </c>
      <c r="AE372" s="208">
        <f t="shared" si="898"/>
        <v>0</v>
      </c>
      <c r="AF372" s="208">
        <f t="shared" si="898"/>
        <v>1539980.512798867</v>
      </c>
      <c r="AG372" s="208">
        <f t="shared" si="898"/>
        <v>0</v>
      </c>
      <c r="AH372" s="208">
        <f t="shared" si="898"/>
        <v>0</v>
      </c>
      <c r="AI372" s="208">
        <f t="shared" si="898"/>
        <v>0</v>
      </c>
      <c r="AJ372" s="208">
        <f t="shared" si="898"/>
        <v>0</v>
      </c>
      <c r="AK372" s="208">
        <f t="shared" si="898"/>
        <v>0</v>
      </c>
      <c r="AL372" s="208">
        <f t="shared" si="898"/>
        <v>0</v>
      </c>
      <c r="AM372" s="208">
        <f t="shared" si="898"/>
        <v>0</v>
      </c>
      <c r="AN372" s="208">
        <f t="shared" si="898"/>
        <v>0</v>
      </c>
      <c r="AO372" s="208">
        <f t="shared" si="898"/>
        <v>0</v>
      </c>
      <c r="AP372" s="208">
        <f t="shared" si="898"/>
        <v>0</v>
      </c>
    </row>
    <row r="373" spans="1:42">
      <c r="A373" s="119">
        <f t="shared" ref="A373:A380" si="899">A372+1</f>
        <v>3</v>
      </c>
      <c r="B373" s="218">
        <f t="shared" si="896"/>
        <v>0</v>
      </c>
      <c r="C373" s="250">
        <f t="shared" ref="C373:AP373" si="900">LOOKUP(C361,$B$329:$AP$329,$B$330:$AP$330)*$B749</f>
        <v>0</v>
      </c>
      <c r="D373" s="208">
        <f t="shared" si="900"/>
        <v>0</v>
      </c>
      <c r="E373" s="208">
        <f t="shared" si="900"/>
        <v>0</v>
      </c>
      <c r="F373" s="208">
        <f t="shared" si="900"/>
        <v>0</v>
      </c>
      <c r="G373" s="208">
        <f t="shared" si="900"/>
        <v>0</v>
      </c>
      <c r="H373" s="208">
        <f t="shared" si="900"/>
        <v>0</v>
      </c>
      <c r="I373" s="208">
        <f t="shared" si="900"/>
        <v>0</v>
      </c>
      <c r="J373" s="208">
        <f t="shared" si="900"/>
        <v>0</v>
      </c>
      <c r="K373" s="208">
        <f t="shared" si="900"/>
        <v>0</v>
      </c>
      <c r="L373" s="208">
        <f t="shared" si="900"/>
        <v>0</v>
      </c>
      <c r="M373" s="208">
        <f t="shared" si="900"/>
        <v>0</v>
      </c>
      <c r="N373" s="208">
        <f t="shared" si="900"/>
        <v>0</v>
      </c>
      <c r="O373" s="208">
        <f t="shared" si="900"/>
        <v>0</v>
      </c>
      <c r="P373" s="208">
        <f t="shared" si="900"/>
        <v>0</v>
      </c>
      <c r="Q373" s="208">
        <f t="shared" si="900"/>
        <v>0</v>
      </c>
      <c r="R373" s="208">
        <f t="shared" si="900"/>
        <v>0</v>
      </c>
      <c r="S373" s="208">
        <f t="shared" si="900"/>
        <v>0</v>
      </c>
      <c r="T373" s="208">
        <f t="shared" si="900"/>
        <v>0</v>
      </c>
      <c r="U373" s="208">
        <f t="shared" si="900"/>
        <v>0</v>
      </c>
      <c r="V373" s="208">
        <f t="shared" si="900"/>
        <v>0</v>
      </c>
      <c r="W373" s="208">
        <f t="shared" si="900"/>
        <v>0</v>
      </c>
      <c r="X373" s="208">
        <f t="shared" si="900"/>
        <v>0</v>
      </c>
      <c r="Y373" s="208">
        <f t="shared" si="900"/>
        <v>0</v>
      </c>
      <c r="Z373" s="208">
        <f t="shared" si="900"/>
        <v>0</v>
      </c>
      <c r="AA373" s="208">
        <f t="shared" si="900"/>
        <v>0</v>
      </c>
      <c r="AB373" s="208">
        <f t="shared" si="900"/>
        <v>0</v>
      </c>
      <c r="AC373" s="208">
        <f t="shared" si="900"/>
        <v>0</v>
      </c>
      <c r="AD373" s="208">
        <f t="shared" si="900"/>
        <v>0</v>
      </c>
      <c r="AE373" s="208">
        <f t="shared" si="900"/>
        <v>0</v>
      </c>
      <c r="AF373" s="208">
        <f t="shared" si="900"/>
        <v>0</v>
      </c>
      <c r="AG373" s="208">
        <f t="shared" si="900"/>
        <v>0</v>
      </c>
      <c r="AH373" s="208">
        <f t="shared" si="900"/>
        <v>0</v>
      </c>
      <c r="AI373" s="208">
        <f t="shared" si="900"/>
        <v>0</v>
      </c>
      <c r="AJ373" s="208">
        <f t="shared" si="900"/>
        <v>0</v>
      </c>
      <c r="AK373" s="208">
        <f t="shared" si="900"/>
        <v>0</v>
      </c>
      <c r="AL373" s="208">
        <f t="shared" si="900"/>
        <v>0</v>
      </c>
      <c r="AM373" s="208">
        <f t="shared" si="900"/>
        <v>0</v>
      </c>
      <c r="AN373" s="208">
        <f t="shared" si="900"/>
        <v>0</v>
      </c>
      <c r="AO373" s="208">
        <f t="shared" si="900"/>
        <v>0</v>
      </c>
      <c r="AP373" s="208">
        <f t="shared" si="900"/>
        <v>0</v>
      </c>
    </row>
    <row r="374" spans="1:42">
      <c r="A374" s="119">
        <f t="shared" si="899"/>
        <v>4</v>
      </c>
      <c r="B374" s="218">
        <f t="shared" si="896"/>
        <v>0</v>
      </c>
      <c r="C374" s="250">
        <f t="shared" ref="C374:AP374" si="901">LOOKUP(C362,$B$329:$AP$329,$B$330:$AP$330)*$B750</f>
        <v>0</v>
      </c>
      <c r="D374" s="208">
        <f t="shared" si="901"/>
        <v>0</v>
      </c>
      <c r="E374" s="208">
        <f t="shared" si="901"/>
        <v>0</v>
      </c>
      <c r="F374" s="208">
        <f t="shared" si="901"/>
        <v>0</v>
      </c>
      <c r="G374" s="208">
        <f t="shared" si="901"/>
        <v>0</v>
      </c>
      <c r="H374" s="208">
        <f t="shared" si="901"/>
        <v>0</v>
      </c>
      <c r="I374" s="208">
        <f t="shared" si="901"/>
        <v>0</v>
      </c>
      <c r="J374" s="208">
        <f t="shared" si="901"/>
        <v>0</v>
      </c>
      <c r="K374" s="208">
        <f t="shared" si="901"/>
        <v>0</v>
      </c>
      <c r="L374" s="208">
        <f t="shared" si="901"/>
        <v>0</v>
      </c>
      <c r="M374" s="208">
        <f t="shared" si="901"/>
        <v>0</v>
      </c>
      <c r="N374" s="208">
        <f t="shared" si="901"/>
        <v>0</v>
      </c>
      <c r="O374" s="208">
        <f t="shared" si="901"/>
        <v>0</v>
      </c>
      <c r="P374" s="208">
        <f t="shared" si="901"/>
        <v>0</v>
      </c>
      <c r="Q374" s="208">
        <f t="shared" si="901"/>
        <v>0</v>
      </c>
      <c r="R374" s="208">
        <f t="shared" si="901"/>
        <v>0</v>
      </c>
      <c r="S374" s="208">
        <f t="shared" si="901"/>
        <v>0</v>
      </c>
      <c r="T374" s="208">
        <f t="shared" si="901"/>
        <v>0</v>
      </c>
      <c r="U374" s="208">
        <f t="shared" si="901"/>
        <v>0</v>
      </c>
      <c r="V374" s="208">
        <f t="shared" si="901"/>
        <v>0</v>
      </c>
      <c r="W374" s="208">
        <f t="shared" si="901"/>
        <v>0</v>
      </c>
      <c r="X374" s="208">
        <f t="shared" si="901"/>
        <v>0</v>
      </c>
      <c r="Y374" s="208">
        <f t="shared" si="901"/>
        <v>0</v>
      </c>
      <c r="Z374" s="208">
        <f t="shared" si="901"/>
        <v>0</v>
      </c>
      <c r="AA374" s="208">
        <f t="shared" si="901"/>
        <v>0</v>
      </c>
      <c r="AB374" s="208">
        <f t="shared" si="901"/>
        <v>0</v>
      </c>
      <c r="AC374" s="208">
        <f t="shared" si="901"/>
        <v>0</v>
      </c>
      <c r="AD374" s="208">
        <f t="shared" si="901"/>
        <v>0</v>
      </c>
      <c r="AE374" s="208">
        <f t="shared" si="901"/>
        <v>0</v>
      </c>
      <c r="AF374" s="208">
        <f t="shared" si="901"/>
        <v>0</v>
      </c>
      <c r="AG374" s="208">
        <f t="shared" si="901"/>
        <v>0</v>
      </c>
      <c r="AH374" s="208">
        <f t="shared" si="901"/>
        <v>0</v>
      </c>
      <c r="AI374" s="208">
        <f t="shared" si="901"/>
        <v>0</v>
      </c>
      <c r="AJ374" s="208">
        <f t="shared" si="901"/>
        <v>0</v>
      </c>
      <c r="AK374" s="208">
        <f t="shared" si="901"/>
        <v>0</v>
      </c>
      <c r="AL374" s="208">
        <f t="shared" si="901"/>
        <v>0</v>
      </c>
      <c r="AM374" s="208">
        <f t="shared" si="901"/>
        <v>0</v>
      </c>
      <c r="AN374" s="208">
        <f t="shared" si="901"/>
        <v>0</v>
      </c>
      <c r="AO374" s="208">
        <f t="shared" si="901"/>
        <v>0</v>
      </c>
      <c r="AP374" s="208">
        <f t="shared" si="901"/>
        <v>0</v>
      </c>
    </row>
    <row r="375" spans="1:42">
      <c r="A375" s="119">
        <f t="shared" si="899"/>
        <v>5</v>
      </c>
      <c r="B375" s="218">
        <f t="shared" si="896"/>
        <v>0</v>
      </c>
      <c r="C375" s="250">
        <f t="shared" ref="C375:AP375" si="902">LOOKUP(C363,$B$329:$AP$329,$B$330:$AP$330)*$B751</f>
        <v>0</v>
      </c>
      <c r="D375" s="208">
        <f t="shared" si="902"/>
        <v>0</v>
      </c>
      <c r="E375" s="208">
        <f t="shared" si="902"/>
        <v>0</v>
      </c>
      <c r="F375" s="208">
        <f t="shared" si="902"/>
        <v>0</v>
      </c>
      <c r="G375" s="208">
        <f t="shared" si="902"/>
        <v>0</v>
      </c>
      <c r="H375" s="208">
        <f t="shared" si="902"/>
        <v>0</v>
      </c>
      <c r="I375" s="208">
        <f t="shared" si="902"/>
        <v>0</v>
      </c>
      <c r="J375" s="208">
        <f t="shared" si="902"/>
        <v>0</v>
      </c>
      <c r="K375" s="208">
        <f t="shared" si="902"/>
        <v>0</v>
      </c>
      <c r="L375" s="208">
        <f t="shared" si="902"/>
        <v>0</v>
      </c>
      <c r="M375" s="208">
        <f t="shared" si="902"/>
        <v>0</v>
      </c>
      <c r="N375" s="208">
        <f t="shared" si="902"/>
        <v>0</v>
      </c>
      <c r="O375" s="208">
        <f t="shared" si="902"/>
        <v>0</v>
      </c>
      <c r="P375" s="208">
        <f t="shared" si="902"/>
        <v>0</v>
      </c>
      <c r="Q375" s="208">
        <f t="shared" si="902"/>
        <v>0</v>
      </c>
      <c r="R375" s="208">
        <f t="shared" si="902"/>
        <v>0</v>
      </c>
      <c r="S375" s="208">
        <f t="shared" si="902"/>
        <v>0</v>
      </c>
      <c r="T375" s="208">
        <f t="shared" si="902"/>
        <v>0</v>
      </c>
      <c r="U375" s="208">
        <f t="shared" si="902"/>
        <v>0</v>
      </c>
      <c r="V375" s="208">
        <f t="shared" si="902"/>
        <v>0</v>
      </c>
      <c r="W375" s="208">
        <f t="shared" si="902"/>
        <v>0</v>
      </c>
      <c r="X375" s="208">
        <f t="shared" si="902"/>
        <v>0</v>
      </c>
      <c r="Y375" s="208">
        <f t="shared" si="902"/>
        <v>0</v>
      </c>
      <c r="Z375" s="208">
        <f t="shared" si="902"/>
        <v>0</v>
      </c>
      <c r="AA375" s="208">
        <f t="shared" si="902"/>
        <v>0</v>
      </c>
      <c r="AB375" s="208">
        <f t="shared" si="902"/>
        <v>0</v>
      </c>
      <c r="AC375" s="208">
        <f t="shared" si="902"/>
        <v>0</v>
      </c>
      <c r="AD375" s="208">
        <f t="shared" si="902"/>
        <v>0</v>
      </c>
      <c r="AE375" s="208">
        <f t="shared" si="902"/>
        <v>0</v>
      </c>
      <c r="AF375" s="208">
        <f t="shared" si="902"/>
        <v>0</v>
      </c>
      <c r="AG375" s="208">
        <f t="shared" si="902"/>
        <v>0</v>
      </c>
      <c r="AH375" s="208">
        <f t="shared" si="902"/>
        <v>0</v>
      </c>
      <c r="AI375" s="208">
        <f t="shared" si="902"/>
        <v>0</v>
      </c>
      <c r="AJ375" s="208">
        <f t="shared" si="902"/>
        <v>0</v>
      </c>
      <c r="AK375" s="208">
        <f t="shared" si="902"/>
        <v>0</v>
      </c>
      <c r="AL375" s="208">
        <f t="shared" si="902"/>
        <v>0</v>
      </c>
      <c r="AM375" s="208">
        <f t="shared" si="902"/>
        <v>0</v>
      </c>
      <c r="AN375" s="208">
        <f t="shared" si="902"/>
        <v>0</v>
      </c>
      <c r="AO375" s="208">
        <f t="shared" si="902"/>
        <v>0</v>
      </c>
      <c r="AP375" s="208">
        <f t="shared" si="902"/>
        <v>0</v>
      </c>
    </row>
    <row r="376" spans="1:42">
      <c r="A376" s="119">
        <f t="shared" si="899"/>
        <v>6</v>
      </c>
      <c r="B376" s="218">
        <f t="shared" si="896"/>
        <v>0</v>
      </c>
      <c r="C376" s="250">
        <f t="shared" ref="C376:AP376" si="903">LOOKUP(C364,$B$329:$AP$329,$B$330:$AP$330)*$B752</f>
        <v>0</v>
      </c>
      <c r="D376" s="208">
        <f t="shared" si="903"/>
        <v>0</v>
      </c>
      <c r="E376" s="208">
        <f t="shared" si="903"/>
        <v>0</v>
      </c>
      <c r="F376" s="208">
        <f t="shared" si="903"/>
        <v>0</v>
      </c>
      <c r="G376" s="208">
        <f t="shared" si="903"/>
        <v>0</v>
      </c>
      <c r="H376" s="208">
        <f t="shared" si="903"/>
        <v>0</v>
      </c>
      <c r="I376" s="208">
        <f t="shared" si="903"/>
        <v>0</v>
      </c>
      <c r="J376" s="208">
        <f t="shared" si="903"/>
        <v>0</v>
      </c>
      <c r="K376" s="208">
        <f t="shared" si="903"/>
        <v>0</v>
      </c>
      <c r="L376" s="208">
        <f t="shared" si="903"/>
        <v>0</v>
      </c>
      <c r="M376" s="208">
        <f t="shared" si="903"/>
        <v>0</v>
      </c>
      <c r="N376" s="208">
        <f t="shared" si="903"/>
        <v>0</v>
      </c>
      <c r="O376" s="208">
        <f t="shared" si="903"/>
        <v>0</v>
      </c>
      <c r="P376" s="208">
        <f t="shared" si="903"/>
        <v>0</v>
      </c>
      <c r="Q376" s="208">
        <f t="shared" si="903"/>
        <v>0</v>
      </c>
      <c r="R376" s="208">
        <f t="shared" si="903"/>
        <v>0</v>
      </c>
      <c r="S376" s="208">
        <f t="shared" si="903"/>
        <v>0</v>
      </c>
      <c r="T376" s="208">
        <f t="shared" si="903"/>
        <v>0</v>
      </c>
      <c r="U376" s="208">
        <f t="shared" si="903"/>
        <v>0</v>
      </c>
      <c r="V376" s="208">
        <f t="shared" si="903"/>
        <v>0</v>
      </c>
      <c r="W376" s="208">
        <f t="shared" si="903"/>
        <v>0</v>
      </c>
      <c r="X376" s="208">
        <f t="shared" si="903"/>
        <v>0</v>
      </c>
      <c r="Y376" s="208">
        <f t="shared" si="903"/>
        <v>0</v>
      </c>
      <c r="Z376" s="208">
        <f t="shared" si="903"/>
        <v>0</v>
      </c>
      <c r="AA376" s="208">
        <f t="shared" si="903"/>
        <v>0</v>
      </c>
      <c r="AB376" s="208">
        <f t="shared" si="903"/>
        <v>0</v>
      </c>
      <c r="AC376" s="208">
        <f t="shared" si="903"/>
        <v>0</v>
      </c>
      <c r="AD376" s="208">
        <f t="shared" si="903"/>
        <v>0</v>
      </c>
      <c r="AE376" s="208">
        <f t="shared" si="903"/>
        <v>0</v>
      </c>
      <c r="AF376" s="208">
        <f t="shared" si="903"/>
        <v>0</v>
      </c>
      <c r="AG376" s="208">
        <f t="shared" si="903"/>
        <v>0</v>
      </c>
      <c r="AH376" s="208">
        <f t="shared" si="903"/>
        <v>0</v>
      </c>
      <c r="AI376" s="208">
        <f t="shared" si="903"/>
        <v>0</v>
      </c>
      <c r="AJ376" s="208">
        <f t="shared" si="903"/>
        <v>0</v>
      </c>
      <c r="AK376" s="208">
        <f t="shared" si="903"/>
        <v>0</v>
      </c>
      <c r="AL376" s="208">
        <f t="shared" si="903"/>
        <v>0</v>
      </c>
      <c r="AM376" s="208">
        <f t="shared" si="903"/>
        <v>0</v>
      </c>
      <c r="AN376" s="208">
        <f t="shared" si="903"/>
        <v>0</v>
      </c>
      <c r="AO376" s="208">
        <f t="shared" si="903"/>
        <v>0</v>
      </c>
      <c r="AP376" s="208">
        <f t="shared" si="903"/>
        <v>0</v>
      </c>
    </row>
    <row r="377" spans="1:42">
      <c r="A377" s="119">
        <f t="shared" si="899"/>
        <v>7</v>
      </c>
      <c r="B377" s="218">
        <f t="shared" si="896"/>
        <v>0</v>
      </c>
      <c r="C377" s="250">
        <f t="shared" ref="C377:AP377" si="904">LOOKUP(C365,$B$329:$AP$329,$B$330:$AP$330)*$B753</f>
        <v>0</v>
      </c>
      <c r="D377" s="208">
        <f t="shared" si="904"/>
        <v>0</v>
      </c>
      <c r="E377" s="208">
        <f t="shared" si="904"/>
        <v>0</v>
      </c>
      <c r="F377" s="208">
        <f t="shared" si="904"/>
        <v>0</v>
      </c>
      <c r="G377" s="208">
        <f t="shared" si="904"/>
        <v>0</v>
      </c>
      <c r="H377" s="208">
        <f t="shared" si="904"/>
        <v>0</v>
      </c>
      <c r="I377" s="208">
        <f t="shared" si="904"/>
        <v>0</v>
      </c>
      <c r="J377" s="208">
        <f t="shared" si="904"/>
        <v>0</v>
      </c>
      <c r="K377" s="208">
        <f t="shared" si="904"/>
        <v>0</v>
      </c>
      <c r="L377" s="208">
        <f t="shared" si="904"/>
        <v>0</v>
      </c>
      <c r="M377" s="208">
        <f t="shared" si="904"/>
        <v>0</v>
      </c>
      <c r="N377" s="208">
        <f t="shared" si="904"/>
        <v>0</v>
      </c>
      <c r="O377" s="208">
        <f t="shared" si="904"/>
        <v>0</v>
      </c>
      <c r="P377" s="208">
        <f t="shared" si="904"/>
        <v>0</v>
      </c>
      <c r="Q377" s="208">
        <f t="shared" si="904"/>
        <v>0</v>
      </c>
      <c r="R377" s="208">
        <f t="shared" si="904"/>
        <v>0</v>
      </c>
      <c r="S377" s="208">
        <f t="shared" si="904"/>
        <v>0</v>
      </c>
      <c r="T377" s="208">
        <f t="shared" si="904"/>
        <v>0</v>
      </c>
      <c r="U377" s="208">
        <f t="shared" si="904"/>
        <v>0</v>
      </c>
      <c r="V377" s="208">
        <f t="shared" si="904"/>
        <v>0</v>
      </c>
      <c r="W377" s="208">
        <f t="shared" si="904"/>
        <v>0</v>
      </c>
      <c r="X377" s="208">
        <f t="shared" si="904"/>
        <v>0</v>
      </c>
      <c r="Y377" s="208">
        <f t="shared" si="904"/>
        <v>0</v>
      </c>
      <c r="Z377" s="208">
        <f t="shared" si="904"/>
        <v>0</v>
      </c>
      <c r="AA377" s="208">
        <f t="shared" si="904"/>
        <v>0</v>
      </c>
      <c r="AB377" s="208">
        <f t="shared" si="904"/>
        <v>0</v>
      </c>
      <c r="AC377" s="208">
        <f t="shared" si="904"/>
        <v>0</v>
      </c>
      <c r="AD377" s="208">
        <f t="shared" si="904"/>
        <v>0</v>
      </c>
      <c r="AE377" s="208">
        <f t="shared" si="904"/>
        <v>0</v>
      </c>
      <c r="AF377" s="208">
        <f t="shared" si="904"/>
        <v>0</v>
      </c>
      <c r="AG377" s="208">
        <f t="shared" si="904"/>
        <v>0</v>
      </c>
      <c r="AH377" s="208">
        <f t="shared" si="904"/>
        <v>0</v>
      </c>
      <c r="AI377" s="208">
        <f t="shared" si="904"/>
        <v>0</v>
      </c>
      <c r="AJ377" s="208">
        <f t="shared" si="904"/>
        <v>0</v>
      </c>
      <c r="AK377" s="208">
        <f t="shared" si="904"/>
        <v>0</v>
      </c>
      <c r="AL377" s="208">
        <f t="shared" si="904"/>
        <v>0</v>
      </c>
      <c r="AM377" s="208">
        <f t="shared" si="904"/>
        <v>0</v>
      </c>
      <c r="AN377" s="208">
        <f t="shared" si="904"/>
        <v>0</v>
      </c>
      <c r="AO377" s="208">
        <f t="shared" si="904"/>
        <v>0</v>
      </c>
      <c r="AP377" s="208">
        <f t="shared" si="904"/>
        <v>0</v>
      </c>
    </row>
    <row r="378" spans="1:42">
      <c r="A378" s="119">
        <f t="shared" si="899"/>
        <v>8</v>
      </c>
      <c r="B378" s="218">
        <f t="shared" si="896"/>
        <v>0</v>
      </c>
      <c r="C378" s="250">
        <f t="shared" ref="C378:AP378" si="905">LOOKUP(C366,$B$329:$AP$329,$B$330:$AP$330)*$B754</f>
        <v>0</v>
      </c>
      <c r="D378" s="208">
        <f t="shared" si="905"/>
        <v>0</v>
      </c>
      <c r="E378" s="208">
        <f t="shared" si="905"/>
        <v>0</v>
      </c>
      <c r="F378" s="208">
        <f t="shared" si="905"/>
        <v>0</v>
      </c>
      <c r="G378" s="208">
        <f t="shared" si="905"/>
        <v>0</v>
      </c>
      <c r="H378" s="208">
        <f t="shared" si="905"/>
        <v>0</v>
      </c>
      <c r="I378" s="208">
        <f t="shared" si="905"/>
        <v>0</v>
      </c>
      <c r="J378" s="208">
        <f t="shared" si="905"/>
        <v>0</v>
      </c>
      <c r="K378" s="208">
        <f t="shared" si="905"/>
        <v>0</v>
      </c>
      <c r="L378" s="208">
        <f t="shared" si="905"/>
        <v>0</v>
      </c>
      <c r="M378" s="208">
        <f t="shared" si="905"/>
        <v>0</v>
      </c>
      <c r="N378" s="208">
        <f t="shared" si="905"/>
        <v>0</v>
      </c>
      <c r="O378" s="208">
        <f t="shared" si="905"/>
        <v>0</v>
      </c>
      <c r="P378" s="208">
        <f t="shared" si="905"/>
        <v>0</v>
      </c>
      <c r="Q378" s="208">
        <f t="shared" si="905"/>
        <v>0</v>
      </c>
      <c r="R378" s="208">
        <f t="shared" si="905"/>
        <v>0</v>
      </c>
      <c r="S378" s="208">
        <f t="shared" si="905"/>
        <v>0</v>
      </c>
      <c r="T378" s="208">
        <f t="shared" si="905"/>
        <v>0</v>
      </c>
      <c r="U378" s="208">
        <f t="shared" si="905"/>
        <v>0</v>
      </c>
      <c r="V378" s="208">
        <f t="shared" si="905"/>
        <v>0</v>
      </c>
      <c r="W378" s="208">
        <f t="shared" si="905"/>
        <v>0</v>
      </c>
      <c r="X378" s="208">
        <f t="shared" si="905"/>
        <v>0</v>
      </c>
      <c r="Y378" s="208">
        <f t="shared" si="905"/>
        <v>0</v>
      </c>
      <c r="Z378" s="208">
        <f t="shared" si="905"/>
        <v>0</v>
      </c>
      <c r="AA378" s="208">
        <f t="shared" si="905"/>
        <v>0</v>
      </c>
      <c r="AB378" s="208">
        <f t="shared" si="905"/>
        <v>0</v>
      </c>
      <c r="AC378" s="208">
        <f t="shared" si="905"/>
        <v>0</v>
      </c>
      <c r="AD378" s="208">
        <f t="shared" si="905"/>
        <v>0</v>
      </c>
      <c r="AE378" s="208">
        <f t="shared" si="905"/>
        <v>0</v>
      </c>
      <c r="AF378" s="208">
        <f t="shared" si="905"/>
        <v>0</v>
      </c>
      <c r="AG378" s="208">
        <f t="shared" si="905"/>
        <v>0</v>
      </c>
      <c r="AH378" s="208">
        <f t="shared" si="905"/>
        <v>0</v>
      </c>
      <c r="AI378" s="208">
        <f t="shared" si="905"/>
        <v>0</v>
      </c>
      <c r="AJ378" s="208">
        <f t="shared" si="905"/>
        <v>0</v>
      </c>
      <c r="AK378" s="208">
        <f t="shared" si="905"/>
        <v>0</v>
      </c>
      <c r="AL378" s="208">
        <f t="shared" si="905"/>
        <v>0</v>
      </c>
      <c r="AM378" s="208">
        <f t="shared" si="905"/>
        <v>0</v>
      </c>
      <c r="AN378" s="208">
        <f t="shared" si="905"/>
        <v>0</v>
      </c>
      <c r="AO378" s="208">
        <f t="shared" si="905"/>
        <v>0</v>
      </c>
      <c r="AP378" s="208">
        <f t="shared" si="905"/>
        <v>0</v>
      </c>
    </row>
    <row r="379" spans="1:42">
      <c r="A379" s="119">
        <f>A378+1</f>
        <v>9</v>
      </c>
      <c r="B379" s="218">
        <f t="shared" si="896"/>
        <v>0</v>
      </c>
      <c r="C379" s="250">
        <f t="shared" ref="C379:AP379" si="906">LOOKUP(C367,$B$329:$AP$329,$B$330:$AP$330)*$B755</f>
        <v>0</v>
      </c>
      <c r="D379" s="208">
        <f t="shared" si="906"/>
        <v>0</v>
      </c>
      <c r="E379" s="208">
        <f t="shared" si="906"/>
        <v>0</v>
      </c>
      <c r="F379" s="208">
        <f t="shared" si="906"/>
        <v>0</v>
      </c>
      <c r="G379" s="208">
        <f t="shared" si="906"/>
        <v>0</v>
      </c>
      <c r="H379" s="208">
        <f t="shared" si="906"/>
        <v>0</v>
      </c>
      <c r="I379" s="208">
        <f t="shared" si="906"/>
        <v>0</v>
      </c>
      <c r="J379" s="208">
        <f t="shared" si="906"/>
        <v>0</v>
      </c>
      <c r="K379" s="208">
        <f t="shared" si="906"/>
        <v>0</v>
      </c>
      <c r="L379" s="208">
        <f t="shared" si="906"/>
        <v>0</v>
      </c>
      <c r="M379" s="208">
        <f t="shared" si="906"/>
        <v>0</v>
      </c>
      <c r="N379" s="208">
        <f t="shared" si="906"/>
        <v>0</v>
      </c>
      <c r="O379" s="208">
        <f t="shared" si="906"/>
        <v>0</v>
      </c>
      <c r="P379" s="208">
        <f t="shared" si="906"/>
        <v>0</v>
      </c>
      <c r="Q379" s="208">
        <f t="shared" si="906"/>
        <v>0</v>
      </c>
      <c r="R379" s="208">
        <f t="shared" si="906"/>
        <v>0</v>
      </c>
      <c r="S379" s="208">
        <f t="shared" si="906"/>
        <v>0</v>
      </c>
      <c r="T379" s="208">
        <f t="shared" si="906"/>
        <v>0</v>
      </c>
      <c r="U379" s="208">
        <f t="shared" si="906"/>
        <v>0</v>
      </c>
      <c r="V379" s="208">
        <f t="shared" si="906"/>
        <v>0</v>
      </c>
      <c r="W379" s="208">
        <f t="shared" si="906"/>
        <v>0</v>
      </c>
      <c r="X379" s="208">
        <f t="shared" si="906"/>
        <v>0</v>
      </c>
      <c r="Y379" s="208">
        <f t="shared" si="906"/>
        <v>0</v>
      </c>
      <c r="Z379" s="208">
        <f t="shared" si="906"/>
        <v>0</v>
      </c>
      <c r="AA379" s="208">
        <f t="shared" si="906"/>
        <v>0</v>
      </c>
      <c r="AB379" s="208">
        <f t="shared" si="906"/>
        <v>0</v>
      </c>
      <c r="AC379" s="208">
        <f t="shared" si="906"/>
        <v>0</v>
      </c>
      <c r="AD379" s="208">
        <f t="shared" si="906"/>
        <v>0</v>
      </c>
      <c r="AE379" s="208">
        <f t="shared" si="906"/>
        <v>0</v>
      </c>
      <c r="AF379" s="208">
        <f t="shared" si="906"/>
        <v>0</v>
      </c>
      <c r="AG379" s="208">
        <f t="shared" si="906"/>
        <v>0</v>
      </c>
      <c r="AH379" s="208">
        <f t="shared" si="906"/>
        <v>0</v>
      </c>
      <c r="AI379" s="208">
        <f t="shared" si="906"/>
        <v>0</v>
      </c>
      <c r="AJ379" s="208">
        <f t="shared" si="906"/>
        <v>0</v>
      </c>
      <c r="AK379" s="208">
        <f t="shared" si="906"/>
        <v>0</v>
      </c>
      <c r="AL379" s="208">
        <f t="shared" si="906"/>
        <v>0</v>
      </c>
      <c r="AM379" s="208">
        <f t="shared" si="906"/>
        <v>0</v>
      </c>
      <c r="AN379" s="208">
        <f t="shared" si="906"/>
        <v>0</v>
      </c>
      <c r="AO379" s="208">
        <f t="shared" si="906"/>
        <v>0</v>
      </c>
      <c r="AP379" s="208">
        <f t="shared" si="906"/>
        <v>0</v>
      </c>
    </row>
    <row r="380" spans="1:42">
      <c r="A380" s="119">
        <f t="shared" si="899"/>
        <v>10</v>
      </c>
      <c r="B380" s="218">
        <f t="shared" si="896"/>
        <v>0</v>
      </c>
      <c r="C380" s="246">
        <f t="shared" ref="C380:AP380" si="907">LOOKUP(C368,$B$329:$AP$329,$B$330:$AP$330)*$B756</f>
        <v>0</v>
      </c>
      <c r="D380" s="209">
        <f t="shared" si="907"/>
        <v>0</v>
      </c>
      <c r="E380" s="209">
        <f t="shared" si="907"/>
        <v>0</v>
      </c>
      <c r="F380" s="209">
        <f t="shared" si="907"/>
        <v>0</v>
      </c>
      <c r="G380" s="209">
        <f t="shared" si="907"/>
        <v>0</v>
      </c>
      <c r="H380" s="209">
        <f t="shared" si="907"/>
        <v>0</v>
      </c>
      <c r="I380" s="209">
        <f t="shared" si="907"/>
        <v>0</v>
      </c>
      <c r="J380" s="209">
        <f t="shared" si="907"/>
        <v>0</v>
      </c>
      <c r="K380" s="209">
        <f t="shared" si="907"/>
        <v>0</v>
      </c>
      <c r="L380" s="209">
        <f t="shared" si="907"/>
        <v>0</v>
      </c>
      <c r="M380" s="209">
        <f t="shared" si="907"/>
        <v>0</v>
      </c>
      <c r="N380" s="209">
        <f t="shared" si="907"/>
        <v>0</v>
      </c>
      <c r="O380" s="209">
        <f t="shared" si="907"/>
        <v>0</v>
      </c>
      <c r="P380" s="209">
        <f t="shared" si="907"/>
        <v>0</v>
      </c>
      <c r="Q380" s="209">
        <f t="shared" si="907"/>
        <v>0</v>
      </c>
      <c r="R380" s="209">
        <f t="shared" si="907"/>
        <v>0</v>
      </c>
      <c r="S380" s="209">
        <f t="shared" si="907"/>
        <v>0</v>
      </c>
      <c r="T380" s="209">
        <f t="shared" si="907"/>
        <v>0</v>
      </c>
      <c r="U380" s="209">
        <f t="shared" si="907"/>
        <v>0</v>
      </c>
      <c r="V380" s="209">
        <f t="shared" si="907"/>
        <v>0</v>
      </c>
      <c r="W380" s="209">
        <f t="shared" si="907"/>
        <v>0</v>
      </c>
      <c r="X380" s="209">
        <f t="shared" si="907"/>
        <v>0</v>
      </c>
      <c r="Y380" s="209">
        <f t="shared" si="907"/>
        <v>0</v>
      </c>
      <c r="Z380" s="209">
        <f t="shared" si="907"/>
        <v>0</v>
      </c>
      <c r="AA380" s="209">
        <f t="shared" si="907"/>
        <v>0</v>
      </c>
      <c r="AB380" s="209">
        <f t="shared" si="907"/>
        <v>0</v>
      </c>
      <c r="AC380" s="209">
        <f t="shared" si="907"/>
        <v>0</v>
      </c>
      <c r="AD380" s="209">
        <f t="shared" si="907"/>
        <v>0</v>
      </c>
      <c r="AE380" s="209">
        <f t="shared" si="907"/>
        <v>0</v>
      </c>
      <c r="AF380" s="209">
        <f t="shared" si="907"/>
        <v>0</v>
      </c>
      <c r="AG380" s="209">
        <f t="shared" si="907"/>
        <v>0</v>
      </c>
      <c r="AH380" s="209">
        <f t="shared" si="907"/>
        <v>0</v>
      </c>
      <c r="AI380" s="209">
        <f t="shared" si="907"/>
        <v>0</v>
      </c>
      <c r="AJ380" s="209">
        <f t="shared" si="907"/>
        <v>0</v>
      </c>
      <c r="AK380" s="209">
        <f t="shared" si="907"/>
        <v>0</v>
      </c>
      <c r="AL380" s="209">
        <f t="shared" si="907"/>
        <v>0</v>
      </c>
      <c r="AM380" s="209">
        <f t="shared" si="907"/>
        <v>0</v>
      </c>
      <c r="AN380" s="209">
        <f t="shared" si="907"/>
        <v>0</v>
      </c>
      <c r="AO380" s="209">
        <f t="shared" si="907"/>
        <v>0</v>
      </c>
      <c r="AP380" s="209">
        <f t="shared" si="907"/>
        <v>0</v>
      </c>
    </row>
    <row r="381" spans="1:42" s="119" customFormat="1" ht="12" customHeight="1">
      <c r="A381" s="247" t="s">
        <v>53</v>
      </c>
      <c r="B381" s="146"/>
      <c r="C381" s="146">
        <f>SUM(C371:C380)</f>
        <v>0</v>
      </c>
      <c r="D381" s="146">
        <f t="shared" ref="D381:AP381" si="908">SUM(D371:D380)</f>
        <v>0</v>
      </c>
      <c r="E381" s="146">
        <f t="shared" si="908"/>
        <v>0</v>
      </c>
      <c r="F381" s="146">
        <f t="shared" si="908"/>
        <v>0</v>
      </c>
      <c r="G381" s="146">
        <f t="shared" si="908"/>
        <v>0</v>
      </c>
      <c r="H381" s="146">
        <f t="shared" si="908"/>
        <v>0</v>
      </c>
      <c r="I381" s="146">
        <f t="shared" si="908"/>
        <v>0</v>
      </c>
      <c r="J381" s="146">
        <f t="shared" si="908"/>
        <v>0</v>
      </c>
      <c r="K381" s="146">
        <f t="shared" si="908"/>
        <v>0</v>
      </c>
      <c r="L381" s="146">
        <f t="shared" si="908"/>
        <v>0</v>
      </c>
      <c r="M381" s="146">
        <f t="shared" si="908"/>
        <v>0</v>
      </c>
      <c r="N381" s="146">
        <f t="shared" si="908"/>
        <v>0</v>
      </c>
      <c r="O381" s="146">
        <f t="shared" si="908"/>
        <v>0</v>
      </c>
      <c r="P381" s="146">
        <f t="shared" si="908"/>
        <v>0</v>
      </c>
      <c r="Q381" s="146">
        <f t="shared" si="908"/>
        <v>1231755.7306939578</v>
      </c>
      <c r="R381" s="146">
        <f t="shared" si="908"/>
        <v>1970809.1691103324</v>
      </c>
      <c r="S381" s="146">
        <f t="shared" si="908"/>
        <v>1182485.5014661995</v>
      </c>
      <c r="T381" s="146">
        <f t="shared" si="908"/>
        <v>709491.30087971967</v>
      </c>
      <c r="U381" s="146">
        <f t="shared" si="908"/>
        <v>709491.30087971967</v>
      </c>
      <c r="V381" s="146">
        <f t="shared" si="908"/>
        <v>354745.65043985983</v>
      </c>
      <c r="W381" s="146">
        <f t="shared" si="908"/>
        <v>0</v>
      </c>
      <c r="X381" s="146">
        <f t="shared" si="908"/>
        <v>0</v>
      </c>
      <c r="Y381" s="146">
        <f t="shared" si="908"/>
        <v>0</v>
      </c>
      <c r="Z381" s="146">
        <f t="shared" si="908"/>
        <v>0</v>
      </c>
      <c r="AA381" s="146">
        <f t="shared" si="908"/>
        <v>0</v>
      </c>
      <c r="AB381" s="146">
        <f t="shared" si="908"/>
        <v>0</v>
      </c>
      <c r="AC381" s="146">
        <f t="shared" si="908"/>
        <v>0</v>
      </c>
      <c r="AD381" s="146">
        <f t="shared" si="908"/>
        <v>0</v>
      </c>
      <c r="AE381" s="146">
        <f t="shared" si="908"/>
        <v>0</v>
      </c>
      <c r="AF381" s="146">
        <f t="shared" si="908"/>
        <v>1539980.512798867</v>
      </c>
      <c r="AG381" s="146">
        <f t="shared" si="908"/>
        <v>0</v>
      </c>
      <c r="AH381" s="146">
        <f t="shared" si="908"/>
        <v>0</v>
      </c>
      <c r="AI381" s="146">
        <f t="shared" si="908"/>
        <v>0</v>
      </c>
      <c r="AJ381" s="146">
        <f t="shared" si="908"/>
        <v>0</v>
      </c>
      <c r="AK381" s="146">
        <f t="shared" si="908"/>
        <v>0</v>
      </c>
      <c r="AL381" s="146">
        <f t="shared" si="908"/>
        <v>0</v>
      </c>
      <c r="AM381" s="146">
        <f t="shared" si="908"/>
        <v>0</v>
      </c>
      <c r="AN381" s="146">
        <f t="shared" si="908"/>
        <v>0</v>
      </c>
      <c r="AO381" s="146">
        <f t="shared" si="908"/>
        <v>0</v>
      </c>
      <c r="AP381" s="146">
        <f t="shared" si="908"/>
        <v>0</v>
      </c>
    </row>
    <row r="382" spans="1:42">
      <c r="A382" s="226"/>
      <c r="C382" s="208"/>
      <c r="D382" s="208"/>
      <c r="E382" s="208"/>
      <c r="F382" s="208"/>
      <c r="G382" s="208"/>
      <c r="H382" s="208"/>
      <c r="I382" s="208"/>
      <c r="J382" s="208"/>
      <c r="K382" s="208"/>
      <c r="L382" s="208"/>
      <c r="M382" s="208"/>
      <c r="N382" s="208"/>
      <c r="O382" s="208"/>
      <c r="P382" s="208"/>
      <c r="Q382" s="208"/>
      <c r="R382" s="208"/>
      <c r="S382" s="208"/>
      <c r="T382" s="208"/>
      <c r="U382" s="208"/>
      <c r="V382" s="208"/>
      <c r="W382" s="208"/>
      <c r="X382" s="208"/>
      <c r="Y382" s="208"/>
      <c r="Z382" s="208"/>
      <c r="AA382" s="208"/>
      <c r="AB382" s="208"/>
      <c r="AC382" s="208"/>
      <c r="AD382" s="208"/>
      <c r="AE382" s="208"/>
      <c r="AF382" s="208"/>
      <c r="AG382" s="208"/>
      <c r="AH382" s="208"/>
      <c r="AI382" s="208"/>
      <c r="AJ382" s="208"/>
      <c r="AK382" s="208"/>
      <c r="AL382" s="208"/>
      <c r="AM382" s="208"/>
      <c r="AN382" s="208"/>
      <c r="AO382" s="208"/>
      <c r="AP382" s="208"/>
    </row>
    <row r="383" spans="1:42">
      <c r="A383" s="219" t="s">
        <v>385</v>
      </c>
      <c r="C383" s="208"/>
      <c r="D383" s="208"/>
      <c r="E383" s="208"/>
      <c r="F383" s="208"/>
      <c r="G383" s="208"/>
      <c r="H383" s="208"/>
      <c r="I383" s="208"/>
      <c r="J383" s="208"/>
      <c r="K383" s="208"/>
      <c r="L383" s="208"/>
      <c r="M383" s="208"/>
      <c r="N383" s="208"/>
      <c r="O383" s="208"/>
      <c r="P383" s="208"/>
      <c r="Q383" s="208"/>
      <c r="R383" s="208"/>
      <c r="S383" s="208"/>
      <c r="T383" s="208"/>
      <c r="U383" s="208"/>
      <c r="V383" s="208"/>
      <c r="W383" s="208"/>
      <c r="X383" s="208"/>
      <c r="Y383" s="208"/>
      <c r="Z383" s="208"/>
      <c r="AA383" s="208"/>
      <c r="AB383" s="208"/>
      <c r="AC383" s="208"/>
      <c r="AD383" s="208"/>
      <c r="AE383" s="208"/>
      <c r="AF383" s="208"/>
      <c r="AG383" s="208"/>
      <c r="AH383" s="208"/>
      <c r="AI383" s="208"/>
      <c r="AJ383" s="208"/>
      <c r="AK383" s="208"/>
      <c r="AL383" s="208"/>
      <c r="AM383" s="208"/>
      <c r="AN383" s="208"/>
      <c r="AO383" s="208"/>
      <c r="AP383" s="208"/>
    </row>
    <row r="384" spans="1:42">
      <c r="A384" s="226" t="s">
        <v>217</v>
      </c>
      <c r="C384" s="208"/>
      <c r="D384" s="208"/>
      <c r="E384" s="208"/>
      <c r="F384" s="208"/>
      <c r="G384" s="208"/>
      <c r="H384" s="208"/>
      <c r="I384" s="208"/>
      <c r="J384" s="208"/>
      <c r="K384" s="208"/>
      <c r="L384" s="208"/>
      <c r="M384" s="208"/>
      <c r="N384" s="208"/>
      <c r="O384" s="208"/>
      <c r="P384" s="208"/>
      <c r="Q384" s="208"/>
      <c r="R384" s="208"/>
      <c r="S384" s="208"/>
      <c r="T384" s="208"/>
      <c r="U384" s="208"/>
      <c r="V384" s="208"/>
      <c r="W384" s="208"/>
      <c r="X384" s="208"/>
      <c r="Y384" s="208"/>
      <c r="Z384" s="208"/>
      <c r="AA384" s="208"/>
      <c r="AB384" s="208"/>
      <c r="AC384" s="208"/>
      <c r="AD384" s="208"/>
      <c r="AE384" s="208"/>
      <c r="AF384" s="208"/>
      <c r="AG384" s="208"/>
      <c r="AH384" s="208"/>
      <c r="AI384" s="208"/>
      <c r="AJ384" s="208"/>
      <c r="AK384" s="208"/>
      <c r="AL384" s="208"/>
      <c r="AM384" s="208"/>
      <c r="AN384" s="208"/>
      <c r="AO384" s="208"/>
      <c r="AP384" s="208"/>
    </row>
    <row r="385" spans="1:42">
      <c r="A385" s="119">
        <v>1</v>
      </c>
      <c r="C385" s="208">
        <f>IF(C$2&lt;=AnalysisPeriod,IF(SUM($C779:C779)&gt;0,B385+1,0),0)</f>
        <v>0</v>
      </c>
      <c r="D385" s="208">
        <f>IF(D$2&lt;=AnalysisPeriod,IF(SUM($C779:D779)&gt;0,C385+1,0),0)</f>
        <v>0</v>
      </c>
      <c r="E385" s="208">
        <f>IF(E$2&lt;=AnalysisPeriod,IF(SUM($C779:E779)&gt;0,D385+1,0),0)</f>
        <v>1</v>
      </c>
      <c r="F385" s="208">
        <f>IF(F$2&lt;=AnalysisPeriod,IF(SUM($C779:F779)&gt;0,E385+1,0),0)</f>
        <v>2</v>
      </c>
      <c r="G385" s="208">
        <f>IF(G$2&lt;=AnalysisPeriod,IF(SUM($C779:G779)&gt;0,F385+1,0),0)</f>
        <v>3</v>
      </c>
      <c r="H385" s="208">
        <f>IF(H$2&lt;=AnalysisPeriod,IF(SUM($C779:H779)&gt;0,G385+1,0),0)</f>
        <v>4</v>
      </c>
      <c r="I385" s="208">
        <f>IF(I$2&lt;=AnalysisPeriod,IF(SUM($C779:I779)&gt;0,H385+1,0),0)</f>
        <v>5</v>
      </c>
      <c r="J385" s="208">
        <f>IF(J$2&lt;=AnalysisPeriod,IF(SUM($C779:J779)&gt;0,I385+1,0),0)</f>
        <v>6</v>
      </c>
      <c r="K385" s="208">
        <f>IF(K$2&lt;=AnalysisPeriod,IF(SUM($C779:K779)&gt;0,J385+1,0),0)</f>
        <v>7</v>
      </c>
      <c r="L385" s="208">
        <f>IF(L$2&lt;=AnalysisPeriod,IF(SUM($C779:L779)&gt;0,K385+1,0),0)</f>
        <v>8</v>
      </c>
      <c r="M385" s="208">
        <f>IF(M$2&lt;=AnalysisPeriod,IF(SUM($C779:M779)&gt;0,L385+1,0),0)</f>
        <v>9</v>
      </c>
      <c r="N385" s="208">
        <f>IF(N$2&lt;=AnalysisPeriod,IF(SUM($C779:N779)&gt;0,M385+1,0),0)</f>
        <v>10</v>
      </c>
      <c r="O385" s="208">
        <f>IF(O$2&lt;=AnalysisPeriod,IF(SUM($C779:O779)&gt;0,N385+1,0),0)</f>
        <v>11</v>
      </c>
      <c r="P385" s="208">
        <f>IF(P$2&lt;=AnalysisPeriod,IF(SUM($C779:P779)&gt;0,O385+1,0),0)</f>
        <v>12</v>
      </c>
      <c r="Q385" s="208">
        <f>IF(Q$2&lt;=AnalysisPeriod,IF(SUM($C779:Q779)&gt;0,P385+1,0),0)</f>
        <v>13</v>
      </c>
      <c r="R385" s="208">
        <f>IF(R$2&lt;=AnalysisPeriod,IF(SUM($C779:R779)&gt;0,Q385+1,0),0)</f>
        <v>14</v>
      </c>
      <c r="S385" s="208">
        <f>IF(S$2&lt;=AnalysisPeriod,IF(SUM($C779:S779)&gt;0,R385+1,0),0)</f>
        <v>15</v>
      </c>
      <c r="T385" s="208">
        <f>IF(T$2&lt;=AnalysisPeriod,IF(SUM($C779:T779)&gt;0,S385+1,0),0)</f>
        <v>16</v>
      </c>
      <c r="U385" s="208">
        <f>IF(U$2&lt;=AnalysisPeriod,IF(SUM($C779:U779)&gt;0,T385+1,0),0)</f>
        <v>17</v>
      </c>
      <c r="V385" s="208">
        <f>IF(V$2&lt;=AnalysisPeriod,IF(SUM($C779:V779)&gt;0,U385+1,0),0)</f>
        <v>18</v>
      </c>
      <c r="W385" s="208">
        <f>IF(W$2&lt;=AnalysisPeriod,IF(SUM($C779:W779)&gt;0,V385+1,0),0)</f>
        <v>19</v>
      </c>
      <c r="X385" s="208">
        <f>IF(X$2&lt;=AnalysisPeriod,IF(SUM($C779:X779)&gt;0,W385+1,0),0)</f>
        <v>20</v>
      </c>
      <c r="Y385" s="208">
        <f>IF(Y$2&lt;=AnalysisPeriod,IF(SUM($C779:Y779)&gt;0,X385+1,0),0)</f>
        <v>21</v>
      </c>
      <c r="Z385" s="208">
        <f>IF(Z$2&lt;=AnalysisPeriod,IF(SUM($C779:Z779)&gt;0,Y385+1,0),0)</f>
        <v>22</v>
      </c>
      <c r="AA385" s="208">
        <f>IF(AA$2&lt;=AnalysisPeriod,IF(SUM($C779:AA779)&gt;0,Z385+1,0),0)</f>
        <v>23</v>
      </c>
      <c r="AB385" s="208">
        <f>IF(AB$2&lt;=AnalysisPeriod,IF(SUM($C779:AB779)&gt;0,AA385+1,0),0)</f>
        <v>24</v>
      </c>
      <c r="AC385" s="208">
        <f>IF(AC$2&lt;=AnalysisPeriod,IF(SUM($C779:AC779)&gt;0,AB385+1,0),0)</f>
        <v>25</v>
      </c>
      <c r="AD385" s="208">
        <f>IF(AD$2&lt;=AnalysisPeriod,IF(SUM($C779:AD779)&gt;0,AC385+1,0),0)</f>
        <v>26</v>
      </c>
      <c r="AE385" s="208">
        <f>IF(AE$2&lt;=AnalysisPeriod,IF(SUM($C779:AE779)&gt;0,AD385+1,0),0)</f>
        <v>27</v>
      </c>
      <c r="AF385" s="208">
        <f>IF(AF$2&lt;=AnalysisPeriod,IF(SUM($C779:AF779)&gt;0,AE385+1,0),0)</f>
        <v>28</v>
      </c>
      <c r="AG385" s="208">
        <f>IF(AG$2&lt;=AnalysisPeriod,IF(SUM($C779:AG779)&gt;0,AF385+1,0),0)</f>
        <v>0</v>
      </c>
      <c r="AH385" s="208">
        <f>IF(AH$2&lt;=AnalysisPeriod,IF(SUM($C779:AH779)&gt;0,AG385+1,0),0)</f>
        <v>0</v>
      </c>
      <c r="AI385" s="208">
        <f>IF(AI$2&lt;=AnalysisPeriod,IF(SUM($C779:AI779)&gt;0,AH385+1,0),0)</f>
        <v>0</v>
      </c>
      <c r="AJ385" s="208">
        <f>IF(AJ$2&lt;=AnalysisPeriod,IF(SUM($C779:AJ779)&gt;0,AI385+1,0),0)</f>
        <v>0</v>
      </c>
      <c r="AK385" s="208">
        <f>IF(AK$2&lt;=AnalysisPeriod,IF(SUM($C779:AK779)&gt;0,AJ385+1,0),0)</f>
        <v>0</v>
      </c>
      <c r="AL385" s="208">
        <f>IF(AL$2&lt;=AnalysisPeriod,IF(SUM($C779:AL779)&gt;0,AK385+1,0),0)</f>
        <v>0</v>
      </c>
      <c r="AM385" s="208">
        <f>IF(AM$2&lt;=AnalysisPeriod,IF(SUM($C779:AM779)&gt;0,AL385+1,0),0)</f>
        <v>0</v>
      </c>
      <c r="AN385" s="208">
        <f>IF(AN$2&lt;=AnalysisPeriod,IF(SUM($C779:AN779)&gt;0,AM385+1,0),0)</f>
        <v>0</v>
      </c>
      <c r="AO385" s="208">
        <f>IF(AO$2&lt;=AnalysisPeriod,IF(SUM($C779:AO779)&gt;0,AN385+1,0),0)</f>
        <v>0</v>
      </c>
      <c r="AP385" s="208">
        <f>IF(AP$2&lt;=AnalysisPeriod,IF(SUM($C779:AP779)&gt;0,AO385+1,0),0)</f>
        <v>0</v>
      </c>
    </row>
    <row r="386" spans="1:42">
      <c r="A386" s="119">
        <f>A385+1</f>
        <v>2</v>
      </c>
      <c r="C386" s="208">
        <f>IF(C$2&lt;=AnalysisPeriod,IF(SUM($C780:C780)&gt;0,B386+1,0),0)</f>
        <v>0</v>
      </c>
      <c r="D386" s="208">
        <f>IF(D$2&lt;=AnalysisPeriod,IF(SUM($C780:D780)&gt;0,C386+1,0),0)</f>
        <v>0</v>
      </c>
      <c r="E386" s="208">
        <f>IF(E$2&lt;=AnalysisPeriod,IF(SUM($C780:E780)&gt;0,D386+1,0),0)</f>
        <v>0</v>
      </c>
      <c r="F386" s="208">
        <f>IF(F$2&lt;=AnalysisPeriod,IF(SUM($C780:F780)&gt;0,E386+1,0),0)</f>
        <v>0</v>
      </c>
      <c r="G386" s="208">
        <f>IF(G$2&lt;=AnalysisPeriod,IF(SUM($C780:G780)&gt;0,F386+1,0),0)</f>
        <v>0</v>
      </c>
      <c r="H386" s="208">
        <f>IF(H$2&lt;=AnalysisPeriod,IF(SUM($C780:H780)&gt;0,G386+1,0),0)</f>
        <v>1</v>
      </c>
      <c r="I386" s="208">
        <f>IF(I$2&lt;=AnalysisPeriod,IF(SUM($C780:I780)&gt;0,H386+1,0),0)</f>
        <v>2</v>
      </c>
      <c r="J386" s="208">
        <f>IF(J$2&lt;=AnalysisPeriod,IF(SUM($C780:J780)&gt;0,I386+1,0),0)</f>
        <v>3</v>
      </c>
      <c r="K386" s="208">
        <f>IF(K$2&lt;=AnalysisPeriod,IF(SUM($C780:K780)&gt;0,J386+1,0),0)</f>
        <v>4</v>
      </c>
      <c r="L386" s="208">
        <f>IF(L$2&lt;=AnalysisPeriod,IF(SUM($C780:L780)&gt;0,K386+1,0),0)</f>
        <v>5</v>
      </c>
      <c r="M386" s="208">
        <f>IF(M$2&lt;=AnalysisPeriod,IF(SUM($C780:M780)&gt;0,L386+1,0),0)</f>
        <v>6</v>
      </c>
      <c r="N386" s="208">
        <f>IF(N$2&lt;=AnalysisPeriod,IF(SUM($C780:N780)&gt;0,M386+1,0),0)</f>
        <v>7</v>
      </c>
      <c r="O386" s="208">
        <f>IF(O$2&lt;=AnalysisPeriod,IF(SUM($C780:O780)&gt;0,N386+1,0),0)</f>
        <v>8</v>
      </c>
      <c r="P386" s="208">
        <f>IF(P$2&lt;=AnalysisPeriod,IF(SUM($C780:P780)&gt;0,O386+1,0),0)</f>
        <v>9</v>
      </c>
      <c r="Q386" s="208">
        <f>IF(Q$2&lt;=AnalysisPeriod,IF(SUM($C780:Q780)&gt;0,P386+1,0),0)</f>
        <v>10</v>
      </c>
      <c r="R386" s="208">
        <f>IF(R$2&lt;=AnalysisPeriod,IF(SUM($C780:R780)&gt;0,Q386+1,0),0)</f>
        <v>11</v>
      </c>
      <c r="S386" s="208">
        <f>IF(S$2&lt;=AnalysisPeriod,IF(SUM($C780:S780)&gt;0,R386+1,0),0)</f>
        <v>12</v>
      </c>
      <c r="T386" s="208">
        <f>IF(T$2&lt;=AnalysisPeriod,IF(SUM($C780:T780)&gt;0,S386+1,0),0)</f>
        <v>13</v>
      </c>
      <c r="U386" s="208">
        <f>IF(U$2&lt;=AnalysisPeriod,IF(SUM($C780:U780)&gt;0,T386+1,0),0)</f>
        <v>14</v>
      </c>
      <c r="V386" s="208">
        <f>IF(V$2&lt;=AnalysisPeriod,IF(SUM($C780:V780)&gt;0,U386+1,0),0)</f>
        <v>15</v>
      </c>
      <c r="W386" s="208">
        <f>IF(W$2&lt;=AnalysisPeriod,IF(SUM($C780:W780)&gt;0,V386+1,0),0)</f>
        <v>16</v>
      </c>
      <c r="X386" s="208">
        <f>IF(X$2&lt;=AnalysisPeriod,IF(SUM($C780:X780)&gt;0,W386+1,0),0)</f>
        <v>17</v>
      </c>
      <c r="Y386" s="208">
        <f>IF(Y$2&lt;=AnalysisPeriod,IF(SUM($C780:Y780)&gt;0,X386+1,0),0)</f>
        <v>18</v>
      </c>
      <c r="Z386" s="208">
        <f>IF(Z$2&lt;=AnalysisPeriod,IF(SUM($C780:Z780)&gt;0,Y386+1,0),0)</f>
        <v>19</v>
      </c>
      <c r="AA386" s="208">
        <f>IF(AA$2&lt;=AnalysisPeriod,IF(SUM($C780:AA780)&gt;0,Z386+1,0),0)</f>
        <v>20</v>
      </c>
      <c r="AB386" s="208">
        <f>IF(AB$2&lt;=AnalysisPeriod,IF(SUM($C780:AB780)&gt;0,AA386+1,0),0)</f>
        <v>21</v>
      </c>
      <c r="AC386" s="208">
        <f>IF(AC$2&lt;=AnalysisPeriod,IF(SUM($C780:AC780)&gt;0,AB386+1,0),0)</f>
        <v>22</v>
      </c>
      <c r="AD386" s="208">
        <f>IF(AD$2&lt;=AnalysisPeriod,IF(SUM($C780:AD780)&gt;0,AC386+1,0),0)</f>
        <v>23</v>
      </c>
      <c r="AE386" s="208">
        <f>IF(AE$2&lt;=AnalysisPeriod,IF(SUM($C780:AE780)&gt;0,AD386+1,0),0)</f>
        <v>24</v>
      </c>
      <c r="AF386" s="208">
        <f>IF(AF$2&lt;=AnalysisPeriod,IF(SUM($C780:AF780)&gt;0,AE386+1,0),0)</f>
        <v>25</v>
      </c>
      <c r="AG386" s="208">
        <f>IF(AG$2&lt;=AnalysisPeriod,IF(SUM($C780:AG780)&gt;0,AF386+1,0),0)</f>
        <v>0</v>
      </c>
      <c r="AH386" s="208">
        <f>IF(AH$2&lt;=AnalysisPeriod,IF(SUM($C780:AH780)&gt;0,AG386+1,0),0)</f>
        <v>0</v>
      </c>
      <c r="AI386" s="208">
        <f>IF(AI$2&lt;=AnalysisPeriod,IF(SUM($C780:AI780)&gt;0,AH386+1,0),0)</f>
        <v>0</v>
      </c>
      <c r="AJ386" s="208">
        <f>IF(AJ$2&lt;=AnalysisPeriod,IF(SUM($C780:AJ780)&gt;0,AI386+1,0),0)</f>
        <v>0</v>
      </c>
      <c r="AK386" s="208">
        <f>IF(AK$2&lt;=AnalysisPeriod,IF(SUM($C780:AK780)&gt;0,AJ386+1,0),0)</f>
        <v>0</v>
      </c>
      <c r="AL386" s="208">
        <f>IF(AL$2&lt;=AnalysisPeriod,IF(SUM($C780:AL780)&gt;0,AK386+1,0),0)</f>
        <v>0</v>
      </c>
      <c r="AM386" s="208">
        <f>IF(AM$2&lt;=AnalysisPeriod,IF(SUM($C780:AM780)&gt;0,AL386+1,0),0)</f>
        <v>0</v>
      </c>
      <c r="AN386" s="208">
        <f>IF(AN$2&lt;=AnalysisPeriod,IF(SUM($C780:AN780)&gt;0,AM386+1,0),0)</f>
        <v>0</v>
      </c>
      <c r="AO386" s="208">
        <f>IF(AO$2&lt;=AnalysisPeriod,IF(SUM($C780:AO780)&gt;0,AN386+1,0),0)</f>
        <v>0</v>
      </c>
      <c r="AP386" s="208">
        <f>IF(AP$2&lt;=AnalysisPeriod,IF(SUM($C780:AP780)&gt;0,AO386+1,0),0)</f>
        <v>0</v>
      </c>
    </row>
    <row r="387" spans="1:42">
      <c r="A387" s="119">
        <f t="shared" ref="A387:A394" si="909">A386+1</f>
        <v>3</v>
      </c>
      <c r="C387" s="208">
        <f>IF(C$2&lt;=AnalysisPeriod,IF(SUM($C781:C781)&gt;0,B387+1,0),0)</f>
        <v>0</v>
      </c>
      <c r="D387" s="208">
        <f>IF(D$2&lt;=AnalysisPeriod,IF(SUM($C781:D781)&gt;0,C387+1,0),0)</f>
        <v>0</v>
      </c>
      <c r="E387" s="208">
        <f>IF(E$2&lt;=AnalysisPeriod,IF(SUM($C781:E781)&gt;0,D387+1,0),0)</f>
        <v>0</v>
      </c>
      <c r="F387" s="208">
        <f>IF(F$2&lt;=AnalysisPeriod,IF(SUM($C781:F781)&gt;0,E387+1,0),0)</f>
        <v>0</v>
      </c>
      <c r="G387" s="208">
        <f>IF(G$2&lt;=AnalysisPeriod,IF(SUM($C781:G781)&gt;0,F387+1,0),0)</f>
        <v>0</v>
      </c>
      <c r="H387" s="208">
        <f>IF(H$2&lt;=AnalysisPeriod,IF(SUM($C781:H781)&gt;0,G387+1,0),0)</f>
        <v>0</v>
      </c>
      <c r="I387" s="208">
        <f>IF(I$2&lt;=AnalysisPeriod,IF(SUM($C781:I781)&gt;0,H387+1,0),0)</f>
        <v>0</v>
      </c>
      <c r="J387" s="208">
        <f>IF(J$2&lt;=AnalysisPeriod,IF(SUM($C781:J781)&gt;0,I387+1,0),0)</f>
        <v>0</v>
      </c>
      <c r="K387" s="208">
        <f>IF(K$2&lt;=AnalysisPeriod,IF(SUM($C781:K781)&gt;0,J387+1,0),0)</f>
        <v>1</v>
      </c>
      <c r="L387" s="208">
        <f>IF(L$2&lt;=AnalysisPeriod,IF(SUM($C781:L781)&gt;0,K387+1,0),0)</f>
        <v>2</v>
      </c>
      <c r="M387" s="208">
        <f>IF(M$2&lt;=AnalysisPeriod,IF(SUM($C781:M781)&gt;0,L387+1,0),0)</f>
        <v>3</v>
      </c>
      <c r="N387" s="208">
        <f>IF(N$2&lt;=AnalysisPeriod,IF(SUM($C781:N781)&gt;0,M387+1,0),0)</f>
        <v>4</v>
      </c>
      <c r="O387" s="208">
        <f>IF(O$2&lt;=AnalysisPeriod,IF(SUM($C781:O781)&gt;0,N387+1,0),0)</f>
        <v>5</v>
      </c>
      <c r="P387" s="208">
        <f>IF(P$2&lt;=AnalysisPeriod,IF(SUM($C781:P781)&gt;0,O387+1,0),0)</f>
        <v>6</v>
      </c>
      <c r="Q387" s="208">
        <f>IF(Q$2&lt;=AnalysisPeriod,IF(SUM($C781:Q781)&gt;0,P387+1,0),0)</f>
        <v>7</v>
      </c>
      <c r="R387" s="208">
        <f>IF(R$2&lt;=AnalysisPeriod,IF(SUM($C781:R781)&gt;0,Q387+1,0),0)</f>
        <v>8</v>
      </c>
      <c r="S387" s="208">
        <f>IF(S$2&lt;=AnalysisPeriod,IF(SUM($C781:S781)&gt;0,R387+1,0),0)</f>
        <v>9</v>
      </c>
      <c r="T387" s="208">
        <f>IF(T$2&lt;=AnalysisPeriod,IF(SUM($C781:T781)&gt;0,S387+1,0),0)</f>
        <v>10</v>
      </c>
      <c r="U387" s="208">
        <f>IF(U$2&lt;=AnalysisPeriod,IF(SUM($C781:U781)&gt;0,T387+1,0),0)</f>
        <v>11</v>
      </c>
      <c r="V387" s="208">
        <f>IF(V$2&lt;=AnalysisPeriod,IF(SUM($C781:V781)&gt;0,U387+1,0),0)</f>
        <v>12</v>
      </c>
      <c r="W387" s="208">
        <f>IF(W$2&lt;=AnalysisPeriod,IF(SUM($C781:W781)&gt;0,V387+1,0),0)</f>
        <v>13</v>
      </c>
      <c r="X387" s="208">
        <f>IF(X$2&lt;=AnalysisPeriod,IF(SUM($C781:X781)&gt;0,W387+1,0),0)</f>
        <v>14</v>
      </c>
      <c r="Y387" s="208">
        <f>IF(Y$2&lt;=AnalysisPeriod,IF(SUM($C781:Y781)&gt;0,X387+1,0),0)</f>
        <v>15</v>
      </c>
      <c r="Z387" s="208">
        <f>IF(Z$2&lt;=AnalysisPeriod,IF(SUM($C781:Z781)&gt;0,Y387+1,0),0)</f>
        <v>16</v>
      </c>
      <c r="AA387" s="208">
        <f>IF(AA$2&lt;=AnalysisPeriod,IF(SUM($C781:AA781)&gt;0,Z387+1,0),0)</f>
        <v>17</v>
      </c>
      <c r="AB387" s="208">
        <f>IF(AB$2&lt;=AnalysisPeriod,IF(SUM($C781:AB781)&gt;0,AA387+1,0),0)</f>
        <v>18</v>
      </c>
      <c r="AC387" s="208">
        <f>IF(AC$2&lt;=AnalysisPeriod,IF(SUM($C781:AC781)&gt;0,AB387+1,0),0)</f>
        <v>19</v>
      </c>
      <c r="AD387" s="208">
        <f>IF(AD$2&lt;=AnalysisPeriod,IF(SUM($C781:AD781)&gt;0,AC387+1,0),0)</f>
        <v>20</v>
      </c>
      <c r="AE387" s="208">
        <f>IF(AE$2&lt;=AnalysisPeriod,IF(SUM($C781:AE781)&gt;0,AD387+1,0),0)</f>
        <v>21</v>
      </c>
      <c r="AF387" s="208">
        <f>IF(AF$2&lt;=AnalysisPeriod,IF(SUM($C781:AF781)&gt;0,AE387+1,0),0)</f>
        <v>22</v>
      </c>
      <c r="AG387" s="208">
        <f>IF(AG$2&lt;=AnalysisPeriod,IF(SUM($C781:AG781)&gt;0,AF387+1,0),0)</f>
        <v>0</v>
      </c>
      <c r="AH387" s="208">
        <f>IF(AH$2&lt;=AnalysisPeriod,IF(SUM($C781:AH781)&gt;0,AG387+1,0),0)</f>
        <v>0</v>
      </c>
      <c r="AI387" s="208">
        <f>IF(AI$2&lt;=AnalysisPeriod,IF(SUM($C781:AI781)&gt;0,AH387+1,0),0)</f>
        <v>0</v>
      </c>
      <c r="AJ387" s="208">
        <f>IF(AJ$2&lt;=AnalysisPeriod,IF(SUM($C781:AJ781)&gt;0,AI387+1,0),0)</f>
        <v>0</v>
      </c>
      <c r="AK387" s="208">
        <f>IF(AK$2&lt;=AnalysisPeriod,IF(SUM($C781:AK781)&gt;0,AJ387+1,0),0)</f>
        <v>0</v>
      </c>
      <c r="AL387" s="208">
        <f>IF(AL$2&lt;=AnalysisPeriod,IF(SUM($C781:AL781)&gt;0,AK387+1,0),0)</f>
        <v>0</v>
      </c>
      <c r="AM387" s="208">
        <f>IF(AM$2&lt;=AnalysisPeriod,IF(SUM($C781:AM781)&gt;0,AL387+1,0),0)</f>
        <v>0</v>
      </c>
      <c r="AN387" s="208">
        <f>IF(AN$2&lt;=AnalysisPeriod,IF(SUM($C781:AN781)&gt;0,AM387+1,0),0)</f>
        <v>0</v>
      </c>
      <c r="AO387" s="208">
        <f>IF(AO$2&lt;=AnalysisPeriod,IF(SUM($C781:AO781)&gt;0,AN387+1,0),0)</f>
        <v>0</v>
      </c>
      <c r="AP387" s="208">
        <f>IF(AP$2&lt;=AnalysisPeriod,IF(SUM($C781:AP781)&gt;0,AO387+1,0),0)</f>
        <v>0</v>
      </c>
    </row>
    <row r="388" spans="1:42">
      <c r="A388" s="119">
        <f t="shared" si="909"/>
        <v>4</v>
      </c>
      <c r="C388" s="208">
        <f>IF(C$2&lt;=AnalysisPeriod,IF(SUM($C782:C782)&gt;0,B388+1,0),0)</f>
        <v>0</v>
      </c>
      <c r="D388" s="208">
        <f>IF(D$2&lt;=AnalysisPeriod,IF(SUM($C782:D782)&gt;0,C388+1,0),0)</f>
        <v>0</v>
      </c>
      <c r="E388" s="208">
        <f>IF(E$2&lt;=AnalysisPeriod,IF(SUM($C782:E782)&gt;0,D388+1,0),0)</f>
        <v>0</v>
      </c>
      <c r="F388" s="208">
        <f>IF(F$2&lt;=AnalysisPeriod,IF(SUM($C782:F782)&gt;0,E388+1,0),0)</f>
        <v>0</v>
      </c>
      <c r="G388" s="208">
        <f>IF(G$2&lt;=AnalysisPeriod,IF(SUM($C782:G782)&gt;0,F388+1,0),0)</f>
        <v>0</v>
      </c>
      <c r="H388" s="208">
        <f>IF(H$2&lt;=AnalysisPeriod,IF(SUM($C782:H782)&gt;0,G388+1,0),0)</f>
        <v>0</v>
      </c>
      <c r="I388" s="208">
        <f>IF(I$2&lt;=AnalysisPeriod,IF(SUM($C782:I782)&gt;0,H388+1,0),0)</f>
        <v>0</v>
      </c>
      <c r="J388" s="208">
        <f>IF(J$2&lt;=AnalysisPeriod,IF(SUM($C782:J782)&gt;0,I388+1,0),0)</f>
        <v>0</v>
      </c>
      <c r="K388" s="208">
        <f>IF(K$2&lt;=AnalysisPeriod,IF(SUM($C782:K782)&gt;0,J388+1,0),0)</f>
        <v>0</v>
      </c>
      <c r="L388" s="208">
        <f>IF(L$2&lt;=AnalysisPeriod,IF(SUM($C782:L782)&gt;0,K388+1,0),0)</f>
        <v>0</v>
      </c>
      <c r="M388" s="208">
        <f>IF(M$2&lt;=AnalysisPeriod,IF(SUM($C782:M782)&gt;0,L388+1,0),0)</f>
        <v>0</v>
      </c>
      <c r="N388" s="208">
        <f>IF(N$2&lt;=AnalysisPeriod,IF(SUM($C782:N782)&gt;0,M388+1,0),0)</f>
        <v>1</v>
      </c>
      <c r="O388" s="208">
        <f>IF(O$2&lt;=AnalysisPeriod,IF(SUM($C782:O782)&gt;0,N388+1,0),0)</f>
        <v>2</v>
      </c>
      <c r="P388" s="208">
        <f>IF(P$2&lt;=AnalysisPeriod,IF(SUM($C782:P782)&gt;0,O388+1,0),0)</f>
        <v>3</v>
      </c>
      <c r="Q388" s="208">
        <f>IF(Q$2&lt;=AnalysisPeriod,IF(SUM($C782:Q782)&gt;0,P388+1,0),0)</f>
        <v>4</v>
      </c>
      <c r="R388" s="208">
        <f>IF(R$2&lt;=AnalysisPeriod,IF(SUM($C782:R782)&gt;0,Q388+1,0),0)</f>
        <v>5</v>
      </c>
      <c r="S388" s="208">
        <f>IF(S$2&lt;=AnalysisPeriod,IF(SUM($C782:S782)&gt;0,R388+1,0),0)</f>
        <v>6</v>
      </c>
      <c r="T388" s="208">
        <f>IF(T$2&lt;=AnalysisPeriod,IF(SUM($C782:T782)&gt;0,S388+1,0),0)</f>
        <v>7</v>
      </c>
      <c r="U388" s="208">
        <f>IF(U$2&lt;=AnalysisPeriod,IF(SUM($C782:U782)&gt;0,T388+1,0),0)</f>
        <v>8</v>
      </c>
      <c r="V388" s="208">
        <f>IF(V$2&lt;=AnalysisPeriod,IF(SUM($C782:V782)&gt;0,U388+1,0),0)</f>
        <v>9</v>
      </c>
      <c r="W388" s="208">
        <f>IF(W$2&lt;=AnalysisPeriod,IF(SUM($C782:W782)&gt;0,V388+1,0),0)</f>
        <v>10</v>
      </c>
      <c r="X388" s="208">
        <f>IF(X$2&lt;=AnalysisPeriod,IF(SUM($C782:X782)&gt;0,W388+1,0),0)</f>
        <v>11</v>
      </c>
      <c r="Y388" s="208">
        <f>IF(Y$2&lt;=AnalysisPeriod,IF(SUM($C782:Y782)&gt;0,X388+1,0),0)</f>
        <v>12</v>
      </c>
      <c r="Z388" s="208">
        <f>IF(Z$2&lt;=AnalysisPeriod,IF(SUM($C782:Z782)&gt;0,Y388+1,0),0)</f>
        <v>13</v>
      </c>
      <c r="AA388" s="208">
        <f>IF(AA$2&lt;=AnalysisPeriod,IF(SUM($C782:AA782)&gt;0,Z388+1,0),0)</f>
        <v>14</v>
      </c>
      <c r="AB388" s="208">
        <f>IF(AB$2&lt;=AnalysisPeriod,IF(SUM($C782:AB782)&gt;0,AA388+1,0),0)</f>
        <v>15</v>
      </c>
      <c r="AC388" s="208">
        <f>IF(AC$2&lt;=AnalysisPeriod,IF(SUM($C782:AC782)&gt;0,AB388+1,0),0)</f>
        <v>16</v>
      </c>
      <c r="AD388" s="208">
        <f>IF(AD$2&lt;=AnalysisPeriod,IF(SUM($C782:AD782)&gt;0,AC388+1,0),0)</f>
        <v>17</v>
      </c>
      <c r="AE388" s="208">
        <f>IF(AE$2&lt;=AnalysisPeriod,IF(SUM($C782:AE782)&gt;0,AD388+1,0),0)</f>
        <v>18</v>
      </c>
      <c r="AF388" s="208">
        <f>IF(AF$2&lt;=AnalysisPeriod,IF(SUM($C782:AF782)&gt;0,AE388+1,0),0)</f>
        <v>19</v>
      </c>
      <c r="AG388" s="208">
        <f>IF(AG$2&lt;=AnalysisPeriod,IF(SUM($C782:AG782)&gt;0,AF388+1,0),0)</f>
        <v>0</v>
      </c>
      <c r="AH388" s="208">
        <f>IF(AH$2&lt;=AnalysisPeriod,IF(SUM($C782:AH782)&gt;0,AG388+1,0),0)</f>
        <v>0</v>
      </c>
      <c r="AI388" s="208">
        <f>IF(AI$2&lt;=AnalysisPeriod,IF(SUM($C782:AI782)&gt;0,AH388+1,0),0)</f>
        <v>0</v>
      </c>
      <c r="AJ388" s="208">
        <f>IF(AJ$2&lt;=AnalysisPeriod,IF(SUM($C782:AJ782)&gt;0,AI388+1,0),0)</f>
        <v>0</v>
      </c>
      <c r="AK388" s="208">
        <f>IF(AK$2&lt;=AnalysisPeriod,IF(SUM($C782:AK782)&gt;0,AJ388+1,0),0)</f>
        <v>0</v>
      </c>
      <c r="AL388" s="208">
        <f>IF(AL$2&lt;=AnalysisPeriod,IF(SUM($C782:AL782)&gt;0,AK388+1,0),0)</f>
        <v>0</v>
      </c>
      <c r="AM388" s="208">
        <f>IF(AM$2&lt;=AnalysisPeriod,IF(SUM($C782:AM782)&gt;0,AL388+1,0),0)</f>
        <v>0</v>
      </c>
      <c r="AN388" s="208">
        <f>IF(AN$2&lt;=AnalysisPeriod,IF(SUM($C782:AN782)&gt;0,AM388+1,0),0)</f>
        <v>0</v>
      </c>
      <c r="AO388" s="208">
        <f>IF(AO$2&lt;=AnalysisPeriod,IF(SUM($C782:AO782)&gt;0,AN388+1,0),0)</f>
        <v>0</v>
      </c>
      <c r="AP388" s="208">
        <f>IF(AP$2&lt;=AnalysisPeriod,IF(SUM($C782:AP782)&gt;0,AO388+1,0),0)</f>
        <v>0</v>
      </c>
    </row>
    <row r="389" spans="1:42">
      <c r="A389" s="119">
        <f t="shared" si="909"/>
        <v>5</v>
      </c>
      <c r="C389" s="208">
        <f>IF(C$2&lt;=AnalysisPeriod,IF(SUM($C783:C783)&gt;0,B389+1,0),0)</f>
        <v>0</v>
      </c>
      <c r="D389" s="208">
        <f>IF(D$2&lt;=AnalysisPeriod,IF(SUM($C783:D783)&gt;0,C389+1,0),0)</f>
        <v>0</v>
      </c>
      <c r="E389" s="208">
        <f>IF(E$2&lt;=AnalysisPeriod,IF(SUM($C783:E783)&gt;0,D389+1,0),0)</f>
        <v>0</v>
      </c>
      <c r="F389" s="208">
        <f>IF(F$2&lt;=AnalysisPeriod,IF(SUM($C783:F783)&gt;0,E389+1,0),0)</f>
        <v>0</v>
      </c>
      <c r="G389" s="208">
        <f>IF(G$2&lt;=AnalysisPeriod,IF(SUM($C783:G783)&gt;0,F389+1,0),0)</f>
        <v>0</v>
      </c>
      <c r="H389" s="208">
        <f>IF(H$2&lt;=AnalysisPeriod,IF(SUM($C783:H783)&gt;0,G389+1,0),0)</f>
        <v>0</v>
      </c>
      <c r="I389" s="208">
        <f>IF(I$2&lt;=AnalysisPeriod,IF(SUM($C783:I783)&gt;0,H389+1,0),0)</f>
        <v>0</v>
      </c>
      <c r="J389" s="208">
        <f>IF(J$2&lt;=AnalysisPeriod,IF(SUM($C783:J783)&gt;0,I389+1,0),0)</f>
        <v>0</v>
      </c>
      <c r="K389" s="208">
        <f>IF(K$2&lt;=AnalysisPeriod,IF(SUM($C783:K783)&gt;0,J389+1,0),0)</f>
        <v>0</v>
      </c>
      <c r="L389" s="208">
        <f>IF(L$2&lt;=AnalysisPeriod,IF(SUM($C783:L783)&gt;0,K389+1,0),0)</f>
        <v>0</v>
      </c>
      <c r="M389" s="208">
        <f>IF(M$2&lt;=AnalysisPeriod,IF(SUM($C783:M783)&gt;0,L389+1,0),0)</f>
        <v>0</v>
      </c>
      <c r="N389" s="208">
        <f>IF(N$2&lt;=AnalysisPeriod,IF(SUM($C783:N783)&gt;0,M389+1,0),0)</f>
        <v>0</v>
      </c>
      <c r="O389" s="208">
        <f>IF(O$2&lt;=AnalysisPeriod,IF(SUM($C783:O783)&gt;0,N389+1,0),0)</f>
        <v>0</v>
      </c>
      <c r="P389" s="208">
        <f>IF(P$2&lt;=AnalysisPeriod,IF(SUM($C783:P783)&gt;0,O389+1,0),0)</f>
        <v>0</v>
      </c>
      <c r="Q389" s="208">
        <f>IF(Q$2&lt;=AnalysisPeriod,IF(SUM($C783:Q783)&gt;0,P389+1,0),0)</f>
        <v>1</v>
      </c>
      <c r="R389" s="208">
        <f>IF(R$2&lt;=AnalysisPeriod,IF(SUM($C783:R783)&gt;0,Q389+1,0),0)</f>
        <v>2</v>
      </c>
      <c r="S389" s="208">
        <f>IF(S$2&lt;=AnalysisPeriod,IF(SUM($C783:S783)&gt;0,R389+1,0),0)</f>
        <v>3</v>
      </c>
      <c r="T389" s="208">
        <f>IF(T$2&lt;=AnalysisPeriod,IF(SUM($C783:T783)&gt;0,S389+1,0),0)</f>
        <v>4</v>
      </c>
      <c r="U389" s="208">
        <f>IF(U$2&lt;=AnalysisPeriod,IF(SUM($C783:U783)&gt;0,T389+1,0),0)</f>
        <v>5</v>
      </c>
      <c r="V389" s="208">
        <f>IF(V$2&lt;=AnalysisPeriod,IF(SUM($C783:V783)&gt;0,U389+1,0),0)</f>
        <v>6</v>
      </c>
      <c r="W389" s="208">
        <f>IF(W$2&lt;=AnalysisPeriod,IF(SUM($C783:W783)&gt;0,V389+1,0),0)</f>
        <v>7</v>
      </c>
      <c r="X389" s="208">
        <f>IF(X$2&lt;=AnalysisPeriod,IF(SUM($C783:X783)&gt;0,W389+1,0),0)</f>
        <v>8</v>
      </c>
      <c r="Y389" s="208">
        <f>IF(Y$2&lt;=AnalysisPeriod,IF(SUM($C783:Y783)&gt;0,X389+1,0),0)</f>
        <v>9</v>
      </c>
      <c r="Z389" s="208">
        <f>IF(Z$2&lt;=AnalysisPeriod,IF(SUM($C783:Z783)&gt;0,Y389+1,0),0)</f>
        <v>10</v>
      </c>
      <c r="AA389" s="208">
        <f>IF(AA$2&lt;=AnalysisPeriod,IF(SUM($C783:AA783)&gt;0,Z389+1,0),0)</f>
        <v>11</v>
      </c>
      <c r="AB389" s="208">
        <f>IF(AB$2&lt;=AnalysisPeriod,IF(SUM($C783:AB783)&gt;0,AA389+1,0),0)</f>
        <v>12</v>
      </c>
      <c r="AC389" s="208">
        <f>IF(AC$2&lt;=AnalysisPeriod,IF(SUM($C783:AC783)&gt;0,AB389+1,0),0)</f>
        <v>13</v>
      </c>
      <c r="AD389" s="208">
        <f>IF(AD$2&lt;=AnalysisPeriod,IF(SUM($C783:AD783)&gt;0,AC389+1,0),0)</f>
        <v>14</v>
      </c>
      <c r="AE389" s="208">
        <f>IF(AE$2&lt;=AnalysisPeriod,IF(SUM($C783:AE783)&gt;0,AD389+1,0),0)</f>
        <v>15</v>
      </c>
      <c r="AF389" s="208">
        <f>IF(AF$2&lt;=AnalysisPeriod,IF(SUM($C783:AF783)&gt;0,AE389+1,0),0)</f>
        <v>16</v>
      </c>
      <c r="AG389" s="208">
        <f>IF(AG$2&lt;=AnalysisPeriod,IF(SUM($C783:AG783)&gt;0,AF389+1,0),0)</f>
        <v>0</v>
      </c>
      <c r="AH389" s="208">
        <f>IF(AH$2&lt;=AnalysisPeriod,IF(SUM($C783:AH783)&gt;0,AG389+1,0),0)</f>
        <v>0</v>
      </c>
      <c r="AI389" s="208">
        <f>IF(AI$2&lt;=AnalysisPeriod,IF(SUM($C783:AI783)&gt;0,AH389+1,0),0)</f>
        <v>0</v>
      </c>
      <c r="AJ389" s="208">
        <f>IF(AJ$2&lt;=AnalysisPeriod,IF(SUM($C783:AJ783)&gt;0,AI389+1,0),0)</f>
        <v>0</v>
      </c>
      <c r="AK389" s="208">
        <f>IF(AK$2&lt;=AnalysisPeriod,IF(SUM($C783:AK783)&gt;0,AJ389+1,0),0)</f>
        <v>0</v>
      </c>
      <c r="AL389" s="208">
        <f>IF(AL$2&lt;=AnalysisPeriod,IF(SUM($C783:AL783)&gt;0,AK389+1,0),0)</f>
        <v>0</v>
      </c>
      <c r="AM389" s="208">
        <f>IF(AM$2&lt;=AnalysisPeriod,IF(SUM($C783:AM783)&gt;0,AL389+1,0),0)</f>
        <v>0</v>
      </c>
      <c r="AN389" s="208">
        <f>IF(AN$2&lt;=AnalysisPeriod,IF(SUM($C783:AN783)&gt;0,AM389+1,0),0)</f>
        <v>0</v>
      </c>
      <c r="AO389" s="208">
        <f>IF(AO$2&lt;=AnalysisPeriod,IF(SUM($C783:AO783)&gt;0,AN389+1,0),0)</f>
        <v>0</v>
      </c>
      <c r="AP389" s="208">
        <f>IF(AP$2&lt;=AnalysisPeriod,IF(SUM($C783:AP783)&gt;0,AO389+1,0),0)</f>
        <v>0</v>
      </c>
    </row>
    <row r="390" spans="1:42">
      <c r="A390" s="119">
        <f t="shared" si="909"/>
        <v>6</v>
      </c>
      <c r="C390" s="208">
        <f>IF(C$2&lt;=AnalysisPeriod,IF(SUM($C784:C784)&gt;0,B390+1,0),0)</f>
        <v>0</v>
      </c>
      <c r="D390" s="208">
        <f>IF(D$2&lt;=AnalysisPeriod,IF(SUM($C784:D784)&gt;0,C390+1,0),0)</f>
        <v>0</v>
      </c>
      <c r="E390" s="208">
        <f>IF(E$2&lt;=AnalysisPeriod,IF(SUM($C784:E784)&gt;0,D390+1,0),0)</f>
        <v>0</v>
      </c>
      <c r="F390" s="208">
        <f>IF(F$2&lt;=AnalysisPeriod,IF(SUM($C784:F784)&gt;0,E390+1,0),0)</f>
        <v>0</v>
      </c>
      <c r="G390" s="208">
        <f>IF(G$2&lt;=AnalysisPeriod,IF(SUM($C784:G784)&gt;0,F390+1,0),0)</f>
        <v>0</v>
      </c>
      <c r="H390" s="208">
        <f>IF(H$2&lt;=AnalysisPeriod,IF(SUM($C784:H784)&gt;0,G390+1,0),0)</f>
        <v>0</v>
      </c>
      <c r="I390" s="208">
        <f>IF(I$2&lt;=AnalysisPeriod,IF(SUM($C784:I784)&gt;0,H390+1,0),0)</f>
        <v>0</v>
      </c>
      <c r="J390" s="208">
        <f>IF(J$2&lt;=AnalysisPeriod,IF(SUM($C784:J784)&gt;0,I390+1,0),0)</f>
        <v>0</v>
      </c>
      <c r="K390" s="208">
        <f>IF(K$2&lt;=AnalysisPeriod,IF(SUM($C784:K784)&gt;0,J390+1,0),0)</f>
        <v>0</v>
      </c>
      <c r="L390" s="208">
        <f>IF(L$2&lt;=AnalysisPeriod,IF(SUM($C784:L784)&gt;0,K390+1,0),0)</f>
        <v>0</v>
      </c>
      <c r="M390" s="208">
        <f>IF(M$2&lt;=AnalysisPeriod,IF(SUM($C784:M784)&gt;0,L390+1,0),0)</f>
        <v>0</v>
      </c>
      <c r="N390" s="208">
        <f>IF(N$2&lt;=AnalysisPeriod,IF(SUM($C784:N784)&gt;0,M390+1,0),0)</f>
        <v>0</v>
      </c>
      <c r="O390" s="208">
        <f>IF(O$2&lt;=AnalysisPeriod,IF(SUM($C784:O784)&gt;0,N390+1,0),0)</f>
        <v>0</v>
      </c>
      <c r="P390" s="208">
        <f>IF(P$2&lt;=AnalysisPeriod,IF(SUM($C784:P784)&gt;0,O390+1,0),0)</f>
        <v>0</v>
      </c>
      <c r="Q390" s="208">
        <f>IF(Q$2&lt;=AnalysisPeriod,IF(SUM($C784:Q784)&gt;0,P390+1,0),0)</f>
        <v>0</v>
      </c>
      <c r="R390" s="208">
        <f>IF(R$2&lt;=AnalysisPeriod,IF(SUM($C784:R784)&gt;0,Q390+1,0),0)</f>
        <v>0</v>
      </c>
      <c r="S390" s="208">
        <f>IF(S$2&lt;=AnalysisPeriod,IF(SUM($C784:S784)&gt;0,R390+1,0),0)</f>
        <v>0</v>
      </c>
      <c r="T390" s="208">
        <f>IF(T$2&lt;=AnalysisPeriod,IF(SUM($C784:T784)&gt;0,S390+1,0),0)</f>
        <v>1</v>
      </c>
      <c r="U390" s="208">
        <f>IF(U$2&lt;=AnalysisPeriod,IF(SUM($C784:U784)&gt;0,T390+1,0),0)</f>
        <v>2</v>
      </c>
      <c r="V390" s="208">
        <f>IF(V$2&lt;=AnalysisPeriod,IF(SUM($C784:V784)&gt;0,U390+1,0),0)</f>
        <v>3</v>
      </c>
      <c r="W390" s="208">
        <f>IF(W$2&lt;=AnalysisPeriod,IF(SUM($C784:W784)&gt;0,V390+1,0),0)</f>
        <v>4</v>
      </c>
      <c r="X390" s="208">
        <f>IF(X$2&lt;=AnalysisPeriod,IF(SUM($C784:X784)&gt;0,W390+1,0),0)</f>
        <v>5</v>
      </c>
      <c r="Y390" s="208">
        <f>IF(Y$2&lt;=AnalysisPeriod,IF(SUM($C784:Y784)&gt;0,X390+1,0),0)</f>
        <v>6</v>
      </c>
      <c r="Z390" s="208">
        <f>IF(Z$2&lt;=AnalysisPeriod,IF(SUM($C784:Z784)&gt;0,Y390+1,0),0)</f>
        <v>7</v>
      </c>
      <c r="AA390" s="208">
        <f>IF(AA$2&lt;=AnalysisPeriod,IF(SUM($C784:AA784)&gt;0,Z390+1,0),0)</f>
        <v>8</v>
      </c>
      <c r="AB390" s="208">
        <f>IF(AB$2&lt;=AnalysisPeriod,IF(SUM($C784:AB784)&gt;0,AA390+1,0),0)</f>
        <v>9</v>
      </c>
      <c r="AC390" s="208">
        <f>IF(AC$2&lt;=AnalysisPeriod,IF(SUM($C784:AC784)&gt;0,AB390+1,0),0)</f>
        <v>10</v>
      </c>
      <c r="AD390" s="208">
        <f>IF(AD$2&lt;=AnalysisPeriod,IF(SUM($C784:AD784)&gt;0,AC390+1,0),0)</f>
        <v>11</v>
      </c>
      <c r="AE390" s="208">
        <f>IF(AE$2&lt;=AnalysisPeriod,IF(SUM($C784:AE784)&gt;0,AD390+1,0),0)</f>
        <v>12</v>
      </c>
      <c r="AF390" s="208">
        <f>IF(AF$2&lt;=AnalysisPeriod,IF(SUM($C784:AF784)&gt;0,AE390+1,0),0)</f>
        <v>13</v>
      </c>
      <c r="AG390" s="208">
        <f>IF(AG$2&lt;=AnalysisPeriod,IF(SUM($C784:AG784)&gt;0,AF390+1,0),0)</f>
        <v>0</v>
      </c>
      <c r="AH390" s="208">
        <f>IF(AH$2&lt;=AnalysisPeriod,IF(SUM($C784:AH784)&gt;0,AG390+1,0),0)</f>
        <v>0</v>
      </c>
      <c r="AI390" s="208">
        <f>IF(AI$2&lt;=AnalysisPeriod,IF(SUM($C784:AI784)&gt;0,AH390+1,0),0)</f>
        <v>0</v>
      </c>
      <c r="AJ390" s="208">
        <f>IF(AJ$2&lt;=AnalysisPeriod,IF(SUM($C784:AJ784)&gt;0,AI390+1,0),0)</f>
        <v>0</v>
      </c>
      <c r="AK390" s="208">
        <f>IF(AK$2&lt;=AnalysisPeriod,IF(SUM($C784:AK784)&gt;0,AJ390+1,0),0)</f>
        <v>0</v>
      </c>
      <c r="AL390" s="208">
        <f>IF(AL$2&lt;=AnalysisPeriod,IF(SUM($C784:AL784)&gt;0,AK390+1,0),0)</f>
        <v>0</v>
      </c>
      <c r="AM390" s="208">
        <f>IF(AM$2&lt;=AnalysisPeriod,IF(SUM($C784:AM784)&gt;0,AL390+1,0),0)</f>
        <v>0</v>
      </c>
      <c r="AN390" s="208">
        <f>IF(AN$2&lt;=AnalysisPeriod,IF(SUM($C784:AN784)&gt;0,AM390+1,0),0)</f>
        <v>0</v>
      </c>
      <c r="AO390" s="208">
        <f>IF(AO$2&lt;=AnalysisPeriod,IF(SUM($C784:AO784)&gt;0,AN390+1,0),0)</f>
        <v>0</v>
      </c>
      <c r="AP390" s="208">
        <f>IF(AP$2&lt;=AnalysisPeriod,IF(SUM($C784:AP784)&gt;0,AO390+1,0),0)</f>
        <v>0</v>
      </c>
    </row>
    <row r="391" spans="1:42">
      <c r="A391" s="119">
        <f t="shared" si="909"/>
        <v>7</v>
      </c>
      <c r="C391" s="208">
        <f>IF(C$2&lt;=AnalysisPeriod,IF(SUM($C785:C785)&gt;0,B391+1,0),0)</f>
        <v>0</v>
      </c>
      <c r="D391" s="208">
        <f>IF(D$2&lt;=AnalysisPeriod,IF(SUM($C785:D785)&gt;0,C391+1,0),0)</f>
        <v>0</v>
      </c>
      <c r="E391" s="208">
        <f>IF(E$2&lt;=AnalysisPeriod,IF(SUM($C785:E785)&gt;0,D391+1,0),0)</f>
        <v>0</v>
      </c>
      <c r="F391" s="208">
        <f>IF(F$2&lt;=AnalysisPeriod,IF(SUM($C785:F785)&gt;0,E391+1,0),0)</f>
        <v>0</v>
      </c>
      <c r="G391" s="208">
        <f>IF(G$2&lt;=AnalysisPeriod,IF(SUM($C785:G785)&gt;0,F391+1,0),0)</f>
        <v>0</v>
      </c>
      <c r="H391" s="208">
        <f>IF(H$2&lt;=AnalysisPeriod,IF(SUM($C785:H785)&gt;0,G391+1,0),0)</f>
        <v>0</v>
      </c>
      <c r="I391" s="208">
        <f>IF(I$2&lt;=AnalysisPeriod,IF(SUM($C785:I785)&gt;0,H391+1,0),0)</f>
        <v>0</v>
      </c>
      <c r="J391" s="208">
        <f>IF(J$2&lt;=AnalysisPeriod,IF(SUM($C785:J785)&gt;0,I391+1,0),0)</f>
        <v>0</v>
      </c>
      <c r="K391" s="208">
        <f>IF(K$2&lt;=AnalysisPeriod,IF(SUM($C785:K785)&gt;0,J391+1,0),0)</f>
        <v>0</v>
      </c>
      <c r="L391" s="208">
        <f>IF(L$2&lt;=AnalysisPeriod,IF(SUM($C785:L785)&gt;0,K391+1,0),0)</f>
        <v>0</v>
      </c>
      <c r="M391" s="208">
        <f>IF(M$2&lt;=AnalysisPeriod,IF(SUM($C785:M785)&gt;0,L391+1,0),0)</f>
        <v>0</v>
      </c>
      <c r="N391" s="208">
        <f>IF(N$2&lt;=AnalysisPeriod,IF(SUM($C785:N785)&gt;0,M391+1,0),0)</f>
        <v>0</v>
      </c>
      <c r="O391" s="208">
        <f>IF(O$2&lt;=AnalysisPeriod,IF(SUM($C785:O785)&gt;0,N391+1,0),0)</f>
        <v>0</v>
      </c>
      <c r="P391" s="208">
        <f>IF(P$2&lt;=AnalysisPeriod,IF(SUM($C785:P785)&gt;0,O391+1,0),0)</f>
        <v>0</v>
      </c>
      <c r="Q391" s="208">
        <f>IF(Q$2&lt;=AnalysisPeriod,IF(SUM($C785:Q785)&gt;0,P391+1,0),0)</f>
        <v>0</v>
      </c>
      <c r="R391" s="208">
        <f>IF(R$2&lt;=AnalysisPeriod,IF(SUM($C785:R785)&gt;0,Q391+1,0),0)</f>
        <v>0</v>
      </c>
      <c r="S391" s="208">
        <f>IF(S$2&lt;=AnalysisPeriod,IF(SUM($C785:S785)&gt;0,R391+1,0),0)</f>
        <v>0</v>
      </c>
      <c r="T391" s="208">
        <f>IF(T$2&lt;=AnalysisPeriod,IF(SUM($C785:T785)&gt;0,S391+1,0),0)</f>
        <v>0</v>
      </c>
      <c r="U391" s="208">
        <f>IF(U$2&lt;=AnalysisPeriod,IF(SUM($C785:U785)&gt;0,T391+1,0),0)</f>
        <v>0</v>
      </c>
      <c r="V391" s="208">
        <f>IF(V$2&lt;=AnalysisPeriod,IF(SUM($C785:V785)&gt;0,U391+1,0),0)</f>
        <v>0</v>
      </c>
      <c r="W391" s="208">
        <f>IF(W$2&lt;=AnalysisPeriod,IF(SUM($C785:W785)&gt;0,V391+1,0),0)</f>
        <v>1</v>
      </c>
      <c r="X391" s="208">
        <f>IF(X$2&lt;=AnalysisPeriod,IF(SUM($C785:X785)&gt;0,W391+1,0),0)</f>
        <v>2</v>
      </c>
      <c r="Y391" s="208">
        <f>IF(Y$2&lt;=AnalysisPeriod,IF(SUM($C785:Y785)&gt;0,X391+1,0),0)</f>
        <v>3</v>
      </c>
      <c r="Z391" s="208">
        <f>IF(Z$2&lt;=AnalysisPeriod,IF(SUM($C785:Z785)&gt;0,Y391+1,0),0)</f>
        <v>4</v>
      </c>
      <c r="AA391" s="208">
        <f>IF(AA$2&lt;=AnalysisPeriod,IF(SUM($C785:AA785)&gt;0,Z391+1,0),0)</f>
        <v>5</v>
      </c>
      <c r="AB391" s="208">
        <f>IF(AB$2&lt;=AnalysisPeriod,IF(SUM($C785:AB785)&gt;0,AA391+1,0),0)</f>
        <v>6</v>
      </c>
      <c r="AC391" s="208">
        <f>IF(AC$2&lt;=AnalysisPeriod,IF(SUM($C785:AC785)&gt;0,AB391+1,0),0)</f>
        <v>7</v>
      </c>
      <c r="AD391" s="208">
        <f>IF(AD$2&lt;=AnalysisPeriod,IF(SUM($C785:AD785)&gt;0,AC391+1,0),0)</f>
        <v>8</v>
      </c>
      <c r="AE391" s="208">
        <f>IF(AE$2&lt;=AnalysisPeriod,IF(SUM($C785:AE785)&gt;0,AD391+1,0),0)</f>
        <v>9</v>
      </c>
      <c r="AF391" s="208">
        <f>IF(AF$2&lt;=AnalysisPeriod,IF(SUM($C785:AF785)&gt;0,AE391+1,0),0)</f>
        <v>10</v>
      </c>
      <c r="AG391" s="208">
        <f>IF(AG$2&lt;=AnalysisPeriod,IF(SUM($C785:AG785)&gt;0,AF391+1,0),0)</f>
        <v>0</v>
      </c>
      <c r="AH391" s="208">
        <f>IF(AH$2&lt;=AnalysisPeriod,IF(SUM($C785:AH785)&gt;0,AG391+1,0),0)</f>
        <v>0</v>
      </c>
      <c r="AI391" s="208">
        <f>IF(AI$2&lt;=AnalysisPeriod,IF(SUM($C785:AI785)&gt;0,AH391+1,0),0)</f>
        <v>0</v>
      </c>
      <c r="AJ391" s="208">
        <f>IF(AJ$2&lt;=AnalysisPeriod,IF(SUM($C785:AJ785)&gt;0,AI391+1,0),0)</f>
        <v>0</v>
      </c>
      <c r="AK391" s="208">
        <f>IF(AK$2&lt;=AnalysisPeriod,IF(SUM($C785:AK785)&gt;0,AJ391+1,0),0)</f>
        <v>0</v>
      </c>
      <c r="AL391" s="208">
        <f>IF(AL$2&lt;=AnalysisPeriod,IF(SUM($C785:AL785)&gt;0,AK391+1,0),0)</f>
        <v>0</v>
      </c>
      <c r="AM391" s="208">
        <f>IF(AM$2&lt;=AnalysisPeriod,IF(SUM($C785:AM785)&gt;0,AL391+1,0),0)</f>
        <v>0</v>
      </c>
      <c r="AN391" s="208">
        <f>IF(AN$2&lt;=AnalysisPeriod,IF(SUM($C785:AN785)&gt;0,AM391+1,0),0)</f>
        <v>0</v>
      </c>
      <c r="AO391" s="208">
        <f>IF(AO$2&lt;=AnalysisPeriod,IF(SUM($C785:AO785)&gt;0,AN391+1,0),0)</f>
        <v>0</v>
      </c>
      <c r="AP391" s="208">
        <f>IF(AP$2&lt;=AnalysisPeriod,IF(SUM($C785:AP785)&gt;0,AO391+1,0),0)</f>
        <v>0</v>
      </c>
    </row>
    <row r="392" spans="1:42">
      <c r="A392" s="119">
        <f t="shared" si="909"/>
        <v>8</v>
      </c>
      <c r="C392" s="208">
        <f>IF(C$2&lt;=AnalysisPeriod,IF(SUM($C786:C786)&gt;0,B392+1,0),0)</f>
        <v>0</v>
      </c>
      <c r="D392" s="208">
        <f>IF(D$2&lt;=AnalysisPeriod,IF(SUM($C786:D786)&gt;0,C392+1,0),0)</f>
        <v>0</v>
      </c>
      <c r="E392" s="208">
        <f>IF(E$2&lt;=AnalysisPeriod,IF(SUM($C786:E786)&gt;0,D392+1,0),0)</f>
        <v>0</v>
      </c>
      <c r="F392" s="208">
        <f>IF(F$2&lt;=AnalysisPeriod,IF(SUM($C786:F786)&gt;0,E392+1,0),0)</f>
        <v>0</v>
      </c>
      <c r="G392" s="208">
        <f>IF(G$2&lt;=AnalysisPeriod,IF(SUM($C786:G786)&gt;0,F392+1,0),0)</f>
        <v>0</v>
      </c>
      <c r="H392" s="208">
        <f>IF(H$2&lt;=AnalysisPeriod,IF(SUM($C786:H786)&gt;0,G392+1,0),0)</f>
        <v>0</v>
      </c>
      <c r="I392" s="208">
        <f>IF(I$2&lt;=AnalysisPeriod,IF(SUM($C786:I786)&gt;0,H392+1,0),0)</f>
        <v>0</v>
      </c>
      <c r="J392" s="208">
        <f>IF(J$2&lt;=AnalysisPeriod,IF(SUM($C786:J786)&gt;0,I392+1,0),0)</f>
        <v>0</v>
      </c>
      <c r="K392" s="208">
        <f>IF(K$2&lt;=AnalysisPeriod,IF(SUM($C786:K786)&gt;0,J392+1,0),0)</f>
        <v>0</v>
      </c>
      <c r="L392" s="208">
        <f>IF(L$2&lt;=AnalysisPeriod,IF(SUM($C786:L786)&gt;0,K392+1,0),0)</f>
        <v>0</v>
      </c>
      <c r="M392" s="208">
        <f>IF(M$2&lt;=AnalysisPeriod,IF(SUM($C786:M786)&gt;0,L392+1,0),0)</f>
        <v>0</v>
      </c>
      <c r="N392" s="208">
        <f>IF(N$2&lt;=AnalysisPeriod,IF(SUM($C786:N786)&gt;0,M392+1,0),0)</f>
        <v>0</v>
      </c>
      <c r="O392" s="208">
        <f>IF(O$2&lt;=AnalysisPeriod,IF(SUM($C786:O786)&gt;0,N392+1,0),0)</f>
        <v>0</v>
      </c>
      <c r="P392" s="208">
        <f>IF(P$2&lt;=AnalysisPeriod,IF(SUM($C786:P786)&gt;0,O392+1,0),0)</f>
        <v>0</v>
      </c>
      <c r="Q392" s="208">
        <f>IF(Q$2&lt;=AnalysisPeriod,IF(SUM($C786:Q786)&gt;0,P392+1,0),0)</f>
        <v>0</v>
      </c>
      <c r="R392" s="208">
        <f>IF(R$2&lt;=AnalysisPeriod,IF(SUM($C786:R786)&gt;0,Q392+1,0),0)</f>
        <v>0</v>
      </c>
      <c r="S392" s="208">
        <f>IF(S$2&lt;=AnalysisPeriod,IF(SUM($C786:S786)&gt;0,R392+1,0),0)</f>
        <v>0</v>
      </c>
      <c r="T392" s="208">
        <f>IF(T$2&lt;=AnalysisPeriod,IF(SUM($C786:T786)&gt;0,S392+1,0),0)</f>
        <v>0</v>
      </c>
      <c r="U392" s="208">
        <f>IF(U$2&lt;=AnalysisPeriod,IF(SUM($C786:U786)&gt;0,T392+1,0),0)</f>
        <v>0</v>
      </c>
      <c r="V392" s="208">
        <f>IF(V$2&lt;=AnalysisPeriod,IF(SUM($C786:V786)&gt;0,U392+1,0),0)</f>
        <v>0</v>
      </c>
      <c r="W392" s="208">
        <f>IF(W$2&lt;=AnalysisPeriod,IF(SUM($C786:W786)&gt;0,V392+1,0),0)</f>
        <v>0</v>
      </c>
      <c r="X392" s="208">
        <f>IF(X$2&lt;=AnalysisPeriod,IF(SUM($C786:X786)&gt;0,W392+1,0),0)</f>
        <v>0</v>
      </c>
      <c r="Y392" s="208">
        <f>IF(Y$2&lt;=AnalysisPeriod,IF(SUM($C786:Y786)&gt;0,X392+1,0),0)</f>
        <v>0</v>
      </c>
      <c r="Z392" s="208">
        <f>IF(Z$2&lt;=AnalysisPeriod,IF(SUM($C786:Z786)&gt;0,Y392+1,0),0)</f>
        <v>1</v>
      </c>
      <c r="AA392" s="208">
        <f>IF(AA$2&lt;=AnalysisPeriod,IF(SUM($C786:AA786)&gt;0,Z392+1,0),0)</f>
        <v>2</v>
      </c>
      <c r="AB392" s="208">
        <f>IF(AB$2&lt;=AnalysisPeriod,IF(SUM($C786:AB786)&gt;0,AA392+1,0),0)</f>
        <v>3</v>
      </c>
      <c r="AC392" s="208">
        <f>IF(AC$2&lt;=AnalysisPeriod,IF(SUM($C786:AC786)&gt;0,AB392+1,0),0)</f>
        <v>4</v>
      </c>
      <c r="AD392" s="208">
        <f>IF(AD$2&lt;=AnalysisPeriod,IF(SUM($C786:AD786)&gt;0,AC392+1,0),0)</f>
        <v>5</v>
      </c>
      <c r="AE392" s="208">
        <f>IF(AE$2&lt;=AnalysisPeriod,IF(SUM($C786:AE786)&gt;0,AD392+1,0),0)</f>
        <v>6</v>
      </c>
      <c r="AF392" s="208">
        <f>IF(AF$2&lt;=AnalysisPeriod,IF(SUM($C786:AF786)&gt;0,AE392+1,0),0)</f>
        <v>7</v>
      </c>
      <c r="AG392" s="208">
        <f>IF(AG$2&lt;=AnalysisPeriod,IF(SUM($C786:AG786)&gt;0,AF392+1,0),0)</f>
        <v>0</v>
      </c>
      <c r="AH392" s="208">
        <f>IF(AH$2&lt;=AnalysisPeriod,IF(SUM($C786:AH786)&gt;0,AG392+1,0),0)</f>
        <v>0</v>
      </c>
      <c r="AI392" s="208">
        <f>IF(AI$2&lt;=AnalysisPeriod,IF(SUM($C786:AI786)&gt;0,AH392+1,0),0)</f>
        <v>0</v>
      </c>
      <c r="AJ392" s="208">
        <f>IF(AJ$2&lt;=AnalysisPeriod,IF(SUM($C786:AJ786)&gt;0,AI392+1,0),0)</f>
        <v>0</v>
      </c>
      <c r="AK392" s="208">
        <f>IF(AK$2&lt;=AnalysisPeriod,IF(SUM($C786:AK786)&gt;0,AJ392+1,0),0)</f>
        <v>0</v>
      </c>
      <c r="AL392" s="208">
        <f>IF(AL$2&lt;=AnalysisPeriod,IF(SUM($C786:AL786)&gt;0,AK392+1,0),0)</f>
        <v>0</v>
      </c>
      <c r="AM392" s="208">
        <f>IF(AM$2&lt;=AnalysisPeriod,IF(SUM($C786:AM786)&gt;0,AL392+1,0),0)</f>
        <v>0</v>
      </c>
      <c r="AN392" s="208">
        <f>IF(AN$2&lt;=AnalysisPeriod,IF(SUM($C786:AN786)&gt;0,AM392+1,0),0)</f>
        <v>0</v>
      </c>
      <c r="AO392" s="208">
        <f>IF(AO$2&lt;=AnalysisPeriod,IF(SUM($C786:AO786)&gt;0,AN392+1,0),0)</f>
        <v>0</v>
      </c>
      <c r="AP392" s="208">
        <f>IF(AP$2&lt;=AnalysisPeriod,IF(SUM($C786:AP786)&gt;0,AO392+1,0),0)</f>
        <v>0</v>
      </c>
    </row>
    <row r="393" spans="1:42">
      <c r="A393" s="119">
        <f>A392+1</f>
        <v>9</v>
      </c>
      <c r="C393" s="208">
        <f>IF(C$2&lt;=AnalysisPeriod,IF(SUM($C787:C787)&gt;0,B393+1,0),0)</f>
        <v>0</v>
      </c>
      <c r="D393" s="208">
        <f>IF(D$2&lt;=AnalysisPeriod,IF(SUM($C787:D787)&gt;0,C393+1,0),0)</f>
        <v>0</v>
      </c>
      <c r="E393" s="208">
        <f>IF(E$2&lt;=AnalysisPeriod,IF(SUM($C787:E787)&gt;0,D393+1,0),0)</f>
        <v>0</v>
      </c>
      <c r="F393" s="208">
        <f>IF(F$2&lt;=AnalysisPeriod,IF(SUM($C787:F787)&gt;0,E393+1,0),0)</f>
        <v>0</v>
      </c>
      <c r="G393" s="208">
        <f>IF(G$2&lt;=AnalysisPeriod,IF(SUM($C787:G787)&gt;0,F393+1,0),0)</f>
        <v>0</v>
      </c>
      <c r="H393" s="208">
        <f>IF(H$2&lt;=AnalysisPeriod,IF(SUM($C787:H787)&gt;0,G393+1,0),0)</f>
        <v>0</v>
      </c>
      <c r="I393" s="208">
        <f>IF(I$2&lt;=AnalysisPeriod,IF(SUM($C787:I787)&gt;0,H393+1,0),0)</f>
        <v>0</v>
      </c>
      <c r="J393" s="208">
        <f>IF(J$2&lt;=AnalysisPeriod,IF(SUM($C787:J787)&gt;0,I393+1,0),0)</f>
        <v>0</v>
      </c>
      <c r="K393" s="208">
        <f>IF(K$2&lt;=AnalysisPeriod,IF(SUM($C787:K787)&gt;0,J393+1,0),0)</f>
        <v>0</v>
      </c>
      <c r="L393" s="208">
        <f>IF(L$2&lt;=AnalysisPeriod,IF(SUM($C787:L787)&gt;0,K393+1,0),0)</f>
        <v>0</v>
      </c>
      <c r="M393" s="208">
        <f>IF(M$2&lt;=AnalysisPeriod,IF(SUM($C787:M787)&gt;0,L393+1,0),0)</f>
        <v>0</v>
      </c>
      <c r="N393" s="208">
        <f>IF(N$2&lt;=AnalysisPeriod,IF(SUM($C787:N787)&gt;0,M393+1,0),0)</f>
        <v>0</v>
      </c>
      <c r="O393" s="208">
        <f>IF(O$2&lt;=AnalysisPeriod,IF(SUM($C787:O787)&gt;0,N393+1,0),0)</f>
        <v>0</v>
      </c>
      <c r="P393" s="208">
        <f>IF(P$2&lt;=AnalysisPeriod,IF(SUM($C787:P787)&gt;0,O393+1,0),0)</f>
        <v>0</v>
      </c>
      <c r="Q393" s="208">
        <f>IF(Q$2&lt;=AnalysisPeriod,IF(SUM($C787:Q787)&gt;0,P393+1,0),0)</f>
        <v>0</v>
      </c>
      <c r="R393" s="208">
        <f>IF(R$2&lt;=AnalysisPeriod,IF(SUM($C787:R787)&gt;0,Q393+1,0),0)</f>
        <v>0</v>
      </c>
      <c r="S393" s="208">
        <f>IF(S$2&lt;=AnalysisPeriod,IF(SUM($C787:S787)&gt;0,R393+1,0),0)</f>
        <v>0</v>
      </c>
      <c r="T393" s="208">
        <f>IF(T$2&lt;=AnalysisPeriod,IF(SUM($C787:T787)&gt;0,S393+1,0),0)</f>
        <v>0</v>
      </c>
      <c r="U393" s="208">
        <f>IF(U$2&lt;=AnalysisPeriod,IF(SUM($C787:U787)&gt;0,T393+1,0),0)</f>
        <v>0</v>
      </c>
      <c r="V393" s="208">
        <f>IF(V$2&lt;=AnalysisPeriod,IF(SUM($C787:V787)&gt;0,U393+1,0),0)</f>
        <v>0</v>
      </c>
      <c r="W393" s="208">
        <f>IF(W$2&lt;=AnalysisPeriod,IF(SUM($C787:W787)&gt;0,V393+1,0),0)</f>
        <v>0</v>
      </c>
      <c r="X393" s="208">
        <f>IF(X$2&lt;=AnalysisPeriod,IF(SUM($C787:X787)&gt;0,W393+1,0),0)</f>
        <v>0</v>
      </c>
      <c r="Y393" s="208">
        <f>IF(Y$2&lt;=AnalysisPeriod,IF(SUM($C787:Y787)&gt;0,X393+1,0),0)</f>
        <v>0</v>
      </c>
      <c r="Z393" s="208">
        <f>IF(Z$2&lt;=AnalysisPeriod,IF(SUM($C787:Z787)&gt;0,Y393+1,0),0)</f>
        <v>0</v>
      </c>
      <c r="AA393" s="208">
        <f>IF(AA$2&lt;=AnalysisPeriod,IF(SUM($C787:AA787)&gt;0,Z393+1,0),0)</f>
        <v>0</v>
      </c>
      <c r="AB393" s="208">
        <f>IF(AB$2&lt;=AnalysisPeriod,IF(SUM($C787:AB787)&gt;0,AA393+1,0),0)</f>
        <v>0</v>
      </c>
      <c r="AC393" s="208">
        <f>IF(AC$2&lt;=AnalysisPeriod,IF(SUM($C787:AC787)&gt;0,AB393+1,0),0)</f>
        <v>1</v>
      </c>
      <c r="AD393" s="208">
        <f>IF(AD$2&lt;=AnalysisPeriod,IF(SUM($C787:AD787)&gt;0,AC393+1,0),0)</f>
        <v>2</v>
      </c>
      <c r="AE393" s="208">
        <f>IF(AE$2&lt;=AnalysisPeriod,IF(SUM($C787:AE787)&gt;0,AD393+1,0),0)</f>
        <v>3</v>
      </c>
      <c r="AF393" s="208">
        <f>IF(AF$2&lt;=AnalysisPeriod,IF(SUM($C787:AF787)&gt;0,AE393+1,0),0)</f>
        <v>4</v>
      </c>
      <c r="AG393" s="208">
        <f>IF(AG$2&lt;=AnalysisPeriod,IF(SUM($C787:AG787)&gt;0,AF393+1,0),0)</f>
        <v>0</v>
      </c>
      <c r="AH393" s="208">
        <f>IF(AH$2&lt;=AnalysisPeriod,IF(SUM($C787:AH787)&gt;0,AG393+1,0),0)</f>
        <v>0</v>
      </c>
      <c r="AI393" s="208">
        <f>IF(AI$2&lt;=AnalysisPeriod,IF(SUM($C787:AI787)&gt;0,AH393+1,0),0)</f>
        <v>0</v>
      </c>
      <c r="AJ393" s="208">
        <f>IF(AJ$2&lt;=AnalysisPeriod,IF(SUM($C787:AJ787)&gt;0,AI393+1,0),0)</f>
        <v>0</v>
      </c>
      <c r="AK393" s="208">
        <f>IF(AK$2&lt;=AnalysisPeriod,IF(SUM($C787:AK787)&gt;0,AJ393+1,0),0)</f>
        <v>0</v>
      </c>
      <c r="AL393" s="208">
        <f>IF(AL$2&lt;=AnalysisPeriod,IF(SUM($C787:AL787)&gt;0,AK393+1,0),0)</f>
        <v>0</v>
      </c>
      <c r="AM393" s="208">
        <f>IF(AM$2&lt;=AnalysisPeriod,IF(SUM($C787:AM787)&gt;0,AL393+1,0),0)</f>
        <v>0</v>
      </c>
      <c r="AN393" s="208">
        <f>IF(AN$2&lt;=AnalysisPeriod,IF(SUM($C787:AN787)&gt;0,AM393+1,0),0)</f>
        <v>0</v>
      </c>
      <c r="AO393" s="208">
        <f>IF(AO$2&lt;=AnalysisPeriod,IF(SUM($C787:AO787)&gt;0,AN393+1,0),0)</f>
        <v>0</v>
      </c>
      <c r="AP393" s="208">
        <f>IF(AP$2&lt;=AnalysisPeriod,IF(SUM($C787:AP787)&gt;0,AO393+1,0),0)</f>
        <v>0</v>
      </c>
    </row>
    <row r="394" spans="1:42">
      <c r="A394" s="119">
        <f t="shared" si="909"/>
        <v>10</v>
      </c>
      <c r="C394" s="208">
        <f>IF(C$2&lt;=AnalysisPeriod,IF(SUM($C788:C788)&gt;0,B394+1,0),0)</f>
        <v>0</v>
      </c>
      <c r="D394" s="208">
        <f>IF(D$2&lt;=AnalysisPeriod,IF(SUM($C788:D788)&gt;0,C394+1,0),0)</f>
        <v>0</v>
      </c>
      <c r="E394" s="208">
        <f>IF(E$2&lt;=AnalysisPeriod,IF(SUM($C788:E788)&gt;0,D394+1,0),0)</f>
        <v>0</v>
      </c>
      <c r="F394" s="208">
        <f>IF(F$2&lt;=AnalysisPeriod,IF(SUM($C788:F788)&gt;0,E394+1,0),0)</f>
        <v>0</v>
      </c>
      <c r="G394" s="208">
        <f>IF(G$2&lt;=AnalysisPeriod,IF(SUM($C788:G788)&gt;0,F394+1,0),0)</f>
        <v>0</v>
      </c>
      <c r="H394" s="208">
        <f>IF(H$2&lt;=AnalysisPeriod,IF(SUM($C788:H788)&gt;0,G394+1,0),0)</f>
        <v>0</v>
      </c>
      <c r="I394" s="208">
        <f>IF(I$2&lt;=AnalysisPeriod,IF(SUM($C788:I788)&gt;0,H394+1,0),0)</f>
        <v>0</v>
      </c>
      <c r="J394" s="208">
        <f>IF(J$2&lt;=AnalysisPeriod,IF(SUM($C788:J788)&gt;0,I394+1,0),0)</f>
        <v>0</v>
      </c>
      <c r="K394" s="208">
        <f>IF(K$2&lt;=AnalysisPeriod,IF(SUM($C788:K788)&gt;0,J394+1,0),0)</f>
        <v>0</v>
      </c>
      <c r="L394" s="208">
        <f>IF(L$2&lt;=AnalysisPeriod,IF(SUM($C788:L788)&gt;0,K394+1,0),0)</f>
        <v>0</v>
      </c>
      <c r="M394" s="208">
        <f>IF(M$2&lt;=AnalysisPeriod,IF(SUM($C788:M788)&gt;0,L394+1,0),0)</f>
        <v>0</v>
      </c>
      <c r="N394" s="208">
        <f>IF(N$2&lt;=AnalysisPeriod,IF(SUM($C788:N788)&gt;0,M394+1,0),0)</f>
        <v>0</v>
      </c>
      <c r="O394" s="208">
        <f>IF(O$2&lt;=AnalysisPeriod,IF(SUM($C788:O788)&gt;0,N394+1,0),0)</f>
        <v>0</v>
      </c>
      <c r="P394" s="208">
        <f>IF(P$2&lt;=AnalysisPeriod,IF(SUM($C788:P788)&gt;0,O394+1,0),0)</f>
        <v>0</v>
      </c>
      <c r="Q394" s="208">
        <f>IF(Q$2&lt;=AnalysisPeriod,IF(SUM($C788:Q788)&gt;0,P394+1,0),0)</f>
        <v>0</v>
      </c>
      <c r="R394" s="208">
        <f>IF(R$2&lt;=AnalysisPeriod,IF(SUM($C788:R788)&gt;0,Q394+1,0),0)</f>
        <v>0</v>
      </c>
      <c r="S394" s="208">
        <f>IF(S$2&lt;=AnalysisPeriod,IF(SUM($C788:S788)&gt;0,R394+1,0),0)</f>
        <v>0</v>
      </c>
      <c r="T394" s="208">
        <f>IF(T$2&lt;=AnalysisPeriod,IF(SUM($C788:T788)&gt;0,S394+1,0),0)</f>
        <v>0</v>
      </c>
      <c r="U394" s="208">
        <f>IF(U$2&lt;=AnalysisPeriod,IF(SUM($C788:U788)&gt;0,T394+1,0),0)</f>
        <v>0</v>
      </c>
      <c r="V394" s="208">
        <f>IF(V$2&lt;=AnalysisPeriod,IF(SUM($C788:V788)&gt;0,U394+1,0),0)</f>
        <v>0</v>
      </c>
      <c r="W394" s="208">
        <f>IF(W$2&lt;=AnalysisPeriod,IF(SUM($C788:W788)&gt;0,V394+1,0),0)</f>
        <v>0</v>
      </c>
      <c r="X394" s="208">
        <f>IF(X$2&lt;=AnalysisPeriod,IF(SUM($C788:X788)&gt;0,W394+1,0),0)</f>
        <v>0</v>
      </c>
      <c r="Y394" s="208">
        <f>IF(Y$2&lt;=AnalysisPeriod,IF(SUM($C788:Y788)&gt;0,X394+1,0),0)</f>
        <v>0</v>
      </c>
      <c r="Z394" s="208">
        <f>IF(Z$2&lt;=AnalysisPeriod,IF(SUM($C788:Z788)&gt;0,Y394+1,0),0)</f>
        <v>0</v>
      </c>
      <c r="AA394" s="208">
        <f>IF(AA$2&lt;=AnalysisPeriod,IF(SUM($C788:AA788)&gt;0,Z394+1,0),0)</f>
        <v>0</v>
      </c>
      <c r="AB394" s="208">
        <f>IF(AB$2&lt;=AnalysisPeriod,IF(SUM($C788:AB788)&gt;0,AA394+1,0),0)</f>
        <v>0</v>
      </c>
      <c r="AC394" s="208">
        <f>IF(AC$2&lt;=AnalysisPeriod,IF(SUM($C788:AC788)&gt;0,AB394+1,0),0)</f>
        <v>0</v>
      </c>
      <c r="AD394" s="208">
        <f>IF(AD$2&lt;=AnalysisPeriod,IF(SUM($C788:AD788)&gt;0,AC394+1,0),0)</f>
        <v>0</v>
      </c>
      <c r="AE394" s="208">
        <f>IF(AE$2&lt;=AnalysisPeriod,IF(SUM($C788:AE788)&gt;0,AD394+1,0),0)</f>
        <v>0</v>
      </c>
      <c r="AF394" s="208">
        <f>IF(AF$2&lt;=AnalysisPeriod,IF(SUM($C788:AF788)&gt;0,AE394+1,0),0)</f>
        <v>1</v>
      </c>
      <c r="AG394" s="208">
        <f>IF(AG$2&lt;=AnalysisPeriod,IF(SUM($C788:AG788)&gt;0,AF394+1,0),0)</f>
        <v>0</v>
      </c>
      <c r="AH394" s="208">
        <f>IF(AH$2&lt;=AnalysisPeriod,IF(SUM($C788:AH788)&gt;0,AG394+1,0),0)</f>
        <v>0</v>
      </c>
      <c r="AI394" s="208">
        <f>IF(AI$2&lt;=AnalysisPeriod,IF(SUM($C788:AI788)&gt;0,AH394+1,0),0)</f>
        <v>0</v>
      </c>
      <c r="AJ394" s="208">
        <f>IF(AJ$2&lt;=AnalysisPeriod,IF(SUM($C788:AJ788)&gt;0,AI394+1,0),0)</f>
        <v>0</v>
      </c>
      <c r="AK394" s="208">
        <f>IF(AK$2&lt;=AnalysisPeriod,IF(SUM($C788:AK788)&gt;0,AJ394+1,0),0)</f>
        <v>0</v>
      </c>
      <c r="AL394" s="208">
        <f>IF(AL$2&lt;=AnalysisPeriod,IF(SUM($C788:AL788)&gt;0,AK394+1,0),0)</f>
        <v>0</v>
      </c>
      <c r="AM394" s="208">
        <f>IF(AM$2&lt;=AnalysisPeriod,IF(SUM($C788:AM788)&gt;0,AL394+1,0),0)</f>
        <v>0</v>
      </c>
      <c r="AN394" s="208">
        <f>IF(AN$2&lt;=AnalysisPeriod,IF(SUM($C788:AN788)&gt;0,AM394+1,0),0)</f>
        <v>0</v>
      </c>
      <c r="AO394" s="208">
        <f>IF(AO$2&lt;=AnalysisPeriod,IF(SUM($C788:AO788)&gt;0,AN394+1,0),0)</f>
        <v>0</v>
      </c>
      <c r="AP394" s="208">
        <f>IF(AP$2&lt;=AnalysisPeriod,IF(SUM($C788:AP788)&gt;0,AO394+1,0),0)</f>
        <v>0</v>
      </c>
    </row>
    <row r="395" spans="1:42">
      <c r="A395" s="226"/>
      <c r="C395" s="208"/>
      <c r="D395" s="208"/>
      <c r="E395" s="208"/>
      <c r="F395" s="208"/>
      <c r="G395" s="208"/>
      <c r="H395" s="208"/>
      <c r="I395" s="208"/>
      <c r="J395" s="208"/>
      <c r="K395" s="208"/>
      <c r="L395" s="208"/>
      <c r="M395" s="208"/>
      <c r="N395" s="208"/>
      <c r="O395" s="208"/>
      <c r="P395" s="208"/>
      <c r="Q395" s="208"/>
      <c r="R395" s="208"/>
      <c r="S395" s="208"/>
      <c r="T395" s="208"/>
      <c r="U395" s="208"/>
      <c r="V395" s="208"/>
      <c r="W395" s="208"/>
      <c r="X395" s="208"/>
      <c r="Y395" s="208"/>
      <c r="Z395" s="208"/>
      <c r="AA395" s="208"/>
      <c r="AB395" s="208"/>
      <c r="AC395" s="208"/>
      <c r="AD395" s="208"/>
      <c r="AE395" s="208"/>
      <c r="AF395" s="208"/>
      <c r="AG395" s="208"/>
      <c r="AH395" s="208"/>
      <c r="AI395" s="208"/>
      <c r="AJ395" s="208"/>
      <c r="AK395" s="208"/>
      <c r="AL395" s="208"/>
      <c r="AM395" s="208"/>
      <c r="AN395" s="208"/>
      <c r="AO395" s="208"/>
      <c r="AP395" s="208"/>
    </row>
    <row r="396" spans="1:42">
      <c r="A396" s="226" t="s">
        <v>221</v>
      </c>
      <c r="C396" s="208"/>
      <c r="D396" s="208"/>
      <c r="E396" s="208"/>
      <c r="F396" s="208"/>
      <c r="G396" s="208"/>
      <c r="H396" s="208"/>
      <c r="I396" s="208"/>
      <c r="J396" s="208"/>
      <c r="K396" s="208"/>
      <c r="L396" s="208"/>
      <c r="M396" s="208"/>
      <c r="N396" s="208"/>
      <c r="O396" s="208"/>
      <c r="P396" s="208"/>
      <c r="Q396" s="208"/>
      <c r="R396" s="208"/>
      <c r="S396" s="208"/>
      <c r="T396" s="208"/>
      <c r="U396" s="208"/>
      <c r="V396" s="208"/>
      <c r="W396" s="208"/>
      <c r="X396" s="208"/>
      <c r="Y396" s="208"/>
      <c r="Z396" s="208"/>
      <c r="AA396" s="208"/>
      <c r="AB396" s="208"/>
      <c r="AC396" s="208"/>
      <c r="AD396" s="208"/>
      <c r="AE396" s="208"/>
      <c r="AF396" s="208"/>
      <c r="AG396" s="208"/>
      <c r="AH396" s="208"/>
      <c r="AI396" s="208"/>
      <c r="AJ396" s="208"/>
      <c r="AK396" s="208"/>
      <c r="AL396" s="208"/>
      <c r="AM396" s="208"/>
      <c r="AN396" s="208"/>
      <c r="AO396" s="208"/>
      <c r="AP396" s="208"/>
    </row>
    <row r="397" spans="1:42">
      <c r="A397" s="119">
        <v>1</v>
      </c>
      <c r="B397" s="218">
        <f t="shared" ref="B397:B406" si="910">SUM(C397:AP397)</f>
        <v>103022.49999999997</v>
      </c>
      <c r="C397" s="250">
        <f t="shared" ref="C397:AP397" si="911">LOOKUP(C385,$B$329:$AP$329,$B$330:$AP$330)*$B779</f>
        <v>0</v>
      </c>
      <c r="D397" s="208">
        <f t="shared" si="911"/>
        <v>0</v>
      </c>
      <c r="E397" s="208">
        <f t="shared" si="911"/>
        <v>20604.499999999996</v>
      </c>
      <c r="F397" s="208">
        <f t="shared" si="911"/>
        <v>32967.19999999999</v>
      </c>
      <c r="G397" s="208">
        <f t="shared" si="911"/>
        <v>19780.319999999996</v>
      </c>
      <c r="H397" s="208">
        <f t="shared" si="911"/>
        <v>11868.191999999995</v>
      </c>
      <c r="I397" s="208">
        <f t="shared" si="911"/>
        <v>11868.191999999995</v>
      </c>
      <c r="J397" s="208">
        <f t="shared" si="911"/>
        <v>5934.0959999999977</v>
      </c>
      <c r="K397" s="208">
        <f t="shared" si="911"/>
        <v>0</v>
      </c>
      <c r="L397" s="208">
        <f t="shared" si="911"/>
        <v>0</v>
      </c>
      <c r="M397" s="208">
        <f t="shared" si="911"/>
        <v>0</v>
      </c>
      <c r="N397" s="208">
        <f t="shared" si="911"/>
        <v>0</v>
      </c>
      <c r="O397" s="208">
        <f t="shared" si="911"/>
        <v>0</v>
      </c>
      <c r="P397" s="208">
        <f t="shared" si="911"/>
        <v>0</v>
      </c>
      <c r="Q397" s="208">
        <f t="shared" si="911"/>
        <v>0</v>
      </c>
      <c r="R397" s="208">
        <f t="shared" si="911"/>
        <v>0</v>
      </c>
      <c r="S397" s="208">
        <f t="shared" si="911"/>
        <v>0</v>
      </c>
      <c r="T397" s="208">
        <f t="shared" si="911"/>
        <v>0</v>
      </c>
      <c r="U397" s="208">
        <f t="shared" si="911"/>
        <v>0</v>
      </c>
      <c r="V397" s="208">
        <f t="shared" si="911"/>
        <v>0</v>
      </c>
      <c r="W397" s="208">
        <f t="shared" si="911"/>
        <v>0</v>
      </c>
      <c r="X397" s="208">
        <f t="shared" si="911"/>
        <v>0</v>
      </c>
      <c r="Y397" s="208">
        <f t="shared" si="911"/>
        <v>0</v>
      </c>
      <c r="Z397" s="208">
        <f t="shared" si="911"/>
        <v>0</v>
      </c>
      <c r="AA397" s="208">
        <f t="shared" si="911"/>
        <v>0</v>
      </c>
      <c r="AB397" s="208">
        <f t="shared" si="911"/>
        <v>0</v>
      </c>
      <c r="AC397" s="208">
        <f t="shared" si="911"/>
        <v>0</v>
      </c>
      <c r="AD397" s="208">
        <f t="shared" si="911"/>
        <v>0</v>
      </c>
      <c r="AE397" s="208">
        <f t="shared" si="911"/>
        <v>0</v>
      </c>
      <c r="AF397" s="208">
        <f t="shared" si="911"/>
        <v>0</v>
      </c>
      <c r="AG397" s="208">
        <f t="shared" si="911"/>
        <v>0</v>
      </c>
      <c r="AH397" s="208">
        <f t="shared" si="911"/>
        <v>0</v>
      </c>
      <c r="AI397" s="208">
        <f t="shared" si="911"/>
        <v>0</v>
      </c>
      <c r="AJ397" s="208">
        <f t="shared" si="911"/>
        <v>0</v>
      </c>
      <c r="AK397" s="208">
        <f t="shared" si="911"/>
        <v>0</v>
      </c>
      <c r="AL397" s="208">
        <f t="shared" si="911"/>
        <v>0</v>
      </c>
      <c r="AM397" s="208">
        <f t="shared" si="911"/>
        <v>0</v>
      </c>
      <c r="AN397" s="208">
        <f t="shared" si="911"/>
        <v>0</v>
      </c>
      <c r="AO397" s="208">
        <f t="shared" si="911"/>
        <v>0</v>
      </c>
      <c r="AP397" s="208">
        <f t="shared" si="911"/>
        <v>0</v>
      </c>
    </row>
    <row r="398" spans="1:42">
      <c r="A398" s="119">
        <f>A397+1</f>
        <v>2</v>
      </c>
      <c r="B398" s="218">
        <f t="shared" si="910"/>
        <v>107728.40038843744</v>
      </c>
      <c r="C398" s="250">
        <f t="shared" ref="C398:AP398" si="912">LOOKUP(C386,$B$329:$AP$329,$B$330:$AP$330)*$B780</f>
        <v>0</v>
      </c>
      <c r="D398" s="208">
        <f t="shared" si="912"/>
        <v>0</v>
      </c>
      <c r="E398" s="208">
        <f t="shared" si="912"/>
        <v>0</v>
      </c>
      <c r="F398" s="208">
        <f t="shared" si="912"/>
        <v>0</v>
      </c>
      <c r="G398" s="208">
        <f t="shared" si="912"/>
        <v>0</v>
      </c>
      <c r="H398" s="208">
        <f t="shared" si="912"/>
        <v>21545.680077687488</v>
      </c>
      <c r="I398" s="208">
        <f t="shared" si="912"/>
        <v>34473.088124299975</v>
      </c>
      <c r="J398" s="208">
        <f t="shared" si="912"/>
        <v>20683.852874579985</v>
      </c>
      <c r="K398" s="208">
        <f t="shared" si="912"/>
        <v>12410.311724747991</v>
      </c>
      <c r="L398" s="208">
        <f t="shared" si="912"/>
        <v>12410.311724747991</v>
      </c>
      <c r="M398" s="208">
        <f t="shared" si="912"/>
        <v>6205.1558623739957</v>
      </c>
      <c r="N398" s="208">
        <f t="shared" si="912"/>
        <v>0</v>
      </c>
      <c r="O398" s="208">
        <f t="shared" si="912"/>
        <v>0</v>
      </c>
      <c r="P398" s="208">
        <f t="shared" si="912"/>
        <v>0</v>
      </c>
      <c r="Q398" s="208">
        <f t="shared" si="912"/>
        <v>0</v>
      </c>
      <c r="R398" s="208">
        <f t="shared" si="912"/>
        <v>0</v>
      </c>
      <c r="S398" s="208">
        <f t="shared" si="912"/>
        <v>0</v>
      </c>
      <c r="T398" s="208">
        <f t="shared" si="912"/>
        <v>0</v>
      </c>
      <c r="U398" s="208">
        <f t="shared" si="912"/>
        <v>0</v>
      </c>
      <c r="V398" s="208">
        <f t="shared" si="912"/>
        <v>0</v>
      </c>
      <c r="W398" s="208">
        <f t="shared" si="912"/>
        <v>0</v>
      </c>
      <c r="X398" s="208">
        <f t="shared" si="912"/>
        <v>0</v>
      </c>
      <c r="Y398" s="208">
        <f t="shared" si="912"/>
        <v>0</v>
      </c>
      <c r="Z398" s="208">
        <f t="shared" si="912"/>
        <v>0</v>
      </c>
      <c r="AA398" s="208">
        <f t="shared" si="912"/>
        <v>0</v>
      </c>
      <c r="AB398" s="208">
        <f t="shared" si="912"/>
        <v>0</v>
      </c>
      <c r="AC398" s="208">
        <f t="shared" si="912"/>
        <v>0</v>
      </c>
      <c r="AD398" s="208">
        <f t="shared" si="912"/>
        <v>0</v>
      </c>
      <c r="AE398" s="208">
        <f t="shared" si="912"/>
        <v>0</v>
      </c>
      <c r="AF398" s="208">
        <f t="shared" si="912"/>
        <v>0</v>
      </c>
      <c r="AG398" s="208">
        <f t="shared" si="912"/>
        <v>0</v>
      </c>
      <c r="AH398" s="208">
        <f t="shared" si="912"/>
        <v>0</v>
      </c>
      <c r="AI398" s="208">
        <f t="shared" si="912"/>
        <v>0</v>
      </c>
      <c r="AJ398" s="208">
        <f t="shared" si="912"/>
        <v>0</v>
      </c>
      <c r="AK398" s="208">
        <f t="shared" si="912"/>
        <v>0</v>
      </c>
      <c r="AL398" s="208">
        <f t="shared" si="912"/>
        <v>0</v>
      </c>
      <c r="AM398" s="208">
        <f t="shared" si="912"/>
        <v>0</v>
      </c>
      <c r="AN398" s="208">
        <f t="shared" si="912"/>
        <v>0</v>
      </c>
      <c r="AO398" s="208">
        <f t="shared" si="912"/>
        <v>0</v>
      </c>
      <c r="AP398" s="208">
        <f t="shared" si="912"/>
        <v>0</v>
      </c>
    </row>
    <row r="399" spans="1:42">
      <c r="A399" s="119">
        <f t="shared" ref="A399:A406" si="913">A398+1</f>
        <v>3</v>
      </c>
      <c r="B399" s="218">
        <f t="shared" si="910"/>
        <v>112649.25865953058</v>
      </c>
      <c r="C399" s="250">
        <f t="shared" ref="C399:AP399" si="914">LOOKUP(C387,$B$329:$AP$329,$B$330:$AP$330)*$B781</f>
        <v>0</v>
      </c>
      <c r="D399" s="208">
        <f t="shared" si="914"/>
        <v>0</v>
      </c>
      <c r="E399" s="208">
        <f t="shared" si="914"/>
        <v>0</v>
      </c>
      <c r="F399" s="208">
        <f t="shared" si="914"/>
        <v>0</v>
      </c>
      <c r="G399" s="208">
        <f t="shared" si="914"/>
        <v>0</v>
      </c>
      <c r="H399" s="208">
        <f t="shared" si="914"/>
        <v>0</v>
      </c>
      <c r="I399" s="208">
        <f t="shared" si="914"/>
        <v>0</v>
      </c>
      <c r="J399" s="208">
        <f t="shared" si="914"/>
        <v>0</v>
      </c>
      <c r="K399" s="208">
        <f t="shared" si="914"/>
        <v>22529.851731906117</v>
      </c>
      <c r="L399" s="208">
        <f t="shared" si="914"/>
        <v>36047.762771049784</v>
      </c>
      <c r="M399" s="208">
        <f t="shared" si="914"/>
        <v>21628.65766262987</v>
      </c>
      <c r="N399" s="208">
        <f t="shared" si="914"/>
        <v>12977.194597577922</v>
      </c>
      <c r="O399" s="208">
        <f t="shared" si="914"/>
        <v>12977.194597577922</v>
      </c>
      <c r="P399" s="208">
        <f t="shared" si="914"/>
        <v>6488.5972987889609</v>
      </c>
      <c r="Q399" s="208">
        <f t="shared" si="914"/>
        <v>0</v>
      </c>
      <c r="R399" s="208">
        <f t="shared" si="914"/>
        <v>0</v>
      </c>
      <c r="S399" s="208">
        <f t="shared" si="914"/>
        <v>0</v>
      </c>
      <c r="T399" s="208">
        <f t="shared" si="914"/>
        <v>0</v>
      </c>
      <c r="U399" s="208">
        <f t="shared" si="914"/>
        <v>0</v>
      </c>
      <c r="V399" s="208">
        <f t="shared" si="914"/>
        <v>0</v>
      </c>
      <c r="W399" s="208">
        <f t="shared" si="914"/>
        <v>0</v>
      </c>
      <c r="X399" s="208">
        <f t="shared" si="914"/>
        <v>0</v>
      </c>
      <c r="Y399" s="208">
        <f t="shared" si="914"/>
        <v>0</v>
      </c>
      <c r="Z399" s="208">
        <f t="shared" si="914"/>
        <v>0</v>
      </c>
      <c r="AA399" s="208">
        <f t="shared" si="914"/>
        <v>0</v>
      </c>
      <c r="AB399" s="208">
        <f t="shared" si="914"/>
        <v>0</v>
      </c>
      <c r="AC399" s="208">
        <f t="shared" si="914"/>
        <v>0</v>
      </c>
      <c r="AD399" s="208">
        <f t="shared" si="914"/>
        <v>0</v>
      </c>
      <c r="AE399" s="208">
        <f t="shared" si="914"/>
        <v>0</v>
      </c>
      <c r="AF399" s="208">
        <f t="shared" si="914"/>
        <v>0</v>
      </c>
      <c r="AG399" s="208">
        <f t="shared" si="914"/>
        <v>0</v>
      </c>
      <c r="AH399" s="208">
        <f t="shared" si="914"/>
        <v>0</v>
      </c>
      <c r="AI399" s="208">
        <f t="shared" si="914"/>
        <v>0</v>
      </c>
      <c r="AJ399" s="208">
        <f t="shared" si="914"/>
        <v>0</v>
      </c>
      <c r="AK399" s="208">
        <f t="shared" si="914"/>
        <v>0</v>
      </c>
      <c r="AL399" s="208">
        <f t="shared" si="914"/>
        <v>0</v>
      </c>
      <c r="AM399" s="208">
        <f t="shared" si="914"/>
        <v>0</v>
      </c>
      <c r="AN399" s="208">
        <f t="shared" si="914"/>
        <v>0</v>
      </c>
      <c r="AO399" s="208">
        <f t="shared" si="914"/>
        <v>0</v>
      </c>
      <c r="AP399" s="208">
        <f t="shared" si="914"/>
        <v>0</v>
      </c>
    </row>
    <row r="400" spans="1:42">
      <c r="A400" s="119">
        <f t="shared" si="913"/>
        <v>4</v>
      </c>
      <c r="B400" s="218">
        <f t="shared" si="910"/>
        <v>117794.89374005256</v>
      </c>
      <c r="C400" s="250">
        <f t="shared" ref="C400:AP400" si="915">LOOKUP(C388,$B$329:$AP$329,$B$330:$AP$330)*$B782</f>
        <v>0</v>
      </c>
      <c r="D400" s="208">
        <f t="shared" si="915"/>
        <v>0</v>
      </c>
      <c r="E400" s="208">
        <f t="shared" si="915"/>
        <v>0</v>
      </c>
      <c r="F400" s="208">
        <f t="shared" si="915"/>
        <v>0</v>
      </c>
      <c r="G400" s="208">
        <f t="shared" si="915"/>
        <v>0</v>
      </c>
      <c r="H400" s="208">
        <f t="shared" si="915"/>
        <v>0</v>
      </c>
      <c r="I400" s="208">
        <f t="shared" si="915"/>
        <v>0</v>
      </c>
      <c r="J400" s="208">
        <f t="shared" si="915"/>
        <v>0</v>
      </c>
      <c r="K400" s="208">
        <f t="shared" si="915"/>
        <v>0</v>
      </c>
      <c r="L400" s="208">
        <f t="shared" si="915"/>
        <v>0</v>
      </c>
      <c r="M400" s="208">
        <f t="shared" si="915"/>
        <v>0</v>
      </c>
      <c r="N400" s="208">
        <f t="shared" si="915"/>
        <v>23558.978748010515</v>
      </c>
      <c r="O400" s="208">
        <f t="shared" si="915"/>
        <v>37694.365996816821</v>
      </c>
      <c r="P400" s="208">
        <f t="shared" si="915"/>
        <v>22616.619598090092</v>
      </c>
      <c r="Q400" s="208">
        <f t="shared" si="915"/>
        <v>13569.971758854055</v>
      </c>
      <c r="R400" s="208">
        <f t="shared" si="915"/>
        <v>13569.971758854055</v>
      </c>
      <c r="S400" s="208">
        <f t="shared" si="915"/>
        <v>6784.9858794270276</v>
      </c>
      <c r="T400" s="208">
        <f t="shared" si="915"/>
        <v>0</v>
      </c>
      <c r="U400" s="208">
        <f t="shared" si="915"/>
        <v>0</v>
      </c>
      <c r="V400" s="208">
        <f t="shared" si="915"/>
        <v>0</v>
      </c>
      <c r="W400" s="208">
        <f t="shared" si="915"/>
        <v>0</v>
      </c>
      <c r="X400" s="208">
        <f t="shared" si="915"/>
        <v>0</v>
      </c>
      <c r="Y400" s="208">
        <f t="shared" si="915"/>
        <v>0</v>
      </c>
      <c r="Z400" s="208">
        <f t="shared" si="915"/>
        <v>0</v>
      </c>
      <c r="AA400" s="208">
        <f t="shared" si="915"/>
        <v>0</v>
      </c>
      <c r="AB400" s="208">
        <f t="shared" si="915"/>
        <v>0</v>
      </c>
      <c r="AC400" s="208">
        <f t="shared" si="915"/>
        <v>0</v>
      </c>
      <c r="AD400" s="208">
        <f t="shared" si="915"/>
        <v>0</v>
      </c>
      <c r="AE400" s="208">
        <f t="shared" si="915"/>
        <v>0</v>
      </c>
      <c r="AF400" s="208">
        <f t="shared" si="915"/>
        <v>0</v>
      </c>
      <c r="AG400" s="208">
        <f t="shared" si="915"/>
        <v>0</v>
      </c>
      <c r="AH400" s="208">
        <f t="shared" si="915"/>
        <v>0</v>
      </c>
      <c r="AI400" s="208">
        <f t="shared" si="915"/>
        <v>0</v>
      </c>
      <c r="AJ400" s="208">
        <f t="shared" si="915"/>
        <v>0</v>
      </c>
      <c r="AK400" s="208">
        <f t="shared" si="915"/>
        <v>0</v>
      </c>
      <c r="AL400" s="208">
        <f t="shared" si="915"/>
        <v>0</v>
      </c>
      <c r="AM400" s="208">
        <f t="shared" si="915"/>
        <v>0</v>
      </c>
      <c r="AN400" s="208">
        <f t="shared" si="915"/>
        <v>0</v>
      </c>
      <c r="AO400" s="208">
        <f t="shared" si="915"/>
        <v>0</v>
      </c>
      <c r="AP400" s="208">
        <f t="shared" si="915"/>
        <v>0</v>
      </c>
    </row>
    <row r="401" spans="1:42">
      <c r="A401" s="119">
        <f t="shared" si="913"/>
        <v>5</v>
      </c>
      <c r="B401" s="218">
        <f t="shared" si="910"/>
        <v>123175.57306939577</v>
      </c>
      <c r="C401" s="250">
        <f t="shared" ref="C401:AP401" si="916">LOOKUP(C389,$B$329:$AP$329,$B$330:$AP$330)*$B783</f>
        <v>0</v>
      </c>
      <c r="D401" s="208">
        <f t="shared" si="916"/>
        <v>0</v>
      </c>
      <c r="E401" s="208">
        <f t="shared" si="916"/>
        <v>0</v>
      </c>
      <c r="F401" s="208">
        <f t="shared" si="916"/>
        <v>0</v>
      </c>
      <c r="G401" s="208">
        <f t="shared" si="916"/>
        <v>0</v>
      </c>
      <c r="H401" s="208">
        <f t="shared" si="916"/>
        <v>0</v>
      </c>
      <c r="I401" s="208">
        <f t="shared" si="916"/>
        <v>0</v>
      </c>
      <c r="J401" s="208">
        <f t="shared" si="916"/>
        <v>0</v>
      </c>
      <c r="K401" s="208">
        <f t="shared" si="916"/>
        <v>0</v>
      </c>
      <c r="L401" s="208">
        <f t="shared" si="916"/>
        <v>0</v>
      </c>
      <c r="M401" s="208">
        <f t="shared" si="916"/>
        <v>0</v>
      </c>
      <c r="N401" s="208">
        <f t="shared" si="916"/>
        <v>0</v>
      </c>
      <c r="O401" s="208">
        <f t="shared" si="916"/>
        <v>0</v>
      </c>
      <c r="P401" s="208">
        <f t="shared" si="916"/>
        <v>0</v>
      </c>
      <c r="Q401" s="208">
        <f t="shared" si="916"/>
        <v>24635.114613879156</v>
      </c>
      <c r="R401" s="208">
        <f t="shared" si="916"/>
        <v>39416.183382206647</v>
      </c>
      <c r="S401" s="208">
        <f t="shared" si="916"/>
        <v>23649.710029323989</v>
      </c>
      <c r="T401" s="208">
        <f t="shared" si="916"/>
        <v>14189.826017594392</v>
      </c>
      <c r="U401" s="208">
        <f t="shared" si="916"/>
        <v>14189.826017594392</v>
      </c>
      <c r="V401" s="208">
        <f t="shared" si="916"/>
        <v>7094.9130087971962</v>
      </c>
      <c r="W401" s="208">
        <f t="shared" si="916"/>
        <v>0</v>
      </c>
      <c r="X401" s="208">
        <f t="shared" si="916"/>
        <v>0</v>
      </c>
      <c r="Y401" s="208">
        <f t="shared" si="916"/>
        <v>0</v>
      </c>
      <c r="Z401" s="208">
        <f t="shared" si="916"/>
        <v>0</v>
      </c>
      <c r="AA401" s="208">
        <f t="shared" si="916"/>
        <v>0</v>
      </c>
      <c r="AB401" s="208">
        <f t="shared" si="916"/>
        <v>0</v>
      </c>
      <c r="AC401" s="208">
        <f t="shared" si="916"/>
        <v>0</v>
      </c>
      <c r="AD401" s="208">
        <f t="shared" si="916"/>
        <v>0</v>
      </c>
      <c r="AE401" s="208">
        <f t="shared" si="916"/>
        <v>0</v>
      </c>
      <c r="AF401" s="208">
        <f t="shared" si="916"/>
        <v>0</v>
      </c>
      <c r="AG401" s="208">
        <f t="shared" si="916"/>
        <v>0</v>
      </c>
      <c r="AH401" s="208">
        <f t="shared" si="916"/>
        <v>0</v>
      </c>
      <c r="AI401" s="208">
        <f t="shared" si="916"/>
        <v>0</v>
      </c>
      <c r="AJ401" s="208">
        <f t="shared" si="916"/>
        <v>0</v>
      </c>
      <c r="AK401" s="208">
        <f t="shared" si="916"/>
        <v>0</v>
      </c>
      <c r="AL401" s="208">
        <f t="shared" si="916"/>
        <v>0</v>
      </c>
      <c r="AM401" s="208">
        <f t="shared" si="916"/>
        <v>0</v>
      </c>
      <c r="AN401" s="208">
        <f t="shared" si="916"/>
        <v>0</v>
      </c>
      <c r="AO401" s="208">
        <f t="shared" si="916"/>
        <v>0</v>
      </c>
      <c r="AP401" s="208">
        <f t="shared" si="916"/>
        <v>0</v>
      </c>
    </row>
    <row r="402" spans="1:42">
      <c r="A402" s="119">
        <f t="shared" si="913"/>
        <v>6</v>
      </c>
      <c r="B402" s="218">
        <f t="shared" si="910"/>
        <v>128802.03308689946</v>
      </c>
      <c r="C402" s="250">
        <f t="shared" ref="C402:AP402" si="917">LOOKUP(C390,$B$329:$AP$329,$B$330:$AP$330)*$B784</f>
        <v>0</v>
      </c>
      <c r="D402" s="208">
        <f t="shared" si="917"/>
        <v>0</v>
      </c>
      <c r="E402" s="208">
        <f t="shared" si="917"/>
        <v>0</v>
      </c>
      <c r="F402" s="208">
        <f t="shared" si="917"/>
        <v>0</v>
      </c>
      <c r="G402" s="208">
        <f t="shared" si="917"/>
        <v>0</v>
      </c>
      <c r="H402" s="208">
        <f t="shared" si="917"/>
        <v>0</v>
      </c>
      <c r="I402" s="208">
        <f t="shared" si="917"/>
        <v>0</v>
      </c>
      <c r="J402" s="208">
        <f t="shared" si="917"/>
        <v>0</v>
      </c>
      <c r="K402" s="208">
        <f t="shared" si="917"/>
        <v>0</v>
      </c>
      <c r="L402" s="208">
        <f t="shared" si="917"/>
        <v>0</v>
      </c>
      <c r="M402" s="208">
        <f t="shared" si="917"/>
        <v>0</v>
      </c>
      <c r="N402" s="208">
        <f t="shared" si="917"/>
        <v>0</v>
      </c>
      <c r="O402" s="208">
        <f t="shared" si="917"/>
        <v>0</v>
      </c>
      <c r="P402" s="208">
        <f t="shared" si="917"/>
        <v>0</v>
      </c>
      <c r="Q402" s="208">
        <f t="shared" si="917"/>
        <v>0</v>
      </c>
      <c r="R402" s="208">
        <f t="shared" si="917"/>
        <v>0</v>
      </c>
      <c r="S402" s="208">
        <f t="shared" si="917"/>
        <v>0</v>
      </c>
      <c r="T402" s="208">
        <f t="shared" si="917"/>
        <v>25760.406617379896</v>
      </c>
      <c r="U402" s="208">
        <f t="shared" si="917"/>
        <v>41216.650587807831</v>
      </c>
      <c r="V402" s="208">
        <f t="shared" si="917"/>
        <v>24729.990352684701</v>
      </c>
      <c r="W402" s="208">
        <f t="shared" si="917"/>
        <v>14837.99421161082</v>
      </c>
      <c r="X402" s="208">
        <f t="shared" si="917"/>
        <v>14837.99421161082</v>
      </c>
      <c r="Y402" s="208">
        <f t="shared" si="917"/>
        <v>7418.9971058054098</v>
      </c>
      <c r="Z402" s="208">
        <f t="shared" si="917"/>
        <v>0</v>
      </c>
      <c r="AA402" s="208">
        <f t="shared" si="917"/>
        <v>0</v>
      </c>
      <c r="AB402" s="208">
        <f t="shared" si="917"/>
        <v>0</v>
      </c>
      <c r="AC402" s="208">
        <f t="shared" si="917"/>
        <v>0</v>
      </c>
      <c r="AD402" s="208">
        <f t="shared" si="917"/>
        <v>0</v>
      </c>
      <c r="AE402" s="208">
        <f t="shared" si="917"/>
        <v>0</v>
      </c>
      <c r="AF402" s="208">
        <f t="shared" si="917"/>
        <v>0</v>
      </c>
      <c r="AG402" s="208">
        <f t="shared" si="917"/>
        <v>0</v>
      </c>
      <c r="AH402" s="208">
        <f t="shared" si="917"/>
        <v>0</v>
      </c>
      <c r="AI402" s="208">
        <f t="shared" si="917"/>
        <v>0</v>
      </c>
      <c r="AJ402" s="208">
        <f t="shared" si="917"/>
        <v>0</v>
      </c>
      <c r="AK402" s="208">
        <f t="shared" si="917"/>
        <v>0</v>
      </c>
      <c r="AL402" s="208">
        <f t="shared" si="917"/>
        <v>0</v>
      </c>
      <c r="AM402" s="208">
        <f t="shared" si="917"/>
        <v>0</v>
      </c>
      <c r="AN402" s="208">
        <f t="shared" si="917"/>
        <v>0</v>
      </c>
      <c r="AO402" s="208">
        <f t="shared" si="917"/>
        <v>0</v>
      </c>
      <c r="AP402" s="208">
        <f t="shared" si="917"/>
        <v>0</v>
      </c>
    </row>
    <row r="403" spans="1:42">
      <c r="A403" s="119">
        <f t="shared" si="913"/>
        <v>7</v>
      </c>
      <c r="B403" s="218">
        <f t="shared" si="910"/>
        <v>134685.50065500522</v>
      </c>
      <c r="C403" s="250">
        <f t="shared" ref="C403:AP403" si="918">LOOKUP(C391,$B$329:$AP$329,$B$330:$AP$330)*$B785</f>
        <v>0</v>
      </c>
      <c r="D403" s="208">
        <f t="shared" si="918"/>
        <v>0</v>
      </c>
      <c r="E403" s="208">
        <f t="shared" si="918"/>
        <v>0</v>
      </c>
      <c r="F403" s="208">
        <f t="shared" si="918"/>
        <v>0</v>
      </c>
      <c r="G403" s="208">
        <f t="shared" si="918"/>
        <v>0</v>
      </c>
      <c r="H403" s="208">
        <f t="shared" si="918"/>
        <v>0</v>
      </c>
      <c r="I403" s="208">
        <f t="shared" si="918"/>
        <v>0</v>
      </c>
      <c r="J403" s="208">
        <f t="shared" si="918"/>
        <v>0</v>
      </c>
      <c r="K403" s="208">
        <f t="shared" si="918"/>
        <v>0</v>
      </c>
      <c r="L403" s="208">
        <f t="shared" si="918"/>
        <v>0</v>
      </c>
      <c r="M403" s="208">
        <f t="shared" si="918"/>
        <v>0</v>
      </c>
      <c r="N403" s="208">
        <f t="shared" si="918"/>
        <v>0</v>
      </c>
      <c r="O403" s="208">
        <f t="shared" si="918"/>
        <v>0</v>
      </c>
      <c r="P403" s="208">
        <f t="shared" si="918"/>
        <v>0</v>
      </c>
      <c r="Q403" s="208">
        <f t="shared" si="918"/>
        <v>0</v>
      </c>
      <c r="R403" s="208">
        <f t="shared" si="918"/>
        <v>0</v>
      </c>
      <c r="S403" s="208">
        <f t="shared" si="918"/>
        <v>0</v>
      </c>
      <c r="T403" s="208">
        <f t="shared" si="918"/>
        <v>0</v>
      </c>
      <c r="U403" s="208">
        <f t="shared" si="918"/>
        <v>0</v>
      </c>
      <c r="V403" s="208">
        <f t="shared" si="918"/>
        <v>0</v>
      </c>
      <c r="W403" s="208">
        <f t="shared" si="918"/>
        <v>26937.100131001047</v>
      </c>
      <c r="X403" s="208">
        <f t="shared" si="918"/>
        <v>43099.360209601669</v>
      </c>
      <c r="Y403" s="208">
        <f t="shared" si="918"/>
        <v>25859.616125761004</v>
      </c>
      <c r="Z403" s="208">
        <f t="shared" si="918"/>
        <v>15515.7696754566</v>
      </c>
      <c r="AA403" s="208">
        <f t="shared" si="918"/>
        <v>15515.7696754566</v>
      </c>
      <c r="AB403" s="208">
        <f t="shared" si="918"/>
        <v>7757.8848377283002</v>
      </c>
      <c r="AC403" s="208">
        <f t="shared" si="918"/>
        <v>0</v>
      </c>
      <c r="AD403" s="208">
        <f t="shared" si="918"/>
        <v>0</v>
      </c>
      <c r="AE403" s="208">
        <f t="shared" si="918"/>
        <v>0</v>
      </c>
      <c r="AF403" s="208">
        <f t="shared" si="918"/>
        <v>0</v>
      </c>
      <c r="AG403" s="208">
        <f t="shared" si="918"/>
        <v>0</v>
      </c>
      <c r="AH403" s="208">
        <f t="shared" si="918"/>
        <v>0</v>
      </c>
      <c r="AI403" s="208">
        <f t="shared" si="918"/>
        <v>0</v>
      </c>
      <c r="AJ403" s="208">
        <f t="shared" si="918"/>
        <v>0</v>
      </c>
      <c r="AK403" s="208">
        <f t="shared" si="918"/>
        <v>0</v>
      </c>
      <c r="AL403" s="208">
        <f t="shared" si="918"/>
        <v>0</v>
      </c>
      <c r="AM403" s="208">
        <f t="shared" si="918"/>
        <v>0</v>
      </c>
      <c r="AN403" s="208">
        <f t="shared" si="918"/>
        <v>0</v>
      </c>
      <c r="AO403" s="208">
        <f t="shared" si="918"/>
        <v>0</v>
      </c>
      <c r="AP403" s="208">
        <f t="shared" si="918"/>
        <v>0</v>
      </c>
    </row>
    <row r="404" spans="1:42">
      <c r="A404" s="119">
        <f t="shared" si="913"/>
        <v>8</v>
      </c>
      <c r="B404" s="218">
        <f t="shared" si="910"/>
        <v>140837.71546098724</v>
      </c>
      <c r="C404" s="250">
        <f t="shared" ref="C404:AP404" si="919">LOOKUP(C392,$B$329:$AP$329,$B$330:$AP$330)*$B786</f>
        <v>0</v>
      </c>
      <c r="D404" s="208">
        <f t="shared" si="919"/>
        <v>0</v>
      </c>
      <c r="E404" s="208">
        <f t="shared" si="919"/>
        <v>0</v>
      </c>
      <c r="F404" s="208">
        <f t="shared" si="919"/>
        <v>0</v>
      </c>
      <c r="G404" s="208">
        <f t="shared" si="919"/>
        <v>0</v>
      </c>
      <c r="H404" s="208">
        <f t="shared" si="919"/>
        <v>0</v>
      </c>
      <c r="I404" s="208">
        <f t="shared" si="919"/>
        <v>0</v>
      </c>
      <c r="J404" s="208">
        <f t="shared" si="919"/>
        <v>0</v>
      </c>
      <c r="K404" s="208">
        <f t="shared" si="919"/>
        <v>0</v>
      </c>
      <c r="L404" s="208">
        <f t="shared" si="919"/>
        <v>0</v>
      </c>
      <c r="M404" s="208">
        <f t="shared" si="919"/>
        <v>0</v>
      </c>
      <c r="N404" s="208">
        <f t="shared" si="919"/>
        <v>0</v>
      </c>
      <c r="O404" s="208">
        <f t="shared" si="919"/>
        <v>0</v>
      </c>
      <c r="P404" s="208">
        <f t="shared" si="919"/>
        <v>0</v>
      </c>
      <c r="Q404" s="208">
        <f t="shared" si="919"/>
        <v>0</v>
      </c>
      <c r="R404" s="208">
        <f t="shared" si="919"/>
        <v>0</v>
      </c>
      <c r="S404" s="208">
        <f t="shared" si="919"/>
        <v>0</v>
      </c>
      <c r="T404" s="208">
        <f t="shared" si="919"/>
        <v>0</v>
      </c>
      <c r="U404" s="208">
        <f t="shared" si="919"/>
        <v>0</v>
      </c>
      <c r="V404" s="208">
        <f t="shared" si="919"/>
        <v>0</v>
      </c>
      <c r="W404" s="208">
        <f t="shared" si="919"/>
        <v>0</v>
      </c>
      <c r="X404" s="208">
        <f t="shared" si="919"/>
        <v>0</v>
      </c>
      <c r="Y404" s="208">
        <f t="shared" si="919"/>
        <v>0</v>
      </c>
      <c r="Z404" s="208">
        <f t="shared" si="919"/>
        <v>28167.543092197448</v>
      </c>
      <c r="AA404" s="208">
        <f t="shared" si="919"/>
        <v>45068.068947515916</v>
      </c>
      <c r="AB404" s="208">
        <f t="shared" si="919"/>
        <v>27040.841368509551</v>
      </c>
      <c r="AC404" s="208">
        <f t="shared" si="919"/>
        <v>16224.504821105729</v>
      </c>
      <c r="AD404" s="208">
        <f t="shared" si="919"/>
        <v>16224.504821105729</v>
      </c>
      <c r="AE404" s="208">
        <f t="shared" si="919"/>
        <v>8112.2524105528646</v>
      </c>
      <c r="AF404" s="208">
        <f t="shared" si="919"/>
        <v>0</v>
      </c>
      <c r="AG404" s="208">
        <f t="shared" si="919"/>
        <v>0</v>
      </c>
      <c r="AH404" s="208">
        <f t="shared" si="919"/>
        <v>0</v>
      </c>
      <c r="AI404" s="208">
        <f t="shared" si="919"/>
        <v>0</v>
      </c>
      <c r="AJ404" s="208">
        <f t="shared" si="919"/>
        <v>0</v>
      </c>
      <c r="AK404" s="208">
        <f t="shared" si="919"/>
        <v>0</v>
      </c>
      <c r="AL404" s="208">
        <f t="shared" si="919"/>
        <v>0</v>
      </c>
      <c r="AM404" s="208">
        <f t="shared" si="919"/>
        <v>0</v>
      </c>
      <c r="AN404" s="208">
        <f t="shared" si="919"/>
        <v>0</v>
      </c>
      <c r="AO404" s="208">
        <f t="shared" si="919"/>
        <v>0</v>
      </c>
      <c r="AP404" s="208">
        <f t="shared" si="919"/>
        <v>0</v>
      </c>
    </row>
    <row r="405" spans="1:42">
      <c r="A405" s="119">
        <f>A404+1</f>
        <v>9</v>
      </c>
      <c r="B405" s="218">
        <f t="shared" si="910"/>
        <v>121822.53268718722</v>
      </c>
      <c r="C405" s="250">
        <f t="shared" ref="C405:AP405" si="920">LOOKUP(C393,$B$329:$AP$329,$B$330:$AP$330)*$B787</f>
        <v>0</v>
      </c>
      <c r="D405" s="208">
        <f t="shared" si="920"/>
        <v>0</v>
      </c>
      <c r="E405" s="208">
        <f t="shared" si="920"/>
        <v>0</v>
      </c>
      <c r="F405" s="208">
        <f t="shared" si="920"/>
        <v>0</v>
      </c>
      <c r="G405" s="208">
        <f t="shared" si="920"/>
        <v>0</v>
      </c>
      <c r="H405" s="208">
        <f t="shared" si="920"/>
        <v>0</v>
      </c>
      <c r="I405" s="208">
        <f t="shared" si="920"/>
        <v>0</v>
      </c>
      <c r="J405" s="208">
        <f t="shared" si="920"/>
        <v>0</v>
      </c>
      <c r="K405" s="208">
        <f t="shared" si="920"/>
        <v>0</v>
      </c>
      <c r="L405" s="208">
        <f t="shared" si="920"/>
        <v>0</v>
      </c>
      <c r="M405" s="208">
        <f t="shared" si="920"/>
        <v>0</v>
      </c>
      <c r="N405" s="208">
        <f t="shared" si="920"/>
        <v>0</v>
      </c>
      <c r="O405" s="208">
        <f t="shared" si="920"/>
        <v>0</v>
      </c>
      <c r="P405" s="208">
        <f t="shared" si="920"/>
        <v>0</v>
      </c>
      <c r="Q405" s="208">
        <f t="shared" si="920"/>
        <v>0</v>
      </c>
      <c r="R405" s="208">
        <f t="shared" si="920"/>
        <v>0</v>
      </c>
      <c r="S405" s="208">
        <f t="shared" si="920"/>
        <v>0</v>
      </c>
      <c r="T405" s="208">
        <f t="shared" si="920"/>
        <v>0</v>
      </c>
      <c r="U405" s="208">
        <f t="shared" si="920"/>
        <v>0</v>
      </c>
      <c r="V405" s="208">
        <f t="shared" si="920"/>
        <v>0</v>
      </c>
      <c r="W405" s="208">
        <f t="shared" si="920"/>
        <v>0</v>
      </c>
      <c r="X405" s="208">
        <f t="shared" si="920"/>
        <v>0</v>
      </c>
      <c r="Y405" s="208">
        <f t="shared" si="920"/>
        <v>0</v>
      </c>
      <c r="Z405" s="208">
        <f t="shared" si="920"/>
        <v>0</v>
      </c>
      <c r="AA405" s="208">
        <f t="shared" si="920"/>
        <v>0</v>
      </c>
      <c r="AB405" s="208">
        <f t="shared" si="920"/>
        <v>0</v>
      </c>
      <c r="AC405" s="208">
        <f t="shared" si="920"/>
        <v>29454.190688391496</v>
      </c>
      <c r="AD405" s="208">
        <f t="shared" si="920"/>
        <v>47126.705101426393</v>
      </c>
      <c r="AE405" s="208">
        <f t="shared" si="920"/>
        <v>28276.023060855838</v>
      </c>
      <c r="AF405" s="208">
        <f t="shared" si="920"/>
        <v>16965.613836513501</v>
      </c>
      <c r="AG405" s="208">
        <f t="shared" si="920"/>
        <v>0</v>
      </c>
      <c r="AH405" s="208">
        <f t="shared" si="920"/>
        <v>0</v>
      </c>
      <c r="AI405" s="208">
        <f t="shared" si="920"/>
        <v>0</v>
      </c>
      <c r="AJ405" s="208">
        <f t="shared" si="920"/>
        <v>0</v>
      </c>
      <c r="AK405" s="208">
        <f t="shared" si="920"/>
        <v>0</v>
      </c>
      <c r="AL405" s="208">
        <f t="shared" si="920"/>
        <v>0</v>
      </c>
      <c r="AM405" s="208">
        <f t="shared" si="920"/>
        <v>0</v>
      </c>
      <c r="AN405" s="208">
        <f t="shared" si="920"/>
        <v>0</v>
      </c>
      <c r="AO405" s="208">
        <f t="shared" si="920"/>
        <v>0</v>
      </c>
      <c r="AP405" s="208">
        <f t="shared" si="920"/>
        <v>0</v>
      </c>
    </row>
    <row r="406" spans="1:42">
      <c r="A406" s="119">
        <f t="shared" si="913"/>
        <v>10</v>
      </c>
      <c r="B406" s="218">
        <f t="shared" si="910"/>
        <v>30799.610255977339</v>
      </c>
      <c r="C406" s="246">
        <f t="shared" ref="C406:AP406" si="921">LOOKUP(C394,$B$329:$AP$329,$B$330:$AP$330)*$B788</f>
        <v>0</v>
      </c>
      <c r="D406" s="209">
        <f t="shared" si="921"/>
        <v>0</v>
      </c>
      <c r="E406" s="209">
        <f t="shared" si="921"/>
        <v>0</v>
      </c>
      <c r="F406" s="209">
        <f t="shared" si="921"/>
        <v>0</v>
      </c>
      <c r="G406" s="209">
        <f t="shared" si="921"/>
        <v>0</v>
      </c>
      <c r="H406" s="209">
        <f t="shared" si="921"/>
        <v>0</v>
      </c>
      <c r="I406" s="209">
        <f t="shared" si="921"/>
        <v>0</v>
      </c>
      <c r="J406" s="209">
        <f t="shared" si="921"/>
        <v>0</v>
      </c>
      <c r="K406" s="209">
        <f t="shared" si="921"/>
        <v>0</v>
      </c>
      <c r="L406" s="209">
        <f t="shared" si="921"/>
        <v>0</v>
      </c>
      <c r="M406" s="209">
        <f t="shared" si="921"/>
        <v>0</v>
      </c>
      <c r="N406" s="209">
        <f t="shared" si="921"/>
        <v>0</v>
      </c>
      <c r="O406" s="209">
        <f t="shared" si="921"/>
        <v>0</v>
      </c>
      <c r="P406" s="209">
        <f t="shared" si="921"/>
        <v>0</v>
      </c>
      <c r="Q406" s="209">
        <f t="shared" si="921"/>
        <v>0</v>
      </c>
      <c r="R406" s="209">
        <f t="shared" si="921"/>
        <v>0</v>
      </c>
      <c r="S406" s="209">
        <f t="shared" si="921"/>
        <v>0</v>
      </c>
      <c r="T406" s="209">
        <f t="shared" si="921"/>
        <v>0</v>
      </c>
      <c r="U406" s="209">
        <f t="shared" si="921"/>
        <v>0</v>
      </c>
      <c r="V406" s="209">
        <f t="shared" si="921"/>
        <v>0</v>
      </c>
      <c r="W406" s="209">
        <f t="shared" si="921"/>
        <v>0</v>
      </c>
      <c r="X406" s="209">
        <f t="shared" si="921"/>
        <v>0</v>
      </c>
      <c r="Y406" s="209">
        <f t="shared" si="921"/>
        <v>0</v>
      </c>
      <c r="Z406" s="209">
        <f t="shared" si="921"/>
        <v>0</v>
      </c>
      <c r="AA406" s="209">
        <f t="shared" si="921"/>
        <v>0</v>
      </c>
      <c r="AB406" s="209">
        <f t="shared" si="921"/>
        <v>0</v>
      </c>
      <c r="AC406" s="209">
        <f t="shared" si="921"/>
        <v>0</v>
      </c>
      <c r="AD406" s="209">
        <f t="shared" si="921"/>
        <v>0</v>
      </c>
      <c r="AE406" s="209">
        <f t="shared" si="921"/>
        <v>0</v>
      </c>
      <c r="AF406" s="209">
        <f t="shared" si="921"/>
        <v>30799.610255977339</v>
      </c>
      <c r="AG406" s="209">
        <f t="shared" si="921"/>
        <v>0</v>
      </c>
      <c r="AH406" s="209">
        <f t="shared" si="921"/>
        <v>0</v>
      </c>
      <c r="AI406" s="209">
        <f t="shared" si="921"/>
        <v>0</v>
      </c>
      <c r="AJ406" s="209">
        <f t="shared" si="921"/>
        <v>0</v>
      </c>
      <c r="AK406" s="209">
        <f t="shared" si="921"/>
        <v>0</v>
      </c>
      <c r="AL406" s="209">
        <f t="shared" si="921"/>
        <v>0</v>
      </c>
      <c r="AM406" s="209">
        <f t="shared" si="921"/>
        <v>0</v>
      </c>
      <c r="AN406" s="209">
        <f t="shared" si="921"/>
        <v>0</v>
      </c>
      <c r="AO406" s="209">
        <f t="shared" si="921"/>
        <v>0</v>
      </c>
      <c r="AP406" s="209">
        <f t="shared" si="921"/>
        <v>0</v>
      </c>
    </row>
    <row r="407" spans="1:42" s="119" customFormat="1" ht="12" customHeight="1">
      <c r="A407" s="247" t="s">
        <v>53</v>
      </c>
      <c r="B407" s="146"/>
      <c r="C407" s="146">
        <f>SUM(C397:C406)</f>
        <v>0</v>
      </c>
      <c r="D407" s="146">
        <f t="shared" ref="D407:AP407" si="922">SUM(D397:D406)</f>
        <v>0</v>
      </c>
      <c r="E407" s="146">
        <f t="shared" si="922"/>
        <v>20604.499999999996</v>
      </c>
      <c r="F407" s="146">
        <f t="shared" si="922"/>
        <v>32967.19999999999</v>
      </c>
      <c r="G407" s="146">
        <f t="shared" si="922"/>
        <v>19780.319999999996</v>
      </c>
      <c r="H407" s="146">
        <f t="shared" si="922"/>
        <v>33413.872077687483</v>
      </c>
      <c r="I407" s="146">
        <f t="shared" si="922"/>
        <v>46341.28012429997</v>
      </c>
      <c r="J407" s="146">
        <f t="shared" si="922"/>
        <v>26617.948874579983</v>
      </c>
      <c r="K407" s="146">
        <f t="shared" si="922"/>
        <v>34940.163456654111</v>
      </c>
      <c r="L407" s="146">
        <f t="shared" si="922"/>
        <v>48458.074495797773</v>
      </c>
      <c r="M407" s="146">
        <f t="shared" si="922"/>
        <v>27833.813525003865</v>
      </c>
      <c r="N407" s="146">
        <f t="shared" si="922"/>
        <v>36536.173345588439</v>
      </c>
      <c r="O407" s="146">
        <f t="shared" si="922"/>
        <v>50671.560594394745</v>
      </c>
      <c r="P407" s="146">
        <f t="shared" si="922"/>
        <v>29105.216896879054</v>
      </c>
      <c r="Q407" s="146">
        <f t="shared" si="922"/>
        <v>38205.086372733211</v>
      </c>
      <c r="R407" s="146">
        <f t="shared" si="922"/>
        <v>52986.155141060706</v>
      </c>
      <c r="S407" s="146">
        <f t="shared" si="922"/>
        <v>30434.695908751019</v>
      </c>
      <c r="T407" s="146">
        <f t="shared" si="922"/>
        <v>39950.232634974287</v>
      </c>
      <c r="U407" s="146">
        <f t="shared" si="922"/>
        <v>55406.476605402226</v>
      </c>
      <c r="V407" s="146">
        <f t="shared" si="922"/>
        <v>31824.903361481898</v>
      </c>
      <c r="W407" s="146">
        <f t="shared" si="922"/>
        <v>41775.094342611868</v>
      </c>
      <c r="X407" s="146">
        <f t="shared" si="922"/>
        <v>57937.354421212491</v>
      </c>
      <c r="Y407" s="146">
        <f t="shared" si="922"/>
        <v>33278.613231566414</v>
      </c>
      <c r="Z407" s="146">
        <f t="shared" si="922"/>
        <v>43683.312767654046</v>
      </c>
      <c r="AA407" s="146">
        <f t="shared" si="922"/>
        <v>60583.838622972515</v>
      </c>
      <c r="AB407" s="146">
        <f t="shared" si="922"/>
        <v>34798.72620623785</v>
      </c>
      <c r="AC407" s="146">
        <f t="shared" si="922"/>
        <v>45678.695509497222</v>
      </c>
      <c r="AD407" s="146">
        <f t="shared" si="922"/>
        <v>63351.209922532122</v>
      </c>
      <c r="AE407" s="146">
        <f t="shared" si="922"/>
        <v>36388.275471408706</v>
      </c>
      <c r="AF407" s="146">
        <f t="shared" si="922"/>
        <v>47765.22409249084</v>
      </c>
      <c r="AG407" s="146">
        <f t="shared" si="922"/>
        <v>0</v>
      </c>
      <c r="AH407" s="146">
        <f t="shared" si="922"/>
        <v>0</v>
      </c>
      <c r="AI407" s="146">
        <f t="shared" si="922"/>
        <v>0</v>
      </c>
      <c r="AJ407" s="146">
        <f t="shared" si="922"/>
        <v>0</v>
      </c>
      <c r="AK407" s="146">
        <f t="shared" si="922"/>
        <v>0</v>
      </c>
      <c r="AL407" s="146">
        <f t="shared" si="922"/>
        <v>0</v>
      </c>
      <c r="AM407" s="146">
        <f t="shared" si="922"/>
        <v>0</v>
      </c>
      <c r="AN407" s="146">
        <f t="shared" si="922"/>
        <v>0</v>
      </c>
      <c r="AO407" s="146">
        <f t="shared" si="922"/>
        <v>0</v>
      </c>
      <c r="AP407" s="146">
        <f t="shared" si="922"/>
        <v>0</v>
      </c>
    </row>
    <row r="408" spans="1:42">
      <c r="A408" s="226"/>
      <c r="C408" s="208"/>
      <c r="D408" s="208"/>
      <c r="E408" s="208"/>
      <c r="F408" s="208"/>
      <c r="G408" s="208"/>
      <c r="H408" s="208"/>
      <c r="I408" s="208"/>
      <c r="J408" s="208"/>
      <c r="K408" s="208"/>
      <c r="L408" s="208"/>
      <c r="M408" s="208"/>
      <c r="N408" s="208"/>
      <c r="O408" s="208"/>
      <c r="P408" s="208"/>
      <c r="Q408" s="208"/>
      <c r="R408" s="208"/>
      <c r="S408" s="208"/>
      <c r="T408" s="208"/>
      <c r="U408" s="208"/>
      <c r="V408" s="208"/>
      <c r="W408" s="208"/>
      <c r="X408" s="208"/>
      <c r="Y408" s="208"/>
      <c r="Z408" s="208"/>
      <c r="AA408" s="208"/>
      <c r="AB408" s="208"/>
      <c r="AC408" s="208"/>
      <c r="AD408" s="208"/>
      <c r="AE408" s="208"/>
      <c r="AF408" s="208"/>
      <c r="AG408" s="208"/>
      <c r="AH408" s="208"/>
      <c r="AI408" s="208"/>
      <c r="AJ408" s="208"/>
      <c r="AK408" s="208"/>
      <c r="AL408" s="208"/>
      <c r="AM408" s="208"/>
      <c r="AN408" s="208"/>
      <c r="AO408" s="208"/>
      <c r="AP408" s="208"/>
    </row>
    <row r="409" spans="1:42">
      <c r="A409" s="217" t="s">
        <v>150</v>
      </c>
    </row>
    <row r="410" spans="1:42">
      <c r="A410" s="119" t="s">
        <v>83</v>
      </c>
    </row>
    <row r="411" spans="1:42" ht="51">
      <c r="A411" s="119"/>
      <c r="B411" s="133" t="s">
        <v>157</v>
      </c>
      <c r="C411" s="133" t="s">
        <v>153</v>
      </c>
      <c r="D411" s="133" t="s">
        <v>155</v>
      </c>
      <c r="E411" s="228" t="s">
        <v>156</v>
      </c>
      <c r="F411" s="133" t="s">
        <v>158</v>
      </c>
      <c r="G411" s="229" t="s">
        <v>175</v>
      </c>
      <c r="H411" s="229" t="s">
        <v>176</v>
      </c>
      <c r="I411" s="133" t="s">
        <v>159</v>
      </c>
      <c r="J411" s="230" t="s">
        <v>332</v>
      </c>
      <c r="K411" s="133" t="s">
        <v>337</v>
      </c>
    </row>
    <row r="412" spans="1:42">
      <c r="A412" s="297" t="str">
        <f>A278</f>
        <v>5-yr MACRS</v>
      </c>
      <c r="B412" s="231">
        <f>C412/$C$419</f>
        <v>0.91752577319587614</v>
      </c>
      <c r="C412" s="208">
        <f>'Inputs &amp; Results'!C221</f>
        <v>39593328.638062894</v>
      </c>
      <c r="D412" s="146">
        <f>$B412*D$419</f>
        <v>0</v>
      </c>
      <c r="E412" s="146">
        <f>$B412*E$419</f>
        <v>0</v>
      </c>
      <c r="F412" s="248">
        <f>C412-D412-E412</f>
        <v>39593328.638062894</v>
      </c>
      <c r="G412" s="208">
        <f t="shared" ref="G412:G417" si="923">IF(ITCStateFixedFedDeprec="Yes",K548,0)+IF(ITCStatePercentFedDeprec="Yes",I548,0)</f>
        <v>0</v>
      </c>
      <c r="H412" s="208">
        <f t="shared" ref="H412:H417" si="924">IF(ITCFedFixedFedDeprec="Yes",K583,0)+IF(ITCFedPercentFedDeprec="Yes",I583,0)</f>
        <v>5000</v>
      </c>
      <c r="I412" s="232">
        <f>F412-G412-H412</f>
        <v>39588328.638062894</v>
      </c>
      <c r="J412" s="208">
        <f>IF('Inputs &amp; Results'!B242="Yes",I412*FedBonusDeprec,0)</f>
        <v>3958832.8638062896</v>
      </c>
      <c r="K412" s="165">
        <f>I412-J412</f>
        <v>35629495.774256602</v>
      </c>
    </row>
    <row r="413" spans="1:42">
      <c r="A413" s="297" t="str">
        <f t="shared" ref="A413:A417" si="925">A279</f>
        <v>15-yr MACRS</v>
      </c>
      <c r="B413" s="231">
        <f t="shared" ref="B413:B417" si="926">C413/$C$419</f>
        <v>1.5463917525773193E-2</v>
      </c>
      <c r="C413" s="208">
        <f>'Inputs &amp; Results'!C222</f>
        <v>667303.29165274545</v>
      </c>
      <c r="D413" s="146">
        <f t="shared" ref="D413:E417" si="927">$B413*D$419</f>
        <v>0</v>
      </c>
      <c r="E413" s="146">
        <f t="shared" si="927"/>
        <v>0</v>
      </c>
      <c r="F413" s="248">
        <f t="shared" ref="F413:F417" si="928">C413-D413-E413</f>
        <v>667303.29165274545</v>
      </c>
      <c r="G413" s="208">
        <f t="shared" si="923"/>
        <v>0</v>
      </c>
      <c r="H413" s="208">
        <f t="shared" si="924"/>
        <v>0</v>
      </c>
      <c r="I413" s="165">
        <f t="shared" ref="I413:I417" si="929">F413-G413-H413</f>
        <v>667303.29165274545</v>
      </c>
      <c r="J413" s="208">
        <f>IF('Inputs &amp; Results'!B243="Yes",I413*FedBonusDeprec,0)</f>
        <v>0</v>
      </c>
      <c r="K413" s="165">
        <f t="shared" ref="K413:K417" si="930">I413-J413</f>
        <v>667303.29165274545</v>
      </c>
    </row>
    <row r="414" spans="1:42">
      <c r="A414" s="297" t="str">
        <f t="shared" si="925"/>
        <v>5-yr SL</v>
      </c>
      <c r="B414" s="231">
        <f t="shared" si="926"/>
        <v>0</v>
      </c>
      <c r="C414" s="208">
        <f>'Inputs &amp; Results'!C223</f>
        <v>0</v>
      </c>
      <c r="D414" s="146">
        <f t="shared" si="927"/>
        <v>0</v>
      </c>
      <c r="E414" s="146">
        <f t="shared" si="927"/>
        <v>0</v>
      </c>
      <c r="F414" s="248">
        <f t="shared" si="928"/>
        <v>0</v>
      </c>
      <c r="G414" s="208">
        <f t="shared" si="923"/>
        <v>0</v>
      </c>
      <c r="H414" s="208">
        <f t="shared" si="924"/>
        <v>0</v>
      </c>
      <c r="I414" s="165">
        <f t="shared" si="929"/>
        <v>0</v>
      </c>
      <c r="J414" s="208">
        <f>IF('Inputs &amp; Results'!B244="Yes",I414*FedBonusDeprec,0)</f>
        <v>0</v>
      </c>
      <c r="K414" s="165">
        <f t="shared" si="930"/>
        <v>0</v>
      </c>
    </row>
    <row r="415" spans="1:42">
      <c r="A415" s="297" t="str">
        <f t="shared" si="925"/>
        <v>15-yr SL</v>
      </c>
      <c r="B415" s="231">
        <f t="shared" si="926"/>
        <v>3.0927835051546386E-2</v>
      </c>
      <c r="C415" s="208">
        <f>'Inputs &amp; Results'!C224</f>
        <v>1334606.5833054909</v>
      </c>
      <c r="D415" s="146">
        <f t="shared" si="927"/>
        <v>0</v>
      </c>
      <c r="E415" s="146">
        <f t="shared" si="927"/>
        <v>0</v>
      </c>
      <c r="F415" s="248">
        <f t="shared" si="928"/>
        <v>1334606.5833054909</v>
      </c>
      <c r="G415" s="208">
        <f t="shared" si="923"/>
        <v>0</v>
      </c>
      <c r="H415" s="208">
        <f t="shared" si="924"/>
        <v>0</v>
      </c>
      <c r="I415" s="165">
        <f t="shared" si="929"/>
        <v>1334606.5833054909</v>
      </c>
      <c r="J415" s="208">
        <f>IF('Inputs &amp; Results'!B245="Yes",I415*FedBonusDeprec,0)</f>
        <v>0</v>
      </c>
      <c r="K415" s="165">
        <f t="shared" si="930"/>
        <v>1334606.5833054909</v>
      </c>
    </row>
    <row r="416" spans="1:42">
      <c r="A416" s="297" t="str">
        <f t="shared" si="925"/>
        <v>20-yr SL</v>
      </c>
      <c r="B416" s="231">
        <f t="shared" si="926"/>
        <v>3.0927835051546386E-2</v>
      </c>
      <c r="C416" s="208">
        <f>'Inputs &amp; Results'!C225</f>
        <v>1334606.5833054909</v>
      </c>
      <c r="D416" s="146">
        <f t="shared" si="927"/>
        <v>0</v>
      </c>
      <c r="E416" s="146">
        <f t="shared" si="927"/>
        <v>0</v>
      </c>
      <c r="F416" s="248">
        <f t="shared" si="928"/>
        <v>1334606.5833054909</v>
      </c>
      <c r="G416" s="208">
        <f t="shared" si="923"/>
        <v>0</v>
      </c>
      <c r="H416" s="208">
        <f t="shared" si="924"/>
        <v>0</v>
      </c>
      <c r="I416" s="165">
        <f t="shared" si="929"/>
        <v>1334606.5833054909</v>
      </c>
      <c r="J416" s="208">
        <f>IF('Inputs &amp; Results'!B246="Yes",I416*FedBonusDeprec,0)</f>
        <v>0</v>
      </c>
      <c r="K416" s="165">
        <f t="shared" si="930"/>
        <v>1334606.5833054909</v>
      </c>
    </row>
    <row r="417" spans="1:11">
      <c r="A417" s="297" t="str">
        <f t="shared" si="925"/>
        <v>39-yr SL</v>
      </c>
      <c r="B417" s="231">
        <f t="shared" si="926"/>
        <v>5.1546391752577319E-3</v>
      </c>
      <c r="C417" s="208">
        <f>'Inputs &amp; Results'!C226</f>
        <v>222434.43055091516</v>
      </c>
      <c r="D417" s="146">
        <f t="shared" si="927"/>
        <v>0</v>
      </c>
      <c r="E417" s="146">
        <f t="shared" si="927"/>
        <v>0</v>
      </c>
      <c r="F417" s="248">
        <f t="shared" si="928"/>
        <v>222434.43055091516</v>
      </c>
      <c r="G417" s="208">
        <f t="shared" si="923"/>
        <v>0</v>
      </c>
      <c r="H417" s="208">
        <f t="shared" si="924"/>
        <v>0</v>
      </c>
      <c r="I417" s="165">
        <f t="shared" si="929"/>
        <v>222434.43055091516</v>
      </c>
      <c r="J417" s="208">
        <f>IF('Inputs &amp; Results'!B247="Yes",I417*FedBonusDeprec,0)</f>
        <v>0</v>
      </c>
      <c r="K417" s="165">
        <f t="shared" si="930"/>
        <v>222434.43055091516</v>
      </c>
    </row>
    <row r="418" spans="1:11">
      <c r="A418" s="301" t="s">
        <v>391</v>
      </c>
      <c r="B418" s="233"/>
      <c r="C418" s="234"/>
      <c r="D418" s="234"/>
      <c r="E418" s="234"/>
      <c r="F418" s="234"/>
      <c r="G418" s="235"/>
      <c r="H418" s="235"/>
      <c r="I418" s="103"/>
      <c r="J418" s="235"/>
      <c r="K418" s="103"/>
    </row>
    <row r="419" spans="1:11">
      <c r="A419" s="119"/>
      <c r="B419" s="236">
        <f>SUM(B412:B418)</f>
        <v>0.99999999999999978</v>
      </c>
      <c r="C419" s="209">
        <f>SUM(C412:C418)</f>
        <v>43152279.526877545</v>
      </c>
      <c r="D419" s="225">
        <f>B428+B434</f>
        <v>0</v>
      </c>
      <c r="E419" s="225">
        <f>B440</f>
        <v>0</v>
      </c>
      <c r="F419" s="249">
        <f t="shared" ref="F419:K419" si="931">SUM(F412:F418)</f>
        <v>43152279.526877545</v>
      </c>
      <c r="G419" s="209">
        <f t="shared" si="931"/>
        <v>0</v>
      </c>
      <c r="H419" s="209">
        <f t="shared" si="931"/>
        <v>5000</v>
      </c>
      <c r="I419" s="237">
        <f t="shared" si="931"/>
        <v>43147279.526877545</v>
      </c>
      <c r="J419" s="237">
        <f t="shared" si="931"/>
        <v>3958832.8638062896</v>
      </c>
      <c r="K419" s="237">
        <f t="shared" si="931"/>
        <v>39188446.663071252</v>
      </c>
    </row>
    <row r="420" spans="1:11">
      <c r="A420" s="119"/>
    </row>
    <row r="421" spans="1:11">
      <c r="A421" s="119" t="s">
        <v>171</v>
      </c>
    </row>
    <row r="422" spans="1:11">
      <c r="A422" s="297" t="str">
        <f>A288</f>
        <v>Investment Based Incentive (IBI)</v>
      </c>
    </row>
    <row r="423" spans="1:11">
      <c r="A423" s="298" t="str">
        <f t="shared" ref="A423:A441" si="932">A289</f>
        <v>Fixed Amount ($)</v>
      </c>
    </row>
    <row r="424" spans="1:11">
      <c r="A424" s="299" t="str">
        <f t="shared" si="932"/>
        <v>Federal</v>
      </c>
      <c r="B424" s="164">
        <f>IF(IBIFedFixedFedDeprec="Yes",IBIFedFixed,0)</f>
        <v>0</v>
      </c>
    </row>
    <row r="425" spans="1:11">
      <c r="A425" s="299" t="str">
        <f t="shared" si="932"/>
        <v>State</v>
      </c>
      <c r="B425" s="164">
        <f>IF(IBIStateFixedFedDeprec="Yes",IBIStateFixed,0)</f>
        <v>0</v>
      </c>
    </row>
    <row r="426" spans="1:11">
      <c r="A426" s="299" t="str">
        <f t="shared" si="932"/>
        <v>Utility</v>
      </c>
      <c r="B426" s="164">
        <f>IF(IBIUtilityFixedFedDeprec="Yes",IBIUtilityFixed,0)</f>
        <v>0</v>
      </c>
    </row>
    <row r="427" spans="1:11">
      <c r="A427" s="299" t="str">
        <f t="shared" si="932"/>
        <v>Other</v>
      </c>
      <c r="B427" s="209">
        <f>IF(IBIOtherFixedFedDeprec="Yes",IBIOtherFixed,0)</f>
        <v>0</v>
      </c>
    </row>
    <row r="428" spans="1:11">
      <c r="A428" s="299" t="str">
        <f t="shared" si="932"/>
        <v>Total</v>
      </c>
      <c r="B428" s="164">
        <f>SUM(B424:B427)</f>
        <v>0</v>
      </c>
    </row>
    <row r="429" spans="1:11">
      <c r="A429" s="298" t="str">
        <f t="shared" si="932"/>
        <v>Percentage of Pre-Financing Costs</v>
      </c>
    </row>
    <row r="430" spans="1:11">
      <c r="A430" s="299" t="str">
        <f t="shared" si="932"/>
        <v>Federal</v>
      </c>
      <c r="B430" s="164">
        <f>IF(IBIFedPercentFedDeprec="Yes",IBIFedPercent,0)</f>
        <v>0</v>
      </c>
    </row>
    <row r="431" spans="1:11">
      <c r="A431" s="299" t="str">
        <f t="shared" si="932"/>
        <v>State</v>
      </c>
      <c r="B431" s="164">
        <f>IF(IBIStatePercentFedDeprec="Yes",IBIStatePercent,0)</f>
        <v>0</v>
      </c>
    </row>
    <row r="432" spans="1:11">
      <c r="A432" s="299" t="str">
        <f t="shared" si="932"/>
        <v>Utility</v>
      </c>
      <c r="B432" s="164">
        <f>IF(IBIUtilityPercentFedDeprec="Yes",IBIUtilityPercent,0)</f>
        <v>0</v>
      </c>
    </row>
    <row r="433" spans="1:42">
      <c r="A433" s="299" t="str">
        <f t="shared" si="932"/>
        <v>Other</v>
      </c>
      <c r="B433" s="209">
        <f>IF(IBIOtherPercentFedDeprec="Yes",IBIOtherPercent,0)</f>
        <v>0</v>
      </c>
    </row>
    <row r="434" spans="1:42">
      <c r="A434" s="299" t="str">
        <f t="shared" si="932"/>
        <v>Total</v>
      </c>
      <c r="B434" s="164">
        <f>SUM(B430:B433)</f>
        <v>0</v>
      </c>
    </row>
    <row r="435" spans="1:42">
      <c r="A435" s="297" t="str">
        <f t="shared" si="932"/>
        <v>Capacity Based Incentive (CBI)</v>
      </c>
    </row>
    <row r="436" spans="1:42">
      <c r="A436" s="298" t="str">
        <f t="shared" si="932"/>
        <v>Federal</v>
      </c>
      <c r="B436" s="164">
        <f>IF(CBIFedFedDeprec="Yes",CBIFed,0)</f>
        <v>0</v>
      </c>
    </row>
    <row r="437" spans="1:42">
      <c r="A437" s="298" t="str">
        <f t="shared" si="932"/>
        <v>State</v>
      </c>
      <c r="B437" s="164">
        <f>IF(CBIStateFedDeprec="Yes",CBIState,0)</f>
        <v>0</v>
      </c>
    </row>
    <row r="438" spans="1:42">
      <c r="A438" s="298" t="str">
        <f t="shared" si="932"/>
        <v>Utility</v>
      </c>
      <c r="B438" s="164">
        <f>IF(CBIUtilityFedDeprec="Yes",CBIUtility,0)</f>
        <v>0</v>
      </c>
    </row>
    <row r="439" spans="1:42">
      <c r="A439" s="298" t="str">
        <f t="shared" si="932"/>
        <v>Other</v>
      </c>
      <c r="B439" s="209">
        <f>IF(CBIOtherFedDeprec="Yes",CBIOther,0)</f>
        <v>0</v>
      </c>
    </row>
    <row r="440" spans="1:42">
      <c r="A440" s="298" t="str">
        <f t="shared" si="932"/>
        <v>Total</v>
      </c>
      <c r="B440" s="216">
        <f>SUM(B436:B439)</f>
        <v>0</v>
      </c>
    </row>
    <row r="441" spans="1:42">
      <c r="A441" s="297" t="str">
        <f t="shared" si="932"/>
        <v>Total Basis Reduction</v>
      </c>
      <c r="B441" s="164">
        <f>B428+B434+B440</f>
        <v>0</v>
      </c>
    </row>
    <row r="442" spans="1:42">
      <c r="A442" s="119"/>
    </row>
    <row r="443" spans="1:42">
      <c r="A443" s="119" t="s">
        <v>264</v>
      </c>
    </row>
    <row r="444" spans="1:42">
      <c r="A444" s="297" t="s">
        <v>160</v>
      </c>
    </row>
    <row r="445" spans="1:42">
      <c r="A445" s="227" t="str">
        <f>A412</f>
        <v>5-yr MACRS</v>
      </c>
      <c r="B445" s="239">
        <f>SUM(C445:AP445)</f>
        <v>0.99999999999999989</v>
      </c>
      <c r="C445" s="240">
        <f>LOOKUP(C$2,'Depreciation Schedules'!$A$3:$A$42,'Depreciation Schedules'!$B$3:$B$42)</f>
        <v>0.2</v>
      </c>
      <c r="D445" s="240">
        <f>LOOKUP(D$2,'Depreciation Schedules'!$A$3:$A$42,'Depreciation Schedules'!$B$3:$B$42)</f>
        <v>0.32</v>
      </c>
      <c r="E445" s="240">
        <f>LOOKUP(E$2,'Depreciation Schedules'!$A$3:$A$42,'Depreciation Schedules'!$B$3:$B$42)</f>
        <v>0.192</v>
      </c>
      <c r="F445" s="240">
        <f>LOOKUP(F$2,'Depreciation Schedules'!$A$3:$A$42,'Depreciation Schedules'!$B$3:$B$42)</f>
        <v>0.1152</v>
      </c>
      <c r="G445" s="240">
        <f>LOOKUP(G$2,'Depreciation Schedules'!$A$3:$A$42,'Depreciation Schedules'!$B$3:$B$42)</f>
        <v>0.1152</v>
      </c>
      <c r="H445" s="240">
        <f>LOOKUP(H$2,'Depreciation Schedules'!$A$3:$A$42,'Depreciation Schedules'!$B$3:$B$42)</f>
        <v>5.7599999999999998E-2</v>
      </c>
      <c r="I445" s="240">
        <f>LOOKUP(I$2,'Depreciation Schedules'!$A$3:$A$42,'Depreciation Schedules'!$B$3:$B$42)</f>
        <v>0</v>
      </c>
      <c r="J445" s="240">
        <f>LOOKUP(J$2,'Depreciation Schedules'!$A$3:$A$42,'Depreciation Schedules'!$B$3:$B$42)</f>
        <v>0</v>
      </c>
      <c r="K445" s="240">
        <f>LOOKUP(K$2,'Depreciation Schedules'!$A$3:$A$42,'Depreciation Schedules'!$B$3:$B$42)</f>
        <v>0</v>
      </c>
      <c r="L445" s="240">
        <f>LOOKUP(L$2,'Depreciation Schedules'!$A$3:$A$42,'Depreciation Schedules'!$B$3:$B$42)</f>
        <v>0</v>
      </c>
      <c r="M445" s="240">
        <f>LOOKUP(M$2,'Depreciation Schedules'!$A$3:$A$42,'Depreciation Schedules'!$B$3:$B$42)</f>
        <v>0</v>
      </c>
      <c r="N445" s="240">
        <f>LOOKUP(N$2,'Depreciation Schedules'!$A$3:$A$42,'Depreciation Schedules'!$B$3:$B$42)</f>
        <v>0</v>
      </c>
      <c r="O445" s="240">
        <f>LOOKUP(O$2,'Depreciation Schedules'!$A$3:$A$42,'Depreciation Schedules'!$B$3:$B$42)</f>
        <v>0</v>
      </c>
      <c r="P445" s="240">
        <f>LOOKUP(P$2,'Depreciation Schedules'!$A$3:$A$42,'Depreciation Schedules'!$B$3:$B$42)</f>
        <v>0</v>
      </c>
      <c r="Q445" s="240">
        <f>LOOKUP(Q$2,'Depreciation Schedules'!$A$3:$A$42,'Depreciation Schedules'!$B$3:$B$42)</f>
        <v>0</v>
      </c>
      <c r="R445" s="240">
        <f>LOOKUP(R$2,'Depreciation Schedules'!$A$3:$A$42,'Depreciation Schedules'!$B$3:$B$42)</f>
        <v>0</v>
      </c>
      <c r="S445" s="240">
        <f>LOOKUP(S$2,'Depreciation Schedules'!$A$3:$A$42,'Depreciation Schedules'!$B$3:$B$42)</f>
        <v>0</v>
      </c>
      <c r="T445" s="240">
        <f>LOOKUP(T$2,'Depreciation Schedules'!$A$3:$A$42,'Depreciation Schedules'!$B$3:$B$42)</f>
        <v>0</v>
      </c>
      <c r="U445" s="240">
        <f>LOOKUP(U$2,'Depreciation Schedules'!$A$3:$A$42,'Depreciation Schedules'!$B$3:$B$42)</f>
        <v>0</v>
      </c>
      <c r="V445" s="240">
        <f>LOOKUP(V$2,'Depreciation Schedules'!$A$3:$A$42,'Depreciation Schedules'!$B$3:$B$42)</f>
        <v>0</v>
      </c>
      <c r="W445" s="240">
        <f>LOOKUP(W$2,'Depreciation Schedules'!$A$3:$A$42,'Depreciation Schedules'!$B$3:$B$42)</f>
        <v>0</v>
      </c>
      <c r="X445" s="240">
        <f>LOOKUP(X$2,'Depreciation Schedules'!$A$3:$A$42,'Depreciation Schedules'!$B$3:$B$42)</f>
        <v>0</v>
      </c>
      <c r="Y445" s="240">
        <f>LOOKUP(Y$2,'Depreciation Schedules'!$A$3:$A$42,'Depreciation Schedules'!$B$3:$B$42)</f>
        <v>0</v>
      </c>
      <c r="Z445" s="240">
        <f>LOOKUP(Z$2,'Depreciation Schedules'!$A$3:$A$42,'Depreciation Schedules'!$B$3:$B$42)</f>
        <v>0</v>
      </c>
      <c r="AA445" s="240">
        <f>LOOKUP(AA$2,'Depreciation Schedules'!$A$3:$A$42,'Depreciation Schedules'!$B$3:$B$42)</f>
        <v>0</v>
      </c>
      <c r="AB445" s="240">
        <f>LOOKUP(AB$2,'Depreciation Schedules'!$A$3:$A$42,'Depreciation Schedules'!$B$3:$B$42)</f>
        <v>0</v>
      </c>
      <c r="AC445" s="240">
        <f>LOOKUP(AC$2,'Depreciation Schedules'!$A$3:$A$42,'Depreciation Schedules'!$B$3:$B$42)</f>
        <v>0</v>
      </c>
      <c r="AD445" s="240">
        <f>LOOKUP(AD$2,'Depreciation Schedules'!$A$3:$A$42,'Depreciation Schedules'!$B$3:$B$42)</f>
        <v>0</v>
      </c>
      <c r="AE445" s="240">
        <f>LOOKUP(AE$2,'Depreciation Schedules'!$A$3:$A$42,'Depreciation Schedules'!$B$3:$B$42)</f>
        <v>0</v>
      </c>
      <c r="AF445" s="240">
        <f>LOOKUP(AF$2,'Depreciation Schedules'!$A$3:$A$42,'Depreciation Schedules'!$B$3:$B$42)</f>
        <v>0</v>
      </c>
      <c r="AG445" s="240">
        <f>LOOKUP(AG$2,'Depreciation Schedules'!$A$3:$A$42,'Depreciation Schedules'!$B$3:$B$42)</f>
        <v>0</v>
      </c>
      <c r="AH445" s="240">
        <f>LOOKUP(AH$2,'Depreciation Schedules'!$A$3:$A$42,'Depreciation Schedules'!$B$3:$B$42)</f>
        <v>0</v>
      </c>
      <c r="AI445" s="240">
        <f>LOOKUP(AI$2,'Depreciation Schedules'!$A$3:$A$42,'Depreciation Schedules'!$B$3:$B$42)</f>
        <v>0</v>
      </c>
      <c r="AJ445" s="240">
        <f>LOOKUP(AJ$2,'Depreciation Schedules'!$A$3:$A$42,'Depreciation Schedules'!$B$3:$B$42)</f>
        <v>0</v>
      </c>
      <c r="AK445" s="240">
        <f>LOOKUP(AK$2,'Depreciation Schedules'!$A$3:$A$42,'Depreciation Schedules'!$B$3:$B$42)</f>
        <v>0</v>
      </c>
      <c r="AL445" s="240">
        <f>LOOKUP(AL$2,'Depreciation Schedules'!$A$3:$A$42,'Depreciation Schedules'!$B$3:$B$42)</f>
        <v>0</v>
      </c>
      <c r="AM445" s="240">
        <f>LOOKUP(AM$2,'Depreciation Schedules'!$A$3:$A$42,'Depreciation Schedules'!$B$3:$B$42)</f>
        <v>0</v>
      </c>
      <c r="AN445" s="240">
        <f>LOOKUP(AN$2,'Depreciation Schedules'!$A$3:$A$42,'Depreciation Schedules'!$B$3:$B$42)</f>
        <v>0</v>
      </c>
      <c r="AO445" s="240">
        <f>LOOKUP(AO$2,'Depreciation Schedules'!$A$3:$A$42,'Depreciation Schedules'!$B$3:$B$42)</f>
        <v>0</v>
      </c>
      <c r="AP445" s="240">
        <f>LOOKUP(AP$2,'Depreciation Schedules'!$A$3:$A$42,'Depreciation Schedules'!$B$3:$B$42)</f>
        <v>0</v>
      </c>
    </row>
    <row r="446" spans="1:42">
      <c r="A446" s="227" t="str">
        <f t="shared" ref="A446:A450" si="933">A413</f>
        <v>15-yr MACRS</v>
      </c>
      <c r="B446" s="241">
        <f t="shared" ref="B446:B450" si="934">SUM(C446:AP446)</f>
        <v>1.0000000000000002</v>
      </c>
      <c r="C446" s="240">
        <f>LOOKUP(C$2,'Depreciation Schedules'!$A$3:$A$42,'Depreciation Schedules'!$C$3:$C$42)</f>
        <v>0.05</v>
      </c>
      <c r="D446" s="240">
        <f>LOOKUP(D$2,'Depreciation Schedules'!$A$3:$A$42,'Depreciation Schedules'!$C$3:$C$42)</f>
        <v>9.5000000000000001E-2</v>
      </c>
      <c r="E446" s="240">
        <f>LOOKUP(E$2,'Depreciation Schedules'!$A$3:$A$42,'Depreciation Schedules'!$C$3:$C$42)</f>
        <v>8.5500000000000007E-2</v>
      </c>
      <c r="F446" s="240">
        <f>LOOKUP(F$2,'Depreciation Schedules'!$A$3:$A$42,'Depreciation Schedules'!$C$3:$C$42)</f>
        <v>7.6999999999999999E-2</v>
      </c>
      <c r="G446" s="240">
        <f>LOOKUP(G$2,'Depreciation Schedules'!$A$3:$A$42,'Depreciation Schedules'!$C$3:$C$42)</f>
        <v>6.93E-2</v>
      </c>
      <c r="H446" s="240">
        <f>LOOKUP(H$2,'Depreciation Schedules'!$A$3:$A$42,'Depreciation Schedules'!$C$3:$C$42)</f>
        <v>6.2300000000000001E-2</v>
      </c>
      <c r="I446" s="240">
        <f>LOOKUP(I$2,'Depreciation Schedules'!$A$3:$A$42,'Depreciation Schedules'!$C$3:$C$42)</f>
        <v>5.8999999999999997E-2</v>
      </c>
      <c r="J446" s="240">
        <f>LOOKUP(J$2,'Depreciation Schedules'!$A$3:$A$42,'Depreciation Schedules'!$C$3:$C$42)</f>
        <v>5.8999999999999997E-2</v>
      </c>
      <c r="K446" s="240">
        <f>LOOKUP(K$2,'Depreciation Schedules'!$A$3:$A$42,'Depreciation Schedules'!$C$3:$C$42)</f>
        <v>5.91E-2</v>
      </c>
      <c r="L446" s="240">
        <f>LOOKUP(L$2,'Depreciation Schedules'!$A$3:$A$42,'Depreciation Schedules'!$C$3:$C$42)</f>
        <v>5.8999999999999997E-2</v>
      </c>
      <c r="M446" s="240">
        <f>LOOKUP(M$2,'Depreciation Schedules'!$A$3:$A$42,'Depreciation Schedules'!$C$3:$C$42)</f>
        <v>5.91E-2</v>
      </c>
      <c r="N446" s="240">
        <f>LOOKUP(N$2,'Depreciation Schedules'!$A$3:$A$42,'Depreciation Schedules'!$C$3:$C$42)</f>
        <v>5.8999999999999997E-2</v>
      </c>
      <c r="O446" s="240">
        <f>LOOKUP(O$2,'Depreciation Schedules'!$A$3:$A$42,'Depreciation Schedules'!$C$3:$C$42)</f>
        <v>5.91E-2</v>
      </c>
      <c r="P446" s="240">
        <f>LOOKUP(P$2,'Depreciation Schedules'!$A$3:$A$42,'Depreciation Schedules'!$C$3:$C$42)</f>
        <v>5.8999999999999997E-2</v>
      </c>
      <c r="Q446" s="240">
        <f>LOOKUP(Q$2,'Depreciation Schedules'!$A$3:$A$42,'Depreciation Schedules'!$C$3:$C$42)</f>
        <v>5.91E-2</v>
      </c>
      <c r="R446" s="240">
        <f>LOOKUP(R$2,'Depreciation Schedules'!$A$3:$A$42,'Depreciation Schedules'!$C$3:$C$42)</f>
        <v>2.9499999999999998E-2</v>
      </c>
      <c r="S446" s="240">
        <f>LOOKUP(S$2,'Depreciation Schedules'!$A$3:$A$42,'Depreciation Schedules'!$C$3:$C$42)</f>
        <v>0</v>
      </c>
      <c r="T446" s="240">
        <f>LOOKUP(T$2,'Depreciation Schedules'!$A$3:$A$42,'Depreciation Schedules'!$C$3:$C$42)</f>
        <v>0</v>
      </c>
      <c r="U446" s="240">
        <f>LOOKUP(U$2,'Depreciation Schedules'!$A$3:$A$42,'Depreciation Schedules'!$C$3:$C$42)</f>
        <v>0</v>
      </c>
      <c r="V446" s="240">
        <f>LOOKUP(V$2,'Depreciation Schedules'!$A$3:$A$42,'Depreciation Schedules'!$C$3:$C$42)</f>
        <v>0</v>
      </c>
      <c r="W446" s="240">
        <f>LOOKUP(W$2,'Depreciation Schedules'!$A$3:$A$42,'Depreciation Schedules'!$C$3:$C$42)</f>
        <v>0</v>
      </c>
      <c r="X446" s="240">
        <f>LOOKUP(X$2,'Depreciation Schedules'!$A$3:$A$42,'Depreciation Schedules'!$C$3:$C$42)</f>
        <v>0</v>
      </c>
      <c r="Y446" s="240">
        <f>LOOKUP(Y$2,'Depreciation Schedules'!$A$3:$A$42,'Depreciation Schedules'!$C$3:$C$42)</f>
        <v>0</v>
      </c>
      <c r="Z446" s="240">
        <f>LOOKUP(Z$2,'Depreciation Schedules'!$A$3:$A$42,'Depreciation Schedules'!$C$3:$C$42)</f>
        <v>0</v>
      </c>
      <c r="AA446" s="240">
        <f>LOOKUP(AA$2,'Depreciation Schedules'!$A$3:$A$42,'Depreciation Schedules'!$C$3:$C$42)</f>
        <v>0</v>
      </c>
      <c r="AB446" s="240">
        <f>LOOKUP(AB$2,'Depreciation Schedules'!$A$3:$A$42,'Depreciation Schedules'!$C$3:$C$42)</f>
        <v>0</v>
      </c>
      <c r="AC446" s="240">
        <f>LOOKUP(AC$2,'Depreciation Schedules'!$A$3:$A$42,'Depreciation Schedules'!$C$3:$C$42)</f>
        <v>0</v>
      </c>
      <c r="AD446" s="240">
        <f>LOOKUP(AD$2,'Depreciation Schedules'!$A$3:$A$42,'Depreciation Schedules'!$C$3:$C$42)</f>
        <v>0</v>
      </c>
      <c r="AE446" s="240">
        <f>LOOKUP(AE$2,'Depreciation Schedules'!$A$3:$A$42,'Depreciation Schedules'!$C$3:$C$42)</f>
        <v>0</v>
      </c>
      <c r="AF446" s="240">
        <f>LOOKUP(AF$2,'Depreciation Schedules'!$A$3:$A$42,'Depreciation Schedules'!$C$3:$C$42)</f>
        <v>0</v>
      </c>
      <c r="AG446" s="240">
        <f>LOOKUP(AG$2,'Depreciation Schedules'!$A$3:$A$42,'Depreciation Schedules'!$C$3:$C$42)</f>
        <v>0</v>
      </c>
      <c r="AH446" s="240">
        <f>LOOKUP(AH$2,'Depreciation Schedules'!$A$3:$A$42,'Depreciation Schedules'!$C$3:$C$42)</f>
        <v>0</v>
      </c>
      <c r="AI446" s="240">
        <f>LOOKUP(AI$2,'Depreciation Schedules'!$A$3:$A$42,'Depreciation Schedules'!$C$3:$C$42)</f>
        <v>0</v>
      </c>
      <c r="AJ446" s="240">
        <f>LOOKUP(AJ$2,'Depreciation Schedules'!$A$3:$A$42,'Depreciation Schedules'!$C$3:$C$42)</f>
        <v>0</v>
      </c>
      <c r="AK446" s="240">
        <f>LOOKUP(AK$2,'Depreciation Schedules'!$A$3:$A$42,'Depreciation Schedules'!$C$3:$C$42)</f>
        <v>0</v>
      </c>
      <c r="AL446" s="240">
        <f>LOOKUP(AL$2,'Depreciation Schedules'!$A$3:$A$42,'Depreciation Schedules'!$C$3:$C$42)</f>
        <v>0</v>
      </c>
      <c r="AM446" s="240">
        <f>LOOKUP(AM$2,'Depreciation Schedules'!$A$3:$A$42,'Depreciation Schedules'!$C$3:$C$42)</f>
        <v>0</v>
      </c>
      <c r="AN446" s="240">
        <f>LOOKUP(AN$2,'Depreciation Schedules'!$A$3:$A$42,'Depreciation Schedules'!$C$3:$C$42)</f>
        <v>0</v>
      </c>
      <c r="AO446" s="240">
        <f>LOOKUP(AO$2,'Depreciation Schedules'!$A$3:$A$42,'Depreciation Schedules'!$C$3:$C$42)</f>
        <v>0</v>
      </c>
      <c r="AP446" s="240">
        <f>LOOKUP(AP$2,'Depreciation Schedules'!$A$3:$A$42,'Depreciation Schedules'!$C$3:$C$42)</f>
        <v>0</v>
      </c>
    </row>
    <row r="447" spans="1:42">
      <c r="A447" s="227" t="str">
        <f t="shared" si="933"/>
        <v>5-yr SL</v>
      </c>
      <c r="B447" s="241">
        <f t="shared" si="934"/>
        <v>0.99999999999999989</v>
      </c>
      <c r="C447" s="240">
        <f>LOOKUP(C$2,'Depreciation Schedules'!$A$3:$A$42,'Depreciation Schedules'!$D$3:$D$42)</f>
        <v>0.1</v>
      </c>
      <c r="D447" s="240">
        <f>LOOKUP(D$2,'Depreciation Schedules'!$A$3:$A$42,'Depreciation Schedules'!$D$3:$D$42)</f>
        <v>0.2</v>
      </c>
      <c r="E447" s="240">
        <f>LOOKUP(E$2,'Depreciation Schedules'!$A$3:$A$42,'Depreciation Schedules'!$D$3:$D$42)</f>
        <v>0.2</v>
      </c>
      <c r="F447" s="240">
        <f>LOOKUP(F$2,'Depreciation Schedules'!$A$3:$A$42,'Depreciation Schedules'!$D$3:$D$42)</f>
        <v>0.2</v>
      </c>
      <c r="G447" s="240">
        <f>LOOKUP(G$2,'Depreciation Schedules'!$A$3:$A$42,'Depreciation Schedules'!$D$3:$D$42)</f>
        <v>0.2</v>
      </c>
      <c r="H447" s="240">
        <f>LOOKUP(H$2,'Depreciation Schedules'!$A$3:$A$42,'Depreciation Schedules'!$D$3:$D$42)</f>
        <v>0.1</v>
      </c>
      <c r="I447" s="240">
        <f>LOOKUP(I$2,'Depreciation Schedules'!$A$3:$A$42,'Depreciation Schedules'!$D$3:$D$42)</f>
        <v>0</v>
      </c>
      <c r="J447" s="240">
        <f>LOOKUP(J$2,'Depreciation Schedules'!$A$3:$A$42,'Depreciation Schedules'!$D$3:$D$42)</f>
        <v>0</v>
      </c>
      <c r="K447" s="240">
        <f>LOOKUP(K$2,'Depreciation Schedules'!$A$3:$A$42,'Depreciation Schedules'!$D$3:$D$42)</f>
        <v>0</v>
      </c>
      <c r="L447" s="240">
        <f>LOOKUP(L$2,'Depreciation Schedules'!$A$3:$A$42,'Depreciation Schedules'!$D$3:$D$42)</f>
        <v>0</v>
      </c>
      <c r="M447" s="240">
        <f>LOOKUP(M$2,'Depreciation Schedules'!$A$3:$A$42,'Depreciation Schedules'!$D$3:$D$42)</f>
        <v>0</v>
      </c>
      <c r="N447" s="240">
        <f>LOOKUP(N$2,'Depreciation Schedules'!$A$3:$A$42,'Depreciation Schedules'!$D$3:$D$42)</f>
        <v>0</v>
      </c>
      <c r="O447" s="240">
        <f>LOOKUP(O$2,'Depreciation Schedules'!$A$3:$A$42,'Depreciation Schedules'!$D$3:$D$42)</f>
        <v>0</v>
      </c>
      <c r="P447" s="240">
        <f>LOOKUP(P$2,'Depreciation Schedules'!$A$3:$A$42,'Depreciation Schedules'!$D$3:$D$42)</f>
        <v>0</v>
      </c>
      <c r="Q447" s="240">
        <f>LOOKUP(Q$2,'Depreciation Schedules'!$A$3:$A$42,'Depreciation Schedules'!$D$3:$D$42)</f>
        <v>0</v>
      </c>
      <c r="R447" s="240">
        <f>LOOKUP(R$2,'Depreciation Schedules'!$A$3:$A$42,'Depreciation Schedules'!$D$3:$D$42)</f>
        <v>0</v>
      </c>
      <c r="S447" s="240">
        <f>LOOKUP(S$2,'Depreciation Schedules'!$A$3:$A$42,'Depreciation Schedules'!$D$3:$D$42)</f>
        <v>0</v>
      </c>
      <c r="T447" s="240">
        <f>LOOKUP(T$2,'Depreciation Schedules'!$A$3:$A$42,'Depreciation Schedules'!$D$3:$D$42)</f>
        <v>0</v>
      </c>
      <c r="U447" s="240">
        <f>LOOKUP(U$2,'Depreciation Schedules'!$A$3:$A$42,'Depreciation Schedules'!$D$3:$D$42)</f>
        <v>0</v>
      </c>
      <c r="V447" s="240">
        <f>LOOKUP(V$2,'Depreciation Schedules'!$A$3:$A$42,'Depreciation Schedules'!$D$3:$D$42)</f>
        <v>0</v>
      </c>
      <c r="W447" s="240">
        <f>LOOKUP(W$2,'Depreciation Schedules'!$A$3:$A$42,'Depreciation Schedules'!$D$3:$D$42)</f>
        <v>0</v>
      </c>
      <c r="X447" s="240">
        <f>LOOKUP(X$2,'Depreciation Schedules'!$A$3:$A$42,'Depreciation Schedules'!$D$3:$D$42)</f>
        <v>0</v>
      </c>
      <c r="Y447" s="240">
        <f>LOOKUP(Y$2,'Depreciation Schedules'!$A$3:$A$42,'Depreciation Schedules'!$D$3:$D$42)</f>
        <v>0</v>
      </c>
      <c r="Z447" s="240">
        <f>LOOKUP(Z$2,'Depreciation Schedules'!$A$3:$A$42,'Depreciation Schedules'!$D$3:$D$42)</f>
        <v>0</v>
      </c>
      <c r="AA447" s="240">
        <f>LOOKUP(AA$2,'Depreciation Schedules'!$A$3:$A$42,'Depreciation Schedules'!$D$3:$D$42)</f>
        <v>0</v>
      </c>
      <c r="AB447" s="240">
        <f>LOOKUP(AB$2,'Depreciation Schedules'!$A$3:$A$42,'Depreciation Schedules'!$D$3:$D$42)</f>
        <v>0</v>
      </c>
      <c r="AC447" s="240">
        <f>LOOKUP(AC$2,'Depreciation Schedules'!$A$3:$A$42,'Depreciation Schedules'!$D$3:$D$42)</f>
        <v>0</v>
      </c>
      <c r="AD447" s="240">
        <f>LOOKUP(AD$2,'Depreciation Schedules'!$A$3:$A$42,'Depreciation Schedules'!$D$3:$D$42)</f>
        <v>0</v>
      </c>
      <c r="AE447" s="240">
        <f>LOOKUP(AE$2,'Depreciation Schedules'!$A$3:$A$42,'Depreciation Schedules'!$D$3:$D$42)</f>
        <v>0</v>
      </c>
      <c r="AF447" s="240">
        <f>LOOKUP(AF$2,'Depreciation Schedules'!$A$3:$A$42,'Depreciation Schedules'!$D$3:$D$42)</f>
        <v>0</v>
      </c>
      <c r="AG447" s="240">
        <f>LOOKUP(AG$2,'Depreciation Schedules'!$A$3:$A$42,'Depreciation Schedules'!$D$3:$D$42)</f>
        <v>0</v>
      </c>
      <c r="AH447" s="240">
        <f>LOOKUP(AH$2,'Depreciation Schedules'!$A$3:$A$42,'Depreciation Schedules'!$D$3:$D$42)</f>
        <v>0</v>
      </c>
      <c r="AI447" s="240">
        <f>LOOKUP(AI$2,'Depreciation Schedules'!$A$3:$A$42,'Depreciation Schedules'!$D$3:$D$42)</f>
        <v>0</v>
      </c>
      <c r="AJ447" s="240">
        <f>LOOKUP(AJ$2,'Depreciation Schedules'!$A$3:$A$42,'Depreciation Schedules'!$D$3:$D$42)</f>
        <v>0</v>
      </c>
      <c r="AK447" s="240">
        <f>LOOKUP(AK$2,'Depreciation Schedules'!$A$3:$A$42,'Depreciation Schedules'!$D$3:$D$42)</f>
        <v>0</v>
      </c>
      <c r="AL447" s="240">
        <f>LOOKUP(AL$2,'Depreciation Schedules'!$A$3:$A$42,'Depreciation Schedules'!$D$3:$D$42)</f>
        <v>0</v>
      </c>
      <c r="AM447" s="240">
        <f>LOOKUP(AM$2,'Depreciation Schedules'!$A$3:$A$42,'Depreciation Schedules'!$D$3:$D$42)</f>
        <v>0</v>
      </c>
      <c r="AN447" s="240">
        <f>LOOKUP(AN$2,'Depreciation Schedules'!$A$3:$A$42,'Depreciation Schedules'!$D$3:$D$42)</f>
        <v>0</v>
      </c>
      <c r="AO447" s="240">
        <f>LOOKUP(AO$2,'Depreciation Schedules'!$A$3:$A$42,'Depreciation Schedules'!$D$3:$D$42)</f>
        <v>0</v>
      </c>
      <c r="AP447" s="240">
        <f>LOOKUP(AP$2,'Depreciation Schedules'!$A$3:$A$42,'Depreciation Schedules'!$D$3:$D$42)</f>
        <v>0</v>
      </c>
    </row>
    <row r="448" spans="1:42">
      <c r="A448" s="227" t="str">
        <f t="shared" si="933"/>
        <v>15-yr SL</v>
      </c>
      <c r="B448" s="241">
        <f t="shared" si="934"/>
        <v>0.99999999999999989</v>
      </c>
      <c r="C448" s="240">
        <f>LOOKUP(C$2,'Depreciation Schedules'!$A$3:$A$42,'Depreciation Schedules'!$E$3:$E$42)</f>
        <v>3.3300000000000003E-2</v>
      </c>
      <c r="D448" s="240">
        <f>LOOKUP(D$2,'Depreciation Schedules'!$A$3:$A$42,'Depreciation Schedules'!$E$3:$E$42)</f>
        <v>6.6699999999999995E-2</v>
      </c>
      <c r="E448" s="240">
        <f>LOOKUP(E$2,'Depreciation Schedules'!$A$3:$A$42,'Depreciation Schedules'!$E$3:$E$42)</f>
        <v>6.6699999999999995E-2</v>
      </c>
      <c r="F448" s="240">
        <f>LOOKUP(F$2,'Depreciation Schedules'!$A$3:$A$42,'Depreciation Schedules'!$E$3:$E$42)</f>
        <v>6.6699999999999995E-2</v>
      </c>
      <c r="G448" s="240">
        <f>LOOKUP(G$2,'Depreciation Schedules'!$A$3:$A$42,'Depreciation Schedules'!$E$3:$E$42)</f>
        <v>6.6699999999999995E-2</v>
      </c>
      <c r="H448" s="240">
        <f>LOOKUP(H$2,'Depreciation Schedules'!$A$3:$A$42,'Depreciation Schedules'!$E$3:$E$42)</f>
        <v>6.6699999999999995E-2</v>
      </c>
      <c r="I448" s="240">
        <f>LOOKUP(I$2,'Depreciation Schedules'!$A$3:$A$42,'Depreciation Schedules'!$E$3:$E$42)</f>
        <v>6.6699999999999995E-2</v>
      </c>
      <c r="J448" s="240">
        <f>LOOKUP(J$2,'Depreciation Schedules'!$A$3:$A$42,'Depreciation Schedules'!$E$3:$E$42)</f>
        <v>6.6600000000000006E-2</v>
      </c>
      <c r="K448" s="240">
        <f>LOOKUP(K$2,'Depreciation Schedules'!$A$3:$A$42,'Depreciation Schedules'!$E$3:$E$42)</f>
        <v>6.6699999999999995E-2</v>
      </c>
      <c r="L448" s="240">
        <f>LOOKUP(L$2,'Depreciation Schedules'!$A$3:$A$42,'Depreciation Schedules'!$E$3:$E$42)</f>
        <v>6.6600000000000006E-2</v>
      </c>
      <c r="M448" s="240">
        <f>LOOKUP(M$2,'Depreciation Schedules'!$A$3:$A$42,'Depreciation Schedules'!$E$3:$E$42)</f>
        <v>6.6699999999999995E-2</v>
      </c>
      <c r="N448" s="240">
        <f>LOOKUP(N$2,'Depreciation Schedules'!$A$3:$A$42,'Depreciation Schedules'!$E$3:$E$42)</f>
        <v>6.6600000000000006E-2</v>
      </c>
      <c r="O448" s="240">
        <f>LOOKUP(O$2,'Depreciation Schedules'!$A$3:$A$42,'Depreciation Schedules'!$E$3:$E$42)</f>
        <v>6.6699999999999995E-2</v>
      </c>
      <c r="P448" s="240">
        <f>LOOKUP(P$2,'Depreciation Schedules'!$A$3:$A$42,'Depreciation Schedules'!$E$3:$E$42)</f>
        <v>6.6600000000000006E-2</v>
      </c>
      <c r="Q448" s="240">
        <f>LOOKUP(Q$2,'Depreciation Schedules'!$A$3:$A$42,'Depreciation Schedules'!$E$3:$E$42)</f>
        <v>6.6699999999999995E-2</v>
      </c>
      <c r="R448" s="240">
        <f>LOOKUP(R$2,'Depreciation Schedules'!$A$3:$A$42,'Depreciation Schedules'!$E$3:$E$42)</f>
        <v>3.3300000000000003E-2</v>
      </c>
      <c r="S448" s="240">
        <f>LOOKUP(S$2,'Depreciation Schedules'!$A$3:$A$42,'Depreciation Schedules'!$E$3:$E$42)</f>
        <v>0</v>
      </c>
      <c r="T448" s="240">
        <f>LOOKUP(T$2,'Depreciation Schedules'!$A$3:$A$42,'Depreciation Schedules'!$E$3:$E$42)</f>
        <v>0</v>
      </c>
      <c r="U448" s="240">
        <f>LOOKUP(U$2,'Depreciation Schedules'!$A$3:$A$42,'Depreciation Schedules'!$E$3:$E$42)</f>
        <v>0</v>
      </c>
      <c r="V448" s="240">
        <f>LOOKUP(V$2,'Depreciation Schedules'!$A$3:$A$42,'Depreciation Schedules'!$E$3:$E$42)</f>
        <v>0</v>
      </c>
      <c r="W448" s="240">
        <f>LOOKUP(W$2,'Depreciation Schedules'!$A$3:$A$42,'Depreciation Schedules'!$E$3:$E$42)</f>
        <v>0</v>
      </c>
      <c r="X448" s="240">
        <f>LOOKUP(X$2,'Depreciation Schedules'!$A$3:$A$42,'Depreciation Schedules'!$E$3:$E$42)</f>
        <v>0</v>
      </c>
      <c r="Y448" s="240">
        <f>LOOKUP(Y$2,'Depreciation Schedules'!$A$3:$A$42,'Depreciation Schedules'!$E$3:$E$42)</f>
        <v>0</v>
      </c>
      <c r="Z448" s="240">
        <f>LOOKUP(Z$2,'Depreciation Schedules'!$A$3:$A$42,'Depreciation Schedules'!$E$3:$E$42)</f>
        <v>0</v>
      </c>
      <c r="AA448" s="240">
        <f>LOOKUP(AA$2,'Depreciation Schedules'!$A$3:$A$42,'Depreciation Schedules'!$E$3:$E$42)</f>
        <v>0</v>
      </c>
      <c r="AB448" s="240">
        <f>LOOKUP(AB$2,'Depreciation Schedules'!$A$3:$A$42,'Depreciation Schedules'!$E$3:$E$42)</f>
        <v>0</v>
      </c>
      <c r="AC448" s="240">
        <f>LOOKUP(AC$2,'Depreciation Schedules'!$A$3:$A$42,'Depreciation Schedules'!$E$3:$E$42)</f>
        <v>0</v>
      </c>
      <c r="AD448" s="240">
        <f>LOOKUP(AD$2,'Depreciation Schedules'!$A$3:$A$42,'Depreciation Schedules'!$E$3:$E$42)</f>
        <v>0</v>
      </c>
      <c r="AE448" s="240">
        <f>LOOKUP(AE$2,'Depreciation Schedules'!$A$3:$A$42,'Depreciation Schedules'!$E$3:$E$42)</f>
        <v>0</v>
      </c>
      <c r="AF448" s="240">
        <f>LOOKUP(AF$2,'Depreciation Schedules'!$A$3:$A$42,'Depreciation Schedules'!$E$3:$E$42)</f>
        <v>0</v>
      </c>
      <c r="AG448" s="240">
        <f>LOOKUP(AG$2,'Depreciation Schedules'!$A$3:$A$42,'Depreciation Schedules'!$E$3:$E$42)</f>
        <v>0</v>
      </c>
      <c r="AH448" s="240">
        <f>LOOKUP(AH$2,'Depreciation Schedules'!$A$3:$A$42,'Depreciation Schedules'!$E$3:$E$42)</f>
        <v>0</v>
      </c>
      <c r="AI448" s="240">
        <f>LOOKUP(AI$2,'Depreciation Schedules'!$A$3:$A$42,'Depreciation Schedules'!$E$3:$E$42)</f>
        <v>0</v>
      </c>
      <c r="AJ448" s="240">
        <f>LOOKUP(AJ$2,'Depreciation Schedules'!$A$3:$A$42,'Depreciation Schedules'!$E$3:$E$42)</f>
        <v>0</v>
      </c>
      <c r="AK448" s="240">
        <f>LOOKUP(AK$2,'Depreciation Schedules'!$A$3:$A$42,'Depreciation Schedules'!$E$3:$E$42)</f>
        <v>0</v>
      </c>
      <c r="AL448" s="240">
        <f>LOOKUP(AL$2,'Depreciation Schedules'!$A$3:$A$42,'Depreciation Schedules'!$E$3:$E$42)</f>
        <v>0</v>
      </c>
      <c r="AM448" s="240">
        <f>LOOKUP(AM$2,'Depreciation Schedules'!$A$3:$A$42,'Depreciation Schedules'!$E$3:$E$42)</f>
        <v>0</v>
      </c>
      <c r="AN448" s="240">
        <f>LOOKUP(AN$2,'Depreciation Schedules'!$A$3:$A$42,'Depreciation Schedules'!$E$3:$E$42)</f>
        <v>0</v>
      </c>
      <c r="AO448" s="240">
        <f>LOOKUP(AO$2,'Depreciation Schedules'!$A$3:$A$42,'Depreciation Schedules'!$E$3:$E$42)</f>
        <v>0</v>
      </c>
      <c r="AP448" s="240">
        <f>LOOKUP(AP$2,'Depreciation Schedules'!$A$3:$A$42,'Depreciation Schedules'!$E$3:$E$42)</f>
        <v>0</v>
      </c>
    </row>
    <row r="449" spans="1:42">
      <c r="A449" s="227" t="str">
        <f t="shared" si="933"/>
        <v>20-yr SL</v>
      </c>
      <c r="B449" s="241">
        <f t="shared" si="934"/>
        <v>1.0000000000000002</v>
      </c>
      <c r="C449" s="240">
        <f>LOOKUP(C$2,'Depreciation Schedules'!$A$3:$A$42,'Depreciation Schedules'!$F$3:$F$42)</f>
        <v>2.5000000000000001E-2</v>
      </c>
      <c r="D449" s="240">
        <f>LOOKUP(D$2,'Depreciation Schedules'!$A$3:$A$42,'Depreciation Schedules'!$F$3:$F$42)</f>
        <v>0.05</v>
      </c>
      <c r="E449" s="240">
        <f>LOOKUP(E$2,'Depreciation Schedules'!$A$3:$A$42,'Depreciation Schedules'!$F$3:$F$42)</f>
        <v>0.05</v>
      </c>
      <c r="F449" s="240">
        <f>LOOKUP(F$2,'Depreciation Schedules'!$A$3:$A$42,'Depreciation Schedules'!$F$3:$F$42)</f>
        <v>0.05</v>
      </c>
      <c r="G449" s="240">
        <f>LOOKUP(G$2,'Depreciation Schedules'!$A$3:$A$42,'Depreciation Schedules'!$F$3:$F$42)</f>
        <v>0.05</v>
      </c>
      <c r="H449" s="240">
        <f>LOOKUP(H$2,'Depreciation Schedules'!$A$3:$A$42,'Depreciation Schedules'!$F$3:$F$42)</f>
        <v>0.05</v>
      </c>
      <c r="I449" s="240">
        <f>LOOKUP(I$2,'Depreciation Schedules'!$A$3:$A$42,'Depreciation Schedules'!$F$3:$F$42)</f>
        <v>0.05</v>
      </c>
      <c r="J449" s="240">
        <f>LOOKUP(J$2,'Depreciation Schedules'!$A$3:$A$42,'Depreciation Schedules'!$F$3:$F$42)</f>
        <v>0.05</v>
      </c>
      <c r="K449" s="240">
        <f>LOOKUP(K$2,'Depreciation Schedules'!$A$3:$A$42,'Depreciation Schedules'!$F$3:$F$42)</f>
        <v>0.05</v>
      </c>
      <c r="L449" s="240">
        <f>LOOKUP(L$2,'Depreciation Schedules'!$A$3:$A$42,'Depreciation Schedules'!$F$3:$F$42)</f>
        <v>0.05</v>
      </c>
      <c r="M449" s="240">
        <f>LOOKUP(M$2,'Depreciation Schedules'!$A$3:$A$42,'Depreciation Schedules'!$F$3:$F$42)</f>
        <v>0.05</v>
      </c>
      <c r="N449" s="240">
        <f>LOOKUP(N$2,'Depreciation Schedules'!$A$3:$A$42,'Depreciation Schedules'!$F$3:$F$42)</f>
        <v>0.05</v>
      </c>
      <c r="O449" s="240">
        <f>LOOKUP(O$2,'Depreciation Schedules'!$A$3:$A$42,'Depreciation Schedules'!$F$3:$F$42)</f>
        <v>0.05</v>
      </c>
      <c r="P449" s="240">
        <f>LOOKUP(P$2,'Depreciation Schedules'!$A$3:$A$42,'Depreciation Schedules'!$F$3:$F$42)</f>
        <v>0.05</v>
      </c>
      <c r="Q449" s="240">
        <f>LOOKUP(Q$2,'Depreciation Schedules'!$A$3:$A$42,'Depreciation Schedules'!$F$3:$F$42)</f>
        <v>0.05</v>
      </c>
      <c r="R449" s="240">
        <f>LOOKUP(R$2,'Depreciation Schedules'!$A$3:$A$42,'Depreciation Schedules'!$F$3:$F$42)</f>
        <v>0.05</v>
      </c>
      <c r="S449" s="240">
        <f>LOOKUP(S$2,'Depreciation Schedules'!$A$3:$A$42,'Depreciation Schedules'!$F$3:$F$42)</f>
        <v>0.05</v>
      </c>
      <c r="T449" s="240">
        <f>LOOKUP(T$2,'Depreciation Schedules'!$A$3:$A$42,'Depreciation Schedules'!$F$3:$F$42)</f>
        <v>0.05</v>
      </c>
      <c r="U449" s="240">
        <f>LOOKUP(U$2,'Depreciation Schedules'!$A$3:$A$42,'Depreciation Schedules'!$F$3:$F$42)</f>
        <v>0.05</v>
      </c>
      <c r="V449" s="240">
        <f>LOOKUP(V$2,'Depreciation Schedules'!$A$3:$A$42,'Depreciation Schedules'!$F$3:$F$42)</f>
        <v>0.05</v>
      </c>
      <c r="W449" s="240">
        <f>LOOKUP(W$2,'Depreciation Schedules'!$A$3:$A$42,'Depreciation Schedules'!$F$3:$F$42)</f>
        <v>2.5000000000000001E-2</v>
      </c>
      <c r="X449" s="240">
        <f>LOOKUP(X$2,'Depreciation Schedules'!$A$3:$A$42,'Depreciation Schedules'!$F$3:$F$42)</f>
        <v>0</v>
      </c>
      <c r="Y449" s="240">
        <f>LOOKUP(Y$2,'Depreciation Schedules'!$A$3:$A$42,'Depreciation Schedules'!$F$3:$F$42)</f>
        <v>0</v>
      </c>
      <c r="Z449" s="240">
        <f>LOOKUP(Z$2,'Depreciation Schedules'!$A$3:$A$42,'Depreciation Schedules'!$F$3:$F$42)</f>
        <v>0</v>
      </c>
      <c r="AA449" s="240">
        <f>LOOKUP(AA$2,'Depreciation Schedules'!$A$3:$A$42,'Depreciation Schedules'!$F$3:$F$42)</f>
        <v>0</v>
      </c>
      <c r="AB449" s="240">
        <f>LOOKUP(AB$2,'Depreciation Schedules'!$A$3:$A$42,'Depreciation Schedules'!$F$3:$F$42)</f>
        <v>0</v>
      </c>
      <c r="AC449" s="240">
        <f>LOOKUP(AC$2,'Depreciation Schedules'!$A$3:$A$42,'Depreciation Schedules'!$F$3:$F$42)</f>
        <v>0</v>
      </c>
      <c r="AD449" s="240">
        <f>LOOKUP(AD$2,'Depreciation Schedules'!$A$3:$A$42,'Depreciation Schedules'!$F$3:$F$42)</f>
        <v>0</v>
      </c>
      <c r="AE449" s="240">
        <f>LOOKUP(AE$2,'Depreciation Schedules'!$A$3:$A$42,'Depreciation Schedules'!$F$3:$F$42)</f>
        <v>0</v>
      </c>
      <c r="AF449" s="240">
        <f>LOOKUP(AF$2,'Depreciation Schedules'!$A$3:$A$42,'Depreciation Schedules'!$F$3:$F$42)</f>
        <v>0</v>
      </c>
      <c r="AG449" s="240">
        <f>LOOKUP(AG$2,'Depreciation Schedules'!$A$3:$A$42,'Depreciation Schedules'!$F$3:$F$42)</f>
        <v>0</v>
      </c>
      <c r="AH449" s="240">
        <f>LOOKUP(AH$2,'Depreciation Schedules'!$A$3:$A$42,'Depreciation Schedules'!$F$3:$F$42)</f>
        <v>0</v>
      </c>
      <c r="AI449" s="240">
        <f>LOOKUP(AI$2,'Depreciation Schedules'!$A$3:$A$42,'Depreciation Schedules'!$F$3:$F$42)</f>
        <v>0</v>
      </c>
      <c r="AJ449" s="240">
        <f>LOOKUP(AJ$2,'Depreciation Schedules'!$A$3:$A$42,'Depreciation Schedules'!$F$3:$F$42)</f>
        <v>0</v>
      </c>
      <c r="AK449" s="240">
        <f>LOOKUP(AK$2,'Depreciation Schedules'!$A$3:$A$42,'Depreciation Schedules'!$F$3:$F$42)</f>
        <v>0</v>
      </c>
      <c r="AL449" s="240">
        <f>LOOKUP(AL$2,'Depreciation Schedules'!$A$3:$A$42,'Depreciation Schedules'!$F$3:$F$42)</f>
        <v>0</v>
      </c>
      <c r="AM449" s="240">
        <f>LOOKUP(AM$2,'Depreciation Schedules'!$A$3:$A$42,'Depreciation Schedules'!$F$3:$F$42)</f>
        <v>0</v>
      </c>
      <c r="AN449" s="240">
        <f>LOOKUP(AN$2,'Depreciation Schedules'!$A$3:$A$42,'Depreciation Schedules'!$F$3:$F$42)</f>
        <v>0</v>
      </c>
      <c r="AO449" s="240">
        <f>LOOKUP(AO$2,'Depreciation Schedules'!$A$3:$A$42,'Depreciation Schedules'!$F$3:$F$42)</f>
        <v>0</v>
      </c>
      <c r="AP449" s="240">
        <f>LOOKUP(AP$2,'Depreciation Schedules'!$A$3:$A$42,'Depreciation Schedules'!$F$3:$F$42)</f>
        <v>0</v>
      </c>
    </row>
    <row r="450" spans="1:42">
      <c r="A450" s="227" t="str">
        <f t="shared" si="933"/>
        <v>39-yr SL</v>
      </c>
      <c r="B450" s="242">
        <f t="shared" si="934"/>
        <v>1.0000000000000004</v>
      </c>
      <c r="C450" s="240">
        <f>LOOKUP(C$2,'Depreciation Schedules'!$A$3:$A$42,'Depreciation Schedules'!$G$3:$G$42)</f>
        <v>1.2820512820512799E-2</v>
      </c>
      <c r="D450" s="240">
        <f>LOOKUP(D$2,'Depreciation Schedules'!$A$3:$A$42,'Depreciation Schedules'!$G$3:$G$42)</f>
        <v>2.564102564102564E-2</v>
      </c>
      <c r="E450" s="240">
        <f>LOOKUP(E$2,'Depreciation Schedules'!$A$3:$A$42,'Depreciation Schedules'!$G$3:$G$42)</f>
        <v>2.564102564102564E-2</v>
      </c>
      <c r="F450" s="240">
        <f>LOOKUP(F$2,'Depreciation Schedules'!$A$3:$A$42,'Depreciation Schedules'!$G$3:$G$42)</f>
        <v>2.564102564102564E-2</v>
      </c>
      <c r="G450" s="240">
        <f>LOOKUP(G$2,'Depreciation Schedules'!$A$3:$A$42,'Depreciation Schedules'!$G$3:$G$42)</f>
        <v>2.564102564102564E-2</v>
      </c>
      <c r="H450" s="240">
        <f>LOOKUP(H$2,'Depreciation Schedules'!$A$3:$A$42,'Depreciation Schedules'!$G$3:$G$42)</f>
        <v>2.564102564102564E-2</v>
      </c>
      <c r="I450" s="240">
        <f>LOOKUP(I$2,'Depreciation Schedules'!$A$3:$A$42,'Depreciation Schedules'!$G$3:$G$42)</f>
        <v>2.564102564102564E-2</v>
      </c>
      <c r="J450" s="240">
        <f>LOOKUP(J$2,'Depreciation Schedules'!$A$3:$A$42,'Depreciation Schedules'!$G$3:$G$42)</f>
        <v>2.564102564102564E-2</v>
      </c>
      <c r="K450" s="240">
        <f>LOOKUP(K$2,'Depreciation Schedules'!$A$3:$A$42,'Depreciation Schedules'!$G$3:$G$42)</f>
        <v>2.564102564102564E-2</v>
      </c>
      <c r="L450" s="240">
        <f>LOOKUP(L$2,'Depreciation Schedules'!$A$3:$A$42,'Depreciation Schedules'!$G$3:$G$42)</f>
        <v>2.564102564102564E-2</v>
      </c>
      <c r="M450" s="240">
        <f>LOOKUP(M$2,'Depreciation Schedules'!$A$3:$A$42,'Depreciation Schedules'!$G$3:$G$42)</f>
        <v>2.564102564102564E-2</v>
      </c>
      <c r="N450" s="240">
        <f>LOOKUP(N$2,'Depreciation Schedules'!$A$3:$A$42,'Depreciation Schedules'!$G$3:$G$42)</f>
        <v>2.564102564102564E-2</v>
      </c>
      <c r="O450" s="240">
        <f>LOOKUP(O$2,'Depreciation Schedules'!$A$3:$A$42,'Depreciation Schedules'!$G$3:$G$42)</f>
        <v>2.564102564102564E-2</v>
      </c>
      <c r="P450" s="240">
        <f>LOOKUP(P$2,'Depreciation Schedules'!$A$3:$A$42,'Depreciation Schedules'!$G$3:$G$42)</f>
        <v>2.564102564102564E-2</v>
      </c>
      <c r="Q450" s="240">
        <f>LOOKUP(Q$2,'Depreciation Schedules'!$A$3:$A$42,'Depreciation Schedules'!$G$3:$G$42)</f>
        <v>2.564102564102564E-2</v>
      </c>
      <c r="R450" s="240">
        <f>LOOKUP(R$2,'Depreciation Schedules'!$A$3:$A$42,'Depreciation Schedules'!$G$3:$G$42)</f>
        <v>2.564102564102564E-2</v>
      </c>
      <c r="S450" s="240">
        <f>LOOKUP(S$2,'Depreciation Schedules'!$A$3:$A$42,'Depreciation Schedules'!$G$3:$G$42)</f>
        <v>2.564102564102564E-2</v>
      </c>
      <c r="T450" s="240">
        <f>LOOKUP(T$2,'Depreciation Schedules'!$A$3:$A$42,'Depreciation Schedules'!$G$3:$G$42)</f>
        <v>2.564102564102564E-2</v>
      </c>
      <c r="U450" s="240">
        <f>LOOKUP(U$2,'Depreciation Schedules'!$A$3:$A$42,'Depreciation Schedules'!$G$3:$G$42)</f>
        <v>2.564102564102564E-2</v>
      </c>
      <c r="V450" s="240">
        <f>LOOKUP(V$2,'Depreciation Schedules'!$A$3:$A$42,'Depreciation Schedules'!$G$3:$G$42)</f>
        <v>2.564102564102564E-2</v>
      </c>
      <c r="W450" s="240">
        <f>LOOKUP(W$2,'Depreciation Schedules'!$A$3:$A$42,'Depreciation Schedules'!$G$3:$G$42)</f>
        <v>2.564102564102564E-2</v>
      </c>
      <c r="X450" s="240">
        <f>LOOKUP(X$2,'Depreciation Schedules'!$A$3:$A$42,'Depreciation Schedules'!$G$3:$G$42)</f>
        <v>2.564102564102564E-2</v>
      </c>
      <c r="Y450" s="240">
        <f>LOOKUP(Y$2,'Depreciation Schedules'!$A$3:$A$42,'Depreciation Schedules'!$G$3:$G$42)</f>
        <v>2.564102564102564E-2</v>
      </c>
      <c r="Z450" s="240">
        <f>LOOKUP(Z$2,'Depreciation Schedules'!$A$3:$A$42,'Depreciation Schedules'!$G$3:$G$42)</f>
        <v>2.564102564102564E-2</v>
      </c>
      <c r="AA450" s="240">
        <f>LOOKUP(AA$2,'Depreciation Schedules'!$A$3:$A$42,'Depreciation Schedules'!$G$3:$G$42)</f>
        <v>2.564102564102564E-2</v>
      </c>
      <c r="AB450" s="240">
        <f>LOOKUP(AB$2,'Depreciation Schedules'!$A$3:$A$42,'Depreciation Schedules'!$G$3:$G$42)</f>
        <v>2.564102564102564E-2</v>
      </c>
      <c r="AC450" s="240">
        <f>LOOKUP(AC$2,'Depreciation Schedules'!$A$3:$A$42,'Depreciation Schedules'!$G$3:$G$42)</f>
        <v>2.564102564102564E-2</v>
      </c>
      <c r="AD450" s="240">
        <f>LOOKUP(AD$2,'Depreciation Schedules'!$A$3:$A$42,'Depreciation Schedules'!$G$3:$G$42)</f>
        <v>2.564102564102564E-2</v>
      </c>
      <c r="AE450" s="240">
        <f>LOOKUP(AE$2,'Depreciation Schedules'!$A$3:$A$42,'Depreciation Schedules'!$G$3:$G$42)</f>
        <v>2.564102564102564E-2</v>
      </c>
      <c r="AF450" s="240">
        <f>LOOKUP(AF$2,'Depreciation Schedules'!$A$3:$A$42,'Depreciation Schedules'!$G$3:$G$42)</f>
        <v>2.564102564102564E-2</v>
      </c>
      <c r="AG450" s="240">
        <f>LOOKUP(AG$2,'Depreciation Schedules'!$A$3:$A$42,'Depreciation Schedules'!$G$3:$G$42)</f>
        <v>2.564102564102564E-2</v>
      </c>
      <c r="AH450" s="240">
        <f>LOOKUP(AH$2,'Depreciation Schedules'!$A$3:$A$42,'Depreciation Schedules'!$G$3:$G$42)</f>
        <v>2.564102564102564E-2</v>
      </c>
      <c r="AI450" s="240">
        <f>LOOKUP(AI$2,'Depreciation Schedules'!$A$3:$A$42,'Depreciation Schedules'!$G$3:$G$42)</f>
        <v>2.564102564102564E-2</v>
      </c>
      <c r="AJ450" s="240">
        <f>LOOKUP(AJ$2,'Depreciation Schedules'!$A$3:$A$42,'Depreciation Schedules'!$G$3:$G$42)</f>
        <v>2.564102564102564E-2</v>
      </c>
      <c r="AK450" s="240">
        <f>LOOKUP(AK$2,'Depreciation Schedules'!$A$3:$A$42,'Depreciation Schedules'!$G$3:$G$42)</f>
        <v>2.564102564102564E-2</v>
      </c>
      <c r="AL450" s="240">
        <f>LOOKUP(AL$2,'Depreciation Schedules'!$A$3:$A$42,'Depreciation Schedules'!$G$3:$G$42)</f>
        <v>2.564102564102564E-2</v>
      </c>
      <c r="AM450" s="240">
        <f>LOOKUP(AM$2,'Depreciation Schedules'!$A$3:$A$42,'Depreciation Schedules'!$G$3:$G$42)</f>
        <v>2.564102564102564E-2</v>
      </c>
      <c r="AN450" s="240">
        <f>LOOKUP(AN$2,'Depreciation Schedules'!$A$3:$A$42,'Depreciation Schedules'!$G$3:$G$42)</f>
        <v>2.564102564102564E-2</v>
      </c>
      <c r="AO450" s="240">
        <f>LOOKUP(AO$2,'Depreciation Schedules'!$A$3:$A$42,'Depreciation Schedules'!$G$3:$G$42)</f>
        <v>2.564102564102564E-2</v>
      </c>
      <c r="AP450" s="240">
        <f>LOOKUP(AP$2,'Depreciation Schedules'!$A$3:$A$42,'Depreciation Schedules'!$G$3:$G$42)</f>
        <v>1.2820512820512799E-2</v>
      </c>
    </row>
    <row r="451" spans="1:42">
      <c r="A451" s="297" t="s">
        <v>34</v>
      </c>
      <c r="C451" s="208"/>
      <c r="D451" s="208"/>
      <c r="E451" s="208"/>
      <c r="F451" s="208"/>
      <c r="G451" s="208"/>
      <c r="H451" s="208"/>
      <c r="I451" s="208"/>
      <c r="J451" s="208"/>
      <c r="K451" s="208"/>
      <c r="L451" s="208"/>
      <c r="M451" s="208"/>
      <c r="N451" s="208"/>
      <c r="O451" s="208"/>
      <c r="P451" s="208"/>
      <c r="Q451" s="208"/>
      <c r="R451" s="208"/>
      <c r="S451" s="208"/>
      <c r="T451" s="208"/>
      <c r="U451" s="208"/>
      <c r="V451" s="208"/>
      <c r="W451" s="208"/>
      <c r="X451" s="208"/>
      <c r="Y451" s="208"/>
      <c r="Z451" s="208"/>
      <c r="AA451" s="208"/>
      <c r="AB451" s="208"/>
      <c r="AC451" s="208"/>
      <c r="AD451" s="208"/>
      <c r="AE451" s="208"/>
      <c r="AF451" s="208"/>
      <c r="AG451" s="208"/>
      <c r="AH451" s="208"/>
      <c r="AI451" s="208"/>
      <c r="AJ451" s="208"/>
      <c r="AK451" s="208"/>
      <c r="AL451" s="208"/>
      <c r="AM451" s="208"/>
      <c r="AN451" s="208"/>
      <c r="AO451" s="208"/>
      <c r="AP451" s="208"/>
    </row>
    <row r="452" spans="1:42">
      <c r="A452" s="227" t="str">
        <f>A445</f>
        <v>5-yr MACRS</v>
      </c>
      <c r="B452" s="243">
        <f>SUM(C452:AP452)</f>
        <v>35629495.774256602</v>
      </c>
      <c r="C452" s="208">
        <f t="shared" ref="C452:AP452" si="935">C445*$K412</f>
        <v>7125899.1548513211</v>
      </c>
      <c r="D452" s="208">
        <f t="shared" si="935"/>
        <v>11401438.647762112</v>
      </c>
      <c r="E452" s="208">
        <f t="shared" si="935"/>
        <v>6840863.188657268</v>
      </c>
      <c r="F452" s="208">
        <f t="shared" si="935"/>
        <v>4104517.9131943602</v>
      </c>
      <c r="G452" s="208">
        <f t="shared" si="935"/>
        <v>4104517.9131943602</v>
      </c>
      <c r="H452" s="208">
        <f t="shared" si="935"/>
        <v>2052258.9565971801</v>
      </c>
      <c r="I452" s="208">
        <f t="shared" si="935"/>
        <v>0</v>
      </c>
      <c r="J452" s="208">
        <f t="shared" si="935"/>
        <v>0</v>
      </c>
      <c r="K452" s="208">
        <f t="shared" si="935"/>
        <v>0</v>
      </c>
      <c r="L452" s="208">
        <f t="shared" si="935"/>
        <v>0</v>
      </c>
      <c r="M452" s="208">
        <f t="shared" si="935"/>
        <v>0</v>
      </c>
      <c r="N452" s="208">
        <f t="shared" si="935"/>
        <v>0</v>
      </c>
      <c r="O452" s="208">
        <f t="shared" si="935"/>
        <v>0</v>
      </c>
      <c r="P452" s="208">
        <f t="shared" si="935"/>
        <v>0</v>
      </c>
      <c r="Q452" s="208">
        <f t="shared" si="935"/>
        <v>0</v>
      </c>
      <c r="R452" s="208">
        <f t="shared" si="935"/>
        <v>0</v>
      </c>
      <c r="S452" s="208">
        <f t="shared" si="935"/>
        <v>0</v>
      </c>
      <c r="T452" s="208">
        <f t="shared" si="935"/>
        <v>0</v>
      </c>
      <c r="U452" s="208">
        <f t="shared" si="935"/>
        <v>0</v>
      </c>
      <c r="V452" s="208">
        <f t="shared" si="935"/>
        <v>0</v>
      </c>
      <c r="W452" s="208">
        <f t="shared" si="935"/>
        <v>0</v>
      </c>
      <c r="X452" s="208">
        <f t="shared" si="935"/>
        <v>0</v>
      </c>
      <c r="Y452" s="208">
        <f t="shared" si="935"/>
        <v>0</v>
      </c>
      <c r="Z452" s="208">
        <f t="shared" si="935"/>
        <v>0</v>
      </c>
      <c r="AA452" s="208">
        <f t="shared" si="935"/>
        <v>0</v>
      </c>
      <c r="AB452" s="208">
        <f t="shared" si="935"/>
        <v>0</v>
      </c>
      <c r="AC452" s="208">
        <f t="shared" si="935"/>
        <v>0</v>
      </c>
      <c r="AD452" s="208">
        <f t="shared" si="935"/>
        <v>0</v>
      </c>
      <c r="AE452" s="208">
        <f t="shared" si="935"/>
        <v>0</v>
      </c>
      <c r="AF452" s="208">
        <f t="shared" si="935"/>
        <v>0</v>
      </c>
      <c r="AG452" s="208">
        <f t="shared" si="935"/>
        <v>0</v>
      </c>
      <c r="AH452" s="208">
        <f t="shared" si="935"/>
        <v>0</v>
      </c>
      <c r="AI452" s="208">
        <f t="shared" si="935"/>
        <v>0</v>
      </c>
      <c r="AJ452" s="208">
        <f t="shared" si="935"/>
        <v>0</v>
      </c>
      <c r="AK452" s="208">
        <f t="shared" si="935"/>
        <v>0</v>
      </c>
      <c r="AL452" s="208">
        <f t="shared" si="935"/>
        <v>0</v>
      </c>
      <c r="AM452" s="208">
        <f t="shared" si="935"/>
        <v>0</v>
      </c>
      <c r="AN452" s="208">
        <f t="shared" si="935"/>
        <v>0</v>
      </c>
      <c r="AO452" s="208">
        <f t="shared" si="935"/>
        <v>0</v>
      </c>
      <c r="AP452" s="208">
        <f t="shared" si="935"/>
        <v>0</v>
      </c>
    </row>
    <row r="453" spans="1:42">
      <c r="A453" s="227" t="str">
        <f t="shared" ref="A453:A457" si="936">A446</f>
        <v>15-yr MACRS</v>
      </c>
      <c r="B453" s="165">
        <f t="shared" ref="B453:B459" si="937">SUM(C453:AP453)</f>
        <v>667303.29165274557</v>
      </c>
      <c r="C453" s="208">
        <f t="shared" ref="C453:AP453" si="938">C446*$K413</f>
        <v>33365.164582637277</v>
      </c>
      <c r="D453" s="208">
        <f t="shared" si="938"/>
        <v>63393.812707010817</v>
      </c>
      <c r="E453" s="208">
        <f t="shared" si="938"/>
        <v>57054.431436309744</v>
      </c>
      <c r="F453" s="208">
        <f t="shared" si="938"/>
        <v>51382.353457261401</v>
      </c>
      <c r="G453" s="208">
        <f t="shared" si="938"/>
        <v>46244.118111535259</v>
      </c>
      <c r="H453" s="208">
        <f t="shared" si="938"/>
        <v>41572.99506996604</v>
      </c>
      <c r="I453" s="208">
        <f t="shared" si="938"/>
        <v>39370.894207511978</v>
      </c>
      <c r="J453" s="208">
        <f t="shared" si="938"/>
        <v>39370.894207511978</v>
      </c>
      <c r="K453" s="208">
        <f t="shared" si="938"/>
        <v>39437.624536677256</v>
      </c>
      <c r="L453" s="208">
        <f t="shared" si="938"/>
        <v>39370.894207511978</v>
      </c>
      <c r="M453" s="208">
        <f t="shared" si="938"/>
        <v>39437.624536677256</v>
      </c>
      <c r="N453" s="208">
        <f t="shared" si="938"/>
        <v>39370.894207511978</v>
      </c>
      <c r="O453" s="208">
        <f t="shared" si="938"/>
        <v>39437.624536677256</v>
      </c>
      <c r="P453" s="208">
        <f t="shared" si="938"/>
        <v>39370.894207511978</v>
      </c>
      <c r="Q453" s="208">
        <f t="shared" si="938"/>
        <v>39437.624536677256</v>
      </c>
      <c r="R453" s="208">
        <f t="shared" si="938"/>
        <v>19685.447103755989</v>
      </c>
      <c r="S453" s="208">
        <f t="shared" si="938"/>
        <v>0</v>
      </c>
      <c r="T453" s="208">
        <f t="shared" si="938"/>
        <v>0</v>
      </c>
      <c r="U453" s="208">
        <f t="shared" si="938"/>
        <v>0</v>
      </c>
      <c r="V453" s="208">
        <f t="shared" si="938"/>
        <v>0</v>
      </c>
      <c r="W453" s="208">
        <f t="shared" si="938"/>
        <v>0</v>
      </c>
      <c r="X453" s="208">
        <f t="shared" si="938"/>
        <v>0</v>
      </c>
      <c r="Y453" s="208">
        <f t="shared" si="938"/>
        <v>0</v>
      </c>
      <c r="Z453" s="208">
        <f t="shared" si="938"/>
        <v>0</v>
      </c>
      <c r="AA453" s="208">
        <f t="shared" si="938"/>
        <v>0</v>
      </c>
      <c r="AB453" s="208">
        <f t="shared" si="938"/>
        <v>0</v>
      </c>
      <c r="AC453" s="208">
        <f t="shared" si="938"/>
        <v>0</v>
      </c>
      <c r="AD453" s="208">
        <f t="shared" si="938"/>
        <v>0</v>
      </c>
      <c r="AE453" s="208">
        <f t="shared" si="938"/>
        <v>0</v>
      </c>
      <c r="AF453" s="208">
        <f t="shared" si="938"/>
        <v>0</v>
      </c>
      <c r="AG453" s="208">
        <f t="shared" si="938"/>
        <v>0</v>
      </c>
      <c r="AH453" s="208">
        <f t="shared" si="938"/>
        <v>0</v>
      </c>
      <c r="AI453" s="208">
        <f t="shared" si="938"/>
        <v>0</v>
      </c>
      <c r="AJ453" s="208">
        <f t="shared" si="938"/>
        <v>0</v>
      </c>
      <c r="AK453" s="208">
        <f t="shared" si="938"/>
        <v>0</v>
      </c>
      <c r="AL453" s="208">
        <f t="shared" si="938"/>
        <v>0</v>
      </c>
      <c r="AM453" s="208">
        <f t="shared" si="938"/>
        <v>0</v>
      </c>
      <c r="AN453" s="208">
        <f t="shared" si="938"/>
        <v>0</v>
      </c>
      <c r="AO453" s="208">
        <f t="shared" si="938"/>
        <v>0</v>
      </c>
      <c r="AP453" s="208">
        <f t="shared" si="938"/>
        <v>0</v>
      </c>
    </row>
    <row r="454" spans="1:42">
      <c r="A454" s="227" t="str">
        <f t="shared" si="936"/>
        <v>5-yr SL</v>
      </c>
      <c r="B454" s="165">
        <f t="shared" si="937"/>
        <v>0</v>
      </c>
      <c r="C454" s="208">
        <f t="shared" ref="C454:AP454" si="939">C447*$K414</f>
        <v>0</v>
      </c>
      <c r="D454" s="208">
        <f t="shared" si="939"/>
        <v>0</v>
      </c>
      <c r="E454" s="208">
        <f t="shared" si="939"/>
        <v>0</v>
      </c>
      <c r="F454" s="208">
        <f t="shared" si="939"/>
        <v>0</v>
      </c>
      <c r="G454" s="208">
        <f t="shared" si="939"/>
        <v>0</v>
      </c>
      <c r="H454" s="208">
        <f t="shared" si="939"/>
        <v>0</v>
      </c>
      <c r="I454" s="208">
        <f t="shared" si="939"/>
        <v>0</v>
      </c>
      <c r="J454" s="208">
        <f t="shared" si="939"/>
        <v>0</v>
      </c>
      <c r="K454" s="208">
        <f t="shared" si="939"/>
        <v>0</v>
      </c>
      <c r="L454" s="208">
        <f t="shared" si="939"/>
        <v>0</v>
      </c>
      <c r="M454" s="208">
        <f t="shared" si="939"/>
        <v>0</v>
      </c>
      <c r="N454" s="208">
        <f t="shared" si="939"/>
        <v>0</v>
      </c>
      <c r="O454" s="208">
        <f t="shared" si="939"/>
        <v>0</v>
      </c>
      <c r="P454" s="208">
        <f t="shared" si="939"/>
        <v>0</v>
      </c>
      <c r="Q454" s="208">
        <f t="shared" si="939"/>
        <v>0</v>
      </c>
      <c r="R454" s="208">
        <f t="shared" si="939"/>
        <v>0</v>
      </c>
      <c r="S454" s="208">
        <f t="shared" si="939"/>
        <v>0</v>
      </c>
      <c r="T454" s="208">
        <f t="shared" si="939"/>
        <v>0</v>
      </c>
      <c r="U454" s="208">
        <f t="shared" si="939"/>
        <v>0</v>
      </c>
      <c r="V454" s="208">
        <f t="shared" si="939"/>
        <v>0</v>
      </c>
      <c r="W454" s="208">
        <f t="shared" si="939"/>
        <v>0</v>
      </c>
      <c r="X454" s="208">
        <f t="shared" si="939"/>
        <v>0</v>
      </c>
      <c r="Y454" s="208">
        <f t="shared" si="939"/>
        <v>0</v>
      </c>
      <c r="Z454" s="208">
        <f t="shared" si="939"/>
        <v>0</v>
      </c>
      <c r="AA454" s="208">
        <f t="shared" si="939"/>
        <v>0</v>
      </c>
      <c r="AB454" s="208">
        <f t="shared" si="939"/>
        <v>0</v>
      </c>
      <c r="AC454" s="208">
        <f t="shared" si="939"/>
        <v>0</v>
      </c>
      <c r="AD454" s="208">
        <f t="shared" si="939"/>
        <v>0</v>
      </c>
      <c r="AE454" s="208">
        <f t="shared" si="939"/>
        <v>0</v>
      </c>
      <c r="AF454" s="208">
        <f t="shared" si="939"/>
        <v>0</v>
      </c>
      <c r="AG454" s="208">
        <f t="shared" si="939"/>
        <v>0</v>
      </c>
      <c r="AH454" s="208">
        <f t="shared" si="939"/>
        <v>0</v>
      </c>
      <c r="AI454" s="208">
        <f t="shared" si="939"/>
        <v>0</v>
      </c>
      <c r="AJ454" s="208">
        <f t="shared" si="939"/>
        <v>0</v>
      </c>
      <c r="AK454" s="208">
        <f t="shared" si="939"/>
        <v>0</v>
      </c>
      <c r="AL454" s="208">
        <f t="shared" si="939"/>
        <v>0</v>
      </c>
      <c r="AM454" s="208">
        <f t="shared" si="939"/>
        <v>0</v>
      </c>
      <c r="AN454" s="208">
        <f t="shared" si="939"/>
        <v>0</v>
      </c>
      <c r="AO454" s="208">
        <f t="shared" si="939"/>
        <v>0</v>
      </c>
      <c r="AP454" s="208">
        <f t="shared" si="939"/>
        <v>0</v>
      </c>
    </row>
    <row r="455" spans="1:42">
      <c r="A455" s="227" t="str">
        <f t="shared" si="936"/>
        <v>15-yr SL</v>
      </c>
      <c r="B455" s="165">
        <f t="shared" si="937"/>
        <v>1334606.5833054909</v>
      </c>
      <c r="C455" s="208">
        <f t="shared" ref="C455:AP455" si="940">C448*$K415</f>
        <v>44442.399224072855</v>
      </c>
      <c r="D455" s="208">
        <f t="shared" si="940"/>
        <v>89018.259106476238</v>
      </c>
      <c r="E455" s="208">
        <f t="shared" si="940"/>
        <v>89018.259106476238</v>
      </c>
      <c r="F455" s="208">
        <f t="shared" si="940"/>
        <v>89018.259106476238</v>
      </c>
      <c r="G455" s="208">
        <f t="shared" si="940"/>
        <v>89018.259106476238</v>
      </c>
      <c r="H455" s="208">
        <f t="shared" si="940"/>
        <v>89018.259106476238</v>
      </c>
      <c r="I455" s="208">
        <f t="shared" si="940"/>
        <v>89018.259106476238</v>
      </c>
      <c r="J455" s="208">
        <f t="shared" si="940"/>
        <v>88884.79844814571</v>
      </c>
      <c r="K455" s="208">
        <f t="shared" si="940"/>
        <v>89018.259106476238</v>
      </c>
      <c r="L455" s="208">
        <f t="shared" si="940"/>
        <v>88884.79844814571</v>
      </c>
      <c r="M455" s="208">
        <f t="shared" si="940"/>
        <v>89018.259106476238</v>
      </c>
      <c r="N455" s="208">
        <f t="shared" si="940"/>
        <v>88884.79844814571</v>
      </c>
      <c r="O455" s="208">
        <f t="shared" si="940"/>
        <v>89018.259106476238</v>
      </c>
      <c r="P455" s="208">
        <f t="shared" si="940"/>
        <v>88884.79844814571</v>
      </c>
      <c r="Q455" s="208">
        <f t="shared" si="940"/>
        <v>89018.259106476238</v>
      </c>
      <c r="R455" s="208">
        <f t="shared" si="940"/>
        <v>44442.399224072855</v>
      </c>
      <c r="S455" s="208">
        <f t="shared" si="940"/>
        <v>0</v>
      </c>
      <c r="T455" s="208">
        <f t="shared" si="940"/>
        <v>0</v>
      </c>
      <c r="U455" s="208">
        <f t="shared" si="940"/>
        <v>0</v>
      </c>
      <c r="V455" s="208">
        <f t="shared" si="940"/>
        <v>0</v>
      </c>
      <c r="W455" s="208">
        <f t="shared" si="940"/>
        <v>0</v>
      </c>
      <c r="X455" s="208">
        <f t="shared" si="940"/>
        <v>0</v>
      </c>
      <c r="Y455" s="208">
        <f t="shared" si="940"/>
        <v>0</v>
      </c>
      <c r="Z455" s="208">
        <f t="shared" si="940"/>
        <v>0</v>
      </c>
      <c r="AA455" s="208">
        <f t="shared" si="940"/>
        <v>0</v>
      </c>
      <c r="AB455" s="208">
        <f t="shared" si="940"/>
        <v>0</v>
      </c>
      <c r="AC455" s="208">
        <f t="shared" si="940"/>
        <v>0</v>
      </c>
      <c r="AD455" s="208">
        <f t="shared" si="940"/>
        <v>0</v>
      </c>
      <c r="AE455" s="208">
        <f t="shared" si="940"/>
        <v>0</v>
      </c>
      <c r="AF455" s="208">
        <f t="shared" si="940"/>
        <v>0</v>
      </c>
      <c r="AG455" s="208">
        <f t="shared" si="940"/>
        <v>0</v>
      </c>
      <c r="AH455" s="208">
        <f t="shared" si="940"/>
        <v>0</v>
      </c>
      <c r="AI455" s="208">
        <f t="shared" si="940"/>
        <v>0</v>
      </c>
      <c r="AJ455" s="208">
        <f t="shared" si="940"/>
        <v>0</v>
      </c>
      <c r="AK455" s="208">
        <f t="shared" si="940"/>
        <v>0</v>
      </c>
      <c r="AL455" s="208">
        <f t="shared" si="940"/>
        <v>0</v>
      </c>
      <c r="AM455" s="208">
        <f t="shared" si="940"/>
        <v>0</v>
      </c>
      <c r="AN455" s="208">
        <f t="shared" si="940"/>
        <v>0</v>
      </c>
      <c r="AO455" s="208">
        <f t="shared" si="940"/>
        <v>0</v>
      </c>
      <c r="AP455" s="208">
        <f t="shared" si="940"/>
        <v>0</v>
      </c>
    </row>
    <row r="456" spans="1:42">
      <c r="A456" s="227" t="str">
        <f t="shared" si="936"/>
        <v>20-yr SL</v>
      </c>
      <c r="B456" s="165">
        <f t="shared" si="937"/>
        <v>1334606.5833054909</v>
      </c>
      <c r="C456" s="208">
        <f t="shared" ref="C456:AP456" si="941">C449*$K416</f>
        <v>33365.164582637277</v>
      </c>
      <c r="D456" s="208">
        <f t="shared" si="941"/>
        <v>66730.329165274554</v>
      </c>
      <c r="E456" s="208">
        <f t="shared" si="941"/>
        <v>66730.329165274554</v>
      </c>
      <c r="F456" s="208">
        <f t="shared" si="941"/>
        <v>66730.329165274554</v>
      </c>
      <c r="G456" s="208">
        <f t="shared" si="941"/>
        <v>66730.329165274554</v>
      </c>
      <c r="H456" s="208">
        <f t="shared" si="941"/>
        <v>66730.329165274554</v>
      </c>
      <c r="I456" s="208">
        <f t="shared" si="941"/>
        <v>66730.329165274554</v>
      </c>
      <c r="J456" s="208">
        <f t="shared" si="941"/>
        <v>66730.329165274554</v>
      </c>
      <c r="K456" s="208">
        <f t="shared" si="941"/>
        <v>66730.329165274554</v>
      </c>
      <c r="L456" s="208">
        <f t="shared" si="941"/>
        <v>66730.329165274554</v>
      </c>
      <c r="M456" s="208">
        <f t="shared" si="941"/>
        <v>66730.329165274554</v>
      </c>
      <c r="N456" s="208">
        <f t="shared" si="941"/>
        <v>66730.329165274554</v>
      </c>
      <c r="O456" s="208">
        <f t="shared" si="941"/>
        <v>66730.329165274554</v>
      </c>
      <c r="P456" s="208">
        <f t="shared" si="941"/>
        <v>66730.329165274554</v>
      </c>
      <c r="Q456" s="208">
        <f t="shared" si="941"/>
        <v>66730.329165274554</v>
      </c>
      <c r="R456" s="208">
        <f t="shared" si="941"/>
        <v>66730.329165274554</v>
      </c>
      <c r="S456" s="208">
        <f t="shared" si="941"/>
        <v>66730.329165274554</v>
      </c>
      <c r="T456" s="208">
        <f t="shared" si="941"/>
        <v>66730.329165274554</v>
      </c>
      <c r="U456" s="208">
        <f t="shared" si="941"/>
        <v>66730.329165274554</v>
      </c>
      <c r="V456" s="208">
        <f t="shared" si="941"/>
        <v>66730.329165274554</v>
      </c>
      <c r="W456" s="208">
        <f t="shared" si="941"/>
        <v>33365.164582637277</v>
      </c>
      <c r="X456" s="208">
        <f t="shared" si="941"/>
        <v>0</v>
      </c>
      <c r="Y456" s="208">
        <f t="shared" si="941"/>
        <v>0</v>
      </c>
      <c r="Z456" s="208">
        <f t="shared" si="941"/>
        <v>0</v>
      </c>
      <c r="AA456" s="208">
        <f t="shared" si="941"/>
        <v>0</v>
      </c>
      <c r="AB456" s="208">
        <f t="shared" si="941"/>
        <v>0</v>
      </c>
      <c r="AC456" s="208">
        <f t="shared" si="941"/>
        <v>0</v>
      </c>
      <c r="AD456" s="208">
        <f t="shared" si="941"/>
        <v>0</v>
      </c>
      <c r="AE456" s="208">
        <f t="shared" si="941"/>
        <v>0</v>
      </c>
      <c r="AF456" s="208">
        <f t="shared" si="941"/>
        <v>0</v>
      </c>
      <c r="AG456" s="208">
        <f t="shared" si="941"/>
        <v>0</v>
      </c>
      <c r="AH456" s="208">
        <f t="shared" si="941"/>
        <v>0</v>
      </c>
      <c r="AI456" s="208">
        <f t="shared" si="941"/>
        <v>0</v>
      </c>
      <c r="AJ456" s="208">
        <f t="shared" si="941"/>
        <v>0</v>
      </c>
      <c r="AK456" s="208">
        <f t="shared" si="941"/>
        <v>0</v>
      </c>
      <c r="AL456" s="208">
        <f t="shared" si="941"/>
        <v>0</v>
      </c>
      <c r="AM456" s="208">
        <f t="shared" si="941"/>
        <v>0</v>
      </c>
      <c r="AN456" s="208">
        <f t="shared" si="941"/>
        <v>0</v>
      </c>
      <c r="AO456" s="208">
        <f t="shared" si="941"/>
        <v>0</v>
      </c>
      <c r="AP456" s="208">
        <f t="shared" si="941"/>
        <v>0</v>
      </c>
    </row>
    <row r="457" spans="1:42">
      <c r="A457" s="227" t="str">
        <f t="shared" si="936"/>
        <v>39-yr SL</v>
      </c>
      <c r="B457" s="165">
        <f t="shared" si="937"/>
        <v>222434.43055091501</v>
      </c>
      <c r="C457" s="208">
        <f t="shared" ref="C457:AP457" si="942">C450*$K417</f>
        <v>2851.7234686014717</v>
      </c>
      <c r="D457" s="208">
        <f t="shared" si="942"/>
        <v>5703.4469372029525</v>
      </c>
      <c r="E457" s="208">
        <f t="shared" si="942"/>
        <v>5703.4469372029525</v>
      </c>
      <c r="F457" s="208">
        <f t="shared" si="942"/>
        <v>5703.4469372029525</v>
      </c>
      <c r="G457" s="208">
        <f t="shared" si="942"/>
        <v>5703.4469372029525</v>
      </c>
      <c r="H457" s="208">
        <f t="shared" si="942"/>
        <v>5703.4469372029525</v>
      </c>
      <c r="I457" s="208">
        <f t="shared" si="942"/>
        <v>5703.4469372029525</v>
      </c>
      <c r="J457" s="208">
        <f t="shared" si="942"/>
        <v>5703.4469372029525</v>
      </c>
      <c r="K457" s="208">
        <f t="shared" si="942"/>
        <v>5703.4469372029525</v>
      </c>
      <c r="L457" s="208">
        <f t="shared" si="942"/>
        <v>5703.4469372029525</v>
      </c>
      <c r="M457" s="208">
        <f t="shared" si="942"/>
        <v>5703.4469372029525</v>
      </c>
      <c r="N457" s="208">
        <f t="shared" si="942"/>
        <v>5703.4469372029525</v>
      </c>
      <c r="O457" s="208">
        <f t="shared" si="942"/>
        <v>5703.4469372029525</v>
      </c>
      <c r="P457" s="208">
        <f t="shared" si="942"/>
        <v>5703.4469372029525</v>
      </c>
      <c r="Q457" s="208">
        <f t="shared" si="942"/>
        <v>5703.4469372029525</v>
      </c>
      <c r="R457" s="208">
        <f t="shared" si="942"/>
        <v>5703.4469372029525</v>
      </c>
      <c r="S457" s="208">
        <f t="shared" si="942"/>
        <v>5703.4469372029525</v>
      </c>
      <c r="T457" s="208">
        <f t="shared" si="942"/>
        <v>5703.4469372029525</v>
      </c>
      <c r="U457" s="208">
        <f t="shared" si="942"/>
        <v>5703.4469372029525</v>
      </c>
      <c r="V457" s="208">
        <f t="shared" si="942"/>
        <v>5703.4469372029525</v>
      </c>
      <c r="W457" s="208">
        <f t="shared" si="942"/>
        <v>5703.4469372029525</v>
      </c>
      <c r="X457" s="208">
        <f t="shared" si="942"/>
        <v>5703.4469372029525</v>
      </c>
      <c r="Y457" s="208">
        <f t="shared" si="942"/>
        <v>5703.4469372029525</v>
      </c>
      <c r="Z457" s="208">
        <f t="shared" si="942"/>
        <v>5703.4469372029525</v>
      </c>
      <c r="AA457" s="208">
        <f t="shared" si="942"/>
        <v>5703.4469372029525</v>
      </c>
      <c r="AB457" s="208">
        <f t="shared" si="942"/>
        <v>5703.4469372029525</v>
      </c>
      <c r="AC457" s="208">
        <f t="shared" si="942"/>
        <v>5703.4469372029525</v>
      </c>
      <c r="AD457" s="208">
        <f t="shared" si="942"/>
        <v>5703.4469372029525</v>
      </c>
      <c r="AE457" s="208">
        <f t="shared" si="942"/>
        <v>5703.4469372029525</v>
      </c>
      <c r="AF457" s="208">
        <f t="shared" si="942"/>
        <v>5703.4469372029525</v>
      </c>
      <c r="AG457" s="208">
        <f t="shared" si="942"/>
        <v>5703.4469372029525</v>
      </c>
      <c r="AH457" s="208">
        <f t="shared" si="942"/>
        <v>5703.4469372029525</v>
      </c>
      <c r="AI457" s="208">
        <f t="shared" si="942"/>
        <v>5703.4469372029525</v>
      </c>
      <c r="AJ457" s="208">
        <f t="shared" si="942"/>
        <v>5703.4469372029525</v>
      </c>
      <c r="AK457" s="208">
        <f t="shared" si="942"/>
        <v>5703.4469372029525</v>
      </c>
      <c r="AL457" s="208">
        <f t="shared" si="942"/>
        <v>5703.4469372029525</v>
      </c>
      <c r="AM457" s="208">
        <f t="shared" si="942"/>
        <v>5703.4469372029525</v>
      </c>
      <c r="AN457" s="208">
        <f t="shared" si="942"/>
        <v>5703.4469372029525</v>
      </c>
      <c r="AO457" s="208">
        <f t="shared" si="942"/>
        <v>5703.4469372029525</v>
      </c>
      <c r="AP457" s="208">
        <f t="shared" si="942"/>
        <v>2851.7234686014717</v>
      </c>
    </row>
    <row r="458" spans="1:42">
      <c r="A458" s="227" t="s">
        <v>332</v>
      </c>
      <c r="B458" s="237">
        <f t="shared" si="937"/>
        <v>3958832.8638062896</v>
      </c>
      <c r="C458" s="209">
        <f>J419</f>
        <v>3958832.8638062896</v>
      </c>
      <c r="D458" s="209">
        <v>0</v>
      </c>
      <c r="E458" s="209">
        <v>0</v>
      </c>
      <c r="F458" s="209">
        <v>0</v>
      </c>
      <c r="G458" s="209">
        <v>0</v>
      </c>
      <c r="H458" s="209">
        <v>0</v>
      </c>
      <c r="I458" s="209">
        <v>0</v>
      </c>
      <c r="J458" s="209">
        <v>0</v>
      </c>
      <c r="K458" s="209">
        <v>0</v>
      </c>
      <c r="L458" s="209">
        <v>0</v>
      </c>
      <c r="M458" s="209">
        <v>0</v>
      </c>
      <c r="N458" s="209">
        <v>0</v>
      </c>
      <c r="O458" s="209">
        <v>0</v>
      </c>
      <c r="P458" s="209">
        <v>0</v>
      </c>
      <c r="Q458" s="209">
        <v>0</v>
      </c>
      <c r="R458" s="209">
        <v>0</v>
      </c>
      <c r="S458" s="209">
        <v>0</v>
      </c>
      <c r="T458" s="209">
        <v>0</v>
      </c>
      <c r="U458" s="209">
        <v>0</v>
      </c>
      <c r="V458" s="209">
        <v>0</v>
      </c>
      <c r="W458" s="209">
        <v>0</v>
      </c>
      <c r="X458" s="209">
        <v>0</v>
      </c>
      <c r="Y458" s="209">
        <v>0</v>
      </c>
      <c r="Z458" s="209">
        <v>0</v>
      </c>
      <c r="AA458" s="209">
        <v>0</v>
      </c>
      <c r="AB458" s="209">
        <v>0</v>
      </c>
      <c r="AC458" s="209">
        <v>0</v>
      </c>
      <c r="AD458" s="209">
        <v>0</v>
      </c>
      <c r="AE458" s="209">
        <v>0</v>
      </c>
      <c r="AF458" s="209">
        <v>0</v>
      </c>
      <c r="AG458" s="209">
        <v>0</v>
      </c>
      <c r="AH458" s="209">
        <v>0</v>
      </c>
      <c r="AI458" s="209">
        <v>0</v>
      </c>
      <c r="AJ458" s="209">
        <v>0</v>
      </c>
      <c r="AK458" s="209">
        <v>0</v>
      </c>
      <c r="AL458" s="209">
        <v>0</v>
      </c>
      <c r="AM458" s="209">
        <v>0</v>
      </c>
      <c r="AN458" s="209">
        <v>0</v>
      </c>
      <c r="AO458" s="209">
        <v>0</v>
      </c>
      <c r="AP458" s="209">
        <v>0</v>
      </c>
    </row>
    <row r="459" spans="1:42">
      <c r="A459" s="226"/>
      <c r="B459" s="237">
        <f t="shared" si="937"/>
        <v>43147279.52687756</v>
      </c>
      <c r="C459" s="208">
        <f>SUM(C452:C458)</f>
        <v>11198756.47051556</v>
      </c>
      <c r="D459" s="208">
        <f t="shared" ref="D459:AP459" si="943">SUM(D452:D458)</f>
        <v>11626284.495678077</v>
      </c>
      <c r="E459" s="208">
        <f t="shared" si="943"/>
        <v>7059369.6553025311</v>
      </c>
      <c r="F459" s="208">
        <f t="shared" si="943"/>
        <v>4317352.3018605756</v>
      </c>
      <c r="G459" s="208">
        <f t="shared" si="943"/>
        <v>4312214.0665148497</v>
      </c>
      <c r="H459" s="208">
        <f t="shared" si="943"/>
        <v>2255283.9868760998</v>
      </c>
      <c r="I459" s="208">
        <f t="shared" si="943"/>
        <v>200822.92941646569</v>
      </c>
      <c r="J459" s="208">
        <f t="shared" si="943"/>
        <v>200689.46875813516</v>
      </c>
      <c r="K459" s="208">
        <f t="shared" si="943"/>
        <v>200889.65974563098</v>
      </c>
      <c r="L459" s="208">
        <f t="shared" si="943"/>
        <v>200689.46875813516</v>
      </c>
      <c r="M459" s="208">
        <f t="shared" si="943"/>
        <v>200889.65974563098</v>
      </c>
      <c r="N459" s="208">
        <f t="shared" si="943"/>
        <v>200689.46875813516</v>
      </c>
      <c r="O459" s="208">
        <f t="shared" si="943"/>
        <v>200889.65974563098</v>
      </c>
      <c r="P459" s="208">
        <f t="shared" si="943"/>
        <v>200689.46875813516</v>
      </c>
      <c r="Q459" s="208">
        <f t="shared" si="943"/>
        <v>200889.65974563098</v>
      </c>
      <c r="R459" s="208">
        <f t="shared" si="943"/>
        <v>136561.62243030634</v>
      </c>
      <c r="S459" s="208">
        <f t="shared" si="943"/>
        <v>72433.77610247751</v>
      </c>
      <c r="T459" s="208">
        <f t="shared" si="943"/>
        <v>72433.77610247751</v>
      </c>
      <c r="U459" s="208">
        <f t="shared" si="943"/>
        <v>72433.77610247751</v>
      </c>
      <c r="V459" s="208">
        <f t="shared" si="943"/>
        <v>72433.77610247751</v>
      </c>
      <c r="W459" s="208">
        <f t="shared" si="943"/>
        <v>39068.611519840226</v>
      </c>
      <c r="X459" s="208">
        <f t="shared" si="943"/>
        <v>5703.4469372029525</v>
      </c>
      <c r="Y459" s="208">
        <f t="shared" si="943"/>
        <v>5703.4469372029525</v>
      </c>
      <c r="Z459" s="208">
        <f t="shared" si="943"/>
        <v>5703.4469372029525</v>
      </c>
      <c r="AA459" s="208">
        <f t="shared" si="943"/>
        <v>5703.4469372029525</v>
      </c>
      <c r="AB459" s="208">
        <f t="shared" si="943"/>
        <v>5703.4469372029525</v>
      </c>
      <c r="AC459" s="208">
        <f t="shared" si="943"/>
        <v>5703.4469372029525</v>
      </c>
      <c r="AD459" s="208">
        <f t="shared" si="943"/>
        <v>5703.4469372029525</v>
      </c>
      <c r="AE459" s="208">
        <f t="shared" si="943"/>
        <v>5703.4469372029525</v>
      </c>
      <c r="AF459" s="208">
        <f t="shared" si="943"/>
        <v>5703.4469372029525</v>
      </c>
      <c r="AG459" s="208">
        <f t="shared" si="943"/>
        <v>5703.4469372029525</v>
      </c>
      <c r="AH459" s="208">
        <f t="shared" si="943"/>
        <v>5703.4469372029525</v>
      </c>
      <c r="AI459" s="208">
        <f t="shared" si="943"/>
        <v>5703.4469372029525</v>
      </c>
      <c r="AJ459" s="208">
        <f t="shared" si="943"/>
        <v>5703.4469372029525</v>
      </c>
      <c r="AK459" s="208">
        <f t="shared" si="943"/>
        <v>5703.4469372029525</v>
      </c>
      <c r="AL459" s="208">
        <f t="shared" si="943"/>
        <v>5703.4469372029525</v>
      </c>
      <c r="AM459" s="208">
        <f t="shared" si="943"/>
        <v>5703.4469372029525</v>
      </c>
      <c r="AN459" s="208">
        <f t="shared" si="943"/>
        <v>5703.4469372029525</v>
      </c>
      <c r="AO459" s="208">
        <f t="shared" si="943"/>
        <v>5703.4469372029525</v>
      </c>
      <c r="AP459" s="208">
        <f t="shared" si="943"/>
        <v>2851.7234686014717</v>
      </c>
    </row>
    <row r="460" spans="1:42">
      <c r="A460" s="226"/>
      <c r="B460" s="208"/>
      <c r="C460" s="208"/>
      <c r="D460" s="208"/>
      <c r="E460" s="208"/>
      <c r="F460" s="208"/>
      <c r="G460" s="208"/>
      <c r="H460" s="208"/>
      <c r="I460" s="208"/>
      <c r="J460" s="208"/>
      <c r="K460" s="208"/>
      <c r="L460" s="208"/>
      <c r="M460" s="208"/>
      <c r="N460" s="208"/>
      <c r="O460" s="208"/>
      <c r="P460" s="208"/>
      <c r="Q460" s="208"/>
      <c r="R460" s="208"/>
      <c r="S460" s="208"/>
      <c r="T460" s="208"/>
      <c r="U460" s="208"/>
      <c r="V460" s="208"/>
      <c r="W460" s="208"/>
      <c r="X460" s="208"/>
      <c r="Y460" s="208"/>
      <c r="Z460" s="208"/>
      <c r="AA460" s="208"/>
      <c r="AB460" s="208"/>
      <c r="AC460" s="208"/>
      <c r="AD460" s="208"/>
      <c r="AE460" s="208"/>
      <c r="AF460" s="208"/>
      <c r="AG460" s="208"/>
      <c r="AH460" s="208"/>
      <c r="AI460" s="208"/>
      <c r="AJ460" s="208"/>
      <c r="AK460" s="208"/>
      <c r="AL460" s="208"/>
      <c r="AM460" s="208"/>
      <c r="AN460" s="208"/>
      <c r="AO460" s="208"/>
      <c r="AP460" s="208"/>
    </row>
    <row r="461" spans="1:42">
      <c r="A461" s="219" t="s">
        <v>216</v>
      </c>
      <c r="C461" s="208"/>
      <c r="D461" s="208"/>
      <c r="E461" s="208"/>
      <c r="F461" s="208"/>
      <c r="G461" s="208"/>
      <c r="H461" s="208"/>
      <c r="I461" s="208"/>
      <c r="J461" s="208"/>
      <c r="K461" s="208"/>
      <c r="L461" s="208"/>
      <c r="M461" s="208"/>
      <c r="N461" s="208"/>
      <c r="O461" s="208"/>
      <c r="P461" s="208"/>
      <c r="Q461" s="208"/>
      <c r="R461" s="208"/>
      <c r="S461" s="208"/>
      <c r="T461" s="208"/>
      <c r="U461" s="208"/>
      <c r="V461" s="208"/>
      <c r="W461" s="208"/>
      <c r="X461" s="208"/>
      <c r="Y461" s="208"/>
      <c r="Z461" s="208"/>
      <c r="AA461" s="208"/>
      <c r="AB461" s="208"/>
      <c r="AC461" s="208"/>
      <c r="AD461" s="208"/>
      <c r="AE461" s="208"/>
      <c r="AF461" s="208"/>
      <c r="AG461" s="208"/>
      <c r="AH461" s="208"/>
      <c r="AI461" s="208"/>
      <c r="AJ461" s="208"/>
      <c r="AK461" s="208"/>
      <c r="AL461" s="208"/>
      <c r="AM461" s="208"/>
      <c r="AN461" s="208"/>
      <c r="AO461" s="208"/>
      <c r="AP461" s="208"/>
    </row>
    <row r="462" spans="1:42">
      <c r="A462" s="226" t="s">
        <v>218</v>
      </c>
      <c r="B462" s="244" t="str">
        <f>MMFedTaxTreatment</f>
        <v>5-yr MACRS</v>
      </c>
      <c r="C462" s="208"/>
      <c r="D462" s="208"/>
      <c r="E462" s="208"/>
      <c r="F462" s="208"/>
      <c r="G462" s="208"/>
      <c r="H462" s="208"/>
      <c r="I462" s="208"/>
      <c r="J462" s="208"/>
      <c r="K462" s="208"/>
      <c r="L462" s="208"/>
      <c r="M462" s="208"/>
      <c r="N462" s="208"/>
      <c r="O462" s="208"/>
      <c r="P462" s="208"/>
      <c r="Q462" s="208"/>
      <c r="R462" s="208"/>
      <c r="S462" s="208"/>
      <c r="T462" s="208"/>
      <c r="U462" s="208"/>
      <c r="V462" s="208"/>
      <c r="W462" s="208"/>
      <c r="X462" s="208"/>
      <c r="Y462" s="208"/>
      <c r="Z462" s="208"/>
      <c r="AA462" s="208"/>
      <c r="AB462" s="208"/>
      <c r="AC462" s="208"/>
      <c r="AD462" s="208"/>
      <c r="AE462" s="208"/>
      <c r="AF462" s="208"/>
      <c r="AG462" s="208"/>
      <c r="AH462" s="208"/>
      <c r="AI462" s="208"/>
      <c r="AJ462" s="208"/>
      <c r="AK462" s="208"/>
      <c r="AL462" s="208"/>
      <c r="AM462" s="208"/>
      <c r="AN462" s="208"/>
      <c r="AO462" s="208"/>
      <c r="AP462" s="208"/>
    </row>
    <row r="463" spans="1:42">
      <c r="A463" s="226" t="s">
        <v>219</v>
      </c>
      <c r="B463" s="208">
        <f t="shared" ref="B463:AP463" si="944">B2</f>
        <v>0</v>
      </c>
      <c r="C463" s="208">
        <f t="shared" si="944"/>
        <v>1</v>
      </c>
      <c r="D463" s="208">
        <f t="shared" si="944"/>
        <v>2</v>
      </c>
      <c r="E463" s="208">
        <f t="shared" si="944"/>
        <v>3</v>
      </c>
      <c r="F463" s="208">
        <f t="shared" si="944"/>
        <v>4</v>
      </c>
      <c r="G463" s="208">
        <f t="shared" si="944"/>
        <v>5</v>
      </c>
      <c r="H463" s="208">
        <f t="shared" si="944"/>
        <v>6</v>
      </c>
      <c r="I463" s="208">
        <f t="shared" si="944"/>
        <v>7</v>
      </c>
      <c r="J463" s="208">
        <f t="shared" si="944"/>
        <v>8</v>
      </c>
      <c r="K463" s="208">
        <f t="shared" si="944"/>
        <v>9</v>
      </c>
      <c r="L463" s="208">
        <f t="shared" si="944"/>
        <v>10</v>
      </c>
      <c r="M463" s="208">
        <f t="shared" si="944"/>
        <v>11</v>
      </c>
      <c r="N463" s="208">
        <f t="shared" si="944"/>
        <v>12</v>
      </c>
      <c r="O463" s="208">
        <f t="shared" si="944"/>
        <v>13</v>
      </c>
      <c r="P463" s="208">
        <f t="shared" si="944"/>
        <v>14</v>
      </c>
      <c r="Q463" s="208">
        <f t="shared" si="944"/>
        <v>15</v>
      </c>
      <c r="R463" s="208">
        <f t="shared" si="944"/>
        <v>16</v>
      </c>
      <c r="S463" s="208">
        <f t="shared" si="944"/>
        <v>17</v>
      </c>
      <c r="T463" s="208">
        <f t="shared" si="944"/>
        <v>18</v>
      </c>
      <c r="U463" s="208">
        <f t="shared" si="944"/>
        <v>19</v>
      </c>
      <c r="V463" s="208">
        <f t="shared" si="944"/>
        <v>20</v>
      </c>
      <c r="W463" s="208">
        <f t="shared" si="944"/>
        <v>21</v>
      </c>
      <c r="X463" s="208">
        <f t="shared" si="944"/>
        <v>22</v>
      </c>
      <c r="Y463" s="208">
        <f t="shared" si="944"/>
        <v>23</v>
      </c>
      <c r="Z463" s="208">
        <f t="shared" si="944"/>
        <v>24</v>
      </c>
      <c r="AA463" s="208">
        <f t="shared" si="944"/>
        <v>25</v>
      </c>
      <c r="AB463" s="208">
        <f t="shared" si="944"/>
        <v>26</v>
      </c>
      <c r="AC463" s="208">
        <f t="shared" si="944"/>
        <v>27</v>
      </c>
      <c r="AD463" s="208">
        <f t="shared" si="944"/>
        <v>28</v>
      </c>
      <c r="AE463" s="208">
        <f t="shared" si="944"/>
        <v>29</v>
      </c>
      <c r="AF463" s="208">
        <f t="shared" si="944"/>
        <v>30</v>
      </c>
      <c r="AG463" s="208">
        <f t="shared" si="944"/>
        <v>31</v>
      </c>
      <c r="AH463" s="208">
        <f t="shared" si="944"/>
        <v>32</v>
      </c>
      <c r="AI463" s="208">
        <f t="shared" si="944"/>
        <v>33</v>
      </c>
      <c r="AJ463" s="208">
        <f t="shared" si="944"/>
        <v>34</v>
      </c>
      <c r="AK463" s="208">
        <f t="shared" si="944"/>
        <v>35</v>
      </c>
      <c r="AL463" s="208">
        <f t="shared" si="944"/>
        <v>36</v>
      </c>
      <c r="AM463" s="208">
        <f t="shared" si="944"/>
        <v>37</v>
      </c>
      <c r="AN463" s="208">
        <f t="shared" si="944"/>
        <v>38</v>
      </c>
      <c r="AO463" s="208">
        <f t="shared" si="944"/>
        <v>39</v>
      </c>
      <c r="AP463" s="208">
        <f t="shared" si="944"/>
        <v>40</v>
      </c>
    </row>
    <row r="464" spans="1:42">
      <c r="A464" s="226" t="s">
        <v>220</v>
      </c>
      <c r="B464" s="245">
        <v>0</v>
      </c>
      <c r="C464" s="240">
        <f t="shared" ref="C464:AP464" si="945">IF($B$462=$A445,C445,0)+IF($B$462=$A446,C446,0)+IF($B$462=$A447,C447,0)+IF($B$462=$A448,C448,0)+IF($B$462=$A449,C449,0)+IF($B$462=$A450,C450,0)</f>
        <v>0.2</v>
      </c>
      <c r="D464" s="240">
        <f t="shared" si="945"/>
        <v>0.32</v>
      </c>
      <c r="E464" s="240">
        <f t="shared" si="945"/>
        <v>0.192</v>
      </c>
      <c r="F464" s="240">
        <f t="shared" si="945"/>
        <v>0.1152</v>
      </c>
      <c r="G464" s="240">
        <f t="shared" si="945"/>
        <v>0.1152</v>
      </c>
      <c r="H464" s="240">
        <f t="shared" si="945"/>
        <v>5.7599999999999998E-2</v>
      </c>
      <c r="I464" s="240">
        <f t="shared" si="945"/>
        <v>0</v>
      </c>
      <c r="J464" s="240">
        <f t="shared" si="945"/>
        <v>0</v>
      </c>
      <c r="K464" s="240">
        <f t="shared" si="945"/>
        <v>0</v>
      </c>
      <c r="L464" s="240">
        <f t="shared" si="945"/>
        <v>0</v>
      </c>
      <c r="M464" s="240">
        <f t="shared" si="945"/>
        <v>0</v>
      </c>
      <c r="N464" s="240">
        <f t="shared" si="945"/>
        <v>0</v>
      </c>
      <c r="O464" s="240">
        <f t="shared" si="945"/>
        <v>0</v>
      </c>
      <c r="P464" s="240">
        <f t="shared" si="945"/>
        <v>0</v>
      </c>
      <c r="Q464" s="240">
        <f t="shared" si="945"/>
        <v>0</v>
      </c>
      <c r="R464" s="240">
        <f t="shared" si="945"/>
        <v>0</v>
      </c>
      <c r="S464" s="240">
        <f t="shared" si="945"/>
        <v>0</v>
      </c>
      <c r="T464" s="240">
        <f t="shared" si="945"/>
        <v>0</v>
      </c>
      <c r="U464" s="240">
        <f t="shared" si="945"/>
        <v>0</v>
      </c>
      <c r="V464" s="240">
        <f t="shared" si="945"/>
        <v>0</v>
      </c>
      <c r="W464" s="240">
        <f t="shared" si="945"/>
        <v>0</v>
      </c>
      <c r="X464" s="240">
        <f t="shared" si="945"/>
        <v>0</v>
      </c>
      <c r="Y464" s="240">
        <f t="shared" si="945"/>
        <v>0</v>
      </c>
      <c r="Z464" s="240">
        <f t="shared" si="945"/>
        <v>0</v>
      </c>
      <c r="AA464" s="240">
        <f t="shared" si="945"/>
        <v>0</v>
      </c>
      <c r="AB464" s="240">
        <f t="shared" si="945"/>
        <v>0</v>
      </c>
      <c r="AC464" s="240">
        <f t="shared" si="945"/>
        <v>0</v>
      </c>
      <c r="AD464" s="240">
        <f t="shared" si="945"/>
        <v>0</v>
      </c>
      <c r="AE464" s="240">
        <f t="shared" si="945"/>
        <v>0</v>
      </c>
      <c r="AF464" s="240">
        <f t="shared" si="945"/>
        <v>0</v>
      </c>
      <c r="AG464" s="240">
        <f t="shared" si="945"/>
        <v>0</v>
      </c>
      <c r="AH464" s="240">
        <f t="shared" si="945"/>
        <v>0</v>
      </c>
      <c r="AI464" s="240">
        <f t="shared" si="945"/>
        <v>0</v>
      </c>
      <c r="AJ464" s="240">
        <f t="shared" si="945"/>
        <v>0</v>
      </c>
      <c r="AK464" s="240">
        <f t="shared" si="945"/>
        <v>0</v>
      </c>
      <c r="AL464" s="240">
        <f t="shared" si="945"/>
        <v>0</v>
      </c>
      <c r="AM464" s="240">
        <f t="shared" si="945"/>
        <v>0</v>
      </c>
      <c r="AN464" s="240">
        <f t="shared" si="945"/>
        <v>0</v>
      </c>
      <c r="AO464" s="240">
        <f t="shared" si="945"/>
        <v>0</v>
      </c>
      <c r="AP464" s="240">
        <f t="shared" si="945"/>
        <v>0</v>
      </c>
    </row>
    <row r="465" spans="1:42">
      <c r="A465" s="219"/>
      <c r="C465" s="208"/>
      <c r="D465" s="208"/>
      <c r="E465" s="208"/>
      <c r="F465" s="208"/>
      <c r="G465" s="208"/>
      <c r="H465" s="208"/>
      <c r="I465" s="208"/>
      <c r="J465" s="208"/>
      <c r="K465" s="208"/>
      <c r="L465" s="208"/>
      <c r="M465" s="208"/>
      <c r="N465" s="208"/>
      <c r="O465" s="208"/>
      <c r="P465" s="208"/>
      <c r="Q465" s="208"/>
      <c r="R465" s="208"/>
      <c r="S465" s="208"/>
      <c r="T465" s="208"/>
      <c r="U465" s="208"/>
      <c r="V465" s="208"/>
      <c r="W465" s="208"/>
      <c r="X465" s="208"/>
      <c r="Y465" s="208"/>
      <c r="Z465" s="208"/>
      <c r="AA465" s="208"/>
      <c r="AB465" s="208"/>
      <c r="AC465" s="208"/>
      <c r="AD465" s="208"/>
      <c r="AE465" s="208"/>
      <c r="AF465" s="208"/>
      <c r="AG465" s="208"/>
      <c r="AH465" s="208"/>
      <c r="AI465" s="208"/>
      <c r="AJ465" s="208"/>
      <c r="AK465" s="208"/>
      <c r="AL465" s="208"/>
      <c r="AM465" s="208"/>
      <c r="AN465" s="208"/>
      <c r="AO465" s="208"/>
      <c r="AP465" s="208"/>
    </row>
    <row r="466" spans="1:42">
      <c r="A466" s="219" t="s">
        <v>383</v>
      </c>
      <c r="C466" s="208"/>
      <c r="D466" s="208"/>
      <c r="E466" s="208"/>
      <c r="F466" s="208"/>
      <c r="G466" s="208"/>
      <c r="H466" s="208"/>
      <c r="I466" s="208"/>
      <c r="J466" s="208"/>
      <c r="K466" s="208"/>
      <c r="L466" s="208"/>
      <c r="M466" s="208"/>
      <c r="N466" s="208"/>
      <c r="O466" s="208"/>
      <c r="P466" s="208"/>
      <c r="Q466" s="208"/>
      <c r="R466" s="208"/>
      <c r="S466" s="208"/>
      <c r="T466" s="208"/>
      <c r="U466" s="208"/>
      <c r="V466" s="208"/>
      <c r="W466" s="208"/>
      <c r="X466" s="208"/>
      <c r="Y466" s="208"/>
      <c r="Z466" s="208"/>
      <c r="AA466" s="208"/>
      <c r="AB466" s="208"/>
      <c r="AC466" s="208"/>
      <c r="AD466" s="208"/>
      <c r="AE466" s="208"/>
      <c r="AF466" s="208"/>
      <c r="AG466" s="208"/>
      <c r="AH466" s="208"/>
      <c r="AI466" s="208"/>
      <c r="AJ466" s="208"/>
      <c r="AK466" s="208"/>
      <c r="AL466" s="208"/>
      <c r="AM466" s="208"/>
      <c r="AN466" s="208"/>
      <c r="AO466" s="208"/>
      <c r="AP466" s="208"/>
    </row>
    <row r="467" spans="1:42">
      <c r="A467" s="226" t="s">
        <v>217</v>
      </c>
      <c r="C467" s="208"/>
      <c r="D467" s="208"/>
      <c r="E467" s="208"/>
      <c r="F467" s="208"/>
      <c r="G467" s="208"/>
      <c r="H467" s="208"/>
      <c r="I467" s="208"/>
      <c r="J467" s="208"/>
      <c r="K467" s="208"/>
      <c r="L467" s="208"/>
      <c r="M467" s="208"/>
      <c r="N467" s="208"/>
      <c r="O467" s="208"/>
      <c r="P467" s="208"/>
      <c r="Q467" s="208"/>
      <c r="R467" s="208"/>
      <c r="S467" s="208"/>
      <c r="T467" s="208"/>
      <c r="U467" s="208"/>
      <c r="V467" s="208"/>
      <c r="W467" s="208"/>
      <c r="X467" s="208"/>
      <c r="Y467" s="208"/>
      <c r="Z467" s="208"/>
      <c r="AA467" s="208"/>
      <c r="AB467" s="208"/>
      <c r="AC467" s="208"/>
      <c r="AD467" s="208"/>
      <c r="AE467" s="208"/>
      <c r="AF467" s="208"/>
      <c r="AG467" s="208"/>
      <c r="AH467" s="208"/>
      <c r="AI467" s="208"/>
      <c r="AJ467" s="208"/>
      <c r="AK467" s="208"/>
      <c r="AL467" s="208"/>
      <c r="AM467" s="208"/>
      <c r="AN467" s="208"/>
      <c r="AO467" s="208"/>
      <c r="AP467" s="208"/>
    </row>
    <row r="468" spans="1:42">
      <c r="A468" s="119">
        <v>1</v>
      </c>
      <c r="C468" s="208">
        <f>C334</f>
        <v>0</v>
      </c>
      <c r="D468" s="208">
        <f t="shared" ref="D468:AP468" si="946">D334</f>
        <v>0</v>
      </c>
      <c r="E468" s="208">
        <f t="shared" si="946"/>
        <v>0</v>
      </c>
      <c r="F468" s="208">
        <f t="shared" si="946"/>
        <v>0</v>
      </c>
      <c r="G468" s="208">
        <f t="shared" si="946"/>
        <v>0</v>
      </c>
      <c r="H468" s="208">
        <f t="shared" si="946"/>
        <v>0</v>
      </c>
      <c r="I468" s="208">
        <f t="shared" si="946"/>
        <v>0</v>
      </c>
      <c r="J468" s="208">
        <f t="shared" si="946"/>
        <v>0</v>
      </c>
      <c r="K468" s="208">
        <f t="shared" si="946"/>
        <v>0</v>
      </c>
      <c r="L468" s="208">
        <f t="shared" si="946"/>
        <v>0</v>
      </c>
      <c r="M468" s="208">
        <f t="shared" si="946"/>
        <v>0</v>
      </c>
      <c r="N468" s="208">
        <f t="shared" si="946"/>
        <v>1</v>
      </c>
      <c r="O468" s="208">
        <f t="shared" si="946"/>
        <v>2</v>
      </c>
      <c r="P468" s="208">
        <f t="shared" si="946"/>
        <v>3</v>
      </c>
      <c r="Q468" s="208">
        <f t="shared" si="946"/>
        <v>4</v>
      </c>
      <c r="R468" s="208">
        <f t="shared" si="946"/>
        <v>5</v>
      </c>
      <c r="S468" s="208">
        <f t="shared" si="946"/>
        <v>6</v>
      </c>
      <c r="T468" s="208">
        <f t="shared" si="946"/>
        <v>7</v>
      </c>
      <c r="U468" s="208">
        <f t="shared" si="946"/>
        <v>8</v>
      </c>
      <c r="V468" s="208">
        <f t="shared" si="946"/>
        <v>9</v>
      </c>
      <c r="W468" s="208">
        <f t="shared" si="946"/>
        <v>10</v>
      </c>
      <c r="X468" s="208">
        <f t="shared" si="946"/>
        <v>11</v>
      </c>
      <c r="Y468" s="208">
        <f t="shared" si="946"/>
        <v>12</v>
      </c>
      <c r="Z468" s="208">
        <f t="shared" si="946"/>
        <v>13</v>
      </c>
      <c r="AA468" s="208">
        <f t="shared" si="946"/>
        <v>14</v>
      </c>
      <c r="AB468" s="208">
        <f t="shared" si="946"/>
        <v>15</v>
      </c>
      <c r="AC468" s="208">
        <f t="shared" si="946"/>
        <v>16</v>
      </c>
      <c r="AD468" s="208">
        <f t="shared" si="946"/>
        <v>17</v>
      </c>
      <c r="AE468" s="208">
        <f t="shared" si="946"/>
        <v>18</v>
      </c>
      <c r="AF468" s="208">
        <f t="shared" si="946"/>
        <v>19</v>
      </c>
      <c r="AG468" s="208">
        <f t="shared" si="946"/>
        <v>0</v>
      </c>
      <c r="AH468" s="208">
        <f t="shared" si="946"/>
        <v>0</v>
      </c>
      <c r="AI468" s="208">
        <f t="shared" si="946"/>
        <v>0</v>
      </c>
      <c r="AJ468" s="208">
        <f t="shared" si="946"/>
        <v>0</v>
      </c>
      <c r="AK468" s="208">
        <f t="shared" si="946"/>
        <v>0</v>
      </c>
      <c r="AL468" s="208">
        <f t="shared" si="946"/>
        <v>0</v>
      </c>
      <c r="AM468" s="208">
        <f t="shared" si="946"/>
        <v>0</v>
      </c>
      <c r="AN468" s="208">
        <f t="shared" si="946"/>
        <v>0</v>
      </c>
      <c r="AO468" s="208">
        <f t="shared" si="946"/>
        <v>0</v>
      </c>
      <c r="AP468" s="208">
        <f t="shared" si="946"/>
        <v>0</v>
      </c>
    </row>
    <row r="469" spans="1:42">
      <c r="A469" s="119">
        <f>A468+1</f>
        <v>2</v>
      </c>
      <c r="C469" s="208">
        <f t="shared" ref="C469:C477" si="947">C335</f>
        <v>0</v>
      </c>
      <c r="D469" s="208">
        <f t="shared" ref="D469:AP469" si="948">D335</f>
        <v>0</v>
      </c>
      <c r="E469" s="208">
        <f t="shared" si="948"/>
        <v>0</v>
      </c>
      <c r="F469" s="208">
        <f t="shared" si="948"/>
        <v>0</v>
      </c>
      <c r="G469" s="208">
        <f t="shared" si="948"/>
        <v>0</v>
      </c>
      <c r="H469" s="208">
        <f t="shared" si="948"/>
        <v>0</v>
      </c>
      <c r="I469" s="208">
        <f t="shared" si="948"/>
        <v>0</v>
      </c>
      <c r="J469" s="208">
        <f t="shared" si="948"/>
        <v>0</v>
      </c>
      <c r="K469" s="208">
        <f t="shared" si="948"/>
        <v>0</v>
      </c>
      <c r="L469" s="208">
        <f t="shared" si="948"/>
        <v>0</v>
      </c>
      <c r="M469" s="208">
        <f t="shared" si="948"/>
        <v>0</v>
      </c>
      <c r="N469" s="208">
        <f t="shared" si="948"/>
        <v>0</v>
      </c>
      <c r="O469" s="208">
        <f t="shared" si="948"/>
        <v>0</v>
      </c>
      <c r="P469" s="208">
        <f t="shared" si="948"/>
        <v>0</v>
      </c>
      <c r="Q469" s="208">
        <f t="shared" si="948"/>
        <v>0</v>
      </c>
      <c r="R469" s="208">
        <f t="shared" si="948"/>
        <v>0</v>
      </c>
      <c r="S469" s="208">
        <f t="shared" si="948"/>
        <v>0</v>
      </c>
      <c r="T469" s="208">
        <f t="shared" si="948"/>
        <v>0</v>
      </c>
      <c r="U469" s="208">
        <f t="shared" si="948"/>
        <v>0</v>
      </c>
      <c r="V469" s="208">
        <f t="shared" si="948"/>
        <v>0</v>
      </c>
      <c r="W469" s="208">
        <f t="shared" si="948"/>
        <v>0</v>
      </c>
      <c r="X469" s="208">
        <f t="shared" si="948"/>
        <v>0</v>
      </c>
      <c r="Y469" s="208">
        <f t="shared" si="948"/>
        <v>0</v>
      </c>
      <c r="Z469" s="208">
        <f t="shared" si="948"/>
        <v>1</v>
      </c>
      <c r="AA469" s="208">
        <f t="shared" si="948"/>
        <v>2</v>
      </c>
      <c r="AB469" s="208">
        <f t="shared" si="948"/>
        <v>3</v>
      </c>
      <c r="AC469" s="208">
        <f t="shared" si="948"/>
        <v>4</v>
      </c>
      <c r="AD469" s="208">
        <f t="shared" si="948"/>
        <v>5</v>
      </c>
      <c r="AE469" s="208">
        <f t="shared" si="948"/>
        <v>6</v>
      </c>
      <c r="AF469" s="208">
        <f t="shared" si="948"/>
        <v>7</v>
      </c>
      <c r="AG469" s="208">
        <f t="shared" si="948"/>
        <v>0</v>
      </c>
      <c r="AH469" s="208">
        <f t="shared" si="948"/>
        <v>0</v>
      </c>
      <c r="AI469" s="208">
        <f t="shared" si="948"/>
        <v>0</v>
      </c>
      <c r="AJ469" s="208">
        <f t="shared" si="948"/>
        <v>0</v>
      </c>
      <c r="AK469" s="208">
        <f t="shared" si="948"/>
        <v>0</v>
      </c>
      <c r="AL469" s="208">
        <f t="shared" si="948"/>
        <v>0</v>
      </c>
      <c r="AM469" s="208">
        <f t="shared" si="948"/>
        <v>0</v>
      </c>
      <c r="AN469" s="208">
        <f t="shared" si="948"/>
        <v>0</v>
      </c>
      <c r="AO469" s="208">
        <f t="shared" si="948"/>
        <v>0</v>
      </c>
      <c r="AP469" s="208">
        <f t="shared" si="948"/>
        <v>0</v>
      </c>
    </row>
    <row r="470" spans="1:42">
      <c r="A470" s="119">
        <f t="shared" ref="A470:A475" si="949">A469+1</f>
        <v>3</v>
      </c>
      <c r="C470" s="208">
        <f t="shared" si="947"/>
        <v>0</v>
      </c>
      <c r="D470" s="208">
        <f t="shared" ref="D470:AP470" si="950">D336</f>
        <v>0</v>
      </c>
      <c r="E470" s="208">
        <f t="shared" si="950"/>
        <v>0</v>
      </c>
      <c r="F470" s="208">
        <f t="shared" si="950"/>
        <v>0</v>
      </c>
      <c r="G470" s="208">
        <f t="shared" si="950"/>
        <v>0</v>
      </c>
      <c r="H470" s="208">
        <f t="shared" si="950"/>
        <v>0</v>
      </c>
      <c r="I470" s="208">
        <f t="shared" si="950"/>
        <v>0</v>
      </c>
      <c r="J470" s="208">
        <f t="shared" si="950"/>
        <v>0</v>
      </c>
      <c r="K470" s="208">
        <f t="shared" si="950"/>
        <v>0</v>
      </c>
      <c r="L470" s="208">
        <f t="shared" si="950"/>
        <v>0</v>
      </c>
      <c r="M470" s="208">
        <f t="shared" si="950"/>
        <v>0</v>
      </c>
      <c r="N470" s="208">
        <f t="shared" si="950"/>
        <v>0</v>
      </c>
      <c r="O470" s="208">
        <f t="shared" si="950"/>
        <v>0</v>
      </c>
      <c r="P470" s="208">
        <f t="shared" si="950"/>
        <v>0</v>
      </c>
      <c r="Q470" s="208">
        <f t="shared" si="950"/>
        <v>0</v>
      </c>
      <c r="R470" s="208">
        <f t="shared" si="950"/>
        <v>0</v>
      </c>
      <c r="S470" s="208">
        <f t="shared" si="950"/>
        <v>0</v>
      </c>
      <c r="T470" s="208">
        <f t="shared" si="950"/>
        <v>0</v>
      </c>
      <c r="U470" s="208">
        <f t="shared" si="950"/>
        <v>0</v>
      </c>
      <c r="V470" s="208">
        <f t="shared" si="950"/>
        <v>0</v>
      </c>
      <c r="W470" s="208">
        <f t="shared" si="950"/>
        <v>0</v>
      </c>
      <c r="X470" s="208">
        <f t="shared" si="950"/>
        <v>0</v>
      </c>
      <c r="Y470" s="208">
        <f t="shared" si="950"/>
        <v>0</v>
      </c>
      <c r="Z470" s="208">
        <f t="shared" si="950"/>
        <v>0</v>
      </c>
      <c r="AA470" s="208">
        <f t="shared" si="950"/>
        <v>0</v>
      </c>
      <c r="AB470" s="208">
        <f t="shared" si="950"/>
        <v>0</v>
      </c>
      <c r="AC470" s="208">
        <f t="shared" si="950"/>
        <v>0</v>
      </c>
      <c r="AD470" s="208">
        <f t="shared" si="950"/>
        <v>0</v>
      </c>
      <c r="AE470" s="208">
        <f t="shared" si="950"/>
        <v>0</v>
      </c>
      <c r="AF470" s="208">
        <f t="shared" si="950"/>
        <v>0</v>
      </c>
      <c r="AG470" s="208">
        <f t="shared" si="950"/>
        <v>0</v>
      </c>
      <c r="AH470" s="208">
        <f t="shared" si="950"/>
        <v>0</v>
      </c>
      <c r="AI470" s="208">
        <f t="shared" si="950"/>
        <v>0</v>
      </c>
      <c r="AJ470" s="208">
        <f t="shared" si="950"/>
        <v>0</v>
      </c>
      <c r="AK470" s="208">
        <f t="shared" si="950"/>
        <v>0</v>
      </c>
      <c r="AL470" s="208">
        <f t="shared" si="950"/>
        <v>0</v>
      </c>
      <c r="AM470" s="208">
        <f t="shared" si="950"/>
        <v>0</v>
      </c>
      <c r="AN470" s="208">
        <f t="shared" si="950"/>
        <v>0</v>
      </c>
      <c r="AO470" s="208">
        <f t="shared" si="950"/>
        <v>0</v>
      </c>
      <c r="AP470" s="208">
        <f t="shared" si="950"/>
        <v>0</v>
      </c>
    </row>
    <row r="471" spans="1:42">
      <c r="A471" s="119">
        <f t="shared" si="949"/>
        <v>4</v>
      </c>
      <c r="C471" s="208">
        <f t="shared" si="947"/>
        <v>0</v>
      </c>
      <c r="D471" s="208">
        <f t="shared" ref="D471:AP471" si="951">D337</f>
        <v>0</v>
      </c>
      <c r="E471" s="208">
        <f t="shared" si="951"/>
        <v>0</v>
      </c>
      <c r="F471" s="208">
        <f t="shared" si="951"/>
        <v>0</v>
      </c>
      <c r="G471" s="208">
        <f t="shared" si="951"/>
        <v>0</v>
      </c>
      <c r="H471" s="208">
        <f t="shared" si="951"/>
        <v>0</v>
      </c>
      <c r="I471" s="208">
        <f t="shared" si="951"/>
        <v>0</v>
      </c>
      <c r="J471" s="208">
        <f t="shared" si="951"/>
        <v>0</v>
      </c>
      <c r="K471" s="208">
        <f t="shared" si="951"/>
        <v>0</v>
      </c>
      <c r="L471" s="208">
        <f t="shared" si="951"/>
        <v>0</v>
      </c>
      <c r="M471" s="208">
        <f t="shared" si="951"/>
        <v>0</v>
      </c>
      <c r="N471" s="208">
        <f t="shared" si="951"/>
        <v>0</v>
      </c>
      <c r="O471" s="208">
        <f t="shared" si="951"/>
        <v>0</v>
      </c>
      <c r="P471" s="208">
        <f t="shared" si="951"/>
        <v>0</v>
      </c>
      <c r="Q471" s="208">
        <f t="shared" si="951"/>
        <v>0</v>
      </c>
      <c r="R471" s="208">
        <f t="shared" si="951"/>
        <v>0</v>
      </c>
      <c r="S471" s="208">
        <f t="shared" si="951"/>
        <v>0</v>
      </c>
      <c r="T471" s="208">
        <f t="shared" si="951"/>
        <v>0</v>
      </c>
      <c r="U471" s="208">
        <f t="shared" si="951"/>
        <v>0</v>
      </c>
      <c r="V471" s="208">
        <f t="shared" si="951"/>
        <v>0</v>
      </c>
      <c r="W471" s="208">
        <f t="shared" si="951"/>
        <v>0</v>
      </c>
      <c r="X471" s="208">
        <f t="shared" si="951"/>
        <v>0</v>
      </c>
      <c r="Y471" s="208">
        <f t="shared" si="951"/>
        <v>0</v>
      </c>
      <c r="Z471" s="208">
        <f t="shared" si="951"/>
        <v>0</v>
      </c>
      <c r="AA471" s="208">
        <f t="shared" si="951"/>
        <v>0</v>
      </c>
      <c r="AB471" s="208">
        <f t="shared" si="951"/>
        <v>0</v>
      </c>
      <c r="AC471" s="208">
        <f t="shared" si="951"/>
        <v>0</v>
      </c>
      <c r="AD471" s="208">
        <f t="shared" si="951"/>
        <v>0</v>
      </c>
      <c r="AE471" s="208">
        <f t="shared" si="951"/>
        <v>0</v>
      </c>
      <c r="AF471" s="208">
        <f t="shared" si="951"/>
        <v>0</v>
      </c>
      <c r="AG471" s="208">
        <f t="shared" si="951"/>
        <v>0</v>
      </c>
      <c r="AH471" s="208">
        <f t="shared" si="951"/>
        <v>0</v>
      </c>
      <c r="AI471" s="208">
        <f t="shared" si="951"/>
        <v>0</v>
      </c>
      <c r="AJ471" s="208">
        <f t="shared" si="951"/>
        <v>0</v>
      </c>
      <c r="AK471" s="208">
        <f t="shared" si="951"/>
        <v>0</v>
      </c>
      <c r="AL471" s="208">
        <f t="shared" si="951"/>
        <v>0</v>
      </c>
      <c r="AM471" s="208">
        <f t="shared" si="951"/>
        <v>0</v>
      </c>
      <c r="AN471" s="208">
        <f t="shared" si="951"/>
        <v>0</v>
      </c>
      <c r="AO471" s="208">
        <f t="shared" si="951"/>
        <v>0</v>
      </c>
      <c r="AP471" s="208">
        <f t="shared" si="951"/>
        <v>0</v>
      </c>
    </row>
    <row r="472" spans="1:42">
      <c r="A472" s="119">
        <f t="shared" si="949"/>
        <v>5</v>
      </c>
      <c r="C472" s="208">
        <f t="shared" si="947"/>
        <v>0</v>
      </c>
      <c r="D472" s="208">
        <f t="shared" ref="D472:AP472" si="952">D338</f>
        <v>0</v>
      </c>
      <c r="E472" s="208">
        <f t="shared" si="952"/>
        <v>0</v>
      </c>
      <c r="F472" s="208">
        <f t="shared" si="952"/>
        <v>0</v>
      </c>
      <c r="G472" s="208">
        <f t="shared" si="952"/>
        <v>0</v>
      </c>
      <c r="H472" s="208">
        <f t="shared" si="952"/>
        <v>0</v>
      </c>
      <c r="I472" s="208">
        <f t="shared" si="952"/>
        <v>0</v>
      </c>
      <c r="J472" s="208">
        <f t="shared" si="952"/>
        <v>0</v>
      </c>
      <c r="K472" s="208">
        <f t="shared" si="952"/>
        <v>0</v>
      </c>
      <c r="L472" s="208">
        <f t="shared" si="952"/>
        <v>0</v>
      </c>
      <c r="M472" s="208">
        <f t="shared" si="952"/>
        <v>0</v>
      </c>
      <c r="N472" s="208">
        <f t="shared" si="952"/>
        <v>0</v>
      </c>
      <c r="O472" s="208">
        <f t="shared" si="952"/>
        <v>0</v>
      </c>
      <c r="P472" s="208">
        <f t="shared" si="952"/>
        <v>0</v>
      </c>
      <c r="Q472" s="208">
        <f t="shared" si="952"/>
        <v>0</v>
      </c>
      <c r="R472" s="208">
        <f t="shared" si="952"/>
        <v>0</v>
      </c>
      <c r="S472" s="208">
        <f t="shared" si="952"/>
        <v>0</v>
      </c>
      <c r="T472" s="208">
        <f t="shared" si="952"/>
        <v>0</v>
      </c>
      <c r="U472" s="208">
        <f t="shared" si="952"/>
        <v>0</v>
      </c>
      <c r="V472" s="208">
        <f t="shared" si="952"/>
        <v>0</v>
      </c>
      <c r="W472" s="208">
        <f t="shared" si="952"/>
        <v>0</v>
      </c>
      <c r="X472" s="208">
        <f t="shared" si="952"/>
        <v>0</v>
      </c>
      <c r="Y472" s="208">
        <f t="shared" si="952"/>
        <v>0</v>
      </c>
      <c r="Z472" s="208">
        <f t="shared" si="952"/>
        <v>0</v>
      </c>
      <c r="AA472" s="208">
        <f t="shared" si="952"/>
        <v>0</v>
      </c>
      <c r="AB472" s="208">
        <f t="shared" si="952"/>
        <v>0</v>
      </c>
      <c r="AC472" s="208">
        <f t="shared" si="952"/>
        <v>0</v>
      </c>
      <c r="AD472" s="208">
        <f t="shared" si="952"/>
        <v>0</v>
      </c>
      <c r="AE472" s="208">
        <f t="shared" si="952"/>
        <v>0</v>
      </c>
      <c r="AF472" s="208">
        <f t="shared" si="952"/>
        <v>0</v>
      </c>
      <c r="AG472" s="208">
        <f t="shared" si="952"/>
        <v>0</v>
      </c>
      <c r="AH472" s="208">
        <f t="shared" si="952"/>
        <v>0</v>
      </c>
      <c r="AI472" s="208">
        <f t="shared" si="952"/>
        <v>0</v>
      </c>
      <c r="AJ472" s="208">
        <f t="shared" si="952"/>
        <v>0</v>
      </c>
      <c r="AK472" s="208">
        <f t="shared" si="952"/>
        <v>0</v>
      </c>
      <c r="AL472" s="208">
        <f t="shared" si="952"/>
        <v>0</v>
      </c>
      <c r="AM472" s="208">
        <f t="shared" si="952"/>
        <v>0</v>
      </c>
      <c r="AN472" s="208">
        <f t="shared" si="952"/>
        <v>0</v>
      </c>
      <c r="AO472" s="208">
        <f t="shared" si="952"/>
        <v>0</v>
      </c>
      <c r="AP472" s="208">
        <f t="shared" si="952"/>
        <v>0</v>
      </c>
    </row>
    <row r="473" spans="1:42">
      <c r="A473" s="119">
        <f t="shared" si="949"/>
        <v>6</v>
      </c>
      <c r="C473" s="208">
        <f t="shared" si="947"/>
        <v>0</v>
      </c>
      <c r="D473" s="208">
        <f t="shared" ref="D473:AP473" si="953">D339</f>
        <v>0</v>
      </c>
      <c r="E473" s="208">
        <f t="shared" si="953"/>
        <v>0</v>
      </c>
      <c r="F473" s="208">
        <f t="shared" si="953"/>
        <v>0</v>
      </c>
      <c r="G473" s="208">
        <f t="shared" si="953"/>
        <v>0</v>
      </c>
      <c r="H473" s="208">
        <f t="shared" si="953"/>
        <v>0</v>
      </c>
      <c r="I473" s="208">
        <f t="shared" si="953"/>
        <v>0</v>
      </c>
      <c r="J473" s="208">
        <f t="shared" si="953"/>
        <v>0</v>
      </c>
      <c r="K473" s="208">
        <f t="shared" si="953"/>
        <v>0</v>
      </c>
      <c r="L473" s="208">
        <f t="shared" si="953"/>
        <v>0</v>
      </c>
      <c r="M473" s="208">
        <f t="shared" si="953"/>
        <v>0</v>
      </c>
      <c r="N473" s="208">
        <f t="shared" si="953"/>
        <v>0</v>
      </c>
      <c r="O473" s="208">
        <f t="shared" si="953"/>
        <v>0</v>
      </c>
      <c r="P473" s="208">
        <f t="shared" si="953"/>
        <v>0</v>
      </c>
      <c r="Q473" s="208">
        <f t="shared" si="953"/>
        <v>0</v>
      </c>
      <c r="R473" s="208">
        <f t="shared" si="953"/>
        <v>0</v>
      </c>
      <c r="S473" s="208">
        <f t="shared" si="953"/>
        <v>0</v>
      </c>
      <c r="T473" s="208">
        <f t="shared" si="953"/>
        <v>0</v>
      </c>
      <c r="U473" s="208">
        <f t="shared" si="953"/>
        <v>0</v>
      </c>
      <c r="V473" s="208">
        <f t="shared" si="953"/>
        <v>0</v>
      </c>
      <c r="W473" s="208">
        <f t="shared" si="953"/>
        <v>0</v>
      </c>
      <c r="X473" s="208">
        <f t="shared" si="953"/>
        <v>0</v>
      </c>
      <c r="Y473" s="208">
        <f t="shared" si="953"/>
        <v>0</v>
      </c>
      <c r="Z473" s="208">
        <f t="shared" si="953"/>
        <v>0</v>
      </c>
      <c r="AA473" s="208">
        <f t="shared" si="953"/>
        <v>0</v>
      </c>
      <c r="AB473" s="208">
        <f t="shared" si="953"/>
        <v>0</v>
      </c>
      <c r="AC473" s="208">
        <f t="shared" si="953"/>
        <v>0</v>
      </c>
      <c r="AD473" s="208">
        <f t="shared" si="953"/>
        <v>0</v>
      </c>
      <c r="AE473" s="208">
        <f t="shared" si="953"/>
        <v>0</v>
      </c>
      <c r="AF473" s="208">
        <f t="shared" si="953"/>
        <v>0</v>
      </c>
      <c r="AG473" s="208">
        <f t="shared" si="953"/>
        <v>0</v>
      </c>
      <c r="AH473" s="208">
        <f t="shared" si="953"/>
        <v>0</v>
      </c>
      <c r="AI473" s="208">
        <f t="shared" si="953"/>
        <v>0</v>
      </c>
      <c r="AJ473" s="208">
        <f t="shared" si="953"/>
        <v>0</v>
      </c>
      <c r="AK473" s="208">
        <f t="shared" si="953"/>
        <v>0</v>
      </c>
      <c r="AL473" s="208">
        <f t="shared" si="953"/>
        <v>0</v>
      </c>
      <c r="AM473" s="208">
        <f t="shared" si="953"/>
        <v>0</v>
      </c>
      <c r="AN473" s="208">
        <f t="shared" si="953"/>
        <v>0</v>
      </c>
      <c r="AO473" s="208">
        <f t="shared" si="953"/>
        <v>0</v>
      </c>
      <c r="AP473" s="208">
        <f t="shared" si="953"/>
        <v>0</v>
      </c>
    </row>
    <row r="474" spans="1:42">
      <c r="A474" s="119">
        <f t="shared" si="949"/>
        <v>7</v>
      </c>
      <c r="C474" s="208">
        <f t="shared" si="947"/>
        <v>0</v>
      </c>
      <c r="D474" s="208">
        <f t="shared" ref="D474:AP474" si="954">D340</f>
        <v>0</v>
      </c>
      <c r="E474" s="208">
        <f t="shared" si="954"/>
        <v>0</v>
      </c>
      <c r="F474" s="208">
        <f t="shared" si="954"/>
        <v>0</v>
      </c>
      <c r="G474" s="208">
        <f t="shared" si="954"/>
        <v>0</v>
      </c>
      <c r="H474" s="208">
        <f t="shared" si="954"/>
        <v>0</v>
      </c>
      <c r="I474" s="208">
        <f t="shared" si="954"/>
        <v>0</v>
      </c>
      <c r="J474" s="208">
        <f t="shared" si="954"/>
        <v>0</v>
      </c>
      <c r="K474" s="208">
        <f t="shared" si="954"/>
        <v>0</v>
      </c>
      <c r="L474" s="208">
        <f t="shared" si="954"/>
        <v>0</v>
      </c>
      <c r="M474" s="208">
        <f t="shared" si="954"/>
        <v>0</v>
      </c>
      <c r="N474" s="208">
        <f t="shared" si="954"/>
        <v>0</v>
      </c>
      <c r="O474" s="208">
        <f t="shared" si="954"/>
        <v>0</v>
      </c>
      <c r="P474" s="208">
        <f t="shared" si="954"/>
        <v>0</v>
      </c>
      <c r="Q474" s="208">
        <f t="shared" si="954"/>
        <v>0</v>
      </c>
      <c r="R474" s="208">
        <f t="shared" si="954"/>
        <v>0</v>
      </c>
      <c r="S474" s="208">
        <f t="shared" si="954"/>
        <v>0</v>
      </c>
      <c r="T474" s="208">
        <f t="shared" si="954"/>
        <v>0</v>
      </c>
      <c r="U474" s="208">
        <f t="shared" si="954"/>
        <v>0</v>
      </c>
      <c r="V474" s="208">
        <f t="shared" si="954"/>
        <v>0</v>
      </c>
      <c r="W474" s="208">
        <f t="shared" si="954"/>
        <v>0</v>
      </c>
      <c r="X474" s="208">
        <f t="shared" si="954"/>
        <v>0</v>
      </c>
      <c r="Y474" s="208">
        <f t="shared" si="954"/>
        <v>0</v>
      </c>
      <c r="Z474" s="208">
        <f t="shared" si="954"/>
        <v>0</v>
      </c>
      <c r="AA474" s="208">
        <f t="shared" si="954"/>
        <v>0</v>
      </c>
      <c r="AB474" s="208">
        <f t="shared" si="954"/>
        <v>0</v>
      </c>
      <c r="AC474" s="208">
        <f t="shared" si="954"/>
        <v>0</v>
      </c>
      <c r="AD474" s="208">
        <f t="shared" si="954"/>
        <v>0</v>
      </c>
      <c r="AE474" s="208">
        <f t="shared" si="954"/>
        <v>0</v>
      </c>
      <c r="AF474" s="208">
        <f t="shared" si="954"/>
        <v>0</v>
      </c>
      <c r="AG474" s="208">
        <f t="shared" si="954"/>
        <v>0</v>
      </c>
      <c r="AH474" s="208">
        <f t="shared" si="954"/>
        <v>0</v>
      </c>
      <c r="AI474" s="208">
        <f t="shared" si="954"/>
        <v>0</v>
      </c>
      <c r="AJ474" s="208">
        <f t="shared" si="954"/>
        <v>0</v>
      </c>
      <c r="AK474" s="208">
        <f t="shared" si="954"/>
        <v>0</v>
      </c>
      <c r="AL474" s="208">
        <f t="shared" si="954"/>
        <v>0</v>
      </c>
      <c r="AM474" s="208">
        <f t="shared" si="954"/>
        <v>0</v>
      </c>
      <c r="AN474" s="208">
        <f t="shared" si="954"/>
        <v>0</v>
      </c>
      <c r="AO474" s="208">
        <f t="shared" si="954"/>
        <v>0</v>
      </c>
      <c r="AP474" s="208">
        <f t="shared" si="954"/>
        <v>0</v>
      </c>
    </row>
    <row r="475" spans="1:42">
      <c r="A475" s="119">
        <f t="shared" si="949"/>
        <v>8</v>
      </c>
      <c r="C475" s="208">
        <f t="shared" si="947"/>
        <v>0</v>
      </c>
      <c r="D475" s="208">
        <f t="shared" ref="D475:AP475" si="955">D341</f>
        <v>0</v>
      </c>
      <c r="E475" s="208">
        <f t="shared" si="955"/>
        <v>0</v>
      </c>
      <c r="F475" s="208">
        <f t="shared" si="955"/>
        <v>0</v>
      </c>
      <c r="G475" s="208">
        <f t="shared" si="955"/>
        <v>0</v>
      </c>
      <c r="H475" s="208">
        <f t="shared" si="955"/>
        <v>0</v>
      </c>
      <c r="I475" s="208">
        <f t="shared" si="955"/>
        <v>0</v>
      </c>
      <c r="J475" s="208">
        <f t="shared" si="955"/>
        <v>0</v>
      </c>
      <c r="K475" s="208">
        <f t="shared" si="955"/>
        <v>0</v>
      </c>
      <c r="L475" s="208">
        <f t="shared" si="955"/>
        <v>0</v>
      </c>
      <c r="M475" s="208">
        <f t="shared" si="955"/>
        <v>0</v>
      </c>
      <c r="N475" s="208">
        <f t="shared" si="955"/>
        <v>0</v>
      </c>
      <c r="O475" s="208">
        <f t="shared" si="955"/>
        <v>0</v>
      </c>
      <c r="P475" s="208">
        <f t="shared" si="955"/>
        <v>0</v>
      </c>
      <c r="Q475" s="208">
        <f t="shared" si="955"/>
        <v>0</v>
      </c>
      <c r="R475" s="208">
        <f t="shared" si="955"/>
        <v>0</v>
      </c>
      <c r="S475" s="208">
        <f t="shared" si="955"/>
        <v>0</v>
      </c>
      <c r="T475" s="208">
        <f t="shared" si="955"/>
        <v>0</v>
      </c>
      <c r="U475" s="208">
        <f t="shared" si="955"/>
        <v>0</v>
      </c>
      <c r="V475" s="208">
        <f t="shared" si="955"/>
        <v>0</v>
      </c>
      <c r="W475" s="208">
        <f t="shared" si="955"/>
        <v>0</v>
      </c>
      <c r="X475" s="208">
        <f t="shared" si="955"/>
        <v>0</v>
      </c>
      <c r="Y475" s="208">
        <f t="shared" si="955"/>
        <v>0</v>
      </c>
      <c r="Z475" s="208">
        <f t="shared" si="955"/>
        <v>0</v>
      </c>
      <c r="AA475" s="208">
        <f t="shared" si="955"/>
        <v>0</v>
      </c>
      <c r="AB475" s="208">
        <f t="shared" si="955"/>
        <v>0</v>
      </c>
      <c r="AC475" s="208">
        <f t="shared" si="955"/>
        <v>0</v>
      </c>
      <c r="AD475" s="208">
        <f t="shared" si="955"/>
        <v>0</v>
      </c>
      <c r="AE475" s="208">
        <f t="shared" si="955"/>
        <v>0</v>
      </c>
      <c r="AF475" s="208">
        <f t="shared" si="955"/>
        <v>0</v>
      </c>
      <c r="AG475" s="208">
        <f t="shared" si="955"/>
        <v>0</v>
      </c>
      <c r="AH475" s="208">
        <f t="shared" si="955"/>
        <v>0</v>
      </c>
      <c r="AI475" s="208">
        <f t="shared" si="955"/>
        <v>0</v>
      </c>
      <c r="AJ475" s="208">
        <f t="shared" si="955"/>
        <v>0</v>
      </c>
      <c r="AK475" s="208">
        <f t="shared" si="955"/>
        <v>0</v>
      </c>
      <c r="AL475" s="208">
        <f t="shared" si="955"/>
        <v>0</v>
      </c>
      <c r="AM475" s="208">
        <f t="shared" si="955"/>
        <v>0</v>
      </c>
      <c r="AN475" s="208">
        <f t="shared" si="955"/>
        <v>0</v>
      </c>
      <c r="AO475" s="208">
        <f t="shared" si="955"/>
        <v>0</v>
      </c>
      <c r="AP475" s="208">
        <f t="shared" si="955"/>
        <v>0</v>
      </c>
    </row>
    <row r="476" spans="1:42">
      <c r="A476" s="119">
        <f>A475+1</f>
        <v>9</v>
      </c>
      <c r="C476" s="208">
        <f t="shared" si="947"/>
        <v>0</v>
      </c>
      <c r="D476" s="208">
        <f t="shared" ref="D476:AP476" si="956">D342</f>
        <v>0</v>
      </c>
      <c r="E476" s="208">
        <f t="shared" si="956"/>
        <v>0</v>
      </c>
      <c r="F476" s="208">
        <f t="shared" si="956"/>
        <v>0</v>
      </c>
      <c r="G476" s="208">
        <f t="shared" si="956"/>
        <v>0</v>
      </c>
      <c r="H476" s="208">
        <f t="shared" si="956"/>
        <v>0</v>
      </c>
      <c r="I476" s="208">
        <f t="shared" si="956"/>
        <v>0</v>
      </c>
      <c r="J476" s="208">
        <f t="shared" si="956"/>
        <v>0</v>
      </c>
      <c r="K476" s="208">
        <f t="shared" si="956"/>
        <v>0</v>
      </c>
      <c r="L476" s="208">
        <f t="shared" si="956"/>
        <v>0</v>
      </c>
      <c r="M476" s="208">
        <f t="shared" si="956"/>
        <v>0</v>
      </c>
      <c r="N476" s="208">
        <f t="shared" si="956"/>
        <v>0</v>
      </c>
      <c r="O476" s="208">
        <f t="shared" si="956"/>
        <v>0</v>
      </c>
      <c r="P476" s="208">
        <f t="shared" si="956"/>
        <v>0</v>
      </c>
      <c r="Q476" s="208">
        <f t="shared" si="956"/>
        <v>0</v>
      </c>
      <c r="R476" s="208">
        <f t="shared" si="956"/>
        <v>0</v>
      </c>
      <c r="S476" s="208">
        <f t="shared" si="956"/>
        <v>0</v>
      </c>
      <c r="T476" s="208">
        <f t="shared" si="956"/>
        <v>0</v>
      </c>
      <c r="U476" s="208">
        <f t="shared" si="956"/>
        <v>0</v>
      </c>
      <c r="V476" s="208">
        <f t="shared" si="956"/>
        <v>0</v>
      </c>
      <c r="W476" s="208">
        <f t="shared" si="956"/>
        <v>0</v>
      </c>
      <c r="X476" s="208">
        <f t="shared" si="956"/>
        <v>0</v>
      </c>
      <c r="Y476" s="208">
        <f t="shared" si="956"/>
        <v>0</v>
      </c>
      <c r="Z476" s="208">
        <f t="shared" si="956"/>
        <v>0</v>
      </c>
      <c r="AA476" s="208">
        <f t="shared" si="956"/>
        <v>0</v>
      </c>
      <c r="AB476" s="208">
        <f t="shared" si="956"/>
        <v>0</v>
      </c>
      <c r="AC476" s="208">
        <f t="shared" si="956"/>
        <v>0</v>
      </c>
      <c r="AD476" s="208">
        <f t="shared" si="956"/>
        <v>0</v>
      </c>
      <c r="AE476" s="208">
        <f t="shared" si="956"/>
        <v>0</v>
      </c>
      <c r="AF476" s="208">
        <f t="shared" si="956"/>
        <v>0</v>
      </c>
      <c r="AG476" s="208">
        <f t="shared" si="956"/>
        <v>0</v>
      </c>
      <c r="AH476" s="208">
        <f t="shared" si="956"/>
        <v>0</v>
      </c>
      <c r="AI476" s="208">
        <f t="shared" si="956"/>
        <v>0</v>
      </c>
      <c r="AJ476" s="208">
        <f t="shared" si="956"/>
        <v>0</v>
      </c>
      <c r="AK476" s="208">
        <f t="shared" si="956"/>
        <v>0</v>
      </c>
      <c r="AL476" s="208">
        <f t="shared" si="956"/>
        <v>0</v>
      </c>
      <c r="AM476" s="208">
        <f t="shared" si="956"/>
        <v>0</v>
      </c>
      <c r="AN476" s="208">
        <f t="shared" si="956"/>
        <v>0</v>
      </c>
      <c r="AO476" s="208">
        <f t="shared" si="956"/>
        <v>0</v>
      </c>
      <c r="AP476" s="208">
        <f t="shared" si="956"/>
        <v>0</v>
      </c>
    </row>
    <row r="477" spans="1:42">
      <c r="A477" s="119">
        <f t="shared" ref="A477" si="957">A476+1</f>
        <v>10</v>
      </c>
      <c r="C477" s="208">
        <f t="shared" si="947"/>
        <v>0</v>
      </c>
      <c r="D477" s="208">
        <f t="shared" ref="D477:AP477" si="958">D343</f>
        <v>0</v>
      </c>
      <c r="E477" s="208">
        <f t="shared" si="958"/>
        <v>0</v>
      </c>
      <c r="F477" s="208">
        <f t="shared" si="958"/>
        <v>0</v>
      </c>
      <c r="G477" s="208">
        <f t="shared" si="958"/>
        <v>0</v>
      </c>
      <c r="H477" s="208">
        <f t="shared" si="958"/>
        <v>0</v>
      </c>
      <c r="I477" s="208">
        <f t="shared" si="958"/>
        <v>0</v>
      </c>
      <c r="J477" s="208">
        <f t="shared" si="958"/>
        <v>0</v>
      </c>
      <c r="K477" s="208">
        <f t="shared" si="958"/>
        <v>0</v>
      </c>
      <c r="L477" s="208">
        <f t="shared" si="958"/>
        <v>0</v>
      </c>
      <c r="M477" s="208">
        <f t="shared" si="958"/>
        <v>0</v>
      </c>
      <c r="N477" s="208">
        <f t="shared" si="958"/>
        <v>0</v>
      </c>
      <c r="O477" s="208">
        <f t="shared" si="958"/>
        <v>0</v>
      </c>
      <c r="P477" s="208">
        <f t="shared" si="958"/>
        <v>0</v>
      </c>
      <c r="Q477" s="208">
        <f t="shared" si="958"/>
        <v>0</v>
      </c>
      <c r="R477" s="208">
        <f t="shared" si="958"/>
        <v>0</v>
      </c>
      <c r="S477" s="208">
        <f t="shared" si="958"/>
        <v>0</v>
      </c>
      <c r="T477" s="208">
        <f t="shared" si="958"/>
        <v>0</v>
      </c>
      <c r="U477" s="208">
        <f t="shared" si="958"/>
        <v>0</v>
      </c>
      <c r="V477" s="208">
        <f t="shared" si="958"/>
        <v>0</v>
      </c>
      <c r="W477" s="208">
        <f t="shared" si="958"/>
        <v>0</v>
      </c>
      <c r="X477" s="208">
        <f t="shared" si="958"/>
        <v>0</v>
      </c>
      <c r="Y477" s="208">
        <f t="shared" si="958"/>
        <v>0</v>
      </c>
      <c r="Z477" s="208">
        <f t="shared" si="958"/>
        <v>0</v>
      </c>
      <c r="AA477" s="208">
        <f t="shared" si="958"/>
        <v>0</v>
      </c>
      <c r="AB477" s="208">
        <f t="shared" si="958"/>
        <v>0</v>
      </c>
      <c r="AC477" s="208">
        <f t="shared" si="958"/>
        <v>0</v>
      </c>
      <c r="AD477" s="208">
        <f t="shared" si="958"/>
        <v>0</v>
      </c>
      <c r="AE477" s="208">
        <f t="shared" si="958"/>
        <v>0</v>
      </c>
      <c r="AF477" s="208">
        <f t="shared" si="958"/>
        <v>0</v>
      </c>
      <c r="AG477" s="208">
        <f t="shared" si="958"/>
        <v>0</v>
      </c>
      <c r="AH477" s="208">
        <f t="shared" si="958"/>
        <v>0</v>
      </c>
      <c r="AI477" s="208">
        <f t="shared" si="958"/>
        <v>0</v>
      </c>
      <c r="AJ477" s="208">
        <f t="shared" si="958"/>
        <v>0</v>
      </c>
      <c r="AK477" s="208">
        <f t="shared" si="958"/>
        <v>0</v>
      </c>
      <c r="AL477" s="208">
        <f t="shared" si="958"/>
        <v>0</v>
      </c>
      <c r="AM477" s="208">
        <f t="shared" si="958"/>
        <v>0</v>
      </c>
      <c r="AN477" s="208">
        <f t="shared" si="958"/>
        <v>0</v>
      </c>
      <c r="AO477" s="208">
        <f t="shared" si="958"/>
        <v>0</v>
      </c>
      <c r="AP477" s="208">
        <f t="shared" si="958"/>
        <v>0</v>
      </c>
    </row>
    <row r="478" spans="1:42">
      <c r="A478" s="226"/>
      <c r="C478" s="208"/>
      <c r="D478" s="208"/>
      <c r="E478" s="208"/>
      <c r="F478" s="208"/>
      <c r="G478" s="208"/>
      <c r="H478" s="208"/>
      <c r="I478" s="208"/>
      <c r="J478" s="208"/>
      <c r="K478" s="208"/>
      <c r="L478" s="208"/>
      <c r="M478" s="208"/>
      <c r="N478" s="208"/>
      <c r="O478" s="208"/>
      <c r="P478" s="208"/>
      <c r="Q478" s="208"/>
      <c r="R478" s="208"/>
      <c r="S478" s="208"/>
      <c r="T478" s="208"/>
      <c r="U478" s="208"/>
      <c r="V478" s="208"/>
      <c r="W478" s="208"/>
      <c r="X478" s="208"/>
      <c r="Y478" s="208"/>
      <c r="Z478" s="208"/>
      <c r="AA478" s="208"/>
      <c r="AB478" s="208"/>
      <c r="AC478" s="208"/>
      <c r="AD478" s="208"/>
      <c r="AE478" s="208"/>
      <c r="AF478" s="208"/>
      <c r="AG478" s="208"/>
      <c r="AH478" s="208"/>
      <c r="AI478" s="208"/>
      <c r="AJ478" s="208"/>
      <c r="AK478" s="208"/>
      <c r="AL478" s="208"/>
      <c r="AM478" s="208"/>
      <c r="AN478" s="208"/>
      <c r="AO478" s="208"/>
      <c r="AP478" s="208"/>
    </row>
    <row r="479" spans="1:42">
      <c r="A479" s="226" t="s">
        <v>221</v>
      </c>
      <c r="C479" s="208"/>
      <c r="D479" s="208"/>
      <c r="E479" s="208"/>
      <c r="F479" s="208"/>
      <c r="G479" s="208"/>
      <c r="H479" s="208"/>
      <c r="I479" s="208"/>
      <c r="J479" s="208"/>
      <c r="K479" s="208"/>
      <c r="L479" s="208"/>
      <c r="M479" s="208"/>
      <c r="N479" s="208"/>
      <c r="O479" s="208"/>
      <c r="P479" s="208"/>
      <c r="Q479" s="208"/>
      <c r="R479" s="208"/>
      <c r="S479" s="208"/>
      <c r="T479" s="208"/>
      <c r="U479" s="208"/>
      <c r="V479" s="208"/>
      <c r="W479" s="208"/>
      <c r="X479" s="208"/>
      <c r="Y479" s="208"/>
      <c r="Z479" s="208"/>
      <c r="AA479" s="208"/>
      <c r="AB479" s="208"/>
      <c r="AC479" s="208"/>
      <c r="AD479" s="208"/>
      <c r="AE479" s="208"/>
      <c r="AF479" s="208"/>
      <c r="AG479" s="208"/>
      <c r="AH479" s="208"/>
      <c r="AI479" s="208"/>
      <c r="AJ479" s="208"/>
      <c r="AK479" s="208"/>
      <c r="AL479" s="208"/>
      <c r="AM479" s="208"/>
      <c r="AN479" s="208"/>
      <c r="AO479" s="208"/>
      <c r="AP479" s="208"/>
    </row>
    <row r="480" spans="1:42">
      <c r="A480" s="119">
        <v>1</v>
      </c>
      <c r="B480" s="218">
        <f t="shared" ref="B480:B489" si="959">SUM(C480:AP480)</f>
        <v>2944872.3435013141</v>
      </c>
      <c r="C480" s="250">
        <f t="shared" ref="C480:AP480" si="960">LOOKUP(C468,$B$463:$AP$463,$B$464:$AP$464)*$B715</f>
        <v>0</v>
      </c>
      <c r="D480" s="208">
        <f t="shared" si="960"/>
        <v>0</v>
      </c>
      <c r="E480" s="208">
        <f t="shared" si="960"/>
        <v>0</v>
      </c>
      <c r="F480" s="208">
        <f t="shared" si="960"/>
        <v>0</v>
      </c>
      <c r="G480" s="208">
        <f t="shared" si="960"/>
        <v>0</v>
      </c>
      <c r="H480" s="208">
        <f t="shared" si="960"/>
        <v>0</v>
      </c>
      <c r="I480" s="208">
        <f t="shared" si="960"/>
        <v>0</v>
      </c>
      <c r="J480" s="208">
        <f t="shared" si="960"/>
        <v>0</v>
      </c>
      <c r="K480" s="208">
        <f t="shared" si="960"/>
        <v>0</v>
      </c>
      <c r="L480" s="208">
        <f t="shared" si="960"/>
        <v>0</v>
      </c>
      <c r="M480" s="208">
        <f t="shared" si="960"/>
        <v>0</v>
      </c>
      <c r="N480" s="208">
        <f t="shared" si="960"/>
        <v>588974.46870026283</v>
      </c>
      <c r="O480" s="208">
        <f t="shared" si="960"/>
        <v>942359.14992042049</v>
      </c>
      <c r="P480" s="208">
        <f t="shared" si="960"/>
        <v>565415.48995225236</v>
      </c>
      <c r="Q480" s="208">
        <f t="shared" si="960"/>
        <v>339249.29397135135</v>
      </c>
      <c r="R480" s="208">
        <f t="shared" si="960"/>
        <v>339249.29397135135</v>
      </c>
      <c r="S480" s="208">
        <f t="shared" si="960"/>
        <v>169624.64698567567</v>
      </c>
      <c r="T480" s="208">
        <f t="shared" si="960"/>
        <v>0</v>
      </c>
      <c r="U480" s="208">
        <f t="shared" si="960"/>
        <v>0</v>
      </c>
      <c r="V480" s="208">
        <f t="shared" si="960"/>
        <v>0</v>
      </c>
      <c r="W480" s="208">
        <f t="shared" si="960"/>
        <v>0</v>
      </c>
      <c r="X480" s="208">
        <f t="shared" si="960"/>
        <v>0</v>
      </c>
      <c r="Y480" s="208">
        <f t="shared" si="960"/>
        <v>0</v>
      </c>
      <c r="Z480" s="208">
        <f t="shared" si="960"/>
        <v>0</v>
      </c>
      <c r="AA480" s="208">
        <f t="shared" si="960"/>
        <v>0</v>
      </c>
      <c r="AB480" s="208">
        <f t="shared" si="960"/>
        <v>0</v>
      </c>
      <c r="AC480" s="208">
        <f t="shared" si="960"/>
        <v>0</v>
      </c>
      <c r="AD480" s="208">
        <f t="shared" si="960"/>
        <v>0</v>
      </c>
      <c r="AE480" s="208">
        <f t="shared" si="960"/>
        <v>0</v>
      </c>
      <c r="AF480" s="208">
        <f t="shared" si="960"/>
        <v>0</v>
      </c>
      <c r="AG480" s="208">
        <f t="shared" si="960"/>
        <v>0</v>
      </c>
      <c r="AH480" s="208">
        <f t="shared" si="960"/>
        <v>0</v>
      </c>
      <c r="AI480" s="208">
        <f t="shared" si="960"/>
        <v>0</v>
      </c>
      <c r="AJ480" s="208">
        <f t="shared" si="960"/>
        <v>0</v>
      </c>
      <c r="AK480" s="208">
        <f t="shared" si="960"/>
        <v>0</v>
      </c>
      <c r="AL480" s="208">
        <f t="shared" si="960"/>
        <v>0</v>
      </c>
      <c r="AM480" s="208">
        <f t="shared" si="960"/>
        <v>0</v>
      </c>
      <c r="AN480" s="208">
        <f t="shared" si="960"/>
        <v>0</v>
      </c>
      <c r="AO480" s="208">
        <f t="shared" si="960"/>
        <v>0</v>
      </c>
      <c r="AP480" s="208">
        <f t="shared" si="960"/>
        <v>0</v>
      </c>
    </row>
    <row r="481" spans="1:42">
      <c r="A481" s="119">
        <f>A480+1</f>
        <v>2</v>
      </c>
      <c r="B481" s="218">
        <f t="shared" si="959"/>
        <v>3520942.886524681</v>
      </c>
      <c r="C481" s="250">
        <f t="shared" ref="C481:AP481" si="961">LOOKUP(C469,$B$463:$AP$463,$B$464:$AP$464)*$B716</f>
        <v>0</v>
      </c>
      <c r="D481" s="208">
        <f t="shared" si="961"/>
        <v>0</v>
      </c>
      <c r="E481" s="208">
        <f t="shared" si="961"/>
        <v>0</v>
      </c>
      <c r="F481" s="208">
        <f t="shared" si="961"/>
        <v>0</v>
      </c>
      <c r="G481" s="208">
        <f t="shared" si="961"/>
        <v>0</v>
      </c>
      <c r="H481" s="208">
        <f t="shared" si="961"/>
        <v>0</v>
      </c>
      <c r="I481" s="208">
        <f t="shared" si="961"/>
        <v>0</v>
      </c>
      <c r="J481" s="208">
        <f t="shared" si="961"/>
        <v>0</v>
      </c>
      <c r="K481" s="208">
        <f t="shared" si="961"/>
        <v>0</v>
      </c>
      <c r="L481" s="208">
        <f t="shared" si="961"/>
        <v>0</v>
      </c>
      <c r="M481" s="208">
        <f t="shared" si="961"/>
        <v>0</v>
      </c>
      <c r="N481" s="208">
        <f t="shared" si="961"/>
        <v>0</v>
      </c>
      <c r="O481" s="208">
        <f t="shared" si="961"/>
        <v>0</v>
      </c>
      <c r="P481" s="208">
        <f t="shared" si="961"/>
        <v>0</v>
      </c>
      <c r="Q481" s="208">
        <f t="shared" si="961"/>
        <v>0</v>
      </c>
      <c r="R481" s="208">
        <f t="shared" si="961"/>
        <v>0</v>
      </c>
      <c r="S481" s="208">
        <f t="shared" si="961"/>
        <v>0</v>
      </c>
      <c r="T481" s="208">
        <f t="shared" si="961"/>
        <v>0</v>
      </c>
      <c r="U481" s="208">
        <f t="shared" si="961"/>
        <v>0</v>
      </c>
      <c r="V481" s="208">
        <f t="shared" si="961"/>
        <v>0</v>
      </c>
      <c r="W481" s="208">
        <f t="shared" si="961"/>
        <v>0</v>
      </c>
      <c r="X481" s="208">
        <f t="shared" si="961"/>
        <v>0</v>
      </c>
      <c r="Y481" s="208">
        <f t="shared" si="961"/>
        <v>0</v>
      </c>
      <c r="Z481" s="208">
        <f t="shared" si="961"/>
        <v>704188.57730493625</v>
      </c>
      <c r="AA481" s="208">
        <f t="shared" si="961"/>
        <v>1126701.7236878979</v>
      </c>
      <c r="AB481" s="208">
        <f t="shared" si="961"/>
        <v>676021.03421273874</v>
      </c>
      <c r="AC481" s="208">
        <f t="shared" si="961"/>
        <v>405612.62052764324</v>
      </c>
      <c r="AD481" s="208">
        <f t="shared" si="961"/>
        <v>405612.62052764324</v>
      </c>
      <c r="AE481" s="208">
        <f t="shared" si="961"/>
        <v>202806.31026382162</v>
      </c>
      <c r="AF481" s="208">
        <f t="shared" si="961"/>
        <v>0</v>
      </c>
      <c r="AG481" s="208">
        <f t="shared" si="961"/>
        <v>0</v>
      </c>
      <c r="AH481" s="208">
        <f t="shared" si="961"/>
        <v>0</v>
      </c>
      <c r="AI481" s="208">
        <f t="shared" si="961"/>
        <v>0</v>
      </c>
      <c r="AJ481" s="208">
        <f t="shared" si="961"/>
        <v>0</v>
      </c>
      <c r="AK481" s="208">
        <f t="shared" si="961"/>
        <v>0</v>
      </c>
      <c r="AL481" s="208">
        <f t="shared" si="961"/>
        <v>0</v>
      </c>
      <c r="AM481" s="208">
        <f t="shared" si="961"/>
        <v>0</v>
      </c>
      <c r="AN481" s="208">
        <f t="shared" si="961"/>
        <v>0</v>
      </c>
      <c r="AO481" s="208">
        <f t="shared" si="961"/>
        <v>0</v>
      </c>
      <c r="AP481" s="208">
        <f t="shared" si="961"/>
        <v>0</v>
      </c>
    </row>
    <row r="482" spans="1:42">
      <c r="A482" s="119">
        <f t="shared" ref="A482:A487" si="962">A481+1</f>
        <v>3</v>
      </c>
      <c r="B482" s="218">
        <f t="shared" si="959"/>
        <v>0</v>
      </c>
      <c r="C482" s="250">
        <f t="shared" ref="C482:AP482" si="963">LOOKUP(C470,$B$463:$AP$463,$B$464:$AP$464)*$B717</f>
        <v>0</v>
      </c>
      <c r="D482" s="208">
        <f t="shared" si="963"/>
        <v>0</v>
      </c>
      <c r="E482" s="208">
        <f t="shared" si="963"/>
        <v>0</v>
      </c>
      <c r="F482" s="208">
        <f t="shared" si="963"/>
        <v>0</v>
      </c>
      <c r="G482" s="208">
        <f t="shared" si="963"/>
        <v>0</v>
      </c>
      <c r="H482" s="208">
        <f t="shared" si="963"/>
        <v>0</v>
      </c>
      <c r="I482" s="208">
        <f t="shared" si="963"/>
        <v>0</v>
      </c>
      <c r="J482" s="208">
        <f t="shared" si="963"/>
        <v>0</v>
      </c>
      <c r="K482" s="208">
        <f t="shared" si="963"/>
        <v>0</v>
      </c>
      <c r="L482" s="208">
        <f t="shared" si="963"/>
        <v>0</v>
      </c>
      <c r="M482" s="208">
        <f t="shared" si="963"/>
        <v>0</v>
      </c>
      <c r="N482" s="208">
        <f t="shared" si="963"/>
        <v>0</v>
      </c>
      <c r="O482" s="208">
        <f t="shared" si="963"/>
        <v>0</v>
      </c>
      <c r="P482" s="208">
        <f t="shared" si="963"/>
        <v>0</v>
      </c>
      <c r="Q482" s="208">
        <f t="shared" si="963"/>
        <v>0</v>
      </c>
      <c r="R482" s="208">
        <f t="shared" si="963"/>
        <v>0</v>
      </c>
      <c r="S482" s="208">
        <f t="shared" si="963"/>
        <v>0</v>
      </c>
      <c r="T482" s="208">
        <f t="shared" si="963"/>
        <v>0</v>
      </c>
      <c r="U482" s="208">
        <f t="shared" si="963"/>
        <v>0</v>
      </c>
      <c r="V482" s="208">
        <f t="shared" si="963"/>
        <v>0</v>
      </c>
      <c r="W482" s="208">
        <f t="shared" si="963"/>
        <v>0</v>
      </c>
      <c r="X482" s="208">
        <f t="shared" si="963"/>
        <v>0</v>
      </c>
      <c r="Y482" s="208">
        <f t="shared" si="963"/>
        <v>0</v>
      </c>
      <c r="Z482" s="208">
        <f t="shared" si="963"/>
        <v>0</v>
      </c>
      <c r="AA482" s="208">
        <f t="shared" si="963"/>
        <v>0</v>
      </c>
      <c r="AB482" s="208">
        <f t="shared" si="963"/>
        <v>0</v>
      </c>
      <c r="AC482" s="208">
        <f t="shared" si="963"/>
        <v>0</v>
      </c>
      <c r="AD482" s="208">
        <f t="shared" si="963"/>
        <v>0</v>
      </c>
      <c r="AE482" s="208">
        <f t="shared" si="963"/>
        <v>0</v>
      </c>
      <c r="AF482" s="208">
        <f t="shared" si="963"/>
        <v>0</v>
      </c>
      <c r="AG482" s="208">
        <f t="shared" si="963"/>
        <v>0</v>
      </c>
      <c r="AH482" s="208">
        <f t="shared" si="963"/>
        <v>0</v>
      </c>
      <c r="AI482" s="208">
        <f t="shared" si="963"/>
        <v>0</v>
      </c>
      <c r="AJ482" s="208">
        <f t="shared" si="963"/>
        <v>0</v>
      </c>
      <c r="AK482" s="208">
        <f t="shared" si="963"/>
        <v>0</v>
      </c>
      <c r="AL482" s="208">
        <f t="shared" si="963"/>
        <v>0</v>
      </c>
      <c r="AM482" s="208">
        <f t="shared" si="963"/>
        <v>0</v>
      </c>
      <c r="AN482" s="208">
        <f t="shared" si="963"/>
        <v>0</v>
      </c>
      <c r="AO482" s="208">
        <f t="shared" si="963"/>
        <v>0</v>
      </c>
      <c r="AP482" s="208">
        <f t="shared" si="963"/>
        <v>0</v>
      </c>
    </row>
    <row r="483" spans="1:42">
      <c r="A483" s="119">
        <f t="shared" si="962"/>
        <v>4</v>
      </c>
      <c r="B483" s="218">
        <f t="shared" si="959"/>
        <v>0</v>
      </c>
      <c r="C483" s="250">
        <f t="shared" ref="C483:AP483" si="964">LOOKUP(C471,$B$463:$AP$463,$B$464:$AP$464)*$B718</f>
        <v>0</v>
      </c>
      <c r="D483" s="208">
        <f t="shared" si="964"/>
        <v>0</v>
      </c>
      <c r="E483" s="208">
        <f t="shared" si="964"/>
        <v>0</v>
      </c>
      <c r="F483" s="208">
        <f t="shared" si="964"/>
        <v>0</v>
      </c>
      <c r="G483" s="208">
        <f t="shared" si="964"/>
        <v>0</v>
      </c>
      <c r="H483" s="208">
        <f t="shared" si="964"/>
        <v>0</v>
      </c>
      <c r="I483" s="208">
        <f t="shared" si="964"/>
        <v>0</v>
      </c>
      <c r="J483" s="208">
        <f t="shared" si="964"/>
        <v>0</v>
      </c>
      <c r="K483" s="208">
        <f t="shared" si="964"/>
        <v>0</v>
      </c>
      <c r="L483" s="208">
        <f t="shared" si="964"/>
        <v>0</v>
      </c>
      <c r="M483" s="208">
        <f t="shared" si="964"/>
        <v>0</v>
      </c>
      <c r="N483" s="208">
        <f t="shared" si="964"/>
        <v>0</v>
      </c>
      <c r="O483" s="208">
        <f t="shared" si="964"/>
        <v>0</v>
      </c>
      <c r="P483" s="208">
        <f t="shared" si="964"/>
        <v>0</v>
      </c>
      <c r="Q483" s="208">
        <f t="shared" si="964"/>
        <v>0</v>
      </c>
      <c r="R483" s="208">
        <f t="shared" si="964"/>
        <v>0</v>
      </c>
      <c r="S483" s="208">
        <f t="shared" si="964"/>
        <v>0</v>
      </c>
      <c r="T483" s="208">
        <f t="shared" si="964"/>
        <v>0</v>
      </c>
      <c r="U483" s="208">
        <f t="shared" si="964"/>
        <v>0</v>
      </c>
      <c r="V483" s="208">
        <f t="shared" si="964"/>
        <v>0</v>
      </c>
      <c r="W483" s="208">
        <f t="shared" si="964"/>
        <v>0</v>
      </c>
      <c r="X483" s="208">
        <f t="shared" si="964"/>
        <v>0</v>
      </c>
      <c r="Y483" s="208">
        <f t="shared" si="964"/>
        <v>0</v>
      </c>
      <c r="Z483" s="208">
        <f t="shared" si="964"/>
        <v>0</v>
      </c>
      <c r="AA483" s="208">
        <f t="shared" si="964"/>
        <v>0</v>
      </c>
      <c r="AB483" s="208">
        <f t="shared" si="964"/>
        <v>0</v>
      </c>
      <c r="AC483" s="208">
        <f t="shared" si="964"/>
        <v>0</v>
      </c>
      <c r="AD483" s="208">
        <f t="shared" si="964"/>
        <v>0</v>
      </c>
      <c r="AE483" s="208">
        <f t="shared" si="964"/>
        <v>0</v>
      </c>
      <c r="AF483" s="208">
        <f t="shared" si="964"/>
        <v>0</v>
      </c>
      <c r="AG483" s="208">
        <f t="shared" si="964"/>
        <v>0</v>
      </c>
      <c r="AH483" s="208">
        <f t="shared" si="964"/>
        <v>0</v>
      </c>
      <c r="AI483" s="208">
        <f t="shared" si="964"/>
        <v>0</v>
      </c>
      <c r="AJ483" s="208">
        <f t="shared" si="964"/>
        <v>0</v>
      </c>
      <c r="AK483" s="208">
        <f t="shared" si="964"/>
        <v>0</v>
      </c>
      <c r="AL483" s="208">
        <f t="shared" si="964"/>
        <v>0</v>
      </c>
      <c r="AM483" s="208">
        <f t="shared" si="964"/>
        <v>0</v>
      </c>
      <c r="AN483" s="208">
        <f t="shared" si="964"/>
        <v>0</v>
      </c>
      <c r="AO483" s="208">
        <f t="shared" si="964"/>
        <v>0</v>
      </c>
      <c r="AP483" s="208">
        <f t="shared" si="964"/>
        <v>0</v>
      </c>
    </row>
    <row r="484" spans="1:42">
      <c r="A484" s="119">
        <f t="shared" si="962"/>
        <v>5</v>
      </c>
      <c r="B484" s="218">
        <f t="shared" si="959"/>
        <v>0</v>
      </c>
      <c r="C484" s="250">
        <f t="shared" ref="C484:AP484" si="965">LOOKUP(C472,$B$463:$AP$463,$B$464:$AP$464)*$B719</f>
        <v>0</v>
      </c>
      <c r="D484" s="208">
        <f t="shared" si="965"/>
        <v>0</v>
      </c>
      <c r="E484" s="208">
        <f t="shared" si="965"/>
        <v>0</v>
      </c>
      <c r="F484" s="208">
        <f t="shared" si="965"/>
        <v>0</v>
      </c>
      <c r="G484" s="208">
        <f t="shared" si="965"/>
        <v>0</v>
      </c>
      <c r="H484" s="208">
        <f t="shared" si="965"/>
        <v>0</v>
      </c>
      <c r="I484" s="208">
        <f t="shared" si="965"/>
        <v>0</v>
      </c>
      <c r="J484" s="208">
        <f t="shared" si="965"/>
        <v>0</v>
      </c>
      <c r="K484" s="208">
        <f t="shared" si="965"/>
        <v>0</v>
      </c>
      <c r="L484" s="208">
        <f t="shared" si="965"/>
        <v>0</v>
      </c>
      <c r="M484" s="208">
        <f t="shared" si="965"/>
        <v>0</v>
      </c>
      <c r="N484" s="208">
        <f t="shared" si="965"/>
        <v>0</v>
      </c>
      <c r="O484" s="208">
        <f t="shared" si="965"/>
        <v>0</v>
      </c>
      <c r="P484" s="208">
        <f t="shared" si="965"/>
        <v>0</v>
      </c>
      <c r="Q484" s="208">
        <f t="shared" si="965"/>
        <v>0</v>
      </c>
      <c r="R484" s="208">
        <f t="shared" si="965"/>
        <v>0</v>
      </c>
      <c r="S484" s="208">
        <f t="shared" si="965"/>
        <v>0</v>
      </c>
      <c r="T484" s="208">
        <f t="shared" si="965"/>
        <v>0</v>
      </c>
      <c r="U484" s="208">
        <f t="shared" si="965"/>
        <v>0</v>
      </c>
      <c r="V484" s="208">
        <f t="shared" si="965"/>
        <v>0</v>
      </c>
      <c r="W484" s="208">
        <f t="shared" si="965"/>
        <v>0</v>
      </c>
      <c r="X484" s="208">
        <f t="shared" si="965"/>
        <v>0</v>
      </c>
      <c r="Y484" s="208">
        <f t="shared" si="965"/>
        <v>0</v>
      </c>
      <c r="Z484" s="208">
        <f t="shared" si="965"/>
        <v>0</v>
      </c>
      <c r="AA484" s="208">
        <f t="shared" si="965"/>
        <v>0</v>
      </c>
      <c r="AB484" s="208">
        <f t="shared" si="965"/>
        <v>0</v>
      </c>
      <c r="AC484" s="208">
        <f t="shared" si="965"/>
        <v>0</v>
      </c>
      <c r="AD484" s="208">
        <f t="shared" si="965"/>
        <v>0</v>
      </c>
      <c r="AE484" s="208">
        <f t="shared" si="965"/>
        <v>0</v>
      </c>
      <c r="AF484" s="208">
        <f t="shared" si="965"/>
        <v>0</v>
      </c>
      <c r="AG484" s="208">
        <f t="shared" si="965"/>
        <v>0</v>
      </c>
      <c r="AH484" s="208">
        <f t="shared" si="965"/>
        <v>0</v>
      </c>
      <c r="AI484" s="208">
        <f t="shared" si="965"/>
        <v>0</v>
      </c>
      <c r="AJ484" s="208">
        <f t="shared" si="965"/>
        <v>0</v>
      </c>
      <c r="AK484" s="208">
        <f t="shared" si="965"/>
        <v>0</v>
      </c>
      <c r="AL484" s="208">
        <f t="shared" si="965"/>
        <v>0</v>
      </c>
      <c r="AM484" s="208">
        <f t="shared" si="965"/>
        <v>0</v>
      </c>
      <c r="AN484" s="208">
        <f t="shared" si="965"/>
        <v>0</v>
      </c>
      <c r="AO484" s="208">
        <f t="shared" si="965"/>
        <v>0</v>
      </c>
      <c r="AP484" s="208">
        <f t="shared" si="965"/>
        <v>0</v>
      </c>
    </row>
    <row r="485" spans="1:42">
      <c r="A485" s="119">
        <f t="shared" si="962"/>
        <v>6</v>
      </c>
      <c r="B485" s="218">
        <f t="shared" si="959"/>
        <v>0</v>
      </c>
      <c r="C485" s="250">
        <f t="shared" ref="C485:AP485" si="966">LOOKUP(C473,$B$463:$AP$463,$B$464:$AP$464)*$B720</f>
        <v>0</v>
      </c>
      <c r="D485" s="208">
        <f t="shared" si="966"/>
        <v>0</v>
      </c>
      <c r="E485" s="208">
        <f t="shared" si="966"/>
        <v>0</v>
      </c>
      <c r="F485" s="208">
        <f t="shared" si="966"/>
        <v>0</v>
      </c>
      <c r="G485" s="208">
        <f t="shared" si="966"/>
        <v>0</v>
      </c>
      <c r="H485" s="208">
        <f t="shared" si="966"/>
        <v>0</v>
      </c>
      <c r="I485" s="208">
        <f t="shared" si="966"/>
        <v>0</v>
      </c>
      <c r="J485" s="208">
        <f t="shared" si="966"/>
        <v>0</v>
      </c>
      <c r="K485" s="208">
        <f t="shared" si="966"/>
        <v>0</v>
      </c>
      <c r="L485" s="208">
        <f t="shared" si="966"/>
        <v>0</v>
      </c>
      <c r="M485" s="208">
        <f t="shared" si="966"/>
        <v>0</v>
      </c>
      <c r="N485" s="208">
        <f t="shared" si="966"/>
        <v>0</v>
      </c>
      <c r="O485" s="208">
        <f t="shared" si="966"/>
        <v>0</v>
      </c>
      <c r="P485" s="208">
        <f t="shared" si="966"/>
        <v>0</v>
      </c>
      <c r="Q485" s="208">
        <f t="shared" si="966"/>
        <v>0</v>
      </c>
      <c r="R485" s="208">
        <f t="shared" si="966"/>
        <v>0</v>
      </c>
      <c r="S485" s="208">
        <f t="shared" si="966"/>
        <v>0</v>
      </c>
      <c r="T485" s="208">
        <f t="shared" si="966"/>
        <v>0</v>
      </c>
      <c r="U485" s="208">
        <f t="shared" si="966"/>
        <v>0</v>
      </c>
      <c r="V485" s="208">
        <f t="shared" si="966"/>
        <v>0</v>
      </c>
      <c r="W485" s="208">
        <f t="shared" si="966"/>
        <v>0</v>
      </c>
      <c r="X485" s="208">
        <f t="shared" si="966"/>
        <v>0</v>
      </c>
      <c r="Y485" s="208">
        <f t="shared" si="966"/>
        <v>0</v>
      </c>
      <c r="Z485" s="208">
        <f t="shared" si="966"/>
        <v>0</v>
      </c>
      <c r="AA485" s="208">
        <f t="shared" si="966"/>
        <v>0</v>
      </c>
      <c r="AB485" s="208">
        <f t="shared" si="966"/>
        <v>0</v>
      </c>
      <c r="AC485" s="208">
        <f t="shared" si="966"/>
        <v>0</v>
      </c>
      <c r="AD485" s="208">
        <f t="shared" si="966"/>
        <v>0</v>
      </c>
      <c r="AE485" s="208">
        <f t="shared" si="966"/>
        <v>0</v>
      </c>
      <c r="AF485" s="208">
        <f t="shared" si="966"/>
        <v>0</v>
      </c>
      <c r="AG485" s="208">
        <f t="shared" si="966"/>
        <v>0</v>
      </c>
      <c r="AH485" s="208">
        <f t="shared" si="966"/>
        <v>0</v>
      </c>
      <c r="AI485" s="208">
        <f t="shared" si="966"/>
        <v>0</v>
      </c>
      <c r="AJ485" s="208">
        <f t="shared" si="966"/>
        <v>0</v>
      </c>
      <c r="AK485" s="208">
        <f t="shared" si="966"/>
        <v>0</v>
      </c>
      <c r="AL485" s="208">
        <f t="shared" si="966"/>
        <v>0</v>
      </c>
      <c r="AM485" s="208">
        <f t="shared" si="966"/>
        <v>0</v>
      </c>
      <c r="AN485" s="208">
        <f t="shared" si="966"/>
        <v>0</v>
      </c>
      <c r="AO485" s="208">
        <f t="shared" si="966"/>
        <v>0</v>
      </c>
      <c r="AP485" s="208">
        <f t="shared" si="966"/>
        <v>0</v>
      </c>
    </row>
    <row r="486" spans="1:42">
      <c r="A486" s="119">
        <f t="shared" si="962"/>
        <v>7</v>
      </c>
      <c r="B486" s="218">
        <f t="shared" si="959"/>
        <v>0</v>
      </c>
      <c r="C486" s="250">
        <f t="shared" ref="C486:AP486" si="967">LOOKUP(C474,$B$463:$AP$463,$B$464:$AP$464)*$B721</f>
        <v>0</v>
      </c>
      <c r="D486" s="208">
        <f t="shared" si="967"/>
        <v>0</v>
      </c>
      <c r="E486" s="208">
        <f t="shared" si="967"/>
        <v>0</v>
      </c>
      <c r="F486" s="208">
        <f t="shared" si="967"/>
        <v>0</v>
      </c>
      <c r="G486" s="208">
        <f t="shared" si="967"/>
        <v>0</v>
      </c>
      <c r="H486" s="208">
        <f t="shared" si="967"/>
        <v>0</v>
      </c>
      <c r="I486" s="208">
        <f t="shared" si="967"/>
        <v>0</v>
      </c>
      <c r="J486" s="208">
        <f t="shared" si="967"/>
        <v>0</v>
      </c>
      <c r="K486" s="208">
        <f t="shared" si="967"/>
        <v>0</v>
      </c>
      <c r="L486" s="208">
        <f t="shared" si="967"/>
        <v>0</v>
      </c>
      <c r="M486" s="208">
        <f t="shared" si="967"/>
        <v>0</v>
      </c>
      <c r="N486" s="208">
        <f t="shared" si="967"/>
        <v>0</v>
      </c>
      <c r="O486" s="208">
        <f t="shared" si="967"/>
        <v>0</v>
      </c>
      <c r="P486" s="208">
        <f t="shared" si="967"/>
        <v>0</v>
      </c>
      <c r="Q486" s="208">
        <f t="shared" si="967"/>
        <v>0</v>
      </c>
      <c r="R486" s="208">
        <f t="shared" si="967"/>
        <v>0</v>
      </c>
      <c r="S486" s="208">
        <f t="shared" si="967"/>
        <v>0</v>
      </c>
      <c r="T486" s="208">
        <f t="shared" si="967"/>
        <v>0</v>
      </c>
      <c r="U486" s="208">
        <f t="shared" si="967"/>
        <v>0</v>
      </c>
      <c r="V486" s="208">
        <f t="shared" si="967"/>
        <v>0</v>
      </c>
      <c r="W486" s="208">
        <f t="shared" si="967"/>
        <v>0</v>
      </c>
      <c r="X486" s="208">
        <f t="shared" si="967"/>
        <v>0</v>
      </c>
      <c r="Y486" s="208">
        <f t="shared" si="967"/>
        <v>0</v>
      </c>
      <c r="Z486" s="208">
        <f t="shared" si="967"/>
        <v>0</v>
      </c>
      <c r="AA486" s="208">
        <f t="shared" si="967"/>
        <v>0</v>
      </c>
      <c r="AB486" s="208">
        <f t="shared" si="967"/>
        <v>0</v>
      </c>
      <c r="AC486" s="208">
        <f t="shared" si="967"/>
        <v>0</v>
      </c>
      <c r="AD486" s="208">
        <f t="shared" si="967"/>
        <v>0</v>
      </c>
      <c r="AE486" s="208">
        <f t="shared" si="967"/>
        <v>0</v>
      </c>
      <c r="AF486" s="208">
        <f t="shared" si="967"/>
        <v>0</v>
      </c>
      <c r="AG486" s="208">
        <f t="shared" si="967"/>
        <v>0</v>
      </c>
      <c r="AH486" s="208">
        <f t="shared" si="967"/>
        <v>0</v>
      </c>
      <c r="AI486" s="208">
        <f t="shared" si="967"/>
        <v>0</v>
      </c>
      <c r="AJ486" s="208">
        <f t="shared" si="967"/>
        <v>0</v>
      </c>
      <c r="AK486" s="208">
        <f t="shared" si="967"/>
        <v>0</v>
      </c>
      <c r="AL486" s="208">
        <f t="shared" si="967"/>
        <v>0</v>
      </c>
      <c r="AM486" s="208">
        <f t="shared" si="967"/>
        <v>0</v>
      </c>
      <c r="AN486" s="208">
        <f t="shared" si="967"/>
        <v>0</v>
      </c>
      <c r="AO486" s="208">
        <f t="shared" si="967"/>
        <v>0</v>
      </c>
      <c r="AP486" s="208">
        <f t="shared" si="967"/>
        <v>0</v>
      </c>
    </row>
    <row r="487" spans="1:42">
      <c r="A487" s="119">
        <f t="shared" si="962"/>
        <v>8</v>
      </c>
      <c r="B487" s="218">
        <f t="shared" si="959"/>
        <v>0</v>
      </c>
      <c r="C487" s="250">
        <f t="shared" ref="C487:AP487" si="968">LOOKUP(C475,$B$463:$AP$463,$B$464:$AP$464)*$B722</f>
        <v>0</v>
      </c>
      <c r="D487" s="208">
        <f t="shared" si="968"/>
        <v>0</v>
      </c>
      <c r="E487" s="208">
        <f t="shared" si="968"/>
        <v>0</v>
      </c>
      <c r="F487" s="208">
        <f t="shared" si="968"/>
        <v>0</v>
      </c>
      <c r="G487" s="208">
        <f t="shared" si="968"/>
        <v>0</v>
      </c>
      <c r="H487" s="208">
        <f t="shared" si="968"/>
        <v>0</v>
      </c>
      <c r="I487" s="208">
        <f t="shared" si="968"/>
        <v>0</v>
      </c>
      <c r="J487" s="208">
        <f t="shared" si="968"/>
        <v>0</v>
      </c>
      <c r="K487" s="208">
        <f t="shared" si="968"/>
        <v>0</v>
      </c>
      <c r="L487" s="208">
        <f t="shared" si="968"/>
        <v>0</v>
      </c>
      <c r="M487" s="208">
        <f t="shared" si="968"/>
        <v>0</v>
      </c>
      <c r="N487" s="208">
        <f t="shared" si="968"/>
        <v>0</v>
      </c>
      <c r="O487" s="208">
        <f t="shared" si="968"/>
        <v>0</v>
      </c>
      <c r="P487" s="208">
        <f t="shared" si="968"/>
        <v>0</v>
      </c>
      <c r="Q487" s="208">
        <f t="shared" si="968"/>
        <v>0</v>
      </c>
      <c r="R487" s="208">
        <f t="shared" si="968"/>
        <v>0</v>
      </c>
      <c r="S487" s="208">
        <f t="shared" si="968"/>
        <v>0</v>
      </c>
      <c r="T487" s="208">
        <f t="shared" si="968"/>
        <v>0</v>
      </c>
      <c r="U487" s="208">
        <f t="shared" si="968"/>
        <v>0</v>
      </c>
      <c r="V487" s="208">
        <f t="shared" si="968"/>
        <v>0</v>
      </c>
      <c r="W487" s="208">
        <f t="shared" si="968"/>
        <v>0</v>
      </c>
      <c r="X487" s="208">
        <f t="shared" si="968"/>
        <v>0</v>
      </c>
      <c r="Y487" s="208">
        <f t="shared" si="968"/>
        <v>0</v>
      </c>
      <c r="Z487" s="208">
        <f t="shared" si="968"/>
        <v>0</v>
      </c>
      <c r="AA487" s="208">
        <f t="shared" si="968"/>
        <v>0</v>
      </c>
      <c r="AB487" s="208">
        <f t="shared" si="968"/>
        <v>0</v>
      </c>
      <c r="AC487" s="208">
        <f t="shared" si="968"/>
        <v>0</v>
      </c>
      <c r="AD487" s="208">
        <f t="shared" si="968"/>
        <v>0</v>
      </c>
      <c r="AE487" s="208">
        <f t="shared" si="968"/>
        <v>0</v>
      </c>
      <c r="AF487" s="208">
        <f t="shared" si="968"/>
        <v>0</v>
      </c>
      <c r="AG487" s="208">
        <f t="shared" si="968"/>
        <v>0</v>
      </c>
      <c r="AH487" s="208">
        <f t="shared" si="968"/>
        <v>0</v>
      </c>
      <c r="AI487" s="208">
        <f t="shared" si="968"/>
        <v>0</v>
      </c>
      <c r="AJ487" s="208">
        <f t="shared" si="968"/>
        <v>0</v>
      </c>
      <c r="AK487" s="208">
        <f t="shared" si="968"/>
        <v>0</v>
      </c>
      <c r="AL487" s="208">
        <f t="shared" si="968"/>
        <v>0</v>
      </c>
      <c r="AM487" s="208">
        <f t="shared" si="968"/>
        <v>0</v>
      </c>
      <c r="AN487" s="208">
        <f t="shared" si="968"/>
        <v>0</v>
      </c>
      <c r="AO487" s="208">
        <f t="shared" si="968"/>
        <v>0</v>
      </c>
      <c r="AP487" s="208">
        <f t="shared" si="968"/>
        <v>0</v>
      </c>
    </row>
    <row r="488" spans="1:42">
      <c r="A488" s="119">
        <f>A487+1</f>
        <v>9</v>
      </c>
      <c r="B488" s="218">
        <f t="shared" si="959"/>
        <v>0</v>
      </c>
      <c r="C488" s="250">
        <f t="shared" ref="C488:AP488" si="969">LOOKUP(C476,$B$463:$AP$463,$B$464:$AP$464)*$B723</f>
        <v>0</v>
      </c>
      <c r="D488" s="208">
        <f t="shared" si="969"/>
        <v>0</v>
      </c>
      <c r="E488" s="208">
        <f t="shared" si="969"/>
        <v>0</v>
      </c>
      <c r="F488" s="208">
        <f t="shared" si="969"/>
        <v>0</v>
      </c>
      <c r="G488" s="208">
        <f t="shared" si="969"/>
        <v>0</v>
      </c>
      <c r="H488" s="208">
        <f t="shared" si="969"/>
        <v>0</v>
      </c>
      <c r="I488" s="208">
        <f t="shared" si="969"/>
        <v>0</v>
      </c>
      <c r="J488" s="208">
        <f t="shared" si="969"/>
        <v>0</v>
      </c>
      <c r="K488" s="208">
        <f t="shared" si="969"/>
        <v>0</v>
      </c>
      <c r="L488" s="208">
        <f t="shared" si="969"/>
        <v>0</v>
      </c>
      <c r="M488" s="208">
        <f t="shared" si="969"/>
        <v>0</v>
      </c>
      <c r="N488" s="208">
        <f t="shared" si="969"/>
        <v>0</v>
      </c>
      <c r="O488" s="208">
        <f t="shared" si="969"/>
        <v>0</v>
      </c>
      <c r="P488" s="208">
        <f t="shared" si="969"/>
        <v>0</v>
      </c>
      <c r="Q488" s="208">
        <f t="shared" si="969"/>
        <v>0</v>
      </c>
      <c r="R488" s="208">
        <f t="shared" si="969"/>
        <v>0</v>
      </c>
      <c r="S488" s="208">
        <f t="shared" si="969"/>
        <v>0</v>
      </c>
      <c r="T488" s="208">
        <f t="shared" si="969"/>
        <v>0</v>
      </c>
      <c r="U488" s="208">
        <f t="shared" si="969"/>
        <v>0</v>
      </c>
      <c r="V488" s="208">
        <f t="shared" si="969"/>
        <v>0</v>
      </c>
      <c r="W488" s="208">
        <f t="shared" si="969"/>
        <v>0</v>
      </c>
      <c r="X488" s="208">
        <f t="shared" si="969"/>
        <v>0</v>
      </c>
      <c r="Y488" s="208">
        <f t="shared" si="969"/>
        <v>0</v>
      </c>
      <c r="Z488" s="208">
        <f t="shared" si="969"/>
        <v>0</v>
      </c>
      <c r="AA488" s="208">
        <f t="shared" si="969"/>
        <v>0</v>
      </c>
      <c r="AB488" s="208">
        <f t="shared" si="969"/>
        <v>0</v>
      </c>
      <c r="AC488" s="208">
        <f t="shared" si="969"/>
        <v>0</v>
      </c>
      <c r="AD488" s="208">
        <f t="shared" si="969"/>
        <v>0</v>
      </c>
      <c r="AE488" s="208">
        <f t="shared" si="969"/>
        <v>0</v>
      </c>
      <c r="AF488" s="208">
        <f t="shared" si="969"/>
        <v>0</v>
      </c>
      <c r="AG488" s="208">
        <f t="shared" si="969"/>
        <v>0</v>
      </c>
      <c r="AH488" s="208">
        <f t="shared" si="969"/>
        <v>0</v>
      </c>
      <c r="AI488" s="208">
        <f t="shared" si="969"/>
        <v>0</v>
      </c>
      <c r="AJ488" s="208">
        <f t="shared" si="969"/>
        <v>0</v>
      </c>
      <c r="AK488" s="208">
        <f t="shared" si="969"/>
        <v>0</v>
      </c>
      <c r="AL488" s="208">
        <f t="shared" si="969"/>
        <v>0</v>
      </c>
      <c r="AM488" s="208">
        <f t="shared" si="969"/>
        <v>0</v>
      </c>
      <c r="AN488" s="208">
        <f t="shared" si="969"/>
        <v>0</v>
      </c>
      <c r="AO488" s="208">
        <f t="shared" si="969"/>
        <v>0</v>
      </c>
      <c r="AP488" s="208">
        <f t="shared" si="969"/>
        <v>0</v>
      </c>
    </row>
    <row r="489" spans="1:42">
      <c r="A489" s="119">
        <f t="shared" ref="A489" si="970">A488+1</f>
        <v>10</v>
      </c>
      <c r="B489" s="218">
        <f t="shared" si="959"/>
        <v>0</v>
      </c>
      <c r="C489" s="246">
        <f t="shared" ref="C489:AP489" si="971">LOOKUP(C477,$B$463:$AP$463,$B$464:$AP$464)*$B724</f>
        <v>0</v>
      </c>
      <c r="D489" s="209">
        <f t="shared" si="971"/>
        <v>0</v>
      </c>
      <c r="E489" s="209">
        <f t="shared" si="971"/>
        <v>0</v>
      </c>
      <c r="F489" s="209">
        <f t="shared" si="971"/>
        <v>0</v>
      </c>
      <c r="G489" s="209">
        <f t="shared" si="971"/>
        <v>0</v>
      </c>
      <c r="H489" s="209">
        <f t="shared" si="971"/>
        <v>0</v>
      </c>
      <c r="I489" s="209">
        <f t="shared" si="971"/>
        <v>0</v>
      </c>
      <c r="J489" s="209">
        <f t="shared" si="971"/>
        <v>0</v>
      </c>
      <c r="K489" s="209">
        <f t="shared" si="971"/>
        <v>0</v>
      </c>
      <c r="L489" s="209">
        <f t="shared" si="971"/>
        <v>0</v>
      </c>
      <c r="M489" s="209">
        <f t="shared" si="971"/>
        <v>0</v>
      </c>
      <c r="N489" s="209">
        <f t="shared" si="971"/>
        <v>0</v>
      </c>
      <c r="O489" s="209">
        <f t="shared" si="971"/>
        <v>0</v>
      </c>
      <c r="P489" s="209">
        <f t="shared" si="971"/>
        <v>0</v>
      </c>
      <c r="Q489" s="209">
        <f t="shared" si="971"/>
        <v>0</v>
      </c>
      <c r="R489" s="209">
        <f t="shared" si="971"/>
        <v>0</v>
      </c>
      <c r="S489" s="209">
        <f t="shared" si="971"/>
        <v>0</v>
      </c>
      <c r="T489" s="209">
        <f t="shared" si="971"/>
        <v>0</v>
      </c>
      <c r="U489" s="209">
        <f t="shared" si="971"/>
        <v>0</v>
      </c>
      <c r="V489" s="209">
        <f t="shared" si="971"/>
        <v>0</v>
      </c>
      <c r="W489" s="209">
        <f t="shared" si="971"/>
        <v>0</v>
      </c>
      <c r="X489" s="209">
        <f t="shared" si="971"/>
        <v>0</v>
      </c>
      <c r="Y489" s="209">
        <f t="shared" si="971"/>
        <v>0</v>
      </c>
      <c r="Z489" s="209">
        <f t="shared" si="971"/>
        <v>0</v>
      </c>
      <c r="AA489" s="209">
        <f t="shared" si="971"/>
        <v>0</v>
      </c>
      <c r="AB489" s="209">
        <f t="shared" si="971"/>
        <v>0</v>
      </c>
      <c r="AC489" s="209">
        <f t="shared" si="971"/>
        <v>0</v>
      </c>
      <c r="AD489" s="209">
        <f t="shared" si="971"/>
        <v>0</v>
      </c>
      <c r="AE489" s="209">
        <f t="shared" si="971"/>
        <v>0</v>
      </c>
      <c r="AF489" s="209">
        <f t="shared" si="971"/>
        <v>0</v>
      </c>
      <c r="AG489" s="209">
        <f t="shared" si="971"/>
        <v>0</v>
      </c>
      <c r="AH489" s="209">
        <f t="shared" si="971"/>
        <v>0</v>
      </c>
      <c r="AI489" s="209">
        <f t="shared" si="971"/>
        <v>0</v>
      </c>
      <c r="AJ489" s="209">
        <f t="shared" si="971"/>
        <v>0</v>
      </c>
      <c r="AK489" s="209">
        <f t="shared" si="971"/>
        <v>0</v>
      </c>
      <c r="AL489" s="209">
        <f t="shared" si="971"/>
        <v>0</v>
      </c>
      <c r="AM489" s="209">
        <f t="shared" si="971"/>
        <v>0</v>
      </c>
      <c r="AN489" s="209">
        <f t="shared" si="971"/>
        <v>0</v>
      </c>
      <c r="AO489" s="209">
        <f t="shared" si="971"/>
        <v>0</v>
      </c>
      <c r="AP489" s="209">
        <f t="shared" si="971"/>
        <v>0</v>
      </c>
    </row>
    <row r="490" spans="1:42" s="119" customFormat="1">
      <c r="A490" s="247" t="s">
        <v>53</v>
      </c>
      <c r="B490" s="146"/>
      <c r="C490" s="146">
        <f>SUM(C480:C489)</f>
        <v>0</v>
      </c>
      <c r="D490" s="146">
        <f t="shared" ref="D490" si="972">SUM(D480:D489)</f>
        <v>0</v>
      </c>
      <c r="E490" s="146">
        <f t="shared" ref="E490" si="973">SUM(E480:E489)</f>
        <v>0</v>
      </c>
      <c r="F490" s="146">
        <f t="shared" ref="F490" si="974">SUM(F480:F489)</f>
        <v>0</v>
      </c>
      <c r="G490" s="146">
        <f t="shared" ref="G490" si="975">SUM(G480:G489)</f>
        <v>0</v>
      </c>
      <c r="H490" s="146">
        <f t="shared" ref="H490" si="976">SUM(H480:H489)</f>
        <v>0</v>
      </c>
      <c r="I490" s="146">
        <f t="shared" ref="I490" si="977">SUM(I480:I489)</f>
        <v>0</v>
      </c>
      <c r="J490" s="146">
        <f t="shared" ref="J490" si="978">SUM(J480:J489)</f>
        <v>0</v>
      </c>
      <c r="K490" s="146">
        <f t="shared" ref="K490" si="979">SUM(K480:K489)</f>
        <v>0</v>
      </c>
      <c r="L490" s="146">
        <f t="shared" ref="L490" si="980">SUM(L480:L489)</f>
        <v>0</v>
      </c>
      <c r="M490" s="146">
        <f t="shared" ref="M490" si="981">SUM(M480:M489)</f>
        <v>0</v>
      </c>
      <c r="N490" s="146">
        <f t="shared" ref="N490" si="982">SUM(N480:N489)</f>
        <v>588974.46870026283</v>
      </c>
      <c r="O490" s="146">
        <f t="shared" ref="O490" si="983">SUM(O480:O489)</f>
        <v>942359.14992042049</v>
      </c>
      <c r="P490" s="146">
        <f t="shared" ref="P490" si="984">SUM(P480:P489)</f>
        <v>565415.48995225236</v>
      </c>
      <c r="Q490" s="146">
        <f t="shared" ref="Q490" si="985">SUM(Q480:Q489)</f>
        <v>339249.29397135135</v>
      </c>
      <c r="R490" s="146">
        <f t="shared" ref="R490" si="986">SUM(R480:R489)</f>
        <v>339249.29397135135</v>
      </c>
      <c r="S490" s="146">
        <f t="shared" ref="S490" si="987">SUM(S480:S489)</f>
        <v>169624.64698567567</v>
      </c>
      <c r="T490" s="146">
        <f t="shared" ref="T490" si="988">SUM(T480:T489)</f>
        <v>0</v>
      </c>
      <c r="U490" s="146">
        <f t="shared" ref="U490" si="989">SUM(U480:U489)</f>
        <v>0</v>
      </c>
      <c r="V490" s="146">
        <f t="shared" ref="V490" si="990">SUM(V480:V489)</f>
        <v>0</v>
      </c>
      <c r="W490" s="146">
        <f t="shared" ref="W490" si="991">SUM(W480:W489)</f>
        <v>0</v>
      </c>
      <c r="X490" s="146">
        <f t="shared" ref="X490" si="992">SUM(X480:X489)</f>
        <v>0</v>
      </c>
      <c r="Y490" s="146">
        <f t="shared" ref="Y490" si="993">SUM(Y480:Y489)</f>
        <v>0</v>
      </c>
      <c r="Z490" s="146">
        <f t="shared" ref="Z490" si="994">SUM(Z480:Z489)</f>
        <v>704188.57730493625</v>
      </c>
      <c r="AA490" s="146">
        <f t="shared" ref="AA490" si="995">SUM(AA480:AA489)</f>
        <v>1126701.7236878979</v>
      </c>
      <c r="AB490" s="146">
        <f t="shared" ref="AB490" si="996">SUM(AB480:AB489)</f>
        <v>676021.03421273874</v>
      </c>
      <c r="AC490" s="146">
        <f t="shared" ref="AC490" si="997">SUM(AC480:AC489)</f>
        <v>405612.62052764324</v>
      </c>
      <c r="AD490" s="146">
        <f t="shared" ref="AD490" si="998">SUM(AD480:AD489)</f>
        <v>405612.62052764324</v>
      </c>
      <c r="AE490" s="146">
        <f t="shared" ref="AE490" si="999">SUM(AE480:AE489)</f>
        <v>202806.31026382162</v>
      </c>
      <c r="AF490" s="146">
        <f t="shared" ref="AF490" si="1000">SUM(AF480:AF489)</f>
        <v>0</v>
      </c>
      <c r="AG490" s="146">
        <f t="shared" ref="AG490" si="1001">SUM(AG480:AG489)</f>
        <v>0</v>
      </c>
      <c r="AH490" s="146">
        <f t="shared" ref="AH490" si="1002">SUM(AH480:AH489)</f>
        <v>0</v>
      </c>
      <c r="AI490" s="146">
        <f t="shared" ref="AI490" si="1003">SUM(AI480:AI489)</f>
        <v>0</v>
      </c>
      <c r="AJ490" s="146">
        <f t="shared" ref="AJ490" si="1004">SUM(AJ480:AJ489)</f>
        <v>0</v>
      </c>
      <c r="AK490" s="146">
        <f t="shared" ref="AK490" si="1005">SUM(AK480:AK489)</f>
        <v>0</v>
      </c>
      <c r="AL490" s="146">
        <f t="shared" ref="AL490" si="1006">SUM(AL480:AL489)</f>
        <v>0</v>
      </c>
      <c r="AM490" s="146">
        <f t="shared" ref="AM490" si="1007">SUM(AM480:AM489)</f>
        <v>0</v>
      </c>
      <c r="AN490" s="146">
        <f t="shared" ref="AN490" si="1008">SUM(AN480:AN489)</f>
        <v>0</v>
      </c>
      <c r="AO490" s="146">
        <f t="shared" ref="AO490" si="1009">SUM(AO480:AO489)</f>
        <v>0</v>
      </c>
      <c r="AP490" s="146">
        <f t="shared" ref="AP490" si="1010">SUM(AP480:AP489)</f>
        <v>0</v>
      </c>
    </row>
    <row r="491" spans="1:42" s="119" customFormat="1">
      <c r="A491" s="247"/>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46"/>
      <c r="AK491" s="146"/>
      <c r="AL491" s="146"/>
      <c r="AM491" s="146"/>
      <c r="AN491" s="146"/>
      <c r="AO491" s="146"/>
      <c r="AP491" s="146"/>
    </row>
    <row r="492" spans="1:42">
      <c r="A492" s="219" t="s">
        <v>386</v>
      </c>
      <c r="C492" s="208"/>
      <c r="D492" s="208"/>
      <c r="E492" s="208"/>
      <c r="F492" s="208"/>
      <c r="G492" s="208"/>
      <c r="H492" s="208"/>
      <c r="I492" s="208"/>
      <c r="J492" s="208"/>
      <c r="K492" s="208"/>
      <c r="L492" s="208"/>
      <c r="M492" s="208"/>
      <c r="N492" s="208"/>
      <c r="O492" s="208"/>
      <c r="P492" s="208"/>
      <c r="Q492" s="208"/>
      <c r="R492" s="208"/>
      <c r="S492" s="208"/>
      <c r="T492" s="208"/>
      <c r="U492" s="208"/>
      <c r="V492" s="208"/>
      <c r="W492" s="208"/>
      <c r="X492" s="208"/>
      <c r="Y492" s="208"/>
      <c r="Z492" s="208"/>
      <c r="AA492" s="208"/>
      <c r="AB492" s="208"/>
      <c r="AC492" s="208"/>
      <c r="AD492" s="208"/>
      <c r="AE492" s="208"/>
      <c r="AF492" s="208"/>
      <c r="AG492" s="208"/>
      <c r="AH492" s="208"/>
      <c r="AI492" s="208"/>
      <c r="AJ492" s="208"/>
      <c r="AK492" s="208"/>
      <c r="AL492" s="208"/>
      <c r="AM492" s="208"/>
      <c r="AN492" s="208"/>
      <c r="AO492" s="208"/>
      <c r="AP492" s="208"/>
    </row>
    <row r="493" spans="1:42">
      <c r="A493" s="226" t="s">
        <v>217</v>
      </c>
      <c r="C493" s="208"/>
      <c r="D493" s="208"/>
      <c r="E493" s="208"/>
      <c r="F493" s="208"/>
      <c r="G493" s="208"/>
      <c r="H493" s="208"/>
      <c r="I493" s="208"/>
      <c r="J493" s="208"/>
      <c r="K493" s="208"/>
      <c r="L493" s="208"/>
      <c r="M493" s="208"/>
      <c r="N493" s="208"/>
      <c r="O493" s="208"/>
      <c r="P493" s="208"/>
      <c r="Q493" s="208"/>
      <c r="R493" s="208"/>
      <c r="S493" s="208"/>
      <c r="T493" s="208"/>
      <c r="U493" s="208"/>
      <c r="V493" s="208"/>
      <c r="W493" s="208"/>
      <c r="X493" s="208"/>
      <c r="Y493" s="208"/>
      <c r="Z493" s="208"/>
      <c r="AA493" s="208"/>
      <c r="AB493" s="208"/>
      <c r="AC493" s="208"/>
      <c r="AD493" s="208"/>
      <c r="AE493" s="208"/>
      <c r="AF493" s="208"/>
      <c r="AG493" s="208"/>
      <c r="AH493" s="208"/>
      <c r="AI493" s="208"/>
      <c r="AJ493" s="208"/>
      <c r="AK493" s="208"/>
      <c r="AL493" s="208"/>
      <c r="AM493" s="208"/>
      <c r="AN493" s="208"/>
      <c r="AO493" s="208"/>
      <c r="AP493" s="208"/>
    </row>
    <row r="494" spans="1:42">
      <c r="A494" s="119">
        <v>1</v>
      </c>
      <c r="C494" s="208">
        <f>C359</f>
        <v>0</v>
      </c>
      <c r="D494" s="208">
        <f t="shared" ref="D494:AP500" si="1011">D359</f>
        <v>0</v>
      </c>
      <c r="E494" s="208">
        <f t="shared" si="1011"/>
        <v>0</v>
      </c>
      <c r="F494" s="208">
        <f t="shared" si="1011"/>
        <v>0</v>
      </c>
      <c r="G494" s="208">
        <f t="shared" si="1011"/>
        <v>0</v>
      </c>
      <c r="H494" s="208">
        <f t="shared" si="1011"/>
        <v>0</v>
      </c>
      <c r="I494" s="208">
        <f t="shared" si="1011"/>
        <v>0</v>
      </c>
      <c r="J494" s="208">
        <f t="shared" si="1011"/>
        <v>0</v>
      </c>
      <c r="K494" s="208">
        <f t="shared" si="1011"/>
        <v>0</v>
      </c>
      <c r="L494" s="208">
        <f t="shared" si="1011"/>
        <v>0</v>
      </c>
      <c r="M494" s="208">
        <f t="shared" si="1011"/>
        <v>0</v>
      </c>
      <c r="N494" s="208">
        <f t="shared" si="1011"/>
        <v>0</v>
      </c>
      <c r="O494" s="208">
        <f t="shared" si="1011"/>
        <v>0</v>
      </c>
      <c r="P494" s="208">
        <f t="shared" si="1011"/>
        <v>0</v>
      </c>
      <c r="Q494" s="208">
        <f t="shared" si="1011"/>
        <v>1</v>
      </c>
      <c r="R494" s="208">
        <f t="shared" si="1011"/>
        <v>2</v>
      </c>
      <c r="S494" s="208">
        <f t="shared" si="1011"/>
        <v>3</v>
      </c>
      <c r="T494" s="208">
        <f t="shared" si="1011"/>
        <v>4</v>
      </c>
      <c r="U494" s="208">
        <f t="shared" si="1011"/>
        <v>5</v>
      </c>
      <c r="V494" s="208">
        <f t="shared" si="1011"/>
        <v>6</v>
      </c>
      <c r="W494" s="208">
        <f t="shared" si="1011"/>
        <v>7</v>
      </c>
      <c r="X494" s="208">
        <f t="shared" si="1011"/>
        <v>8</v>
      </c>
      <c r="Y494" s="208">
        <f t="shared" si="1011"/>
        <v>9</v>
      </c>
      <c r="Z494" s="208">
        <f t="shared" si="1011"/>
        <v>10</v>
      </c>
      <c r="AA494" s="208">
        <f t="shared" si="1011"/>
        <v>11</v>
      </c>
      <c r="AB494" s="208">
        <f t="shared" si="1011"/>
        <v>12</v>
      </c>
      <c r="AC494" s="208">
        <f t="shared" si="1011"/>
        <v>13</v>
      </c>
      <c r="AD494" s="208">
        <f t="shared" si="1011"/>
        <v>14</v>
      </c>
      <c r="AE494" s="208">
        <f t="shared" si="1011"/>
        <v>15</v>
      </c>
      <c r="AF494" s="208">
        <f t="shared" si="1011"/>
        <v>16</v>
      </c>
      <c r="AG494" s="208">
        <f t="shared" si="1011"/>
        <v>0</v>
      </c>
      <c r="AH494" s="208">
        <f t="shared" si="1011"/>
        <v>0</v>
      </c>
      <c r="AI494" s="208">
        <f t="shared" si="1011"/>
        <v>0</v>
      </c>
      <c r="AJ494" s="208">
        <f t="shared" si="1011"/>
        <v>0</v>
      </c>
      <c r="AK494" s="208">
        <f t="shared" si="1011"/>
        <v>0</v>
      </c>
      <c r="AL494" s="208">
        <f t="shared" si="1011"/>
        <v>0</v>
      </c>
      <c r="AM494" s="208">
        <f t="shared" si="1011"/>
        <v>0</v>
      </c>
      <c r="AN494" s="208">
        <f t="shared" si="1011"/>
        <v>0</v>
      </c>
      <c r="AO494" s="208">
        <f t="shared" si="1011"/>
        <v>0</v>
      </c>
      <c r="AP494" s="208">
        <f t="shared" si="1011"/>
        <v>0</v>
      </c>
    </row>
    <row r="495" spans="1:42">
      <c r="A495" s="119">
        <f>A494+1</f>
        <v>2</v>
      </c>
      <c r="C495" s="208">
        <f t="shared" ref="C495:R503" si="1012">C360</f>
        <v>0</v>
      </c>
      <c r="D495" s="208">
        <f t="shared" si="1012"/>
        <v>0</v>
      </c>
      <c r="E495" s="208">
        <f t="shared" si="1012"/>
        <v>0</v>
      </c>
      <c r="F495" s="208">
        <f t="shared" si="1012"/>
        <v>0</v>
      </c>
      <c r="G495" s="208">
        <f t="shared" si="1012"/>
        <v>0</v>
      </c>
      <c r="H495" s="208">
        <f t="shared" si="1012"/>
        <v>0</v>
      </c>
      <c r="I495" s="208">
        <f t="shared" si="1012"/>
        <v>0</v>
      </c>
      <c r="J495" s="208">
        <f t="shared" si="1012"/>
        <v>0</v>
      </c>
      <c r="K495" s="208">
        <f t="shared" si="1012"/>
        <v>0</v>
      </c>
      <c r="L495" s="208">
        <f t="shared" si="1012"/>
        <v>0</v>
      </c>
      <c r="M495" s="208">
        <f t="shared" si="1012"/>
        <v>0</v>
      </c>
      <c r="N495" s="208">
        <f t="shared" si="1012"/>
        <v>0</v>
      </c>
      <c r="O495" s="208">
        <f t="shared" si="1012"/>
        <v>0</v>
      </c>
      <c r="P495" s="208">
        <f t="shared" si="1012"/>
        <v>0</v>
      </c>
      <c r="Q495" s="208">
        <f t="shared" si="1012"/>
        <v>0</v>
      </c>
      <c r="R495" s="208">
        <f t="shared" si="1012"/>
        <v>0</v>
      </c>
      <c r="S495" s="208">
        <f t="shared" si="1011"/>
        <v>0</v>
      </c>
      <c r="T495" s="208">
        <f t="shared" si="1011"/>
        <v>0</v>
      </c>
      <c r="U495" s="208">
        <f t="shared" si="1011"/>
        <v>0</v>
      </c>
      <c r="V495" s="208">
        <f t="shared" si="1011"/>
        <v>0</v>
      </c>
      <c r="W495" s="208">
        <f t="shared" si="1011"/>
        <v>0</v>
      </c>
      <c r="X495" s="208">
        <f t="shared" si="1011"/>
        <v>0</v>
      </c>
      <c r="Y495" s="208">
        <f t="shared" si="1011"/>
        <v>0</v>
      </c>
      <c r="Z495" s="208">
        <f t="shared" si="1011"/>
        <v>0</v>
      </c>
      <c r="AA495" s="208">
        <f t="shared" si="1011"/>
        <v>0</v>
      </c>
      <c r="AB495" s="208">
        <f t="shared" si="1011"/>
        <v>0</v>
      </c>
      <c r="AC495" s="208">
        <f t="shared" si="1011"/>
        <v>0</v>
      </c>
      <c r="AD495" s="208">
        <f t="shared" si="1011"/>
        <v>0</v>
      </c>
      <c r="AE495" s="208">
        <f t="shared" si="1011"/>
        <v>0</v>
      </c>
      <c r="AF495" s="208">
        <f t="shared" si="1011"/>
        <v>1</v>
      </c>
      <c r="AG495" s="208">
        <f t="shared" si="1011"/>
        <v>0</v>
      </c>
      <c r="AH495" s="208">
        <f t="shared" si="1011"/>
        <v>0</v>
      </c>
      <c r="AI495" s="208">
        <f t="shared" si="1011"/>
        <v>0</v>
      </c>
      <c r="AJ495" s="208">
        <f t="shared" si="1011"/>
        <v>0</v>
      </c>
      <c r="AK495" s="208">
        <f t="shared" si="1011"/>
        <v>0</v>
      </c>
      <c r="AL495" s="208">
        <f t="shared" si="1011"/>
        <v>0</v>
      </c>
      <c r="AM495" s="208">
        <f t="shared" si="1011"/>
        <v>0</v>
      </c>
      <c r="AN495" s="208">
        <f t="shared" si="1011"/>
        <v>0</v>
      </c>
      <c r="AO495" s="208">
        <f t="shared" si="1011"/>
        <v>0</v>
      </c>
      <c r="AP495" s="208">
        <f t="shared" si="1011"/>
        <v>0</v>
      </c>
    </row>
    <row r="496" spans="1:42">
      <c r="A496" s="119">
        <f t="shared" ref="A496:A501" si="1013">A495+1</f>
        <v>3</v>
      </c>
      <c r="C496" s="208">
        <f t="shared" si="1012"/>
        <v>0</v>
      </c>
      <c r="D496" s="208">
        <f t="shared" si="1011"/>
        <v>0</v>
      </c>
      <c r="E496" s="208">
        <f t="shared" si="1011"/>
        <v>0</v>
      </c>
      <c r="F496" s="208">
        <f t="shared" si="1011"/>
        <v>0</v>
      </c>
      <c r="G496" s="208">
        <f t="shared" si="1011"/>
        <v>0</v>
      </c>
      <c r="H496" s="208">
        <f t="shared" si="1011"/>
        <v>0</v>
      </c>
      <c r="I496" s="208">
        <f t="shared" si="1011"/>
        <v>0</v>
      </c>
      <c r="J496" s="208">
        <f t="shared" si="1011"/>
        <v>0</v>
      </c>
      <c r="K496" s="208">
        <f t="shared" si="1011"/>
        <v>0</v>
      </c>
      <c r="L496" s="208">
        <f t="shared" si="1011"/>
        <v>0</v>
      </c>
      <c r="M496" s="208">
        <f t="shared" si="1011"/>
        <v>0</v>
      </c>
      <c r="N496" s="208">
        <f t="shared" si="1011"/>
        <v>0</v>
      </c>
      <c r="O496" s="208">
        <f t="shared" si="1011"/>
        <v>0</v>
      </c>
      <c r="P496" s="208">
        <f t="shared" si="1011"/>
        <v>0</v>
      </c>
      <c r="Q496" s="208">
        <f t="shared" si="1011"/>
        <v>0</v>
      </c>
      <c r="R496" s="208">
        <f t="shared" si="1011"/>
        <v>0</v>
      </c>
      <c r="S496" s="208">
        <f t="shared" si="1011"/>
        <v>0</v>
      </c>
      <c r="T496" s="208">
        <f t="shared" si="1011"/>
        <v>0</v>
      </c>
      <c r="U496" s="208">
        <f t="shared" si="1011"/>
        <v>0</v>
      </c>
      <c r="V496" s="208">
        <f t="shared" si="1011"/>
        <v>0</v>
      </c>
      <c r="W496" s="208">
        <f t="shared" si="1011"/>
        <v>0</v>
      </c>
      <c r="X496" s="208">
        <f t="shared" si="1011"/>
        <v>0</v>
      </c>
      <c r="Y496" s="208">
        <f t="shared" si="1011"/>
        <v>0</v>
      </c>
      <c r="Z496" s="208">
        <f t="shared" si="1011"/>
        <v>0</v>
      </c>
      <c r="AA496" s="208">
        <f t="shared" si="1011"/>
        <v>0</v>
      </c>
      <c r="AB496" s="208">
        <f t="shared" si="1011"/>
        <v>0</v>
      </c>
      <c r="AC496" s="208">
        <f t="shared" si="1011"/>
        <v>0</v>
      </c>
      <c r="AD496" s="208">
        <f t="shared" si="1011"/>
        <v>0</v>
      </c>
      <c r="AE496" s="208">
        <f t="shared" si="1011"/>
        <v>0</v>
      </c>
      <c r="AF496" s="208">
        <f t="shared" si="1011"/>
        <v>0</v>
      </c>
      <c r="AG496" s="208">
        <f t="shared" si="1011"/>
        <v>0</v>
      </c>
      <c r="AH496" s="208">
        <f t="shared" si="1011"/>
        <v>0</v>
      </c>
      <c r="AI496" s="208">
        <f t="shared" si="1011"/>
        <v>0</v>
      </c>
      <c r="AJ496" s="208">
        <f t="shared" si="1011"/>
        <v>0</v>
      </c>
      <c r="AK496" s="208">
        <f t="shared" si="1011"/>
        <v>0</v>
      </c>
      <c r="AL496" s="208">
        <f t="shared" si="1011"/>
        <v>0</v>
      </c>
      <c r="AM496" s="208">
        <f t="shared" si="1011"/>
        <v>0</v>
      </c>
      <c r="AN496" s="208">
        <f t="shared" si="1011"/>
        <v>0</v>
      </c>
      <c r="AO496" s="208">
        <f t="shared" si="1011"/>
        <v>0</v>
      </c>
      <c r="AP496" s="208">
        <f t="shared" si="1011"/>
        <v>0</v>
      </c>
    </row>
    <row r="497" spans="1:42">
      <c r="A497" s="119">
        <f t="shared" si="1013"/>
        <v>4</v>
      </c>
      <c r="C497" s="208">
        <f t="shared" si="1012"/>
        <v>0</v>
      </c>
      <c r="D497" s="208">
        <f t="shared" si="1011"/>
        <v>0</v>
      </c>
      <c r="E497" s="208">
        <f t="shared" si="1011"/>
        <v>0</v>
      </c>
      <c r="F497" s="208">
        <f t="shared" si="1011"/>
        <v>0</v>
      </c>
      <c r="G497" s="208">
        <f t="shared" si="1011"/>
        <v>0</v>
      </c>
      <c r="H497" s="208">
        <f t="shared" si="1011"/>
        <v>0</v>
      </c>
      <c r="I497" s="208">
        <f t="shared" si="1011"/>
        <v>0</v>
      </c>
      <c r="J497" s="208">
        <f t="shared" si="1011"/>
        <v>0</v>
      </c>
      <c r="K497" s="208">
        <f t="shared" si="1011"/>
        <v>0</v>
      </c>
      <c r="L497" s="208">
        <f t="shared" si="1011"/>
        <v>0</v>
      </c>
      <c r="M497" s="208">
        <f t="shared" si="1011"/>
        <v>0</v>
      </c>
      <c r="N497" s="208">
        <f t="shared" si="1011"/>
        <v>0</v>
      </c>
      <c r="O497" s="208">
        <f t="shared" si="1011"/>
        <v>0</v>
      </c>
      <c r="P497" s="208">
        <f t="shared" si="1011"/>
        <v>0</v>
      </c>
      <c r="Q497" s="208">
        <f t="shared" si="1011"/>
        <v>0</v>
      </c>
      <c r="R497" s="208">
        <f t="shared" si="1011"/>
        <v>0</v>
      </c>
      <c r="S497" s="208">
        <f t="shared" si="1011"/>
        <v>0</v>
      </c>
      <c r="T497" s="208">
        <f t="shared" si="1011"/>
        <v>0</v>
      </c>
      <c r="U497" s="208">
        <f t="shared" si="1011"/>
        <v>0</v>
      </c>
      <c r="V497" s="208">
        <f t="shared" si="1011"/>
        <v>0</v>
      </c>
      <c r="W497" s="208">
        <f t="shared" si="1011"/>
        <v>0</v>
      </c>
      <c r="X497" s="208">
        <f t="shared" si="1011"/>
        <v>0</v>
      </c>
      <c r="Y497" s="208">
        <f t="shared" si="1011"/>
        <v>0</v>
      </c>
      <c r="Z497" s="208">
        <f t="shared" si="1011"/>
        <v>0</v>
      </c>
      <c r="AA497" s="208">
        <f t="shared" si="1011"/>
        <v>0</v>
      </c>
      <c r="AB497" s="208">
        <f t="shared" si="1011"/>
        <v>0</v>
      </c>
      <c r="AC497" s="208">
        <f t="shared" si="1011"/>
        <v>0</v>
      </c>
      <c r="AD497" s="208">
        <f t="shared" si="1011"/>
        <v>0</v>
      </c>
      <c r="AE497" s="208">
        <f t="shared" si="1011"/>
        <v>0</v>
      </c>
      <c r="AF497" s="208">
        <f t="shared" si="1011"/>
        <v>0</v>
      </c>
      <c r="AG497" s="208">
        <f t="shared" si="1011"/>
        <v>0</v>
      </c>
      <c r="AH497" s="208">
        <f t="shared" si="1011"/>
        <v>0</v>
      </c>
      <c r="AI497" s="208">
        <f t="shared" si="1011"/>
        <v>0</v>
      </c>
      <c r="AJ497" s="208">
        <f t="shared" si="1011"/>
        <v>0</v>
      </c>
      <c r="AK497" s="208">
        <f t="shared" si="1011"/>
        <v>0</v>
      </c>
      <c r="AL497" s="208">
        <f t="shared" si="1011"/>
        <v>0</v>
      </c>
      <c r="AM497" s="208">
        <f t="shared" si="1011"/>
        <v>0</v>
      </c>
      <c r="AN497" s="208">
        <f t="shared" si="1011"/>
        <v>0</v>
      </c>
      <c r="AO497" s="208">
        <f t="shared" si="1011"/>
        <v>0</v>
      </c>
      <c r="AP497" s="208">
        <f t="shared" si="1011"/>
        <v>0</v>
      </c>
    </row>
    <row r="498" spans="1:42">
      <c r="A498" s="119">
        <f t="shared" si="1013"/>
        <v>5</v>
      </c>
      <c r="C498" s="208">
        <f t="shared" si="1012"/>
        <v>0</v>
      </c>
      <c r="D498" s="208">
        <f t="shared" si="1011"/>
        <v>0</v>
      </c>
      <c r="E498" s="208">
        <f t="shared" si="1011"/>
        <v>0</v>
      </c>
      <c r="F498" s="208">
        <f t="shared" si="1011"/>
        <v>0</v>
      </c>
      <c r="G498" s="208">
        <f t="shared" si="1011"/>
        <v>0</v>
      </c>
      <c r="H498" s="208">
        <f t="shared" si="1011"/>
        <v>0</v>
      </c>
      <c r="I498" s="208">
        <f t="shared" si="1011"/>
        <v>0</v>
      </c>
      <c r="J498" s="208">
        <f t="shared" si="1011"/>
        <v>0</v>
      </c>
      <c r="K498" s="208">
        <f t="shared" si="1011"/>
        <v>0</v>
      </c>
      <c r="L498" s="208">
        <f t="shared" si="1011"/>
        <v>0</v>
      </c>
      <c r="M498" s="208">
        <f t="shared" si="1011"/>
        <v>0</v>
      </c>
      <c r="N498" s="208">
        <f t="shared" si="1011"/>
        <v>0</v>
      </c>
      <c r="O498" s="208">
        <f t="shared" si="1011"/>
        <v>0</v>
      </c>
      <c r="P498" s="208">
        <f t="shared" si="1011"/>
        <v>0</v>
      </c>
      <c r="Q498" s="208">
        <f t="shared" si="1011"/>
        <v>0</v>
      </c>
      <c r="R498" s="208">
        <f t="shared" si="1011"/>
        <v>0</v>
      </c>
      <c r="S498" s="208">
        <f t="shared" si="1011"/>
        <v>0</v>
      </c>
      <c r="T498" s="208">
        <f t="shared" si="1011"/>
        <v>0</v>
      </c>
      <c r="U498" s="208">
        <f t="shared" si="1011"/>
        <v>0</v>
      </c>
      <c r="V498" s="208">
        <f t="shared" si="1011"/>
        <v>0</v>
      </c>
      <c r="W498" s="208">
        <f t="shared" si="1011"/>
        <v>0</v>
      </c>
      <c r="X498" s="208">
        <f t="shared" si="1011"/>
        <v>0</v>
      </c>
      <c r="Y498" s="208">
        <f t="shared" si="1011"/>
        <v>0</v>
      </c>
      <c r="Z498" s="208">
        <f t="shared" si="1011"/>
        <v>0</v>
      </c>
      <c r="AA498" s="208">
        <f t="shared" si="1011"/>
        <v>0</v>
      </c>
      <c r="AB498" s="208">
        <f t="shared" si="1011"/>
        <v>0</v>
      </c>
      <c r="AC498" s="208">
        <f t="shared" si="1011"/>
        <v>0</v>
      </c>
      <c r="AD498" s="208">
        <f t="shared" si="1011"/>
        <v>0</v>
      </c>
      <c r="AE498" s="208">
        <f t="shared" si="1011"/>
        <v>0</v>
      </c>
      <c r="AF498" s="208">
        <f t="shared" si="1011"/>
        <v>0</v>
      </c>
      <c r="AG498" s="208">
        <f t="shared" si="1011"/>
        <v>0</v>
      </c>
      <c r="AH498" s="208">
        <f t="shared" si="1011"/>
        <v>0</v>
      </c>
      <c r="AI498" s="208">
        <f t="shared" si="1011"/>
        <v>0</v>
      </c>
      <c r="AJ498" s="208">
        <f t="shared" si="1011"/>
        <v>0</v>
      </c>
      <c r="AK498" s="208">
        <f t="shared" si="1011"/>
        <v>0</v>
      </c>
      <c r="AL498" s="208">
        <f t="shared" si="1011"/>
        <v>0</v>
      </c>
      <c r="AM498" s="208">
        <f t="shared" si="1011"/>
        <v>0</v>
      </c>
      <c r="AN498" s="208">
        <f t="shared" si="1011"/>
        <v>0</v>
      </c>
      <c r="AO498" s="208">
        <f t="shared" si="1011"/>
        <v>0</v>
      </c>
      <c r="AP498" s="208">
        <f t="shared" si="1011"/>
        <v>0</v>
      </c>
    </row>
    <row r="499" spans="1:42">
      <c r="A499" s="119">
        <f t="shared" si="1013"/>
        <v>6</v>
      </c>
      <c r="C499" s="208">
        <f t="shared" si="1012"/>
        <v>0</v>
      </c>
      <c r="D499" s="208">
        <f t="shared" si="1011"/>
        <v>0</v>
      </c>
      <c r="E499" s="208">
        <f t="shared" si="1011"/>
        <v>0</v>
      </c>
      <c r="F499" s="208">
        <f t="shared" si="1011"/>
        <v>0</v>
      </c>
      <c r="G499" s="208">
        <f t="shared" si="1011"/>
        <v>0</v>
      </c>
      <c r="H499" s="208">
        <f t="shared" si="1011"/>
        <v>0</v>
      </c>
      <c r="I499" s="208">
        <f t="shared" si="1011"/>
        <v>0</v>
      </c>
      <c r="J499" s="208">
        <f t="shared" si="1011"/>
        <v>0</v>
      </c>
      <c r="K499" s="208">
        <f t="shared" si="1011"/>
        <v>0</v>
      </c>
      <c r="L499" s="208">
        <f t="shared" si="1011"/>
        <v>0</v>
      </c>
      <c r="M499" s="208">
        <f t="shared" si="1011"/>
        <v>0</v>
      </c>
      <c r="N499" s="208">
        <f t="shared" si="1011"/>
        <v>0</v>
      </c>
      <c r="O499" s="208">
        <f t="shared" si="1011"/>
        <v>0</v>
      </c>
      <c r="P499" s="208">
        <f t="shared" si="1011"/>
        <v>0</v>
      </c>
      <c r="Q499" s="208">
        <f t="shared" si="1011"/>
        <v>0</v>
      </c>
      <c r="R499" s="208">
        <f t="shared" si="1011"/>
        <v>0</v>
      </c>
      <c r="S499" s="208">
        <f t="shared" si="1011"/>
        <v>0</v>
      </c>
      <c r="T499" s="208">
        <f t="shared" si="1011"/>
        <v>0</v>
      </c>
      <c r="U499" s="208">
        <f t="shared" si="1011"/>
        <v>0</v>
      </c>
      <c r="V499" s="208">
        <f t="shared" si="1011"/>
        <v>0</v>
      </c>
      <c r="W499" s="208">
        <f t="shared" si="1011"/>
        <v>0</v>
      </c>
      <c r="X499" s="208">
        <f t="shared" si="1011"/>
        <v>0</v>
      </c>
      <c r="Y499" s="208">
        <f t="shared" si="1011"/>
        <v>0</v>
      </c>
      <c r="Z499" s="208">
        <f t="shared" si="1011"/>
        <v>0</v>
      </c>
      <c r="AA499" s="208">
        <f t="shared" si="1011"/>
        <v>0</v>
      </c>
      <c r="AB499" s="208">
        <f t="shared" si="1011"/>
        <v>0</v>
      </c>
      <c r="AC499" s="208">
        <f t="shared" si="1011"/>
        <v>0</v>
      </c>
      <c r="AD499" s="208">
        <f t="shared" si="1011"/>
        <v>0</v>
      </c>
      <c r="AE499" s="208">
        <f t="shared" si="1011"/>
        <v>0</v>
      </c>
      <c r="AF499" s="208">
        <f t="shared" si="1011"/>
        <v>0</v>
      </c>
      <c r="AG499" s="208">
        <f t="shared" si="1011"/>
        <v>0</v>
      </c>
      <c r="AH499" s="208">
        <f t="shared" si="1011"/>
        <v>0</v>
      </c>
      <c r="AI499" s="208">
        <f t="shared" si="1011"/>
        <v>0</v>
      </c>
      <c r="AJ499" s="208">
        <f t="shared" si="1011"/>
        <v>0</v>
      </c>
      <c r="AK499" s="208">
        <f t="shared" si="1011"/>
        <v>0</v>
      </c>
      <c r="AL499" s="208">
        <f t="shared" si="1011"/>
        <v>0</v>
      </c>
      <c r="AM499" s="208">
        <f t="shared" si="1011"/>
        <v>0</v>
      </c>
      <c r="AN499" s="208">
        <f t="shared" si="1011"/>
        <v>0</v>
      </c>
      <c r="AO499" s="208">
        <f t="shared" si="1011"/>
        <v>0</v>
      </c>
      <c r="AP499" s="208">
        <f t="shared" si="1011"/>
        <v>0</v>
      </c>
    </row>
    <row r="500" spans="1:42">
      <c r="A500" s="119">
        <f t="shared" si="1013"/>
        <v>7</v>
      </c>
      <c r="C500" s="208">
        <f t="shared" si="1012"/>
        <v>0</v>
      </c>
      <c r="D500" s="208">
        <f t="shared" si="1011"/>
        <v>0</v>
      </c>
      <c r="E500" s="208">
        <f t="shared" si="1011"/>
        <v>0</v>
      </c>
      <c r="F500" s="208">
        <f t="shared" si="1011"/>
        <v>0</v>
      </c>
      <c r="G500" s="208">
        <f t="shared" si="1011"/>
        <v>0</v>
      </c>
      <c r="H500" s="208">
        <f t="shared" si="1011"/>
        <v>0</v>
      </c>
      <c r="I500" s="208">
        <f t="shared" si="1011"/>
        <v>0</v>
      </c>
      <c r="J500" s="208">
        <f t="shared" si="1011"/>
        <v>0</v>
      </c>
      <c r="K500" s="208">
        <f t="shared" si="1011"/>
        <v>0</v>
      </c>
      <c r="L500" s="208">
        <f t="shared" si="1011"/>
        <v>0</v>
      </c>
      <c r="M500" s="208">
        <f t="shared" si="1011"/>
        <v>0</v>
      </c>
      <c r="N500" s="208">
        <f t="shared" si="1011"/>
        <v>0</v>
      </c>
      <c r="O500" s="208">
        <f t="shared" si="1011"/>
        <v>0</v>
      </c>
      <c r="P500" s="208">
        <f t="shared" si="1011"/>
        <v>0</v>
      </c>
      <c r="Q500" s="208">
        <f t="shared" si="1011"/>
        <v>0</v>
      </c>
      <c r="R500" s="208">
        <f t="shared" si="1011"/>
        <v>0</v>
      </c>
      <c r="S500" s="208">
        <f t="shared" si="1011"/>
        <v>0</v>
      </c>
      <c r="T500" s="208">
        <f t="shared" si="1011"/>
        <v>0</v>
      </c>
      <c r="U500" s="208">
        <f t="shared" si="1011"/>
        <v>0</v>
      </c>
      <c r="V500" s="208">
        <f t="shared" si="1011"/>
        <v>0</v>
      </c>
      <c r="W500" s="208">
        <f t="shared" si="1011"/>
        <v>0</v>
      </c>
      <c r="X500" s="208">
        <f t="shared" si="1011"/>
        <v>0</v>
      </c>
      <c r="Y500" s="208">
        <f t="shared" si="1011"/>
        <v>0</v>
      </c>
      <c r="Z500" s="208">
        <f t="shared" si="1011"/>
        <v>0</v>
      </c>
      <c r="AA500" s="208">
        <f t="shared" si="1011"/>
        <v>0</v>
      </c>
      <c r="AB500" s="208">
        <f t="shared" si="1011"/>
        <v>0</v>
      </c>
      <c r="AC500" s="208">
        <f t="shared" si="1011"/>
        <v>0</v>
      </c>
      <c r="AD500" s="208">
        <f t="shared" si="1011"/>
        <v>0</v>
      </c>
      <c r="AE500" s="208">
        <f t="shared" si="1011"/>
        <v>0</v>
      </c>
      <c r="AF500" s="208">
        <f t="shared" si="1011"/>
        <v>0</v>
      </c>
      <c r="AG500" s="208">
        <f t="shared" si="1011"/>
        <v>0</v>
      </c>
      <c r="AH500" s="208">
        <f t="shared" si="1011"/>
        <v>0</v>
      </c>
      <c r="AI500" s="208">
        <f t="shared" si="1011"/>
        <v>0</v>
      </c>
      <c r="AJ500" s="208">
        <f t="shared" si="1011"/>
        <v>0</v>
      </c>
      <c r="AK500" s="208">
        <f t="shared" si="1011"/>
        <v>0</v>
      </c>
      <c r="AL500" s="208">
        <f t="shared" si="1011"/>
        <v>0</v>
      </c>
      <c r="AM500" s="208">
        <f t="shared" si="1011"/>
        <v>0</v>
      </c>
      <c r="AN500" s="208">
        <f t="shared" ref="D500:AP503" si="1014">AN365</f>
        <v>0</v>
      </c>
      <c r="AO500" s="208">
        <f t="shared" si="1014"/>
        <v>0</v>
      </c>
      <c r="AP500" s="208">
        <f t="shared" si="1014"/>
        <v>0</v>
      </c>
    </row>
    <row r="501" spans="1:42">
      <c r="A501" s="119">
        <f t="shared" si="1013"/>
        <v>8</v>
      </c>
      <c r="C501" s="208">
        <f t="shared" si="1012"/>
        <v>0</v>
      </c>
      <c r="D501" s="208">
        <f t="shared" si="1014"/>
        <v>0</v>
      </c>
      <c r="E501" s="208">
        <f t="shared" si="1014"/>
        <v>0</v>
      </c>
      <c r="F501" s="208">
        <f t="shared" si="1014"/>
        <v>0</v>
      </c>
      <c r="G501" s="208">
        <f t="shared" si="1014"/>
        <v>0</v>
      </c>
      <c r="H501" s="208">
        <f t="shared" si="1014"/>
        <v>0</v>
      </c>
      <c r="I501" s="208">
        <f t="shared" si="1014"/>
        <v>0</v>
      </c>
      <c r="J501" s="208">
        <f t="shared" si="1014"/>
        <v>0</v>
      </c>
      <c r="K501" s="208">
        <f t="shared" si="1014"/>
        <v>0</v>
      </c>
      <c r="L501" s="208">
        <f t="shared" si="1014"/>
        <v>0</v>
      </c>
      <c r="M501" s="208">
        <f t="shared" si="1014"/>
        <v>0</v>
      </c>
      <c r="N501" s="208">
        <f t="shared" si="1014"/>
        <v>0</v>
      </c>
      <c r="O501" s="208">
        <f t="shared" si="1014"/>
        <v>0</v>
      </c>
      <c r="P501" s="208">
        <f t="shared" si="1014"/>
        <v>0</v>
      </c>
      <c r="Q501" s="208">
        <f t="shared" si="1014"/>
        <v>0</v>
      </c>
      <c r="R501" s="208">
        <f t="shared" si="1014"/>
        <v>0</v>
      </c>
      <c r="S501" s="208">
        <f t="shared" si="1014"/>
        <v>0</v>
      </c>
      <c r="T501" s="208">
        <f t="shared" si="1014"/>
        <v>0</v>
      </c>
      <c r="U501" s="208">
        <f t="shared" si="1014"/>
        <v>0</v>
      </c>
      <c r="V501" s="208">
        <f t="shared" si="1014"/>
        <v>0</v>
      </c>
      <c r="W501" s="208">
        <f t="shared" si="1014"/>
        <v>0</v>
      </c>
      <c r="X501" s="208">
        <f t="shared" si="1014"/>
        <v>0</v>
      </c>
      <c r="Y501" s="208">
        <f t="shared" si="1014"/>
        <v>0</v>
      </c>
      <c r="Z501" s="208">
        <f t="shared" si="1014"/>
        <v>0</v>
      </c>
      <c r="AA501" s="208">
        <f t="shared" si="1014"/>
        <v>0</v>
      </c>
      <c r="AB501" s="208">
        <f t="shared" si="1014"/>
        <v>0</v>
      </c>
      <c r="AC501" s="208">
        <f t="shared" si="1014"/>
        <v>0</v>
      </c>
      <c r="AD501" s="208">
        <f t="shared" si="1014"/>
        <v>0</v>
      </c>
      <c r="AE501" s="208">
        <f t="shared" si="1014"/>
        <v>0</v>
      </c>
      <c r="AF501" s="208">
        <f t="shared" si="1014"/>
        <v>0</v>
      </c>
      <c r="AG501" s="208">
        <f t="shared" si="1014"/>
        <v>0</v>
      </c>
      <c r="AH501" s="208">
        <f t="shared" si="1014"/>
        <v>0</v>
      </c>
      <c r="AI501" s="208">
        <f t="shared" si="1014"/>
        <v>0</v>
      </c>
      <c r="AJ501" s="208">
        <f t="shared" si="1014"/>
        <v>0</v>
      </c>
      <c r="AK501" s="208">
        <f t="shared" si="1014"/>
        <v>0</v>
      </c>
      <c r="AL501" s="208">
        <f t="shared" si="1014"/>
        <v>0</v>
      </c>
      <c r="AM501" s="208">
        <f t="shared" si="1014"/>
        <v>0</v>
      </c>
      <c r="AN501" s="208">
        <f t="shared" si="1014"/>
        <v>0</v>
      </c>
      <c r="AO501" s="208">
        <f t="shared" si="1014"/>
        <v>0</v>
      </c>
      <c r="AP501" s="208">
        <f t="shared" si="1014"/>
        <v>0</v>
      </c>
    </row>
    <row r="502" spans="1:42">
      <c r="A502" s="119">
        <f>A501+1</f>
        <v>9</v>
      </c>
      <c r="C502" s="208">
        <f t="shared" si="1012"/>
        <v>0</v>
      </c>
      <c r="D502" s="208">
        <f t="shared" si="1014"/>
        <v>0</v>
      </c>
      <c r="E502" s="208">
        <f t="shared" si="1014"/>
        <v>0</v>
      </c>
      <c r="F502" s="208">
        <f t="shared" si="1014"/>
        <v>0</v>
      </c>
      <c r="G502" s="208">
        <f t="shared" si="1014"/>
        <v>0</v>
      </c>
      <c r="H502" s="208">
        <f t="shared" si="1014"/>
        <v>0</v>
      </c>
      <c r="I502" s="208">
        <f t="shared" si="1014"/>
        <v>0</v>
      </c>
      <c r="J502" s="208">
        <f t="shared" si="1014"/>
        <v>0</v>
      </c>
      <c r="K502" s="208">
        <f t="shared" si="1014"/>
        <v>0</v>
      </c>
      <c r="L502" s="208">
        <f t="shared" si="1014"/>
        <v>0</v>
      </c>
      <c r="M502" s="208">
        <f t="shared" si="1014"/>
        <v>0</v>
      </c>
      <c r="N502" s="208">
        <f t="shared" si="1014"/>
        <v>0</v>
      </c>
      <c r="O502" s="208">
        <f t="shared" si="1014"/>
        <v>0</v>
      </c>
      <c r="P502" s="208">
        <f t="shared" si="1014"/>
        <v>0</v>
      </c>
      <c r="Q502" s="208">
        <f t="shared" si="1014"/>
        <v>0</v>
      </c>
      <c r="R502" s="208">
        <f t="shared" si="1014"/>
        <v>0</v>
      </c>
      <c r="S502" s="208">
        <f t="shared" si="1014"/>
        <v>0</v>
      </c>
      <c r="T502" s="208">
        <f t="shared" si="1014"/>
        <v>0</v>
      </c>
      <c r="U502" s="208">
        <f t="shared" si="1014"/>
        <v>0</v>
      </c>
      <c r="V502" s="208">
        <f t="shared" si="1014"/>
        <v>0</v>
      </c>
      <c r="W502" s="208">
        <f t="shared" si="1014"/>
        <v>0</v>
      </c>
      <c r="X502" s="208">
        <f t="shared" si="1014"/>
        <v>0</v>
      </c>
      <c r="Y502" s="208">
        <f t="shared" si="1014"/>
        <v>0</v>
      </c>
      <c r="Z502" s="208">
        <f t="shared" si="1014"/>
        <v>0</v>
      </c>
      <c r="AA502" s="208">
        <f t="shared" si="1014"/>
        <v>0</v>
      </c>
      <c r="AB502" s="208">
        <f t="shared" si="1014"/>
        <v>0</v>
      </c>
      <c r="AC502" s="208">
        <f t="shared" si="1014"/>
        <v>0</v>
      </c>
      <c r="AD502" s="208">
        <f t="shared" si="1014"/>
        <v>0</v>
      </c>
      <c r="AE502" s="208">
        <f t="shared" si="1014"/>
        <v>0</v>
      </c>
      <c r="AF502" s="208">
        <f t="shared" si="1014"/>
        <v>0</v>
      </c>
      <c r="AG502" s="208">
        <f t="shared" si="1014"/>
        <v>0</v>
      </c>
      <c r="AH502" s="208">
        <f t="shared" si="1014"/>
        <v>0</v>
      </c>
      <c r="AI502" s="208">
        <f t="shared" si="1014"/>
        <v>0</v>
      </c>
      <c r="AJ502" s="208">
        <f t="shared" si="1014"/>
        <v>0</v>
      </c>
      <c r="AK502" s="208">
        <f t="shared" si="1014"/>
        <v>0</v>
      </c>
      <c r="AL502" s="208">
        <f t="shared" si="1014"/>
        <v>0</v>
      </c>
      <c r="AM502" s="208">
        <f t="shared" si="1014"/>
        <v>0</v>
      </c>
      <c r="AN502" s="208">
        <f t="shared" si="1014"/>
        <v>0</v>
      </c>
      <c r="AO502" s="208">
        <f t="shared" si="1014"/>
        <v>0</v>
      </c>
      <c r="AP502" s="208">
        <f t="shared" si="1014"/>
        <v>0</v>
      </c>
    </row>
    <row r="503" spans="1:42">
      <c r="A503" s="119">
        <f t="shared" ref="A503" si="1015">A502+1</f>
        <v>10</v>
      </c>
      <c r="C503" s="208">
        <f t="shared" si="1012"/>
        <v>0</v>
      </c>
      <c r="D503" s="208">
        <f t="shared" si="1014"/>
        <v>0</v>
      </c>
      <c r="E503" s="208">
        <f t="shared" si="1014"/>
        <v>0</v>
      </c>
      <c r="F503" s="208">
        <f t="shared" si="1014"/>
        <v>0</v>
      </c>
      <c r="G503" s="208">
        <f t="shared" si="1014"/>
        <v>0</v>
      </c>
      <c r="H503" s="208">
        <f t="shared" si="1014"/>
        <v>0</v>
      </c>
      <c r="I503" s="208">
        <f t="shared" si="1014"/>
        <v>0</v>
      </c>
      <c r="J503" s="208">
        <f t="shared" si="1014"/>
        <v>0</v>
      </c>
      <c r="K503" s="208">
        <f t="shared" si="1014"/>
        <v>0</v>
      </c>
      <c r="L503" s="208">
        <f t="shared" si="1014"/>
        <v>0</v>
      </c>
      <c r="M503" s="208">
        <f t="shared" si="1014"/>
        <v>0</v>
      </c>
      <c r="N503" s="208">
        <f t="shared" si="1014"/>
        <v>0</v>
      </c>
      <c r="O503" s="208">
        <f t="shared" si="1014"/>
        <v>0</v>
      </c>
      <c r="P503" s="208">
        <f t="shared" si="1014"/>
        <v>0</v>
      </c>
      <c r="Q503" s="208">
        <f t="shared" si="1014"/>
        <v>0</v>
      </c>
      <c r="R503" s="208">
        <f t="shared" si="1014"/>
        <v>0</v>
      </c>
      <c r="S503" s="208">
        <f t="shared" si="1014"/>
        <v>0</v>
      </c>
      <c r="T503" s="208">
        <f t="shared" si="1014"/>
        <v>0</v>
      </c>
      <c r="U503" s="208">
        <f t="shared" si="1014"/>
        <v>0</v>
      </c>
      <c r="V503" s="208">
        <f t="shared" si="1014"/>
        <v>0</v>
      </c>
      <c r="W503" s="208">
        <f t="shared" si="1014"/>
        <v>0</v>
      </c>
      <c r="X503" s="208">
        <f t="shared" si="1014"/>
        <v>0</v>
      </c>
      <c r="Y503" s="208">
        <f t="shared" si="1014"/>
        <v>0</v>
      </c>
      <c r="Z503" s="208">
        <f t="shared" si="1014"/>
        <v>0</v>
      </c>
      <c r="AA503" s="208">
        <f t="shared" si="1014"/>
        <v>0</v>
      </c>
      <c r="AB503" s="208">
        <f t="shared" si="1014"/>
        <v>0</v>
      </c>
      <c r="AC503" s="208">
        <f t="shared" si="1014"/>
        <v>0</v>
      </c>
      <c r="AD503" s="208">
        <f t="shared" si="1014"/>
        <v>0</v>
      </c>
      <c r="AE503" s="208">
        <f t="shared" si="1014"/>
        <v>0</v>
      </c>
      <c r="AF503" s="208">
        <f t="shared" si="1014"/>
        <v>0</v>
      </c>
      <c r="AG503" s="208">
        <f t="shared" si="1014"/>
        <v>0</v>
      </c>
      <c r="AH503" s="208">
        <f t="shared" si="1014"/>
        <v>0</v>
      </c>
      <c r="AI503" s="208">
        <f t="shared" si="1014"/>
        <v>0</v>
      </c>
      <c r="AJ503" s="208">
        <f t="shared" si="1014"/>
        <v>0</v>
      </c>
      <c r="AK503" s="208">
        <f t="shared" si="1014"/>
        <v>0</v>
      </c>
      <c r="AL503" s="208">
        <f t="shared" si="1014"/>
        <v>0</v>
      </c>
      <c r="AM503" s="208">
        <f t="shared" si="1014"/>
        <v>0</v>
      </c>
      <c r="AN503" s="208">
        <f t="shared" si="1014"/>
        <v>0</v>
      </c>
      <c r="AO503" s="208">
        <f t="shared" si="1014"/>
        <v>0</v>
      </c>
      <c r="AP503" s="208">
        <f t="shared" si="1014"/>
        <v>0</v>
      </c>
    </row>
    <row r="504" spans="1:42">
      <c r="A504" s="226"/>
      <c r="C504" s="208"/>
      <c r="D504" s="208"/>
      <c r="E504" s="208"/>
      <c r="F504" s="208"/>
      <c r="G504" s="208"/>
      <c r="H504" s="208"/>
      <c r="I504" s="208"/>
      <c r="J504" s="208"/>
      <c r="K504" s="208"/>
      <c r="L504" s="208"/>
      <c r="M504" s="208"/>
      <c r="N504" s="208"/>
      <c r="O504" s="208"/>
      <c r="P504" s="208"/>
      <c r="Q504" s="208"/>
      <c r="R504" s="208"/>
      <c r="S504" s="208"/>
      <c r="T504" s="208"/>
      <c r="U504" s="208"/>
      <c r="V504" s="208"/>
      <c r="W504" s="208"/>
      <c r="X504" s="208"/>
      <c r="Y504" s="208"/>
      <c r="Z504" s="208"/>
      <c r="AA504" s="208"/>
      <c r="AB504" s="208"/>
      <c r="AC504" s="208"/>
      <c r="AD504" s="208"/>
      <c r="AE504" s="208"/>
      <c r="AF504" s="208"/>
      <c r="AG504" s="208"/>
      <c r="AH504" s="208"/>
      <c r="AI504" s="208"/>
      <c r="AJ504" s="208"/>
      <c r="AK504" s="208"/>
      <c r="AL504" s="208"/>
      <c r="AM504" s="208"/>
      <c r="AN504" s="208"/>
      <c r="AO504" s="208"/>
      <c r="AP504" s="208"/>
    </row>
    <row r="505" spans="1:42">
      <c r="A505" s="226" t="s">
        <v>221</v>
      </c>
      <c r="C505" s="208"/>
      <c r="D505" s="208"/>
      <c r="E505" s="208"/>
      <c r="F505" s="208"/>
      <c r="G505" s="208"/>
      <c r="H505" s="208"/>
      <c r="I505" s="208"/>
      <c r="J505" s="208"/>
      <c r="K505" s="208"/>
      <c r="L505" s="208"/>
      <c r="M505" s="208"/>
      <c r="N505" s="208"/>
      <c r="O505" s="208"/>
      <c r="P505" s="208"/>
      <c r="Q505" s="208"/>
      <c r="R505" s="208"/>
      <c r="S505" s="208"/>
      <c r="T505" s="208"/>
      <c r="U505" s="208"/>
      <c r="V505" s="208"/>
      <c r="W505" s="208"/>
      <c r="X505" s="208"/>
      <c r="Y505" s="208"/>
      <c r="Z505" s="208"/>
      <c r="AA505" s="208"/>
      <c r="AB505" s="208"/>
      <c r="AC505" s="208"/>
      <c r="AD505" s="208"/>
      <c r="AE505" s="208"/>
      <c r="AF505" s="208"/>
      <c r="AG505" s="208"/>
      <c r="AH505" s="208"/>
      <c r="AI505" s="208"/>
      <c r="AJ505" s="208"/>
      <c r="AK505" s="208"/>
      <c r="AL505" s="208"/>
      <c r="AM505" s="208"/>
      <c r="AN505" s="208"/>
      <c r="AO505" s="208"/>
      <c r="AP505" s="208"/>
    </row>
    <row r="506" spans="1:42">
      <c r="A506" s="119">
        <v>1</v>
      </c>
      <c r="B506" s="218">
        <f t="shared" ref="B506:B515" si="1016">SUM(C506:AP506)</f>
        <v>6158778.6534697898</v>
      </c>
      <c r="C506" s="250">
        <f t="shared" ref="C506:AP506" si="1017">LOOKUP(C494,$B$463:$AP$463,$B$464:$AP$464)*$B747</f>
        <v>0</v>
      </c>
      <c r="D506" s="208">
        <f t="shared" si="1017"/>
        <v>0</v>
      </c>
      <c r="E506" s="208">
        <f t="shared" si="1017"/>
        <v>0</v>
      </c>
      <c r="F506" s="208">
        <f t="shared" si="1017"/>
        <v>0</v>
      </c>
      <c r="G506" s="208">
        <f t="shared" si="1017"/>
        <v>0</v>
      </c>
      <c r="H506" s="208">
        <f t="shared" si="1017"/>
        <v>0</v>
      </c>
      <c r="I506" s="208">
        <f t="shared" si="1017"/>
        <v>0</v>
      </c>
      <c r="J506" s="208">
        <f t="shared" si="1017"/>
        <v>0</v>
      </c>
      <c r="K506" s="208">
        <f t="shared" si="1017"/>
        <v>0</v>
      </c>
      <c r="L506" s="208">
        <f t="shared" si="1017"/>
        <v>0</v>
      </c>
      <c r="M506" s="208">
        <f t="shared" si="1017"/>
        <v>0</v>
      </c>
      <c r="N506" s="208">
        <f t="shared" si="1017"/>
        <v>0</v>
      </c>
      <c r="O506" s="208">
        <f t="shared" si="1017"/>
        <v>0</v>
      </c>
      <c r="P506" s="208">
        <f t="shared" si="1017"/>
        <v>0</v>
      </c>
      <c r="Q506" s="208">
        <f t="shared" si="1017"/>
        <v>1231755.7306939578</v>
      </c>
      <c r="R506" s="208">
        <f t="shared" si="1017"/>
        <v>1970809.1691103324</v>
      </c>
      <c r="S506" s="208">
        <f t="shared" si="1017"/>
        <v>1182485.5014661995</v>
      </c>
      <c r="T506" s="208">
        <f t="shared" si="1017"/>
        <v>709491.30087971967</v>
      </c>
      <c r="U506" s="208">
        <f t="shared" si="1017"/>
        <v>709491.30087971967</v>
      </c>
      <c r="V506" s="208">
        <f t="shared" si="1017"/>
        <v>354745.65043985983</v>
      </c>
      <c r="W506" s="208">
        <f t="shared" si="1017"/>
        <v>0</v>
      </c>
      <c r="X506" s="208">
        <f t="shared" si="1017"/>
        <v>0</v>
      </c>
      <c r="Y506" s="208">
        <f t="shared" si="1017"/>
        <v>0</v>
      </c>
      <c r="Z506" s="208">
        <f t="shared" si="1017"/>
        <v>0</v>
      </c>
      <c r="AA506" s="208">
        <f t="shared" si="1017"/>
        <v>0</v>
      </c>
      <c r="AB506" s="208">
        <f t="shared" si="1017"/>
        <v>0</v>
      </c>
      <c r="AC506" s="208">
        <f t="shared" si="1017"/>
        <v>0</v>
      </c>
      <c r="AD506" s="208">
        <f t="shared" si="1017"/>
        <v>0</v>
      </c>
      <c r="AE506" s="208">
        <f t="shared" si="1017"/>
        <v>0</v>
      </c>
      <c r="AF506" s="208">
        <f t="shared" si="1017"/>
        <v>0</v>
      </c>
      <c r="AG506" s="208">
        <f t="shared" si="1017"/>
        <v>0</v>
      </c>
      <c r="AH506" s="208">
        <f t="shared" si="1017"/>
        <v>0</v>
      </c>
      <c r="AI506" s="208">
        <f t="shared" si="1017"/>
        <v>0</v>
      </c>
      <c r="AJ506" s="208">
        <f t="shared" si="1017"/>
        <v>0</v>
      </c>
      <c r="AK506" s="208">
        <f t="shared" si="1017"/>
        <v>0</v>
      </c>
      <c r="AL506" s="208">
        <f t="shared" si="1017"/>
        <v>0</v>
      </c>
      <c r="AM506" s="208">
        <f t="shared" si="1017"/>
        <v>0</v>
      </c>
      <c r="AN506" s="208">
        <f t="shared" si="1017"/>
        <v>0</v>
      </c>
      <c r="AO506" s="208">
        <f t="shared" si="1017"/>
        <v>0</v>
      </c>
      <c r="AP506" s="208">
        <f t="shared" si="1017"/>
        <v>0</v>
      </c>
    </row>
    <row r="507" spans="1:42">
      <c r="A507" s="119">
        <f>A506+1</f>
        <v>2</v>
      </c>
      <c r="B507" s="218">
        <f t="shared" si="1016"/>
        <v>1539980.512798867</v>
      </c>
      <c r="C507" s="250">
        <f t="shared" ref="C507:AP507" si="1018">LOOKUP(C495,$B$463:$AP$463,$B$464:$AP$464)*$B748</f>
        <v>0</v>
      </c>
      <c r="D507" s="208">
        <f t="shared" si="1018"/>
        <v>0</v>
      </c>
      <c r="E507" s="208">
        <f t="shared" si="1018"/>
        <v>0</v>
      </c>
      <c r="F507" s="208">
        <f t="shared" si="1018"/>
        <v>0</v>
      </c>
      <c r="G507" s="208">
        <f t="shared" si="1018"/>
        <v>0</v>
      </c>
      <c r="H507" s="208">
        <f t="shared" si="1018"/>
        <v>0</v>
      </c>
      <c r="I507" s="208">
        <f t="shared" si="1018"/>
        <v>0</v>
      </c>
      <c r="J507" s="208">
        <f t="shared" si="1018"/>
        <v>0</v>
      </c>
      <c r="K507" s="208">
        <f t="shared" si="1018"/>
        <v>0</v>
      </c>
      <c r="L507" s="208">
        <f t="shared" si="1018"/>
        <v>0</v>
      </c>
      <c r="M507" s="208">
        <f t="shared" si="1018"/>
        <v>0</v>
      </c>
      <c r="N507" s="208">
        <f t="shared" si="1018"/>
        <v>0</v>
      </c>
      <c r="O507" s="208">
        <f t="shared" si="1018"/>
        <v>0</v>
      </c>
      <c r="P507" s="208">
        <f t="shared" si="1018"/>
        <v>0</v>
      </c>
      <c r="Q507" s="208">
        <f t="shared" si="1018"/>
        <v>0</v>
      </c>
      <c r="R507" s="208">
        <f t="shared" si="1018"/>
        <v>0</v>
      </c>
      <c r="S507" s="208">
        <f t="shared" si="1018"/>
        <v>0</v>
      </c>
      <c r="T507" s="208">
        <f t="shared" si="1018"/>
        <v>0</v>
      </c>
      <c r="U507" s="208">
        <f t="shared" si="1018"/>
        <v>0</v>
      </c>
      <c r="V507" s="208">
        <f t="shared" si="1018"/>
        <v>0</v>
      </c>
      <c r="W507" s="208">
        <f t="shared" si="1018"/>
        <v>0</v>
      </c>
      <c r="X507" s="208">
        <f t="shared" si="1018"/>
        <v>0</v>
      </c>
      <c r="Y507" s="208">
        <f t="shared" si="1018"/>
        <v>0</v>
      </c>
      <c r="Z507" s="208">
        <f t="shared" si="1018"/>
        <v>0</v>
      </c>
      <c r="AA507" s="208">
        <f t="shared" si="1018"/>
        <v>0</v>
      </c>
      <c r="AB507" s="208">
        <f t="shared" si="1018"/>
        <v>0</v>
      </c>
      <c r="AC507" s="208">
        <f t="shared" si="1018"/>
        <v>0</v>
      </c>
      <c r="AD507" s="208">
        <f t="shared" si="1018"/>
        <v>0</v>
      </c>
      <c r="AE507" s="208">
        <f t="shared" si="1018"/>
        <v>0</v>
      </c>
      <c r="AF507" s="208">
        <f t="shared" si="1018"/>
        <v>1539980.512798867</v>
      </c>
      <c r="AG507" s="208">
        <f t="shared" si="1018"/>
        <v>0</v>
      </c>
      <c r="AH507" s="208">
        <f t="shared" si="1018"/>
        <v>0</v>
      </c>
      <c r="AI507" s="208">
        <f t="shared" si="1018"/>
        <v>0</v>
      </c>
      <c r="AJ507" s="208">
        <f t="shared" si="1018"/>
        <v>0</v>
      </c>
      <c r="AK507" s="208">
        <f t="shared" si="1018"/>
        <v>0</v>
      </c>
      <c r="AL507" s="208">
        <f t="shared" si="1018"/>
        <v>0</v>
      </c>
      <c r="AM507" s="208">
        <f t="shared" si="1018"/>
        <v>0</v>
      </c>
      <c r="AN507" s="208">
        <f t="shared" si="1018"/>
        <v>0</v>
      </c>
      <c r="AO507" s="208">
        <f t="shared" si="1018"/>
        <v>0</v>
      </c>
      <c r="AP507" s="208">
        <f t="shared" si="1018"/>
        <v>0</v>
      </c>
    </row>
    <row r="508" spans="1:42">
      <c r="A508" s="119">
        <f t="shared" ref="A508:A513" si="1019">A507+1</f>
        <v>3</v>
      </c>
      <c r="B508" s="218">
        <f t="shared" si="1016"/>
        <v>0</v>
      </c>
      <c r="C508" s="250">
        <f t="shared" ref="C508:AP508" si="1020">LOOKUP(C496,$B$463:$AP$463,$B$464:$AP$464)*$B749</f>
        <v>0</v>
      </c>
      <c r="D508" s="208">
        <f t="shared" si="1020"/>
        <v>0</v>
      </c>
      <c r="E508" s="208">
        <f t="shared" si="1020"/>
        <v>0</v>
      </c>
      <c r="F508" s="208">
        <f t="shared" si="1020"/>
        <v>0</v>
      </c>
      <c r="G508" s="208">
        <f t="shared" si="1020"/>
        <v>0</v>
      </c>
      <c r="H508" s="208">
        <f t="shared" si="1020"/>
        <v>0</v>
      </c>
      <c r="I508" s="208">
        <f t="shared" si="1020"/>
        <v>0</v>
      </c>
      <c r="J508" s="208">
        <f t="shared" si="1020"/>
        <v>0</v>
      </c>
      <c r="K508" s="208">
        <f t="shared" si="1020"/>
        <v>0</v>
      </c>
      <c r="L508" s="208">
        <f t="shared" si="1020"/>
        <v>0</v>
      </c>
      <c r="M508" s="208">
        <f t="shared" si="1020"/>
        <v>0</v>
      </c>
      <c r="N508" s="208">
        <f t="shared" si="1020"/>
        <v>0</v>
      </c>
      <c r="O508" s="208">
        <f t="shared" si="1020"/>
        <v>0</v>
      </c>
      <c r="P508" s="208">
        <f t="shared" si="1020"/>
        <v>0</v>
      </c>
      <c r="Q508" s="208">
        <f t="shared" si="1020"/>
        <v>0</v>
      </c>
      <c r="R508" s="208">
        <f t="shared" si="1020"/>
        <v>0</v>
      </c>
      <c r="S508" s="208">
        <f t="shared" si="1020"/>
        <v>0</v>
      </c>
      <c r="T508" s="208">
        <f t="shared" si="1020"/>
        <v>0</v>
      </c>
      <c r="U508" s="208">
        <f t="shared" si="1020"/>
        <v>0</v>
      </c>
      <c r="V508" s="208">
        <f t="shared" si="1020"/>
        <v>0</v>
      </c>
      <c r="W508" s="208">
        <f t="shared" si="1020"/>
        <v>0</v>
      </c>
      <c r="X508" s="208">
        <f t="shared" si="1020"/>
        <v>0</v>
      </c>
      <c r="Y508" s="208">
        <f t="shared" si="1020"/>
        <v>0</v>
      </c>
      <c r="Z508" s="208">
        <f t="shared" si="1020"/>
        <v>0</v>
      </c>
      <c r="AA508" s="208">
        <f t="shared" si="1020"/>
        <v>0</v>
      </c>
      <c r="AB508" s="208">
        <f t="shared" si="1020"/>
        <v>0</v>
      </c>
      <c r="AC508" s="208">
        <f t="shared" si="1020"/>
        <v>0</v>
      </c>
      <c r="AD508" s="208">
        <f t="shared" si="1020"/>
        <v>0</v>
      </c>
      <c r="AE508" s="208">
        <f t="shared" si="1020"/>
        <v>0</v>
      </c>
      <c r="AF508" s="208">
        <f t="shared" si="1020"/>
        <v>0</v>
      </c>
      <c r="AG508" s="208">
        <f t="shared" si="1020"/>
        <v>0</v>
      </c>
      <c r="AH508" s="208">
        <f t="shared" si="1020"/>
        <v>0</v>
      </c>
      <c r="AI508" s="208">
        <f t="shared" si="1020"/>
        <v>0</v>
      </c>
      <c r="AJ508" s="208">
        <f t="shared" si="1020"/>
        <v>0</v>
      </c>
      <c r="AK508" s="208">
        <f t="shared" si="1020"/>
        <v>0</v>
      </c>
      <c r="AL508" s="208">
        <f t="shared" si="1020"/>
        <v>0</v>
      </c>
      <c r="AM508" s="208">
        <f t="shared" si="1020"/>
        <v>0</v>
      </c>
      <c r="AN508" s="208">
        <f t="shared" si="1020"/>
        <v>0</v>
      </c>
      <c r="AO508" s="208">
        <f t="shared" si="1020"/>
        <v>0</v>
      </c>
      <c r="AP508" s="208">
        <f t="shared" si="1020"/>
        <v>0</v>
      </c>
    </row>
    <row r="509" spans="1:42">
      <c r="A509" s="119">
        <f t="shared" si="1019"/>
        <v>4</v>
      </c>
      <c r="B509" s="218">
        <f t="shared" si="1016"/>
        <v>0</v>
      </c>
      <c r="C509" s="250">
        <f t="shared" ref="C509:AP509" si="1021">LOOKUP(C497,$B$463:$AP$463,$B$464:$AP$464)*$B750</f>
        <v>0</v>
      </c>
      <c r="D509" s="208">
        <f t="shared" si="1021"/>
        <v>0</v>
      </c>
      <c r="E509" s="208">
        <f t="shared" si="1021"/>
        <v>0</v>
      </c>
      <c r="F509" s="208">
        <f t="shared" si="1021"/>
        <v>0</v>
      </c>
      <c r="G509" s="208">
        <f t="shared" si="1021"/>
        <v>0</v>
      </c>
      <c r="H509" s="208">
        <f t="shared" si="1021"/>
        <v>0</v>
      </c>
      <c r="I509" s="208">
        <f t="shared" si="1021"/>
        <v>0</v>
      </c>
      <c r="J509" s="208">
        <f t="shared" si="1021"/>
        <v>0</v>
      </c>
      <c r="K509" s="208">
        <f t="shared" si="1021"/>
        <v>0</v>
      </c>
      <c r="L509" s="208">
        <f t="shared" si="1021"/>
        <v>0</v>
      </c>
      <c r="M509" s="208">
        <f t="shared" si="1021"/>
        <v>0</v>
      </c>
      <c r="N509" s="208">
        <f t="shared" si="1021"/>
        <v>0</v>
      </c>
      <c r="O509" s="208">
        <f t="shared" si="1021"/>
        <v>0</v>
      </c>
      <c r="P509" s="208">
        <f t="shared" si="1021"/>
        <v>0</v>
      </c>
      <c r="Q509" s="208">
        <f t="shared" si="1021"/>
        <v>0</v>
      </c>
      <c r="R509" s="208">
        <f t="shared" si="1021"/>
        <v>0</v>
      </c>
      <c r="S509" s="208">
        <f t="shared" si="1021"/>
        <v>0</v>
      </c>
      <c r="T509" s="208">
        <f t="shared" si="1021"/>
        <v>0</v>
      </c>
      <c r="U509" s="208">
        <f t="shared" si="1021"/>
        <v>0</v>
      </c>
      <c r="V509" s="208">
        <f t="shared" si="1021"/>
        <v>0</v>
      </c>
      <c r="W509" s="208">
        <f t="shared" si="1021"/>
        <v>0</v>
      </c>
      <c r="X509" s="208">
        <f t="shared" si="1021"/>
        <v>0</v>
      </c>
      <c r="Y509" s="208">
        <f t="shared" si="1021"/>
        <v>0</v>
      </c>
      <c r="Z509" s="208">
        <f t="shared" si="1021"/>
        <v>0</v>
      </c>
      <c r="AA509" s="208">
        <f t="shared" si="1021"/>
        <v>0</v>
      </c>
      <c r="AB509" s="208">
        <f t="shared" si="1021"/>
        <v>0</v>
      </c>
      <c r="AC509" s="208">
        <f t="shared" si="1021"/>
        <v>0</v>
      </c>
      <c r="AD509" s="208">
        <f t="shared" si="1021"/>
        <v>0</v>
      </c>
      <c r="AE509" s="208">
        <f t="shared" si="1021"/>
        <v>0</v>
      </c>
      <c r="AF509" s="208">
        <f t="shared" si="1021"/>
        <v>0</v>
      </c>
      <c r="AG509" s="208">
        <f t="shared" si="1021"/>
        <v>0</v>
      </c>
      <c r="AH509" s="208">
        <f t="shared" si="1021"/>
        <v>0</v>
      </c>
      <c r="AI509" s="208">
        <f t="shared" si="1021"/>
        <v>0</v>
      </c>
      <c r="AJ509" s="208">
        <f t="shared" si="1021"/>
        <v>0</v>
      </c>
      <c r="AK509" s="208">
        <f t="shared" si="1021"/>
        <v>0</v>
      </c>
      <c r="AL509" s="208">
        <f t="shared" si="1021"/>
        <v>0</v>
      </c>
      <c r="AM509" s="208">
        <f t="shared" si="1021"/>
        <v>0</v>
      </c>
      <c r="AN509" s="208">
        <f t="shared" si="1021"/>
        <v>0</v>
      </c>
      <c r="AO509" s="208">
        <f t="shared" si="1021"/>
        <v>0</v>
      </c>
      <c r="AP509" s="208">
        <f t="shared" si="1021"/>
        <v>0</v>
      </c>
    </row>
    <row r="510" spans="1:42">
      <c r="A510" s="119">
        <f t="shared" si="1019"/>
        <v>5</v>
      </c>
      <c r="B510" s="218">
        <f t="shared" si="1016"/>
        <v>0</v>
      </c>
      <c r="C510" s="250">
        <f t="shared" ref="C510:AP510" si="1022">LOOKUP(C498,$B$463:$AP$463,$B$464:$AP$464)*$B751</f>
        <v>0</v>
      </c>
      <c r="D510" s="208">
        <f t="shared" si="1022"/>
        <v>0</v>
      </c>
      <c r="E510" s="208">
        <f t="shared" si="1022"/>
        <v>0</v>
      </c>
      <c r="F510" s="208">
        <f t="shared" si="1022"/>
        <v>0</v>
      </c>
      <c r="G510" s="208">
        <f t="shared" si="1022"/>
        <v>0</v>
      </c>
      <c r="H510" s="208">
        <f t="shared" si="1022"/>
        <v>0</v>
      </c>
      <c r="I510" s="208">
        <f t="shared" si="1022"/>
        <v>0</v>
      </c>
      <c r="J510" s="208">
        <f t="shared" si="1022"/>
        <v>0</v>
      </c>
      <c r="K510" s="208">
        <f t="shared" si="1022"/>
        <v>0</v>
      </c>
      <c r="L510" s="208">
        <f t="shared" si="1022"/>
        <v>0</v>
      </c>
      <c r="M510" s="208">
        <f t="shared" si="1022"/>
        <v>0</v>
      </c>
      <c r="N510" s="208">
        <f t="shared" si="1022"/>
        <v>0</v>
      </c>
      <c r="O510" s="208">
        <f t="shared" si="1022"/>
        <v>0</v>
      </c>
      <c r="P510" s="208">
        <f t="shared" si="1022"/>
        <v>0</v>
      </c>
      <c r="Q510" s="208">
        <f t="shared" si="1022"/>
        <v>0</v>
      </c>
      <c r="R510" s="208">
        <f t="shared" si="1022"/>
        <v>0</v>
      </c>
      <c r="S510" s="208">
        <f t="shared" si="1022"/>
        <v>0</v>
      </c>
      <c r="T510" s="208">
        <f t="shared" si="1022"/>
        <v>0</v>
      </c>
      <c r="U510" s="208">
        <f t="shared" si="1022"/>
        <v>0</v>
      </c>
      <c r="V510" s="208">
        <f t="shared" si="1022"/>
        <v>0</v>
      </c>
      <c r="W510" s="208">
        <f t="shared" si="1022"/>
        <v>0</v>
      </c>
      <c r="X510" s="208">
        <f t="shared" si="1022"/>
        <v>0</v>
      </c>
      <c r="Y510" s="208">
        <f t="shared" si="1022"/>
        <v>0</v>
      </c>
      <c r="Z510" s="208">
        <f t="shared" si="1022"/>
        <v>0</v>
      </c>
      <c r="AA510" s="208">
        <f t="shared" si="1022"/>
        <v>0</v>
      </c>
      <c r="AB510" s="208">
        <f t="shared" si="1022"/>
        <v>0</v>
      </c>
      <c r="AC510" s="208">
        <f t="shared" si="1022"/>
        <v>0</v>
      </c>
      <c r="AD510" s="208">
        <f t="shared" si="1022"/>
        <v>0</v>
      </c>
      <c r="AE510" s="208">
        <f t="shared" si="1022"/>
        <v>0</v>
      </c>
      <c r="AF510" s="208">
        <f t="shared" si="1022"/>
        <v>0</v>
      </c>
      <c r="AG510" s="208">
        <f t="shared" si="1022"/>
        <v>0</v>
      </c>
      <c r="AH510" s="208">
        <f t="shared" si="1022"/>
        <v>0</v>
      </c>
      <c r="AI510" s="208">
        <f t="shared" si="1022"/>
        <v>0</v>
      </c>
      <c r="AJ510" s="208">
        <f t="shared" si="1022"/>
        <v>0</v>
      </c>
      <c r="AK510" s="208">
        <f t="shared" si="1022"/>
        <v>0</v>
      </c>
      <c r="AL510" s="208">
        <f t="shared" si="1022"/>
        <v>0</v>
      </c>
      <c r="AM510" s="208">
        <f t="shared" si="1022"/>
        <v>0</v>
      </c>
      <c r="AN510" s="208">
        <f t="shared" si="1022"/>
        <v>0</v>
      </c>
      <c r="AO510" s="208">
        <f t="shared" si="1022"/>
        <v>0</v>
      </c>
      <c r="AP510" s="208">
        <f t="shared" si="1022"/>
        <v>0</v>
      </c>
    </row>
    <row r="511" spans="1:42">
      <c r="A511" s="119">
        <f t="shared" si="1019"/>
        <v>6</v>
      </c>
      <c r="B511" s="218">
        <f t="shared" si="1016"/>
        <v>0</v>
      </c>
      <c r="C511" s="250">
        <f t="shared" ref="C511:AP511" si="1023">LOOKUP(C499,$B$463:$AP$463,$B$464:$AP$464)*$B752</f>
        <v>0</v>
      </c>
      <c r="D511" s="208">
        <f t="shared" si="1023"/>
        <v>0</v>
      </c>
      <c r="E511" s="208">
        <f t="shared" si="1023"/>
        <v>0</v>
      </c>
      <c r="F511" s="208">
        <f t="shared" si="1023"/>
        <v>0</v>
      </c>
      <c r="G511" s="208">
        <f t="shared" si="1023"/>
        <v>0</v>
      </c>
      <c r="H511" s="208">
        <f t="shared" si="1023"/>
        <v>0</v>
      </c>
      <c r="I511" s="208">
        <f t="shared" si="1023"/>
        <v>0</v>
      </c>
      <c r="J511" s="208">
        <f t="shared" si="1023"/>
        <v>0</v>
      </c>
      <c r="K511" s="208">
        <f t="shared" si="1023"/>
        <v>0</v>
      </c>
      <c r="L511" s="208">
        <f t="shared" si="1023"/>
        <v>0</v>
      </c>
      <c r="M511" s="208">
        <f t="shared" si="1023"/>
        <v>0</v>
      </c>
      <c r="N511" s="208">
        <f t="shared" si="1023"/>
        <v>0</v>
      </c>
      <c r="O511" s="208">
        <f t="shared" si="1023"/>
        <v>0</v>
      </c>
      <c r="P511" s="208">
        <f t="shared" si="1023"/>
        <v>0</v>
      </c>
      <c r="Q511" s="208">
        <f t="shared" si="1023"/>
        <v>0</v>
      </c>
      <c r="R511" s="208">
        <f t="shared" si="1023"/>
        <v>0</v>
      </c>
      <c r="S511" s="208">
        <f t="shared" si="1023"/>
        <v>0</v>
      </c>
      <c r="T511" s="208">
        <f t="shared" si="1023"/>
        <v>0</v>
      </c>
      <c r="U511" s="208">
        <f t="shared" si="1023"/>
        <v>0</v>
      </c>
      <c r="V511" s="208">
        <f t="shared" si="1023"/>
        <v>0</v>
      </c>
      <c r="W511" s="208">
        <f t="shared" si="1023"/>
        <v>0</v>
      </c>
      <c r="X511" s="208">
        <f t="shared" si="1023"/>
        <v>0</v>
      </c>
      <c r="Y511" s="208">
        <f t="shared" si="1023"/>
        <v>0</v>
      </c>
      <c r="Z511" s="208">
        <f t="shared" si="1023"/>
        <v>0</v>
      </c>
      <c r="AA511" s="208">
        <f t="shared" si="1023"/>
        <v>0</v>
      </c>
      <c r="AB511" s="208">
        <f t="shared" si="1023"/>
        <v>0</v>
      </c>
      <c r="AC511" s="208">
        <f t="shared" si="1023"/>
        <v>0</v>
      </c>
      <c r="AD511" s="208">
        <f t="shared" si="1023"/>
        <v>0</v>
      </c>
      <c r="AE511" s="208">
        <f t="shared" si="1023"/>
        <v>0</v>
      </c>
      <c r="AF511" s="208">
        <f t="shared" si="1023"/>
        <v>0</v>
      </c>
      <c r="AG511" s="208">
        <f t="shared" si="1023"/>
        <v>0</v>
      </c>
      <c r="AH511" s="208">
        <f t="shared" si="1023"/>
        <v>0</v>
      </c>
      <c r="AI511" s="208">
        <f t="shared" si="1023"/>
        <v>0</v>
      </c>
      <c r="AJ511" s="208">
        <f t="shared" si="1023"/>
        <v>0</v>
      </c>
      <c r="AK511" s="208">
        <f t="shared" si="1023"/>
        <v>0</v>
      </c>
      <c r="AL511" s="208">
        <f t="shared" si="1023"/>
        <v>0</v>
      </c>
      <c r="AM511" s="208">
        <f t="shared" si="1023"/>
        <v>0</v>
      </c>
      <c r="AN511" s="208">
        <f t="shared" si="1023"/>
        <v>0</v>
      </c>
      <c r="AO511" s="208">
        <f t="shared" si="1023"/>
        <v>0</v>
      </c>
      <c r="AP511" s="208">
        <f t="shared" si="1023"/>
        <v>0</v>
      </c>
    </row>
    <row r="512" spans="1:42">
      <c r="A512" s="119">
        <f t="shared" si="1019"/>
        <v>7</v>
      </c>
      <c r="B512" s="218">
        <f t="shared" si="1016"/>
        <v>0</v>
      </c>
      <c r="C512" s="250">
        <f t="shared" ref="C512:AP512" si="1024">LOOKUP(C500,$B$463:$AP$463,$B$464:$AP$464)*$B753</f>
        <v>0</v>
      </c>
      <c r="D512" s="208">
        <f t="shared" si="1024"/>
        <v>0</v>
      </c>
      <c r="E512" s="208">
        <f t="shared" si="1024"/>
        <v>0</v>
      </c>
      <c r="F512" s="208">
        <f t="shared" si="1024"/>
        <v>0</v>
      </c>
      <c r="G512" s="208">
        <f t="shared" si="1024"/>
        <v>0</v>
      </c>
      <c r="H512" s="208">
        <f t="shared" si="1024"/>
        <v>0</v>
      </c>
      <c r="I512" s="208">
        <f t="shared" si="1024"/>
        <v>0</v>
      </c>
      <c r="J512" s="208">
        <f t="shared" si="1024"/>
        <v>0</v>
      </c>
      <c r="K512" s="208">
        <f t="shared" si="1024"/>
        <v>0</v>
      </c>
      <c r="L512" s="208">
        <f t="shared" si="1024"/>
        <v>0</v>
      </c>
      <c r="M512" s="208">
        <f t="shared" si="1024"/>
        <v>0</v>
      </c>
      <c r="N512" s="208">
        <f t="shared" si="1024"/>
        <v>0</v>
      </c>
      <c r="O512" s="208">
        <f t="shared" si="1024"/>
        <v>0</v>
      </c>
      <c r="P512" s="208">
        <f t="shared" si="1024"/>
        <v>0</v>
      </c>
      <c r="Q512" s="208">
        <f t="shared" si="1024"/>
        <v>0</v>
      </c>
      <c r="R512" s="208">
        <f t="shared" si="1024"/>
        <v>0</v>
      </c>
      <c r="S512" s="208">
        <f t="shared" si="1024"/>
        <v>0</v>
      </c>
      <c r="T512" s="208">
        <f t="shared" si="1024"/>
        <v>0</v>
      </c>
      <c r="U512" s="208">
        <f t="shared" si="1024"/>
        <v>0</v>
      </c>
      <c r="V512" s="208">
        <f t="shared" si="1024"/>
        <v>0</v>
      </c>
      <c r="W512" s="208">
        <f t="shared" si="1024"/>
        <v>0</v>
      </c>
      <c r="X512" s="208">
        <f t="shared" si="1024"/>
        <v>0</v>
      </c>
      <c r="Y512" s="208">
        <f t="shared" si="1024"/>
        <v>0</v>
      </c>
      <c r="Z512" s="208">
        <f t="shared" si="1024"/>
        <v>0</v>
      </c>
      <c r="AA512" s="208">
        <f t="shared" si="1024"/>
        <v>0</v>
      </c>
      <c r="AB512" s="208">
        <f t="shared" si="1024"/>
        <v>0</v>
      </c>
      <c r="AC512" s="208">
        <f t="shared" si="1024"/>
        <v>0</v>
      </c>
      <c r="AD512" s="208">
        <f t="shared" si="1024"/>
        <v>0</v>
      </c>
      <c r="AE512" s="208">
        <f t="shared" si="1024"/>
        <v>0</v>
      </c>
      <c r="AF512" s="208">
        <f t="shared" si="1024"/>
        <v>0</v>
      </c>
      <c r="AG512" s="208">
        <f t="shared" si="1024"/>
        <v>0</v>
      </c>
      <c r="AH512" s="208">
        <f t="shared" si="1024"/>
        <v>0</v>
      </c>
      <c r="AI512" s="208">
        <f t="shared" si="1024"/>
        <v>0</v>
      </c>
      <c r="AJ512" s="208">
        <f t="shared" si="1024"/>
        <v>0</v>
      </c>
      <c r="AK512" s="208">
        <f t="shared" si="1024"/>
        <v>0</v>
      </c>
      <c r="AL512" s="208">
        <f t="shared" si="1024"/>
        <v>0</v>
      </c>
      <c r="AM512" s="208">
        <f t="shared" si="1024"/>
        <v>0</v>
      </c>
      <c r="AN512" s="208">
        <f t="shared" si="1024"/>
        <v>0</v>
      </c>
      <c r="AO512" s="208">
        <f t="shared" si="1024"/>
        <v>0</v>
      </c>
      <c r="AP512" s="208">
        <f t="shared" si="1024"/>
        <v>0</v>
      </c>
    </row>
    <row r="513" spans="1:42">
      <c r="A513" s="119">
        <f t="shared" si="1019"/>
        <v>8</v>
      </c>
      <c r="B513" s="218">
        <f t="shared" si="1016"/>
        <v>0</v>
      </c>
      <c r="C513" s="250">
        <f t="shared" ref="C513:AP513" si="1025">LOOKUP(C501,$B$463:$AP$463,$B$464:$AP$464)*$B754</f>
        <v>0</v>
      </c>
      <c r="D513" s="208">
        <f t="shared" si="1025"/>
        <v>0</v>
      </c>
      <c r="E513" s="208">
        <f t="shared" si="1025"/>
        <v>0</v>
      </c>
      <c r="F513" s="208">
        <f t="shared" si="1025"/>
        <v>0</v>
      </c>
      <c r="G513" s="208">
        <f t="shared" si="1025"/>
        <v>0</v>
      </c>
      <c r="H513" s="208">
        <f t="shared" si="1025"/>
        <v>0</v>
      </c>
      <c r="I513" s="208">
        <f t="shared" si="1025"/>
        <v>0</v>
      </c>
      <c r="J513" s="208">
        <f t="shared" si="1025"/>
        <v>0</v>
      </c>
      <c r="K513" s="208">
        <f t="shared" si="1025"/>
        <v>0</v>
      </c>
      <c r="L513" s="208">
        <f t="shared" si="1025"/>
        <v>0</v>
      </c>
      <c r="M513" s="208">
        <f t="shared" si="1025"/>
        <v>0</v>
      </c>
      <c r="N513" s="208">
        <f t="shared" si="1025"/>
        <v>0</v>
      </c>
      <c r="O513" s="208">
        <f t="shared" si="1025"/>
        <v>0</v>
      </c>
      <c r="P513" s="208">
        <f t="shared" si="1025"/>
        <v>0</v>
      </c>
      <c r="Q513" s="208">
        <f t="shared" si="1025"/>
        <v>0</v>
      </c>
      <c r="R513" s="208">
        <f t="shared" si="1025"/>
        <v>0</v>
      </c>
      <c r="S513" s="208">
        <f t="shared" si="1025"/>
        <v>0</v>
      </c>
      <c r="T513" s="208">
        <f t="shared" si="1025"/>
        <v>0</v>
      </c>
      <c r="U513" s="208">
        <f t="shared" si="1025"/>
        <v>0</v>
      </c>
      <c r="V513" s="208">
        <f t="shared" si="1025"/>
        <v>0</v>
      </c>
      <c r="W513" s="208">
        <f t="shared" si="1025"/>
        <v>0</v>
      </c>
      <c r="X513" s="208">
        <f t="shared" si="1025"/>
        <v>0</v>
      </c>
      <c r="Y513" s="208">
        <f t="shared" si="1025"/>
        <v>0</v>
      </c>
      <c r="Z513" s="208">
        <f t="shared" si="1025"/>
        <v>0</v>
      </c>
      <c r="AA513" s="208">
        <f t="shared" si="1025"/>
        <v>0</v>
      </c>
      <c r="AB513" s="208">
        <f t="shared" si="1025"/>
        <v>0</v>
      </c>
      <c r="AC513" s="208">
        <f t="shared" si="1025"/>
        <v>0</v>
      </c>
      <c r="AD513" s="208">
        <f t="shared" si="1025"/>
        <v>0</v>
      </c>
      <c r="AE513" s="208">
        <f t="shared" si="1025"/>
        <v>0</v>
      </c>
      <c r="AF513" s="208">
        <f t="shared" si="1025"/>
        <v>0</v>
      </c>
      <c r="AG513" s="208">
        <f t="shared" si="1025"/>
        <v>0</v>
      </c>
      <c r="AH513" s="208">
        <f t="shared" si="1025"/>
        <v>0</v>
      </c>
      <c r="AI513" s="208">
        <f t="shared" si="1025"/>
        <v>0</v>
      </c>
      <c r="AJ513" s="208">
        <f t="shared" si="1025"/>
        <v>0</v>
      </c>
      <c r="AK513" s="208">
        <f t="shared" si="1025"/>
        <v>0</v>
      </c>
      <c r="AL513" s="208">
        <f t="shared" si="1025"/>
        <v>0</v>
      </c>
      <c r="AM513" s="208">
        <f t="shared" si="1025"/>
        <v>0</v>
      </c>
      <c r="AN513" s="208">
        <f t="shared" si="1025"/>
        <v>0</v>
      </c>
      <c r="AO513" s="208">
        <f t="shared" si="1025"/>
        <v>0</v>
      </c>
      <c r="AP513" s="208">
        <f t="shared" si="1025"/>
        <v>0</v>
      </c>
    </row>
    <row r="514" spans="1:42">
      <c r="A514" s="119">
        <f>A513+1</f>
        <v>9</v>
      </c>
      <c r="B514" s="218">
        <f t="shared" si="1016"/>
        <v>0</v>
      </c>
      <c r="C514" s="250">
        <f t="shared" ref="C514:AP514" si="1026">LOOKUP(C502,$B$463:$AP$463,$B$464:$AP$464)*$B755</f>
        <v>0</v>
      </c>
      <c r="D514" s="208">
        <f t="shared" si="1026"/>
        <v>0</v>
      </c>
      <c r="E514" s="208">
        <f t="shared" si="1026"/>
        <v>0</v>
      </c>
      <c r="F514" s="208">
        <f t="shared" si="1026"/>
        <v>0</v>
      </c>
      <c r="G514" s="208">
        <f t="shared" si="1026"/>
        <v>0</v>
      </c>
      <c r="H514" s="208">
        <f t="shared" si="1026"/>
        <v>0</v>
      </c>
      <c r="I514" s="208">
        <f t="shared" si="1026"/>
        <v>0</v>
      </c>
      <c r="J514" s="208">
        <f t="shared" si="1026"/>
        <v>0</v>
      </c>
      <c r="K514" s="208">
        <f t="shared" si="1026"/>
        <v>0</v>
      </c>
      <c r="L514" s="208">
        <f t="shared" si="1026"/>
        <v>0</v>
      </c>
      <c r="M514" s="208">
        <f t="shared" si="1026"/>
        <v>0</v>
      </c>
      <c r="N514" s="208">
        <f t="shared" si="1026"/>
        <v>0</v>
      </c>
      <c r="O514" s="208">
        <f t="shared" si="1026"/>
        <v>0</v>
      </c>
      <c r="P514" s="208">
        <f t="shared" si="1026"/>
        <v>0</v>
      </c>
      <c r="Q514" s="208">
        <f t="shared" si="1026"/>
        <v>0</v>
      </c>
      <c r="R514" s="208">
        <f t="shared" si="1026"/>
        <v>0</v>
      </c>
      <c r="S514" s="208">
        <f t="shared" si="1026"/>
        <v>0</v>
      </c>
      <c r="T514" s="208">
        <f t="shared" si="1026"/>
        <v>0</v>
      </c>
      <c r="U514" s="208">
        <f t="shared" si="1026"/>
        <v>0</v>
      </c>
      <c r="V514" s="208">
        <f t="shared" si="1026"/>
        <v>0</v>
      </c>
      <c r="W514" s="208">
        <f t="shared" si="1026"/>
        <v>0</v>
      </c>
      <c r="X514" s="208">
        <f t="shared" si="1026"/>
        <v>0</v>
      </c>
      <c r="Y514" s="208">
        <f t="shared" si="1026"/>
        <v>0</v>
      </c>
      <c r="Z514" s="208">
        <f t="shared" si="1026"/>
        <v>0</v>
      </c>
      <c r="AA514" s="208">
        <f t="shared" si="1026"/>
        <v>0</v>
      </c>
      <c r="AB514" s="208">
        <f t="shared" si="1026"/>
        <v>0</v>
      </c>
      <c r="AC514" s="208">
        <f t="shared" si="1026"/>
        <v>0</v>
      </c>
      <c r="AD514" s="208">
        <f t="shared" si="1026"/>
        <v>0</v>
      </c>
      <c r="AE514" s="208">
        <f t="shared" si="1026"/>
        <v>0</v>
      </c>
      <c r="AF514" s="208">
        <f t="shared" si="1026"/>
        <v>0</v>
      </c>
      <c r="AG514" s="208">
        <f t="shared" si="1026"/>
        <v>0</v>
      </c>
      <c r="AH514" s="208">
        <f t="shared" si="1026"/>
        <v>0</v>
      </c>
      <c r="AI514" s="208">
        <f t="shared" si="1026"/>
        <v>0</v>
      </c>
      <c r="AJ514" s="208">
        <f t="shared" si="1026"/>
        <v>0</v>
      </c>
      <c r="AK514" s="208">
        <f t="shared" si="1026"/>
        <v>0</v>
      </c>
      <c r="AL514" s="208">
        <f t="shared" si="1026"/>
        <v>0</v>
      </c>
      <c r="AM514" s="208">
        <f t="shared" si="1026"/>
        <v>0</v>
      </c>
      <c r="AN514" s="208">
        <f t="shared" si="1026"/>
        <v>0</v>
      </c>
      <c r="AO514" s="208">
        <f t="shared" si="1026"/>
        <v>0</v>
      </c>
      <c r="AP514" s="208">
        <f t="shared" si="1026"/>
        <v>0</v>
      </c>
    </row>
    <row r="515" spans="1:42">
      <c r="A515" s="119">
        <f t="shared" ref="A515" si="1027">A514+1</f>
        <v>10</v>
      </c>
      <c r="B515" s="218">
        <f t="shared" si="1016"/>
        <v>0</v>
      </c>
      <c r="C515" s="246">
        <f t="shared" ref="C515:AP515" si="1028">LOOKUP(C503,$B$463:$AP$463,$B$464:$AP$464)*$B756</f>
        <v>0</v>
      </c>
      <c r="D515" s="209">
        <f t="shared" si="1028"/>
        <v>0</v>
      </c>
      <c r="E515" s="209">
        <f t="shared" si="1028"/>
        <v>0</v>
      </c>
      <c r="F515" s="209">
        <f t="shared" si="1028"/>
        <v>0</v>
      </c>
      <c r="G515" s="209">
        <f t="shared" si="1028"/>
        <v>0</v>
      </c>
      <c r="H515" s="209">
        <f t="shared" si="1028"/>
        <v>0</v>
      </c>
      <c r="I515" s="209">
        <f t="shared" si="1028"/>
        <v>0</v>
      </c>
      <c r="J515" s="209">
        <f t="shared" si="1028"/>
        <v>0</v>
      </c>
      <c r="K515" s="209">
        <f t="shared" si="1028"/>
        <v>0</v>
      </c>
      <c r="L515" s="209">
        <f t="shared" si="1028"/>
        <v>0</v>
      </c>
      <c r="M515" s="209">
        <f t="shared" si="1028"/>
        <v>0</v>
      </c>
      <c r="N515" s="209">
        <f t="shared" si="1028"/>
        <v>0</v>
      </c>
      <c r="O515" s="209">
        <f t="shared" si="1028"/>
        <v>0</v>
      </c>
      <c r="P515" s="209">
        <f t="shared" si="1028"/>
        <v>0</v>
      </c>
      <c r="Q515" s="209">
        <f t="shared" si="1028"/>
        <v>0</v>
      </c>
      <c r="R515" s="209">
        <f t="shared" si="1028"/>
        <v>0</v>
      </c>
      <c r="S515" s="209">
        <f t="shared" si="1028"/>
        <v>0</v>
      </c>
      <c r="T515" s="209">
        <f t="shared" si="1028"/>
        <v>0</v>
      </c>
      <c r="U515" s="209">
        <f t="shared" si="1028"/>
        <v>0</v>
      </c>
      <c r="V515" s="209">
        <f t="shared" si="1028"/>
        <v>0</v>
      </c>
      <c r="W515" s="209">
        <f t="shared" si="1028"/>
        <v>0</v>
      </c>
      <c r="X515" s="209">
        <f t="shared" si="1028"/>
        <v>0</v>
      </c>
      <c r="Y515" s="209">
        <f t="shared" si="1028"/>
        <v>0</v>
      </c>
      <c r="Z515" s="209">
        <f t="shared" si="1028"/>
        <v>0</v>
      </c>
      <c r="AA515" s="209">
        <f t="shared" si="1028"/>
        <v>0</v>
      </c>
      <c r="AB515" s="209">
        <f t="shared" si="1028"/>
        <v>0</v>
      </c>
      <c r="AC515" s="209">
        <f t="shared" si="1028"/>
        <v>0</v>
      </c>
      <c r="AD515" s="209">
        <f t="shared" si="1028"/>
        <v>0</v>
      </c>
      <c r="AE515" s="209">
        <f t="shared" si="1028"/>
        <v>0</v>
      </c>
      <c r="AF515" s="209">
        <f t="shared" si="1028"/>
        <v>0</v>
      </c>
      <c r="AG515" s="209">
        <f t="shared" si="1028"/>
        <v>0</v>
      </c>
      <c r="AH515" s="209">
        <f t="shared" si="1028"/>
        <v>0</v>
      </c>
      <c r="AI515" s="209">
        <f t="shared" si="1028"/>
        <v>0</v>
      </c>
      <c r="AJ515" s="209">
        <f t="shared" si="1028"/>
        <v>0</v>
      </c>
      <c r="AK515" s="209">
        <f t="shared" si="1028"/>
        <v>0</v>
      </c>
      <c r="AL515" s="209">
        <f t="shared" si="1028"/>
        <v>0</v>
      </c>
      <c r="AM515" s="209">
        <f t="shared" si="1028"/>
        <v>0</v>
      </c>
      <c r="AN515" s="209">
        <f t="shared" si="1028"/>
        <v>0</v>
      </c>
      <c r="AO515" s="209">
        <f t="shared" si="1028"/>
        <v>0</v>
      </c>
      <c r="AP515" s="209">
        <f t="shared" si="1028"/>
        <v>0</v>
      </c>
    </row>
    <row r="516" spans="1:42" s="119" customFormat="1">
      <c r="A516" s="247" t="s">
        <v>53</v>
      </c>
      <c r="B516" s="146"/>
      <c r="C516" s="146">
        <f>SUM(C506:C515)</f>
        <v>0</v>
      </c>
      <c r="D516" s="146">
        <f t="shared" ref="D516:AP516" si="1029">SUM(D506:D515)</f>
        <v>0</v>
      </c>
      <c r="E516" s="146">
        <f t="shared" si="1029"/>
        <v>0</v>
      </c>
      <c r="F516" s="146">
        <f t="shared" si="1029"/>
        <v>0</v>
      </c>
      <c r="G516" s="146">
        <f t="shared" si="1029"/>
        <v>0</v>
      </c>
      <c r="H516" s="146">
        <f t="shared" si="1029"/>
        <v>0</v>
      </c>
      <c r="I516" s="146">
        <f t="shared" si="1029"/>
        <v>0</v>
      </c>
      <c r="J516" s="146">
        <f t="shared" si="1029"/>
        <v>0</v>
      </c>
      <c r="K516" s="146">
        <f t="shared" si="1029"/>
        <v>0</v>
      </c>
      <c r="L516" s="146">
        <f t="shared" si="1029"/>
        <v>0</v>
      </c>
      <c r="M516" s="146">
        <f t="shared" si="1029"/>
        <v>0</v>
      </c>
      <c r="N516" s="146">
        <f t="shared" si="1029"/>
        <v>0</v>
      </c>
      <c r="O516" s="146">
        <f t="shared" si="1029"/>
        <v>0</v>
      </c>
      <c r="P516" s="146">
        <f t="shared" si="1029"/>
        <v>0</v>
      </c>
      <c r="Q516" s="146">
        <f t="shared" si="1029"/>
        <v>1231755.7306939578</v>
      </c>
      <c r="R516" s="146">
        <f t="shared" si="1029"/>
        <v>1970809.1691103324</v>
      </c>
      <c r="S516" s="146">
        <f t="shared" si="1029"/>
        <v>1182485.5014661995</v>
      </c>
      <c r="T516" s="146">
        <f t="shared" si="1029"/>
        <v>709491.30087971967</v>
      </c>
      <c r="U516" s="146">
        <f t="shared" si="1029"/>
        <v>709491.30087971967</v>
      </c>
      <c r="V516" s="146">
        <f t="shared" si="1029"/>
        <v>354745.65043985983</v>
      </c>
      <c r="W516" s="146">
        <f t="shared" si="1029"/>
        <v>0</v>
      </c>
      <c r="X516" s="146">
        <f t="shared" si="1029"/>
        <v>0</v>
      </c>
      <c r="Y516" s="146">
        <f t="shared" si="1029"/>
        <v>0</v>
      </c>
      <c r="Z516" s="146">
        <f t="shared" si="1029"/>
        <v>0</v>
      </c>
      <c r="AA516" s="146">
        <f t="shared" si="1029"/>
        <v>0</v>
      </c>
      <c r="AB516" s="146">
        <f t="shared" si="1029"/>
        <v>0</v>
      </c>
      <c r="AC516" s="146">
        <f t="shared" si="1029"/>
        <v>0</v>
      </c>
      <c r="AD516" s="146">
        <f t="shared" si="1029"/>
        <v>0</v>
      </c>
      <c r="AE516" s="146">
        <f t="shared" si="1029"/>
        <v>0</v>
      </c>
      <c r="AF516" s="146">
        <f t="shared" si="1029"/>
        <v>1539980.512798867</v>
      </c>
      <c r="AG516" s="146">
        <f t="shared" si="1029"/>
        <v>0</v>
      </c>
      <c r="AH516" s="146">
        <f t="shared" si="1029"/>
        <v>0</v>
      </c>
      <c r="AI516" s="146">
        <f t="shared" si="1029"/>
        <v>0</v>
      </c>
      <c r="AJ516" s="146">
        <f t="shared" si="1029"/>
        <v>0</v>
      </c>
      <c r="AK516" s="146">
        <f t="shared" si="1029"/>
        <v>0</v>
      </c>
      <c r="AL516" s="146">
        <f t="shared" si="1029"/>
        <v>0</v>
      </c>
      <c r="AM516" s="146">
        <f t="shared" si="1029"/>
        <v>0</v>
      </c>
      <c r="AN516" s="146">
        <f t="shared" si="1029"/>
        <v>0</v>
      </c>
      <c r="AO516" s="146">
        <f t="shared" si="1029"/>
        <v>0</v>
      </c>
      <c r="AP516" s="146">
        <f t="shared" si="1029"/>
        <v>0</v>
      </c>
    </row>
    <row r="517" spans="1:42" s="119" customFormat="1">
      <c r="A517" s="247"/>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146"/>
      <c r="AE517" s="146"/>
      <c r="AF517" s="146"/>
      <c r="AG517" s="146"/>
      <c r="AH517" s="146"/>
      <c r="AI517" s="146"/>
      <c r="AJ517" s="146"/>
      <c r="AK517" s="146"/>
      <c r="AL517" s="146"/>
      <c r="AM517" s="146"/>
      <c r="AN517" s="146"/>
      <c r="AO517" s="146"/>
      <c r="AP517" s="146"/>
    </row>
    <row r="518" spans="1:42">
      <c r="A518" s="219" t="s">
        <v>387</v>
      </c>
      <c r="C518" s="208"/>
      <c r="D518" s="208"/>
      <c r="E518" s="208"/>
      <c r="F518" s="208"/>
      <c r="G518" s="208"/>
      <c r="H518" s="208"/>
      <c r="I518" s="208"/>
      <c r="J518" s="208"/>
      <c r="K518" s="208"/>
      <c r="L518" s="208"/>
      <c r="M518" s="208"/>
      <c r="N518" s="208"/>
      <c r="O518" s="208"/>
      <c r="P518" s="208"/>
      <c r="Q518" s="208"/>
      <c r="R518" s="208"/>
      <c r="S518" s="208"/>
      <c r="T518" s="208"/>
      <c r="U518" s="208"/>
      <c r="V518" s="208"/>
      <c r="W518" s="208"/>
      <c r="X518" s="208"/>
      <c r="Y518" s="208"/>
      <c r="Z518" s="208"/>
      <c r="AA518" s="208"/>
      <c r="AB518" s="208"/>
      <c r="AC518" s="208"/>
      <c r="AD518" s="208"/>
      <c r="AE518" s="208"/>
      <c r="AF518" s="208"/>
      <c r="AG518" s="208"/>
      <c r="AH518" s="208"/>
      <c r="AI518" s="208"/>
      <c r="AJ518" s="208"/>
      <c r="AK518" s="208"/>
      <c r="AL518" s="208"/>
      <c r="AM518" s="208"/>
      <c r="AN518" s="208"/>
      <c r="AO518" s="208"/>
      <c r="AP518" s="208"/>
    </row>
    <row r="519" spans="1:42">
      <c r="A519" s="226" t="s">
        <v>217</v>
      </c>
      <c r="C519" s="208"/>
      <c r="D519" s="208"/>
      <c r="E519" s="208"/>
      <c r="F519" s="208"/>
      <c r="G519" s="208"/>
      <c r="H519" s="208"/>
      <c r="I519" s="208"/>
      <c r="J519" s="208"/>
      <c r="K519" s="208"/>
      <c r="L519" s="208"/>
      <c r="M519" s="208"/>
      <c r="N519" s="208"/>
      <c r="O519" s="208"/>
      <c r="P519" s="208"/>
      <c r="Q519" s="208"/>
      <c r="R519" s="208"/>
      <c r="S519" s="208"/>
      <c r="T519" s="208"/>
      <c r="U519" s="208"/>
      <c r="V519" s="208"/>
      <c r="W519" s="208"/>
      <c r="X519" s="208"/>
      <c r="Y519" s="208"/>
      <c r="Z519" s="208"/>
      <c r="AA519" s="208"/>
      <c r="AB519" s="208"/>
      <c r="AC519" s="208"/>
      <c r="AD519" s="208"/>
      <c r="AE519" s="208"/>
      <c r="AF519" s="208"/>
      <c r="AG519" s="208"/>
      <c r="AH519" s="208"/>
      <c r="AI519" s="208"/>
      <c r="AJ519" s="208"/>
      <c r="AK519" s="208"/>
      <c r="AL519" s="208"/>
      <c r="AM519" s="208"/>
      <c r="AN519" s="208"/>
      <c r="AO519" s="208"/>
      <c r="AP519" s="208"/>
    </row>
    <row r="520" spans="1:42">
      <c r="A520" s="37">
        <v>1</v>
      </c>
      <c r="C520" s="208">
        <f>C385</f>
        <v>0</v>
      </c>
      <c r="D520" s="208">
        <f t="shared" ref="D520:AP526" si="1030">D385</f>
        <v>0</v>
      </c>
      <c r="E520" s="208">
        <f t="shared" si="1030"/>
        <v>1</v>
      </c>
      <c r="F520" s="208">
        <f t="shared" si="1030"/>
        <v>2</v>
      </c>
      <c r="G520" s="208">
        <f t="shared" si="1030"/>
        <v>3</v>
      </c>
      <c r="H520" s="208">
        <f t="shared" si="1030"/>
        <v>4</v>
      </c>
      <c r="I520" s="208">
        <f t="shared" si="1030"/>
        <v>5</v>
      </c>
      <c r="J520" s="208">
        <f t="shared" si="1030"/>
        <v>6</v>
      </c>
      <c r="K520" s="208">
        <f t="shared" si="1030"/>
        <v>7</v>
      </c>
      <c r="L520" s="208">
        <f t="shared" si="1030"/>
        <v>8</v>
      </c>
      <c r="M520" s="208">
        <f t="shared" si="1030"/>
        <v>9</v>
      </c>
      <c r="N520" s="208">
        <f t="shared" si="1030"/>
        <v>10</v>
      </c>
      <c r="O520" s="208">
        <f t="shared" si="1030"/>
        <v>11</v>
      </c>
      <c r="P520" s="208">
        <f t="shared" si="1030"/>
        <v>12</v>
      </c>
      <c r="Q520" s="208">
        <f t="shared" si="1030"/>
        <v>13</v>
      </c>
      <c r="R520" s="208">
        <f t="shared" si="1030"/>
        <v>14</v>
      </c>
      <c r="S520" s="208">
        <f t="shared" si="1030"/>
        <v>15</v>
      </c>
      <c r="T520" s="208">
        <f t="shared" si="1030"/>
        <v>16</v>
      </c>
      <c r="U520" s="208">
        <f t="shared" si="1030"/>
        <v>17</v>
      </c>
      <c r="V520" s="208">
        <f t="shared" si="1030"/>
        <v>18</v>
      </c>
      <c r="W520" s="208">
        <f t="shared" si="1030"/>
        <v>19</v>
      </c>
      <c r="X520" s="208">
        <f t="shared" si="1030"/>
        <v>20</v>
      </c>
      <c r="Y520" s="208">
        <f t="shared" si="1030"/>
        <v>21</v>
      </c>
      <c r="Z520" s="208">
        <f t="shared" si="1030"/>
        <v>22</v>
      </c>
      <c r="AA520" s="208">
        <f t="shared" si="1030"/>
        <v>23</v>
      </c>
      <c r="AB520" s="208">
        <f t="shared" si="1030"/>
        <v>24</v>
      </c>
      <c r="AC520" s="208">
        <f t="shared" si="1030"/>
        <v>25</v>
      </c>
      <c r="AD520" s="208">
        <f t="shared" si="1030"/>
        <v>26</v>
      </c>
      <c r="AE520" s="208">
        <f t="shared" si="1030"/>
        <v>27</v>
      </c>
      <c r="AF520" s="208">
        <f t="shared" si="1030"/>
        <v>28</v>
      </c>
      <c r="AG520" s="208">
        <f t="shared" si="1030"/>
        <v>0</v>
      </c>
      <c r="AH520" s="208">
        <f t="shared" si="1030"/>
        <v>0</v>
      </c>
      <c r="AI520" s="208">
        <f t="shared" si="1030"/>
        <v>0</v>
      </c>
      <c r="AJ520" s="208">
        <f t="shared" si="1030"/>
        <v>0</v>
      </c>
      <c r="AK520" s="208">
        <f t="shared" si="1030"/>
        <v>0</v>
      </c>
      <c r="AL520" s="208">
        <f t="shared" si="1030"/>
        <v>0</v>
      </c>
      <c r="AM520" s="208">
        <f t="shared" si="1030"/>
        <v>0</v>
      </c>
      <c r="AN520" s="208">
        <f t="shared" si="1030"/>
        <v>0</v>
      </c>
      <c r="AO520" s="208">
        <f t="shared" si="1030"/>
        <v>0</v>
      </c>
      <c r="AP520" s="208">
        <f t="shared" si="1030"/>
        <v>0</v>
      </c>
    </row>
    <row r="521" spans="1:42">
      <c r="A521" s="37">
        <f>A520+1</f>
        <v>2</v>
      </c>
      <c r="C521" s="208">
        <f t="shared" ref="C521:R521" si="1031">C386</f>
        <v>0</v>
      </c>
      <c r="D521" s="208">
        <f t="shared" si="1031"/>
        <v>0</v>
      </c>
      <c r="E521" s="208">
        <f t="shared" si="1031"/>
        <v>0</v>
      </c>
      <c r="F521" s="208">
        <f t="shared" si="1031"/>
        <v>0</v>
      </c>
      <c r="G521" s="208">
        <f t="shared" si="1031"/>
        <v>0</v>
      </c>
      <c r="H521" s="208">
        <f t="shared" si="1031"/>
        <v>1</v>
      </c>
      <c r="I521" s="208">
        <f t="shared" si="1031"/>
        <v>2</v>
      </c>
      <c r="J521" s="208">
        <f t="shared" si="1031"/>
        <v>3</v>
      </c>
      <c r="K521" s="208">
        <f t="shared" si="1031"/>
        <v>4</v>
      </c>
      <c r="L521" s="208">
        <f t="shared" si="1031"/>
        <v>5</v>
      </c>
      <c r="M521" s="208">
        <f t="shared" si="1031"/>
        <v>6</v>
      </c>
      <c r="N521" s="208">
        <f t="shared" si="1031"/>
        <v>7</v>
      </c>
      <c r="O521" s="208">
        <f t="shared" si="1031"/>
        <v>8</v>
      </c>
      <c r="P521" s="208">
        <f t="shared" si="1031"/>
        <v>9</v>
      </c>
      <c r="Q521" s="208">
        <f t="shared" si="1031"/>
        <v>10</v>
      </c>
      <c r="R521" s="208">
        <f t="shared" si="1031"/>
        <v>11</v>
      </c>
      <c r="S521" s="208">
        <f t="shared" si="1030"/>
        <v>12</v>
      </c>
      <c r="T521" s="208">
        <f t="shared" si="1030"/>
        <v>13</v>
      </c>
      <c r="U521" s="208">
        <f t="shared" si="1030"/>
        <v>14</v>
      </c>
      <c r="V521" s="208">
        <f t="shared" si="1030"/>
        <v>15</v>
      </c>
      <c r="W521" s="208">
        <f t="shared" si="1030"/>
        <v>16</v>
      </c>
      <c r="X521" s="208">
        <f t="shared" si="1030"/>
        <v>17</v>
      </c>
      <c r="Y521" s="208">
        <f t="shared" si="1030"/>
        <v>18</v>
      </c>
      <c r="Z521" s="208">
        <f t="shared" si="1030"/>
        <v>19</v>
      </c>
      <c r="AA521" s="208">
        <f t="shared" si="1030"/>
        <v>20</v>
      </c>
      <c r="AB521" s="208">
        <f t="shared" si="1030"/>
        <v>21</v>
      </c>
      <c r="AC521" s="208">
        <f t="shared" si="1030"/>
        <v>22</v>
      </c>
      <c r="AD521" s="208">
        <f t="shared" si="1030"/>
        <v>23</v>
      </c>
      <c r="AE521" s="208">
        <f t="shared" si="1030"/>
        <v>24</v>
      </c>
      <c r="AF521" s="208">
        <f t="shared" si="1030"/>
        <v>25</v>
      </c>
      <c r="AG521" s="208">
        <f t="shared" si="1030"/>
        <v>0</v>
      </c>
      <c r="AH521" s="208">
        <f t="shared" si="1030"/>
        <v>0</v>
      </c>
      <c r="AI521" s="208">
        <f t="shared" si="1030"/>
        <v>0</v>
      </c>
      <c r="AJ521" s="208">
        <f t="shared" si="1030"/>
        <v>0</v>
      </c>
      <c r="AK521" s="208">
        <f t="shared" si="1030"/>
        <v>0</v>
      </c>
      <c r="AL521" s="208">
        <f t="shared" si="1030"/>
        <v>0</v>
      </c>
      <c r="AM521" s="208">
        <f t="shared" si="1030"/>
        <v>0</v>
      </c>
      <c r="AN521" s="208">
        <f t="shared" si="1030"/>
        <v>0</v>
      </c>
      <c r="AO521" s="208">
        <f t="shared" si="1030"/>
        <v>0</v>
      </c>
      <c r="AP521" s="208">
        <f t="shared" si="1030"/>
        <v>0</v>
      </c>
    </row>
    <row r="522" spans="1:42">
      <c r="A522" s="37">
        <f t="shared" ref="A522:A527" si="1032">A521+1</f>
        <v>3</v>
      </c>
      <c r="C522" s="208">
        <f t="shared" ref="C522" si="1033">C387</f>
        <v>0</v>
      </c>
      <c r="D522" s="208">
        <f t="shared" si="1030"/>
        <v>0</v>
      </c>
      <c r="E522" s="208">
        <f t="shared" si="1030"/>
        <v>0</v>
      </c>
      <c r="F522" s="208">
        <f t="shared" si="1030"/>
        <v>0</v>
      </c>
      <c r="G522" s="208">
        <f t="shared" si="1030"/>
        <v>0</v>
      </c>
      <c r="H522" s="208">
        <f t="shared" si="1030"/>
        <v>0</v>
      </c>
      <c r="I522" s="208">
        <f t="shared" si="1030"/>
        <v>0</v>
      </c>
      <c r="J522" s="208">
        <f t="shared" si="1030"/>
        <v>0</v>
      </c>
      <c r="K522" s="208">
        <f t="shared" si="1030"/>
        <v>1</v>
      </c>
      <c r="L522" s="208">
        <f t="shared" si="1030"/>
        <v>2</v>
      </c>
      <c r="M522" s="208">
        <f t="shared" si="1030"/>
        <v>3</v>
      </c>
      <c r="N522" s="208">
        <f t="shared" si="1030"/>
        <v>4</v>
      </c>
      <c r="O522" s="208">
        <f t="shared" si="1030"/>
        <v>5</v>
      </c>
      <c r="P522" s="208">
        <f t="shared" si="1030"/>
        <v>6</v>
      </c>
      <c r="Q522" s="208">
        <f t="shared" si="1030"/>
        <v>7</v>
      </c>
      <c r="R522" s="208">
        <f t="shared" si="1030"/>
        <v>8</v>
      </c>
      <c r="S522" s="208">
        <f t="shared" si="1030"/>
        <v>9</v>
      </c>
      <c r="T522" s="208">
        <f t="shared" si="1030"/>
        <v>10</v>
      </c>
      <c r="U522" s="208">
        <f t="shared" si="1030"/>
        <v>11</v>
      </c>
      <c r="V522" s="208">
        <f t="shared" si="1030"/>
        <v>12</v>
      </c>
      <c r="W522" s="208">
        <f t="shared" si="1030"/>
        <v>13</v>
      </c>
      <c r="X522" s="208">
        <f t="shared" si="1030"/>
        <v>14</v>
      </c>
      <c r="Y522" s="208">
        <f t="shared" si="1030"/>
        <v>15</v>
      </c>
      <c r="Z522" s="208">
        <f t="shared" si="1030"/>
        <v>16</v>
      </c>
      <c r="AA522" s="208">
        <f t="shared" si="1030"/>
        <v>17</v>
      </c>
      <c r="AB522" s="208">
        <f t="shared" si="1030"/>
        <v>18</v>
      </c>
      <c r="AC522" s="208">
        <f t="shared" si="1030"/>
        <v>19</v>
      </c>
      <c r="AD522" s="208">
        <f t="shared" si="1030"/>
        <v>20</v>
      </c>
      <c r="AE522" s="208">
        <f t="shared" si="1030"/>
        <v>21</v>
      </c>
      <c r="AF522" s="208">
        <f t="shared" si="1030"/>
        <v>22</v>
      </c>
      <c r="AG522" s="208">
        <f t="shared" si="1030"/>
        <v>0</v>
      </c>
      <c r="AH522" s="208">
        <f t="shared" si="1030"/>
        <v>0</v>
      </c>
      <c r="AI522" s="208">
        <f t="shared" si="1030"/>
        <v>0</v>
      </c>
      <c r="AJ522" s="208">
        <f t="shared" si="1030"/>
        <v>0</v>
      </c>
      <c r="AK522" s="208">
        <f t="shared" si="1030"/>
        <v>0</v>
      </c>
      <c r="AL522" s="208">
        <f t="shared" si="1030"/>
        <v>0</v>
      </c>
      <c r="AM522" s="208">
        <f t="shared" si="1030"/>
        <v>0</v>
      </c>
      <c r="AN522" s="208">
        <f t="shared" si="1030"/>
        <v>0</v>
      </c>
      <c r="AO522" s="208">
        <f t="shared" si="1030"/>
        <v>0</v>
      </c>
      <c r="AP522" s="208">
        <f t="shared" si="1030"/>
        <v>0</v>
      </c>
    </row>
    <row r="523" spans="1:42">
      <c r="A523" s="37">
        <f t="shared" si="1032"/>
        <v>4</v>
      </c>
      <c r="C523" s="208">
        <f t="shared" ref="C523" si="1034">C388</f>
        <v>0</v>
      </c>
      <c r="D523" s="208">
        <f t="shared" si="1030"/>
        <v>0</v>
      </c>
      <c r="E523" s="208">
        <f t="shared" si="1030"/>
        <v>0</v>
      </c>
      <c r="F523" s="208">
        <f t="shared" si="1030"/>
        <v>0</v>
      </c>
      <c r="G523" s="208">
        <f t="shared" si="1030"/>
        <v>0</v>
      </c>
      <c r="H523" s="208">
        <f t="shared" si="1030"/>
        <v>0</v>
      </c>
      <c r="I523" s="208">
        <f t="shared" si="1030"/>
        <v>0</v>
      </c>
      <c r="J523" s="208">
        <f t="shared" si="1030"/>
        <v>0</v>
      </c>
      <c r="K523" s="208">
        <f t="shared" si="1030"/>
        <v>0</v>
      </c>
      <c r="L523" s="208">
        <f t="shared" si="1030"/>
        <v>0</v>
      </c>
      <c r="M523" s="208">
        <f t="shared" si="1030"/>
        <v>0</v>
      </c>
      <c r="N523" s="208">
        <f t="shared" si="1030"/>
        <v>1</v>
      </c>
      <c r="O523" s="208">
        <f t="shared" si="1030"/>
        <v>2</v>
      </c>
      <c r="P523" s="208">
        <f t="shared" si="1030"/>
        <v>3</v>
      </c>
      <c r="Q523" s="208">
        <f t="shared" si="1030"/>
        <v>4</v>
      </c>
      <c r="R523" s="208">
        <f t="shared" si="1030"/>
        <v>5</v>
      </c>
      <c r="S523" s="208">
        <f t="shared" si="1030"/>
        <v>6</v>
      </c>
      <c r="T523" s="208">
        <f t="shared" si="1030"/>
        <v>7</v>
      </c>
      <c r="U523" s="208">
        <f t="shared" si="1030"/>
        <v>8</v>
      </c>
      <c r="V523" s="208">
        <f t="shared" si="1030"/>
        <v>9</v>
      </c>
      <c r="W523" s="208">
        <f t="shared" si="1030"/>
        <v>10</v>
      </c>
      <c r="X523" s="208">
        <f t="shared" si="1030"/>
        <v>11</v>
      </c>
      <c r="Y523" s="208">
        <f t="shared" si="1030"/>
        <v>12</v>
      </c>
      <c r="Z523" s="208">
        <f t="shared" si="1030"/>
        <v>13</v>
      </c>
      <c r="AA523" s="208">
        <f t="shared" si="1030"/>
        <v>14</v>
      </c>
      <c r="AB523" s="208">
        <f t="shared" si="1030"/>
        <v>15</v>
      </c>
      <c r="AC523" s="208">
        <f t="shared" si="1030"/>
        <v>16</v>
      </c>
      <c r="AD523" s="208">
        <f t="shared" si="1030"/>
        <v>17</v>
      </c>
      <c r="AE523" s="208">
        <f t="shared" si="1030"/>
        <v>18</v>
      </c>
      <c r="AF523" s="208">
        <f t="shared" si="1030"/>
        <v>19</v>
      </c>
      <c r="AG523" s="208">
        <f t="shared" si="1030"/>
        <v>0</v>
      </c>
      <c r="AH523" s="208">
        <f t="shared" si="1030"/>
        <v>0</v>
      </c>
      <c r="AI523" s="208">
        <f t="shared" si="1030"/>
        <v>0</v>
      </c>
      <c r="AJ523" s="208">
        <f t="shared" si="1030"/>
        <v>0</v>
      </c>
      <c r="AK523" s="208">
        <f t="shared" si="1030"/>
        <v>0</v>
      </c>
      <c r="AL523" s="208">
        <f t="shared" si="1030"/>
        <v>0</v>
      </c>
      <c r="AM523" s="208">
        <f t="shared" si="1030"/>
        <v>0</v>
      </c>
      <c r="AN523" s="208">
        <f t="shared" si="1030"/>
        <v>0</v>
      </c>
      <c r="AO523" s="208">
        <f t="shared" si="1030"/>
        <v>0</v>
      </c>
      <c r="AP523" s="208">
        <f t="shared" si="1030"/>
        <v>0</v>
      </c>
    </row>
    <row r="524" spans="1:42">
      <c r="A524" s="37">
        <f t="shared" si="1032"/>
        <v>5</v>
      </c>
      <c r="C524" s="208">
        <f t="shared" ref="C524" si="1035">C389</f>
        <v>0</v>
      </c>
      <c r="D524" s="208">
        <f t="shared" si="1030"/>
        <v>0</v>
      </c>
      <c r="E524" s="208">
        <f t="shared" si="1030"/>
        <v>0</v>
      </c>
      <c r="F524" s="208">
        <f t="shared" si="1030"/>
        <v>0</v>
      </c>
      <c r="G524" s="208">
        <f t="shared" si="1030"/>
        <v>0</v>
      </c>
      <c r="H524" s="208">
        <f t="shared" si="1030"/>
        <v>0</v>
      </c>
      <c r="I524" s="208">
        <f t="shared" si="1030"/>
        <v>0</v>
      </c>
      <c r="J524" s="208">
        <f t="shared" si="1030"/>
        <v>0</v>
      </c>
      <c r="K524" s="208">
        <f t="shared" si="1030"/>
        <v>0</v>
      </c>
      <c r="L524" s="208">
        <f t="shared" si="1030"/>
        <v>0</v>
      </c>
      <c r="M524" s="208">
        <f t="shared" si="1030"/>
        <v>0</v>
      </c>
      <c r="N524" s="208">
        <f t="shared" si="1030"/>
        <v>0</v>
      </c>
      <c r="O524" s="208">
        <f t="shared" si="1030"/>
        <v>0</v>
      </c>
      <c r="P524" s="208">
        <f t="shared" si="1030"/>
        <v>0</v>
      </c>
      <c r="Q524" s="208">
        <f t="shared" si="1030"/>
        <v>1</v>
      </c>
      <c r="R524" s="208">
        <f t="shared" si="1030"/>
        <v>2</v>
      </c>
      <c r="S524" s="208">
        <f t="shared" si="1030"/>
        <v>3</v>
      </c>
      <c r="T524" s="208">
        <f t="shared" si="1030"/>
        <v>4</v>
      </c>
      <c r="U524" s="208">
        <f t="shared" si="1030"/>
        <v>5</v>
      </c>
      <c r="V524" s="208">
        <f t="shared" si="1030"/>
        <v>6</v>
      </c>
      <c r="W524" s="208">
        <f t="shared" si="1030"/>
        <v>7</v>
      </c>
      <c r="X524" s="208">
        <f t="shared" si="1030"/>
        <v>8</v>
      </c>
      <c r="Y524" s="208">
        <f t="shared" si="1030"/>
        <v>9</v>
      </c>
      <c r="Z524" s="208">
        <f t="shared" si="1030"/>
        <v>10</v>
      </c>
      <c r="AA524" s="208">
        <f t="shared" si="1030"/>
        <v>11</v>
      </c>
      <c r="AB524" s="208">
        <f t="shared" si="1030"/>
        <v>12</v>
      </c>
      <c r="AC524" s="208">
        <f t="shared" si="1030"/>
        <v>13</v>
      </c>
      <c r="AD524" s="208">
        <f t="shared" si="1030"/>
        <v>14</v>
      </c>
      <c r="AE524" s="208">
        <f t="shared" si="1030"/>
        <v>15</v>
      </c>
      <c r="AF524" s="208">
        <f t="shared" si="1030"/>
        <v>16</v>
      </c>
      <c r="AG524" s="208">
        <f t="shared" si="1030"/>
        <v>0</v>
      </c>
      <c r="AH524" s="208">
        <f t="shared" si="1030"/>
        <v>0</v>
      </c>
      <c r="AI524" s="208">
        <f t="shared" si="1030"/>
        <v>0</v>
      </c>
      <c r="AJ524" s="208">
        <f t="shared" si="1030"/>
        <v>0</v>
      </c>
      <c r="AK524" s="208">
        <f t="shared" si="1030"/>
        <v>0</v>
      </c>
      <c r="AL524" s="208">
        <f t="shared" si="1030"/>
        <v>0</v>
      </c>
      <c r="AM524" s="208">
        <f t="shared" si="1030"/>
        <v>0</v>
      </c>
      <c r="AN524" s="208">
        <f t="shared" si="1030"/>
        <v>0</v>
      </c>
      <c r="AO524" s="208">
        <f t="shared" si="1030"/>
        <v>0</v>
      </c>
      <c r="AP524" s="208">
        <f t="shared" si="1030"/>
        <v>0</v>
      </c>
    </row>
    <row r="525" spans="1:42">
      <c r="A525" s="37">
        <f t="shared" si="1032"/>
        <v>6</v>
      </c>
      <c r="C525" s="208">
        <f t="shared" ref="C525" si="1036">C390</f>
        <v>0</v>
      </c>
      <c r="D525" s="208">
        <f t="shared" si="1030"/>
        <v>0</v>
      </c>
      <c r="E525" s="208">
        <f t="shared" si="1030"/>
        <v>0</v>
      </c>
      <c r="F525" s="208">
        <f t="shared" si="1030"/>
        <v>0</v>
      </c>
      <c r="G525" s="208">
        <f t="shared" si="1030"/>
        <v>0</v>
      </c>
      <c r="H525" s="208">
        <f t="shared" si="1030"/>
        <v>0</v>
      </c>
      <c r="I525" s="208">
        <f t="shared" si="1030"/>
        <v>0</v>
      </c>
      <c r="J525" s="208">
        <f t="shared" si="1030"/>
        <v>0</v>
      </c>
      <c r="K525" s="208">
        <f t="shared" si="1030"/>
        <v>0</v>
      </c>
      <c r="L525" s="208">
        <f t="shared" si="1030"/>
        <v>0</v>
      </c>
      <c r="M525" s="208">
        <f t="shared" si="1030"/>
        <v>0</v>
      </c>
      <c r="N525" s="208">
        <f t="shared" si="1030"/>
        <v>0</v>
      </c>
      <c r="O525" s="208">
        <f t="shared" si="1030"/>
        <v>0</v>
      </c>
      <c r="P525" s="208">
        <f t="shared" si="1030"/>
        <v>0</v>
      </c>
      <c r="Q525" s="208">
        <f t="shared" si="1030"/>
        <v>0</v>
      </c>
      <c r="R525" s="208">
        <f t="shared" si="1030"/>
        <v>0</v>
      </c>
      <c r="S525" s="208">
        <f t="shared" si="1030"/>
        <v>0</v>
      </c>
      <c r="T525" s="208">
        <f t="shared" si="1030"/>
        <v>1</v>
      </c>
      <c r="U525" s="208">
        <f t="shared" si="1030"/>
        <v>2</v>
      </c>
      <c r="V525" s="208">
        <f t="shared" si="1030"/>
        <v>3</v>
      </c>
      <c r="W525" s="208">
        <f t="shared" si="1030"/>
        <v>4</v>
      </c>
      <c r="X525" s="208">
        <f t="shared" si="1030"/>
        <v>5</v>
      </c>
      <c r="Y525" s="208">
        <f t="shared" si="1030"/>
        <v>6</v>
      </c>
      <c r="Z525" s="208">
        <f t="shared" si="1030"/>
        <v>7</v>
      </c>
      <c r="AA525" s="208">
        <f t="shared" si="1030"/>
        <v>8</v>
      </c>
      <c r="AB525" s="208">
        <f t="shared" si="1030"/>
        <v>9</v>
      </c>
      <c r="AC525" s="208">
        <f t="shared" si="1030"/>
        <v>10</v>
      </c>
      <c r="AD525" s="208">
        <f t="shared" si="1030"/>
        <v>11</v>
      </c>
      <c r="AE525" s="208">
        <f t="shared" si="1030"/>
        <v>12</v>
      </c>
      <c r="AF525" s="208">
        <f t="shared" si="1030"/>
        <v>13</v>
      </c>
      <c r="AG525" s="208">
        <f t="shared" si="1030"/>
        <v>0</v>
      </c>
      <c r="AH525" s="208">
        <f t="shared" si="1030"/>
        <v>0</v>
      </c>
      <c r="AI525" s="208">
        <f t="shared" si="1030"/>
        <v>0</v>
      </c>
      <c r="AJ525" s="208">
        <f t="shared" si="1030"/>
        <v>0</v>
      </c>
      <c r="AK525" s="208">
        <f t="shared" si="1030"/>
        <v>0</v>
      </c>
      <c r="AL525" s="208">
        <f t="shared" si="1030"/>
        <v>0</v>
      </c>
      <c r="AM525" s="208">
        <f t="shared" si="1030"/>
        <v>0</v>
      </c>
      <c r="AN525" s="208">
        <f t="shared" si="1030"/>
        <v>0</v>
      </c>
      <c r="AO525" s="208">
        <f t="shared" si="1030"/>
        <v>0</v>
      </c>
      <c r="AP525" s="208">
        <f t="shared" si="1030"/>
        <v>0</v>
      </c>
    </row>
    <row r="526" spans="1:42">
      <c r="A526" s="37">
        <f t="shared" si="1032"/>
        <v>7</v>
      </c>
      <c r="C526" s="208">
        <f t="shared" ref="C526" si="1037">C391</f>
        <v>0</v>
      </c>
      <c r="D526" s="208">
        <f t="shared" si="1030"/>
        <v>0</v>
      </c>
      <c r="E526" s="208">
        <f t="shared" si="1030"/>
        <v>0</v>
      </c>
      <c r="F526" s="208">
        <f t="shared" si="1030"/>
        <v>0</v>
      </c>
      <c r="G526" s="208">
        <f t="shared" si="1030"/>
        <v>0</v>
      </c>
      <c r="H526" s="208">
        <f t="shared" si="1030"/>
        <v>0</v>
      </c>
      <c r="I526" s="208">
        <f t="shared" si="1030"/>
        <v>0</v>
      </c>
      <c r="J526" s="208">
        <f t="shared" si="1030"/>
        <v>0</v>
      </c>
      <c r="K526" s="208">
        <f t="shared" si="1030"/>
        <v>0</v>
      </c>
      <c r="L526" s="208">
        <f t="shared" si="1030"/>
        <v>0</v>
      </c>
      <c r="M526" s="208">
        <f t="shared" si="1030"/>
        <v>0</v>
      </c>
      <c r="N526" s="208">
        <f t="shared" si="1030"/>
        <v>0</v>
      </c>
      <c r="O526" s="208">
        <f t="shared" si="1030"/>
        <v>0</v>
      </c>
      <c r="P526" s="208">
        <f t="shared" si="1030"/>
        <v>0</v>
      </c>
      <c r="Q526" s="208">
        <f t="shared" si="1030"/>
        <v>0</v>
      </c>
      <c r="R526" s="208">
        <f t="shared" si="1030"/>
        <v>0</v>
      </c>
      <c r="S526" s="208">
        <f t="shared" si="1030"/>
        <v>0</v>
      </c>
      <c r="T526" s="208">
        <f t="shared" si="1030"/>
        <v>0</v>
      </c>
      <c r="U526" s="208">
        <f t="shared" si="1030"/>
        <v>0</v>
      </c>
      <c r="V526" s="208">
        <f t="shared" si="1030"/>
        <v>0</v>
      </c>
      <c r="W526" s="208">
        <f t="shared" si="1030"/>
        <v>1</v>
      </c>
      <c r="X526" s="208">
        <f t="shared" si="1030"/>
        <v>2</v>
      </c>
      <c r="Y526" s="208">
        <f t="shared" si="1030"/>
        <v>3</v>
      </c>
      <c r="Z526" s="208">
        <f t="shared" si="1030"/>
        <v>4</v>
      </c>
      <c r="AA526" s="208">
        <f t="shared" si="1030"/>
        <v>5</v>
      </c>
      <c r="AB526" s="208">
        <f t="shared" si="1030"/>
        <v>6</v>
      </c>
      <c r="AC526" s="208">
        <f t="shared" si="1030"/>
        <v>7</v>
      </c>
      <c r="AD526" s="208">
        <f t="shared" si="1030"/>
        <v>8</v>
      </c>
      <c r="AE526" s="208">
        <f t="shared" si="1030"/>
        <v>9</v>
      </c>
      <c r="AF526" s="208">
        <f t="shared" si="1030"/>
        <v>10</v>
      </c>
      <c r="AG526" s="208">
        <f t="shared" si="1030"/>
        <v>0</v>
      </c>
      <c r="AH526" s="208">
        <f t="shared" si="1030"/>
        <v>0</v>
      </c>
      <c r="AI526" s="208">
        <f t="shared" si="1030"/>
        <v>0</v>
      </c>
      <c r="AJ526" s="208">
        <f t="shared" si="1030"/>
        <v>0</v>
      </c>
      <c r="AK526" s="208">
        <f t="shared" si="1030"/>
        <v>0</v>
      </c>
      <c r="AL526" s="208">
        <f t="shared" si="1030"/>
        <v>0</v>
      </c>
      <c r="AM526" s="208">
        <f t="shared" si="1030"/>
        <v>0</v>
      </c>
      <c r="AN526" s="208">
        <f t="shared" ref="AN526:AP526" si="1038">AN391</f>
        <v>0</v>
      </c>
      <c r="AO526" s="208">
        <f t="shared" si="1038"/>
        <v>0</v>
      </c>
      <c r="AP526" s="208">
        <f t="shared" si="1038"/>
        <v>0</v>
      </c>
    </row>
    <row r="527" spans="1:42">
      <c r="A527" s="37">
        <f t="shared" si="1032"/>
        <v>8</v>
      </c>
      <c r="C527" s="208">
        <f t="shared" ref="C527:AP527" si="1039">C392</f>
        <v>0</v>
      </c>
      <c r="D527" s="208">
        <f t="shared" si="1039"/>
        <v>0</v>
      </c>
      <c r="E527" s="208">
        <f t="shared" si="1039"/>
        <v>0</v>
      </c>
      <c r="F527" s="208">
        <f t="shared" si="1039"/>
        <v>0</v>
      </c>
      <c r="G527" s="208">
        <f t="shared" si="1039"/>
        <v>0</v>
      </c>
      <c r="H527" s="208">
        <f t="shared" si="1039"/>
        <v>0</v>
      </c>
      <c r="I527" s="208">
        <f t="shared" si="1039"/>
        <v>0</v>
      </c>
      <c r="J527" s="208">
        <f t="shared" si="1039"/>
        <v>0</v>
      </c>
      <c r="K527" s="208">
        <f t="shared" si="1039"/>
        <v>0</v>
      </c>
      <c r="L527" s="208">
        <f t="shared" si="1039"/>
        <v>0</v>
      </c>
      <c r="M527" s="208">
        <f t="shared" si="1039"/>
        <v>0</v>
      </c>
      <c r="N527" s="208">
        <f t="shared" si="1039"/>
        <v>0</v>
      </c>
      <c r="O527" s="208">
        <f t="shared" si="1039"/>
        <v>0</v>
      </c>
      <c r="P527" s="208">
        <f t="shared" si="1039"/>
        <v>0</v>
      </c>
      <c r="Q527" s="208">
        <f t="shared" si="1039"/>
        <v>0</v>
      </c>
      <c r="R527" s="208">
        <f t="shared" si="1039"/>
        <v>0</v>
      </c>
      <c r="S527" s="208">
        <f t="shared" si="1039"/>
        <v>0</v>
      </c>
      <c r="T527" s="208">
        <f t="shared" si="1039"/>
        <v>0</v>
      </c>
      <c r="U527" s="208">
        <f t="shared" si="1039"/>
        <v>0</v>
      </c>
      <c r="V527" s="208">
        <f t="shared" si="1039"/>
        <v>0</v>
      </c>
      <c r="W527" s="208">
        <f t="shared" si="1039"/>
        <v>0</v>
      </c>
      <c r="X527" s="208">
        <f t="shared" si="1039"/>
        <v>0</v>
      </c>
      <c r="Y527" s="208">
        <f t="shared" si="1039"/>
        <v>0</v>
      </c>
      <c r="Z527" s="208">
        <f t="shared" si="1039"/>
        <v>1</v>
      </c>
      <c r="AA527" s="208">
        <f t="shared" si="1039"/>
        <v>2</v>
      </c>
      <c r="AB527" s="208">
        <f t="shared" si="1039"/>
        <v>3</v>
      </c>
      <c r="AC527" s="208">
        <f t="shared" si="1039"/>
        <v>4</v>
      </c>
      <c r="AD527" s="208">
        <f t="shared" si="1039"/>
        <v>5</v>
      </c>
      <c r="AE527" s="208">
        <f t="shared" si="1039"/>
        <v>6</v>
      </c>
      <c r="AF527" s="208">
        <f t="shared" si="1039"/>
        <v>7</v>
      </c>
      <c r="AG527" s="208">
        <f t="shared" si="1039"/>
        <v>0</v>
      </c>
      <c r="AH527" s="208">
        <f t="shared" si="1039"/>
        <v>0</v>
      </c>
      <c r="AI527" s="208">
        <f t="shared" si="1039"/>
        <v>0</v>
      </c>
      <c r="AJ527" s="208">
        <f t="shared" si="1039"/>
        <v>0</v>
      </c>
      <c r="AK527" s="208">
        <f t="shared" si="1039"/>
        <v>0</v>
      </c>
      <c r="AL527" s="208">
        <f t="shared" si="1039"/>
        <v>0</v>
      </c>
      <c r="AM527" s="208">
        <f t="shared" si="1039"/>
        <v>0</v>
      </c>
      <c r="AN527" s="208">
        <f t="shared" si="1039"/>
        <v>0</v>
      </c>
      <c r="AO527" s="208">
        <f t="shared" si="1039"/>
        <v>0</v>
      </c>
      <c r="AP527" s="208">
        <f t="shared" si="1039"/>
        <v>0</v>
      </c>
    </row>
    <row r="528" spans="1:42">
      <c r="A528" s="37">
        <f>A527+1</f>
        <v>9</v>
      </c>
      <c r="C528" s="208">
        <f t="shared" ref="C528:AP528" si="1040">C393</f>
        <v>0</v>
      </c>
      <c r="D528" s="208">
        <f t="shared" si="1040"/>
        <v>0</v>
      </c>
      <c r="E528" s="208">
        <f t="shared" si="1040"/>
        <v>0</v>
      </c>
      <c r="F528" s="208">
        <f t="shared" si="1040"/>
        <v>0</v>
      </c>
      <c r="G528" s="208">
        <f t="shared" si="1040"/>
        <v>0</v>
      </c>
      <c r="H528" s="208">
        <f t="shared" si="1040"/>
        <v>0</v>
      </c>
      <c r="I528" s="208">
        <f t="shared" si="1040"/>
        <v>0</v>
      </c>
      <c r="J528" s="208">
        <f t="shared" si="1040"/>
        <v>0</v>
      </c>
      <c r="K528" s="208">
        <f t="shared" si="1040"/>
        <v>0</v>
      </c>
      <c r="L528" s="208">
        <f t="shared" si="1040"/>
        <v>0</v>
      </c>
      <c r="M528" s="208">
        <f t="shared" si="1040"/>
        <v>0</v>
      </c>
      <c r="N528" s="208">
        <f t="shared" si="1040"/>
        <v>0</v>
      </c>
      <c r="O528" s="208">
        <f t="shared" si="1040"/>
        <v>0</v>
      </c>
      <c r="P528" s="208">
        <f t="shared" si="1040"/>
        <v>0</v>
      </c>
      <c r="Q528" s="208">
        <f t="shared" si="1040"/>
        <v>0</v>
      </c>
      <c r="R528" s="208">
        <f t="shared" si="1040"/>
        <v>0</v>
      </c>
      <c r="S528" s="208">
        <f t="shared" si="1040"/>
        <v>0</v>
      </c>
      <c r="T528" s="208">
        <f t="shared" si="1040"/>
        <v>0</v>
      </c>
      <c r="U528" s="208">
        <f t="shared" si="1040"/>
        <v>0</v>
      </c>
      <c r="V528" s="208">
        <f t="shared" si="1040"/>
        <v>0</v>
      </c>
      <c r="W528" s="208">
        <f t="shared" si="1040"/>
        <v>0</v>
      </c>
      <c r="X528" s="208">
        <f t="shared" si="1040"/>
        <v>0</v>
      </c>
      <c r="Y528" s="208">
        <f t="shared" si="1040"/>
        <v>0</v>
      </c>
      <c r="Z528" s="208">
        <f t="shared" si="1040"/>
        <v>0</v>
      </c>
      <c r="AA528" s="208">
        <f t="shared" si="1040"/>
        <v>0</v>
      </c>
      <c r="AB528" s="208">
        <f t="shared" si="1040"/>
        <v>0</v>
      </c>
      <c r="AC528" s="208">
        <f t="shared" si="1040"/>
        <v>1</v>
      </c>
      <c r="AD528" s="208">
        <f t="shared" si="1040"/>
        <v>2</v>
      </c>
      <c r="AE528" s="208">
        <f t="shared" si="1040"/>
        <v>3</v>
      </c>
      <c r="AF528" s="208">
        <f t="shared" si="1040"/>
        <v>4</v>
      </c>
      <c r="AG528" s="208">
        <f t="shared" si="1040"/>
        <v>0</v>
      </c>
      <c r="AH528" s="208">
        <f t="shared" si="1040"/>
        <v>0</v>
      </c>
      <c r="AI528" s="208">
        <f t="shared" si="1040"/>
        <v>0</v>
      </c>
      <c r="AJ528" s="208">
        <f t="shared" si="1040"/>
        <v>0</v>
      </c>
      <c r="AK528" s="208">
        <f t="shared" si="1040"/>
        <v>0</v>
      </c>
      <c r="AL528" s="208">
        <f t="shared" si="1040"/>
        <v>0</v>
      </c>
      <c r="AM528" s="208">
        <f t="shared" si="1040"/>
        <v>0</v>
      </c>
      <c r="AN528" s="208">
        <f t="shared" si="1040"/>
        <v>0</v>
      </c>
      <c r="AO528" s="208">
        <f t="shared" si="1040"/>
        <v>0</v>
      </c>
      <c r="AP528" s="208">
        <f t="shared" si="1040"/>
        <v>0</v>
      </c>
    </row>
    <row r="529" spans="1:42">
      <c r="A529" s="37">
        <f t="shared" ref="A529" si="1041">A528+1</f>
        <v>10</v>
      </c>
      <c r="C529" s="208">
        <f t="shared" ref="C529:AP529" si="1042">C394</f>
        <v>0</v>
      </c>
      <c r="D529" s="208">
        <f t="shared" si="1042"/>
        <v>0</v>
      </c>
      <c r="E529" s="208">
        <f t="shared" si="1042"/>
        <v>0</v>
      </c>
      <c r="F529" s="208">
        <f t="shared" si="1042"/>
        <v>0</v>
      </c>
      <c r="G529" s="208">
        <f t="shared" si="1042"/>
        <v>0</v>
      </c>
      <c r="H529" s="208">
        <f t="shared" si="1042"/>
        <v>0</v>
      </c>
      <c r="I529" s="208">
        <f t="shared" si="1042"/>
        <v>0</v>
      </c>
      <c r="J529" s="208">
        <f t="shared" si="1042"/>
        <v>0</v>
      </c>
      <c r="K529" s="208">
        <f t="shared" si="1042"/>
        <v>0</v>
      </c>
      <c r="L529" s="208">
        <f t="shared" si="1042"/>
        <v>0</v>
      </c>
      <c r="M529" s="208">
        <f t="shared" si="1042"/>
        <v>0</v>
      </c>
      <c r="N529" s="208">
        <f t="shared" si="1042"/>
        <v>0</v>
      </c>
      <c r="O529" s="208">
        <f t="shared" si="1042"/>
        <v>0</v>
      </c>
      <c r="P529" s="208">
        <f t="shared" si="1042"/>
        <v>0</v>
      </c>
      <c r="Q529" s="208">
        <f t="shared" si="1042"/>
        <v>0</v>
      </c>
      <c r="R529" s="208">
        <f t="shared" si="1042"/>
        <v>0</v>
      </c>
      <c r="S529" s="208">
        <f t="shared" si="1042"/>
        <v>0</v>
      </c>
      <c r="T529" s="208">
        <f t="shared" si="1042"/>
        <v>0</v>
      </c>
      <c r="U529" s="208">
        <f t="shared" si="1042"/>
        <v>0</v>
      </c>
      <c r="V529" s="208">
        <f t="shared" si="1042"/>
        <v>0</v>
      </c>
      <c r="W529" s="208">
        <f t="shared" si="1042"/>
        <v>0</v>
      </c>
      <c r="X529" s="208">
        <f t="shared" si="1042"/>
        <v>0</v>
      </c>
      <c r="Y529" s="208">
        <f t="shared" si="1042"/>
        <v>0</v>
      </c>
      <c r="Z529" s="208">
        <f t="shared" si="1042"/>
        <v>0</v>
      </c>
      <c r="AA529" s="208">
        <f t="shared" si="1042"/>
        <v>0</v>
      </c>
      <c r="AB529" s="208">
        <f t="shared" si="1042"/>
        <v>0</v>
      </c>
      <c r="AC529" s="208">
        <f t="shared" si="1042"/>
        <v>0</v>
      </c>
      <c r="AD529" s="208">
        <f t="shared" si="1042"/>
        <v>0</v>
      </c>
      <c r="AE529" s="208">
        <f t="shared" si="1042"/>
        <v>0</v>
      </c>
      <c r="AF529" s="208">
        <f t="shared" si="1042"/>
        <v>1</v>
      </c>
      <c r="AG529" s="208">
        <f t="shared" si="1042"/>
        <v>0</v>
      </c>
      <c r="AH529" s="208">
        <f t="shared" si="1042"/>
        <v>0</v>
      </c>
      <c r="AI529" s="208">
        <f t="shared" si="1042"/>
        <v>0</v>
      </c>
      <c r="AJ529" s="208">
        <f t="shared" si="1042"/>
        <v>0</v>
      </c>
      <c r="AK529" s="208">
        <f t="shared" si="1042"/>
        <v>0</v>
      </c>
      <c r="AL529" s="208">
        <f t="shared" si="1042"/>
        <v>0</v>
      </c>
      <c r="AM529" s="208">
        <f t="shared" si="1042"/>
        <v>0</v>
      </c>
      <c r="AN529" s="208">
        <f t="shared" si="1042"/>
        <v>0</v>
      </c>
      <c r="AO529" s="208">
        <f t="shared" si="1042"/>
        <v>0</v>
      </c>
      <c r="AP529" s="208">
        <f t="shared" si="1042"/>
        <v>0</v>
      </c>
    </row>
    <row r="530" spans="1:42">
      <c r="A530" s="226"/>
      <c r="C530" s="208"/>
      <c r="D530" s="208"/>
      <c r="E530" s="208"/>
      <c r="F530" s="208"/>
      <c r="G530" s="208"/>
      <c r="H530" s="208"/>
      <c r="I530" s="208"/>
      <c r="J530" s="208"/>
      <c r="K530" s="208"/>
      <c r="L530" s="208"/>
      <c r="M530" s="208"/>
      <c r="N530" s="208"/>
      <c r="O530" s="208"/>
      <c r="P530" s="208"/>
      <c r="Q530" s="208"/>
      <c r="R530" s="208"/>
      <c r="S530" s="208"/>
      <c r="T530" s="208"/>
      <c r="U530" s="208"/>
      <c r="V530" s="208"/>
      <c r="W530" s="208"/>
      <c r="X530" s="208"/>
      <c r="Y530" s="208"/>
      <c r="Z530" s="208"/>
      <c r="AA530" s="208"/>
      <c r="AB530" s="208"/>
      <c r="AC530" s="208"/>
      <c r="AD530" s="208"/>
      <c r="AE530" s="208"/>
      <c r="AF530" s="208"/>
      <c r="AG530" s="208"/>
      <c r="AH530" s="208"/>
      <c r="AI530" s="208"/>
      <c r="AJ530" s="208"/>
      <c r="AK530" s="208"/>
      <c r="AL530" s="208"/>
      <c r="AM530" s="208"/>
      <c r="AN530" s="208"/>
      <c r="AO530" s="208"/>
      <c r="AP530" s="208"/>
    </row>
    <row r="531" spans="1:42">
      <c r="A531" s="226" t="s">
        <v>221</v>
      </c>
      <c r="C531" s="208"/>
      <c r="D531" s="208"/>
      <c r="E531" s="208"/>
      <c r="F531" s="208"/>
      <c r="G531" s="208"/>
      <c r="H531" s="208"/>
      <c r="I531" s="208"/>
      <c r="J531" s="208"/>
      <c r="K531" s="208"/>
      <c r="L531" s="208"/>
      <c r="M531" s="208"/>
      <c r="N531" s="208"/>
      <c r="O531" s="208"/>
      <c r="P531" s="208"/>
      <c r="Q531" s="208"/>
      <c r="R531" s="208"/>
      <c r="S531" s="208"/>
      <c r="T531" s="208"/>
      <c r="U531" s="208"/>
      <c r="V531" s="208"/>
      <c r="W531" s="208"/>
      <c r="X531" s="208"/>
      <c r="Y531" s="208"/>
      <c r="Z531" s="208"/>
      <c r="AA531" s="208"/>
      <c r="AB531" s="208"/>
      <c r="AC531" s="208"/>
      <c r="AD531" s="208"/>
      <c r="AE531" s="208"/>
      <c r="AF531" s="208"/>
      <c r="AG531" s="208"/>
      <c r="AH531" s="208"/>
      <c r="AI531" s="208"/>
      <c r="AJ531" s="208"/>
      <c r="AK531" s="208"/>
      <c r="AL531" s="208"/>
      <c r="AM531" s="208"/>
      <c r="AN531" s="208"/>
      <c r="AO531" s="208"/>
      <c r="AP531" s="208"/>
    </row>
    <row r="532" spans="1:42">
      <c r="A532" s="37">
        <v>1</v>
      </c>
      <c r="B532" s="218">
        <f t="shared" ref="B532:B541" si="1043">SUM(C532:AP532)</f>
        <v>103022.49999999997</v>
      </c>
      <c r="C532" s="250">
        <f t="shared" ref="C532:AP532" si="1044">LOOKUP(C520,$B$463:$AP$463,$B$464:$AP$464)*$B779</f>
        <v>0</v>
      </c>
      <c r="D532" s="208">
        <f t="shared" si="1044"/>
        <v>0</v>
      </c>
      <c r="E532" s="208">
        <f t="shared" si="1044"/>
        <v>20604.499999999996</v>
      </c>
      <c r="F532" s="208">
        <f t="shared" si="1044"/>
        <v>32967.19999999999</v>
      </c>
      <c r="G532" s="208">
        <f t="shared" si="1044"/>
        <v>19780.319999999996</v>
      </c>
      <c r="H532" s="208">
        <f t="shared" si="1044"/>
        <v>11868.191999999995</v>
      </c>
      <c r="I532" s="208">
        <f t="shared" si="1044"/>
        <v>11868.191999999995</v>
      </c>
      <c r="J532" s="208">
        <f t="shared" si="1044"/>
        <v>5934.0959999999977</v>
      </c>
      <c r="K532" s="208">
        <f t="shared" si="1044"/>
        <v>0</v>
      </c>
      <c r="L532" s="208">
        <f t="shared" si="1044"/>
        <v>0</v>
      </c>
      <c r="M532" s="208">
        <f t="shared" si="1044"/>
        <v>0</v>
      </c>
      <c r="N532" s="208">
        <f t="shared" si="1044"/>
        <v>0</v>
      </c>
      <c r="O532" s="208">
        <f t="shared" si="1044"/>
        <v>0</v>
      </c>
      <c r="P532" s="208">
        <f t="shared" si="1044"/>
        <v>0</v>
      </c>
      <c r="Q532" s="208">
        <f t="shared" si="1044"/>
        <v>0</v>
      </c>
      <c r="R532" s="208">
        <f t="shared" si="1044"/>
        <v>0</v>
      </c>
      <c r="S532" s="208">
        <f t="shared" si="1044"/>
        <v>0</v>
      </c>
      <c r="T532" s="208">
        <f t="shared" si="1044"/>
        <v>0</v>
      </c>
      <c r="U532" s="208">
        <f t="shared" si="1044"/>
        <v>0</v>
      </c>
      <c r="V532" s="208">
        <f t="shared" si="1044"/>
        <v>0</v>
      </c>
      <c r="W532" s="208">
        <f t="shared" si="1044"/>
        <v>0</v>
      </c>
      <c r="X532" s="208">
        <f t="shared" si="1044"/>
        <v>0</v>
      </c>
      <c r="Y532" s="208">
        <f t="shared" si="1044"/>
        <v>0</v>
      </c>
      <c r="Z532" s="208">
        <f t="shared" si="1044"/>
        <v>0</v>
      </c>
      <c r="AA532" s="208">
        <f t="shared" si="1044"/>
        <v>0</v>
      </c>
      <c r="AB532" s="208">
        <f t="shared" si="1044"/>
        <v>0</v>
      </c>
      <c r="AC532" s="208">
        <f t="shared" si="1044"/>
        <v>0</v>
      </c>
      <c r="AD532" s="208">
        <f t="shared" si="1044"/>
        <v>0</v>
      </c>
      <c r="AE532" s="208">
        <f t="shared" si="1044"/>
        <v>0</v>
      </c>
      <c r="AF532" s="208">
        <f t="shared" si="1044"/>
        <v>0</v>
      </c>
      <c r="AG532" s="208">
        <f t="shared" si="1044"/>
        <v>0</v>
      </c>
      <c r="AH532" s="208">
        <f t="shared" si="1044"/>
        <v>0</v>
      </c>
      <c r="AI532" s="208">
        <f t="shared" si="1044"/>
        <v>0</v>
      </c>
      <c r="AJ532" s="208">
        <f t="shared" si="1044"/>
        <v>0</v>
      </c>
      <c r="AK532" s="208">
        <f t="shared" si="1044"/>
        <v>0</v>
      </c>
      <c r="AL532" s="208">
        <f t="shared" si="1044"/>
        <v>0</v>
      </c>
      <c r="AM532" s="208">
        <f t="shared" si="1044"/>
        <v>0</v>
      </c>
      <c r="AN532" s="208">
        <f t="shared" si="1044"/>
        <v>0</v>
      </c>
      <c r="AO532" s="208">
        <f t="shared" si="1044"/>
        <v>0</v>
      </c>
      <c r="AP532" s="208">
        <f t="shared" si="1044"/>
        <v>0</v>
      </c>
    </row>
    <row r="533" spans="1:42">
      <c r="A533" s="37">
        <f>A532+1</f>
        <v>2</v>
      </c>
      <c r="B533" s="218">
        <f t="shared" si="1043"/>
        <v>107728.40038843744</v>
      </c>
      <c r="C533" s="250">
        <f t="shared" ref="C533:AP533" si="1045">LOOKUP(C521,$B$463:$AP$463,$B$464:$AP$464)*$B780</f>
        <v>0</v>
      </c>
      <c r="D533" s="208">
        <f t="shared" si="1045"/>
        <v>0</v>
      </c>
      <c r="E533" s="208">
        <f t="shared" si="1045"/>
        <v>0</v>
      </c>
      <c r="F533" s="208">
        <f t="shared" si="1045"/>
        <v>0</v>
      </c>
      <c r="G533" s="208">
        <f t="shared" si="1045"/>
        <v>0</v>
      </c>
      <c r="H533" s="208">
        <f t="shared" si="1045"/>
        <v>21545.680077687488</v>
      </c>
      <c r="I533" s="208">
        <f t="shared" si="1045"/>
        <v>34473.088124299975</v>
      </c>
      <c r="J533" s="208">
        <f t="shared" si="1045"/>
        <v>20683.852874579985</v>
      </c>
      <c r="K533" s="208">
        <f t="shared" si="1045"/>
        <v>12410.311724747991</v>
      </c>
      <c r="L533" s="208">
        <f t="shared" si="1045"/>
        <v>12410.311724747991</v>
      </c>
      <c r="M533" s="208">
        <f t="shared" si="1045"/>
        <v>6205.1558623739957</v>
      </c>
      <c r="N533" s="208">
        <f t="shared" si="1045"/>
        <v>0</v>
      </c>
      <c r="O533" s="208">
        <f t="shared" si="1045"/>
        <v>0</v>
      </c>
      <c r="P533" s="208">
        <f t="shared" si="1045"/>
        <v>0</v>
      </c>
      <c r="Q533" s="208">
        <f t="shared" si="1045"/>
        <v>0</v>
      </c>
      <c r="R533" s="208">
        <f t="shared" si="1045"/>
        <v>0</v>
      </c>
      <c r="S533" s="208">
        <f t="shared" si="1045"/>
        <v>0</v>
      </c>
      <c r="T533" s="208">
        <f t="shared" si="1045"/>
        <v>0</v>
      </c>
      <c r="U533" s="208">
        <f t="shared" si="1045"/>
        <v>0</v>
      </c>
      <c r="V533" s="208">
        <f t="shared" si="1045"/>
        <v>0</v>
      </c>
      <c r="W533" s="208">
        <f t="shared" si="1045"/>
        <v>0</v>
      </c>
      <c r="X533" s="208">
        <f t="shared" si="1045"/>
        <v>0</v>
      </c>
      <c r="Y533" s="208">
        <f t="shared" si="1045"/>
        <v>0</v>
      </c>
      <c r="Z533" s="208">
        <f t="shared" si="1045"/>
        <v>0</v>
      </c>
      <c r="AA533" s="208">
        <f t="shared" si="1045"/>
        <v>0</v>
      </c>
      <c r="AB533" s="208">
        <f t="shared" si="1045"/>
        <v>0</v>
      </c>
      <c r="AC533" s="208">
        <f t="shared" si="1045"/>
        <v>0</v>
      </c>
      <c r="AD533" s="208">
        <f t="shared" si="1045"/>
        <v>0</v>
      </c>
      <c r="AE533" s="208">
        <f t="shared" si="1045"/>
        <v>0</v>
      </c>
      <c r="AF533" s="208">
        <f t="shared" si="1045"/>
        <v>0</v>
      </c>
      <c r="AG533" s="208">
        <f t="shared" si="1045"/>
        <v>0</v>
      </c>
      <c r="AH533" s="208">
        <f t="shared" si="1045"/>
        <v>0</v>
      </c>
      <c r="AI533" s="208">
        <f t="shared" si="1045"/>
        <v>0</v>
      </c>
      <c r="AJ533" s="208">
        <f t="shared" si="1045"/>
        <v>0</v>
      </c>
      <c r="AK533" s="208">
        <f t="shared" si="1045"/>
        <v>0</v>
      </c>
      <c r="AL533" s="208">
        <f t="shared" si="1045"/>
        <v>0</v>
      </c>
      <c r="AM533" s="208">
        <f t="shared" si="1045"/>
        <v>0</v>
      </c>
      <c r="AN533" s="208">
        <f t="shared" si="1045"/>
        <v>0</v>
      </c>
      <c r="AO533" s="208">
        <f t="shared" si="1045"/>
        <v>0</v>
      </c>
      <c r="AP533" s="208">
        <f t="shared" si="1045"/>
        <v>0</v>
      </c>
    </row>
    <row r="534" spans="1:42">
      <c r="A534" s="37">
        <f t="shared" ref="A534:A539" si="1046">A533+1</f>
        <v>3</v>
      </c>
      <c r="B534" s="218">
        <f t="shared" si="1043"/>
        <v>112649.25865953058</v>
      </c>
      <c r="C534" s="250">
        <f t="shared" ref="C534:AP534" si="1047">LOOKUP(C522,$B$463:$AP$463,$B$464:$AP$464)*$B781</f>
        <v>0</v>
      </c>
      <c r="D534" s="208">
        <f t="shared" si="1047"/>
        <v>0</v>
      </c>
      <c r="E534" s="208">
        <f t="shared" si="1047"/>
        <v>0</v>
      </c>
      <c r="F534" s="208">
        <f t="shared" si="1047"/>
        <v>0</v>
      </c>
      <c r="G534" s="208">
        <f t="shared" si="1047"/>
        <v>0</v>
      </c>
      <c r="H534" s="208">
        <f t="shared" si="1047"/>
        <v>0</v>
      </c>
      <c r="I534" s="208">
        <f t="shared" si="1047"/>
        <v>0</v>
      </c>
      <c r="J534" s="208">
        <f t="shared" si="1047"/>
        <v>0</v>
      </c>
      <c r="K534" s="208">
        <f t="shared" si="1047"/>
        <v>22529.851731906117</v>
      </c>
      <c r="L534" s="208">
        <f t="shared" si="1047"/>
        <v>36047.762771049784</v>
      </c>
      <c r="M534" s="208">
        <f t="shared" si="1047"/>
        <v>21628.65766262987</v>
      </c>
      <c r="N534" s="208">
        <f t="shared" si="1047"/>
        <v>12977.194597577922</v>
      </c>
      <c r="O534" s="208">
        <f t="shared" si="1047"/>
        <v>12977.194597577922</v>
      </c>
      <c r="P534" s="208">
        <f t="shared" si="1047"/>
        <v>6488.5972987889609</v>
      </c>
      <c r="Q534" s="208">
        <f t="shared" si="1047"/>
        <v>0</v>
      </c>
      <c r="R534" s="208">
        <f t="shared" si="1047"/>
        <v>0</v>
      </c>
      <c r="S534" s="208">
        <f t="shared" si="1047"/>
        <v>0</v>
      </c>
      <c r="T534" s="208">
        <f t="shared" si="1047"/>
        <v>0</v>
      </c>
      <c r="U534" s="208">
        <f t="shared" si="1047"/>
        <v>0</v>
      </c>
      <c r="V534" s="208">
        <f t="shared" si="1047"/>
        <v>0</v>
      </c>
      <c r="W534" s="208">
        <f t="shared" si="1047"/>
        <v>0</v>
      </c>
      <c r="X534" s="208">
        <f t="shared" si="1047"/>
        <v>0</v>
      </c>
      <c r="Y534" s="208">
        <f t="shared" si="1047"/>
        <v>0</v>
      </c>
      <c r="Z534" s="208">
        <f t="shared" si="1047"/>
        <v>0</v>
      </c>
      <c r="AA534" s="208">
        <f t="shared" si="1047"/>
        <v>0</v>
      </c>
      <c r="AB534" s="208">
        <f t="shared" si="1047"/>
        <v>0</v>
      </c>
      <c r="AC534" s="208">
        <f t="shared" si="1047"/>
        <v>0</v>
      </c>
      <c r="AD534" s="208">
        <f t="shared" si="1047"/>
        <v>0</v>
      </c>
      <c r="AE534" s="208">
        <f t="shared" si="1047"/>
        <v>0</v>
      </c>
      <c r="AF534" s="208">
        <f t="shared" si="1047"/>
        <v>0</v>
      </c>
      <c r="AG534" s="208">
        <f t="shared" si="1047"/>
        <v>0</v>
      </c>
      <c r="AH534" s="208">
        <f t="shared" si="1047"/>
        <v>0</v>
      </c>
      <c r="AI534" s="208">
        <f t="shared" si="1047"/>
        <v>0</v>
      </c>
      <c r="AJ534" s="208">
        <f t="shared" si="1047"/>
        <v>0</v>
      </c>
      <c r="AK534" s="208">
        <f t="shared" si="1047"/>
        <v>0</v>
      </c>
      <c r="AL534" s="208">
        <f t="shared" si="1047"/>
        <v>0</v>
      </c>
      <c r="AM534" s="208">
        <f t="shared" si="1047"/>
        <v>0</v>
      </c>
      <c r="AN534" s="208">
        <f t="shared" si="1047"/>
        <v>0</v>
      </c>
      <c r="AO534" s="208">
        <f t="shared" si="1047"/>
        <v>0</v>
      </c>
      <c r="AP534" s="208">
        <f t="shared" si="1047"/>
        <v>0</v>
      </c>
    </row>
    <row r="535" spans="1:42">
      <c r="A535" s="37">
        <f t="shared" si="1046"/>
        <v>4</v>
      </c>
      <c r="B535" s="218">
        <f t="shared" si="1043"/>
        <v>117794.89374005256</v>
      </c>
      <c r="C535" s="250">
        <f t="shared" ref="C535:AP535" si="1048">LOOKUP(C523,$B$463:$AP$463,$B$464:$AP$464)*$B782</f>
        <v>0</v>
      </c>
      <c r="D535" s="208">
        <f t="shared" si="1048"/>
        <v>0</v>
      </c>
      <c r="E535" s="208">
        <f t="shared" si="1048"/>
        <v>0</v>
      </c>
      <c r="F535" s="208">
        <f t="shared" si="1048"/>
        <v>0</v>
      </c>
      <c r="G535" s="208">
        <f t="shared" si="1048"/>
        <v>0</v>
      </c>
      <c r="H535" s="208">
        <f t="shared" si="1048"/>
        <v>0</v>
      </c>
      <c r="I535" s="208">
        <f t="shared" si="1048"/>
        <v>0</v>
      </c>
      <c r="J535" s="208">
        <f t="shared" si="1048"/>
        <v>0</v>
      </c>
      <c r="K535" s="208">
        <f t="shared" si="1048"/>
        <v>0</v>
      </c>
      <c r="L535" s="208">
        <f t="shared" si="1048"/>
        <v>0</v>
      </c>
      <c r="M535" s="208">
        <f t="shared" si="1048"/>
        <v>0</v>
      </c>
      <c r="N535" s="208">
        <f t="shared" si="1048"/>
        <v>23558.978748010515</v>
      </c>
      <c r="O535" s="208">
        <f t="shared" si="1048"/>
        <v>37694.365996816821</v>
      </c>
      <c r="P535" s="208">
        <f t="shared" si="1048"/>
        <v>22616.619598090092</v>
      </c>
      <c r="Q535" s="208">
        <f t="shared" si="1048"/>
        <v>13569.971758854055</v>
      </c>
      <c r="R535" s="208">
        <f t="shared" si="1048"/>
        <v>13569.971758854055</v>
      </c>
      <c r="S535" s="208">
        <f t="shared" si="1048"/>
        <v>6784.9858794270276</v>
      </c>
      <c r="T535" s="208">
        <f t="shared" si="1048"/>
        <v>0</v>
      </c>
      <c r="U535" s="208">
        <f t="shared" si="1048"/>
        <v>0</v>
      </c>
      <c r="V535" s="208">
        <f t="shared" si="1048"/>
        <v>0</v>
      </c>
      <c r="W535" s="208">
        <f t="shared" si="1048"/>
        <v>0</v>
      </c>
      <c r="X535" s="208">
        <f t="shared" si="1048"/>
        <v>0</v>
      </c>
      <c r="Y535" s="208">
        <f t="shared" si="1048"/>
        <v>0</v>
      </c>
      <c r="Z535" s="208">
        <f t="shared" si="1048"/>
        <v>0</v>
      </c>
      <c r="AA535" s="208">
        <f t="shared" si="1048"/>
        <v>0</v>
      </c>
      <c r="AB535" s="208">
        <f t="shared" si="1048"/>
        <v>0</v>
      </c>
      <c r="AC535" s="208">
        <f t="shared" si="1048"/>
        <v>0</v>
      </c>
      <c r="AD535" s="208">
        <f t="shared" si="1048"/>
        <v>0</v>
      </c>
      <c r="AE535" s="208">
        <f t="shared" si="1048"/>
        <v>0</v>
      </c>
      <c r="AF535" s="208">
        <f t="shared" si="1048"/>
        <v>0</v>
      </c>
      <c r="AG535" s="208">
        <f t="shared" si="1048"/>
        <v>0</v>
      </c>
      <c r="AH535" s="208">
        <f t="shared" si="1048"/>
        <v>0</v>
      </c>
      <c r="AI535" s="208">
        <f t="shared" si="1048"/>
        <v>0</v>
      </c>
      <c r="AJ535" s="208">
        <f t="shared" si="1048"/>
        <v>0</v>
      </c>
      <c r="AK535" s="208">
        <f t="shared" si="1048"/>
        <v>0</v>
      </c>
      <c r="AL535" s="208">
        <f t="shared" si="1048"/>
        <v>0</v>
      </c>
      <c r="AM535" s="208">
        <f t="shared" si="1048"/>
        <v>0</v>
      </c>
      <c r="AN535" s="208">
        <f t="shared" si="1048"/>
        <v>0</v>
      </c>
      <c r="AO535" s="208">
        <f t="shared" si="1048"/>
        <v>0</v>
      </c>
      <c r="AP535" s="208">
        <f t="shared" si="1048"/>
        <v>0</v>
      </c>
    </row>
    <row r="536" spans="1:42">
      <c r="A536" s="37">
        <f t="shared" si="1046"/>
        <v>5</v>
      </c>
      <c r="B536" s="218">
        <f t="shared" si="1043"/>
        <v>123175.57306939577</v>
      </c>
      <c r="C536" s="250">
        <f t="shared" ref="C536:AP536" si="1049">LOOKUP(C524,$B$463:$AP$463,$B$464:$AP$464)*$B783</f>
        <v>0</v>
      </c>
      <c r="D536" s="208">
        <f t="shared" si="1049"/>
        <v>0</v>
      </c>
      <c r="E536" s="208">
        <f t="shared" si="1049"/>
        <v>0</v>
      </c>
      <c r="F536" s="208">
        <f t="shared" si="1049"/>
        <v>0</v>
      </c>
      <c r="G536" s="208">
        <f t="shared" si="1049"/>
        <v>0</v>
      </c>
      <c r="H536" s="208">
        <f t="shared" si="1049"/>
        <v>0</v>
      </c>
      <c r="I536" s="208">
        <f t="shared" si="1049"/>
        <v>0</v>
      </c>
      <c r="J536" s="208">
        <f t="shared" si="1049"/>
        <v>0</v>
      </c>
      <c r="K536" s="208">
        <f t="shared" si="1049"/>
        <v>0</v>
      </c>
      <c r="L536" s="208">
        <f t="shared" si="1049"/>
        <v>0</v>
      </c>
      <c r="M536" s="208">
        <f t="shared" si="1049"/>
        <v>0</v>
      </c>
      <c r="N536" s="208">
        <f t="shared" si="1049"/>
        <v>0</v>
      </c>
      <c r="O536" s="208">
        <f t="shared" si="1049"/>
        <v>0</v>
      </c>
      <c r="P536" s="208">
        <f t="shared" si="1049"/>
        <v>0</v>
      </c>
      <c r="Q536" s="208">
        <f t="shared" si="1049"/>
        <v>24635.114613879156</v>
      </c>
      <c r="R536" s="208">
        <f t="shared" si="1049"/>
        <v>39416.183382206647</v>
      </c>
      <c r="S536" s="208">
        <f t="shared" si="1049"/>
        <v>23649.710029323989</v>
      </c>
      <c r="T536" s="208">
        <f t="shared" si="1049"/>
        <v>14189.826017594392</v>
      </c>
      <c r="U536" s="208">
        <f t="shared" si="1049"/>
        <v>14189.826017594392</v>
      </c>
      <c r="V536" s="208">
        <f t="shared" si="1049"/>
        <v>7094.9130087971962</v>
      </c>
      <c r="W536" s="208">
        <f t="shared" si="1049"/>
        <v>0</v>
      </c>
      <c r="X536" s="208">
        <f t="shared" si="1049"/>
        <v>0</v>
      </c>
      <c r="Y536" s="208">
        <f t="shared" si="1049"/>
        <v>0</v>
      </c>
      <c r="Z536" s="208">
        <f t="shared" si="1049"/>
        <v>0</v>
      </c>
      <c r="AA536" s="208">
        <f t="shared" si="1049"/>
        <v>0</v>
      </c>
      <c r="AB536" s="208">
        <f t="shared" si="1049"/>
        <v>0</v>
      </c>
      <c r="AC536" s="208">
        <f t="shared" si="1049"/>
        <v>0</v>
      </c>
      <c r="AD536" s="208">
        <f t="shared" si="1049"/>
        <v>0</v>
      </c>
      <c r="AE536" s="208">
        <f t="shared" si="1049"/>
        <v>0</v>
      </c>
      <c r="AF536" s="208">
        <f t="shared" si="1049"/>
        <v>0</v>
      </c>
      <c r="AG536" s="208">
        <f t="shared" si="1049"/>
        <v>0</v>
      </c>
      <c r="AH536" s="208">
        <f t="shared" si="1049"/>
        <v>0</v>
      </c>
      <c r="AI536" s="208">
        <f t="shared" si="1049"/>
        <v>0</v>
      </c>
      <c r="AJ536" s="208">
        <f t="shared" si="1049"/>
        <v>0</v>
      </c>
      <c r="AK536" s="208">
        <f t="shared" si="1049"/>
        <v>0</v>
      </c>
      <c r="AL536" s="208">
        <f t="shared" si="1049"/>
        <v>0</v>
      </c>
      <c r="AM536" s="208">
        <f t="shared" si="1049"/>
        <v>0</v>
      </c>
      <c r="AN536" s="208">
        <f t="shared" si="1049"/>
        <v>0</v>
      </c>
      <c r="AO536" s="208">
        <f t="shared" si="1049"/>
        <v>0</v>
      </c>
      <c r="AP536" s="208">
        <f t="shared" si="1049"/>
        <v>0</v>
      </c>
    </row>
    <row r="537" spans="1:42">
      <c r="A537" s="37">
        <f t="shared" si="1046"/>
        <v>6</v>
      </c>
      <c r="B537" s="218">
        <f t="shared" si="1043"/>
        <v>128802.03308689946</v>
      </c>
      <c r="C537" s="250">
        <f t="shared" ref="C537:AP537" si="1050">LOOKUP(C525,$B$463:$AP$463,$B$464:$AP$464)*$B784</f>
        <v>0</v>
      </c>
      <c r="D537" s="208">
        <f t="shared" si="1050"/>
        <v>0</v>
      </c>
      <c r="E537" s="208">
        <f t="shared" si="1050"/>
        <v>0</v>
      </c>
      <c r="F537" s="208">
        <f t="shared" si="1050"/>
        <v>0</v>
      </c>
      <c r="G537" s="208">
        <f t="shared" si="1050"/>
        <v>0</v>
      </c>
      <c r="H537" s="208">
        <f t="shared" si="1050"/>
        <v>0</v>
      </c>
      <c r="I537" s="208">
        <f t="shared" si="1050"/>
        <v>0</v>
      </c>
      <c r="J537" s="208">
        <f t="shared" si="1050"/>
        <v>0</v>
      </c>
      <c r="K537" s="208">
        <f t="shared" si="1050"/>
        <v>0</v>
      </c>
      <c r="L537" s="208">
        <f t="shared" si="1050"/>
        <v>0</v>
      </c>
      <c r="M537" s="208">
        <f t="shared" si="1050"/>
        <v>0</v>
      </c>
      <c r="N537" s="208">
        <f t="shared" si="1050"/>
        <v>0</v>
      </c>
      <c r="O537" s="208">
        <f t="shared" si="1050"/>
        <v>0</v>
      </c>
      <c r="P537" s="208">
        <f t="shared" si="1050"/>
        <v>0</v>
      </c>
      <c r="Q537" s="208">
        <f t="shared" si="1050"/>
        <v>0</v>
      </c>
      <c r="R537" s="208">
        <f t="shared" si="1050"/>
        <v>0</v>
      </c>
      <c r="S537" s="208">
        <f t="shared" si="1050"/>
        <v>0</v>
      </c>
      <c r="T537" s="208">
        <f t="shared" si="1050"/>
        <v>25760.406617379896</v>
      </c>
      <c r="U537" s="208">
        <f t="shared" si="1050"/>
        <v>41216.650587807831</v>
      </c>
      <c r="V537" s="208">
        <f t="shared" si="1050"/>
        <v>24729.990352684701</v>
      </c>
      <c r="W537" s="208">
        <f t="shared" si="1050"/>
        <v>14837.99421161082</v>
      </c>
      <c r="X537" s="208">
        <f t="shared" si="1050"/>
        <v>14837.99421161082</v>
      </c>
      <c r="Y537" s="208">
        <f t="shared" si="1050"/>
        <v>7418.9971058054098</v>
      </c>
      <c r="Z537" s="208">
        <f t="shared" si="1050"/>
        <v>0</v>
      </c>
      <c r="AA537" s="208">
        <f t="shared" si="1050"/>
        <v>0</v>
      </c>
      <c r="AB537" s="208">
        <f t="shared" si="1050"/>
        <v>0</v>
      </c>
      <c r="AC537" s="208">
        <f t="shared" si="1050"/>
        <v>0</v>
      </c>
      <c r="AD537" s="208">
        <f t="shared" si="1050"/>
        <v>0</v>
      </c>
      <c r="AE537" s="208">
        <f t="shared" si="1050"/>
        <v>0</v>
      </c>
      <c r="AF537" s="208">
        <f t="shared" si="1050"/>
        <v>0</v>
      </c>
      <c r="AG537" s="208">
        <f t="shared" si="1050"/>
        <v>0</v>
      </c>
      <c r="AH537" s="208">
        <f t="shared" si="1050"/>
        <v>0</v>
      </c>
      <c r="AI537" s="208">
        <f t="shared" si="1050"/>
        <v>0</v>
      </c>
      <c r="AJ537" s="208">
        <f t="shared" si="1050"/>
        <v>0</v>
      </c>
      <c r="AK537" s="208">
        <f t="shared" si="1050"/>
        <v>0</v>
      </c>
      <c r="AL537" s="208">
        <f t="shared" si="1050"/>
        <v>0</v>
      </c>
      <c r="AM537" s="208">
        <f t="shared" si="1050"/>
        <v>0</v>
      </c>
      <c r="AN537" s="208">
        <f t="shared" si="1050"/>
        <v>0</v>
      </c>
      <c r="AO537" s="208">
        <f t="shared" si="1050"/>
        <v>0</v>
      </c>
      <c r="AP537" s="208">
        <f t="shared" si="1050"/>
        <v>0</v>
      </c>
    </row>
    <row r="538" spans="1:42">
      <c r="A538" s="37">
        <f t="shared" si="1046"/>
        <v>7</v>
      </c>
      <c r="B538" s="218">
        <f t="shared" si="1043"/>
        <v>134685.50065500522</v>
      </c>
      <c r="C538" s="250">
        <f t="shared" ref="C538:AP538" si="1051">LOOKUP(C526,$B$463:$AP$463,$B$464:$AP$464)*$B785</f>
        <v>0</v>
      </c>
      <c r="D538" s="208">
        <f t="shared" si="1051"/>
        <v>0</v>
      </c>
      <c r="E538" s="208">
        <f t="shared" si="1051"/>
        <v>0</v>
      </c>
      <c r="F538" s="208">
        <f t="shared" si="1051"/>
        <v>0</v>
      </c>
      <c r="G538" s="208">
        <f t="shared" si="1051"/>
        <v>0</v>
      </c>
      <c r="H538" s="208">
        <f t="shared" si="1051"/>
        <v>0</v>
      </c>
      <c r="I538" s="208">
        <f t="shared" si="1051"/>
        <v>0</v>
      </c>
      <c r="J538" s="208">
        <f t="shared" si="1051"/>
        <v>0</v>
      </c>
      <c r="K538" s="208">
        <f t="shared" si="1051"/>
        <v>0</v>
      </c>
      <c r="L538" s="208">
        <f t="shared" si="1051"/>
        <v>0</v>
      </c>
      <c r="M538" s="208">
        <f t="shared" si="1051"/>
        <v>0</v>
      </c>
      <c r="N538" s="208">
        <f t="shared" si="1051"/>
        <v>0</v>
      </c>
      <c r="O538" s="208">
        <f t="shared" si="1051"/>
        <v>0</v>
      </c>
      <c r="P538" s="208">
        <f t="shared" si="1051"/>
        <v>0</v>
      </c>
      <c r="Q538" s="208">
        <f t="shared" si="1051"/>
        <v>0</v>
      </c>
      <c r="R538" s="208">
        <f t="shared" si="1051"/>
        <v>0</v>
      </c>
      <c r="S538" s="208">
        <f t="shared" si="1051"/>
        <v>0</v>
      </c>
      <c r="T538" s="208">
        <f t="shared" si="1051"/>
        <v>0</v>
      </c>
      <c r="U538" s="208">
        <f t="shared" si="1051"/>
        <v>0</v>
      </c>
      <c r="V538" s="208">
        <f t="shared" si="1051"/>
        <v>0</v>
      </c>
      <c r="W538" s="208">
        <f t="shared" si="1051"/>
        <v>26937.100131001047</v>
      </c>
      <c r="X538" s="208">
        <f t="shared" si="1051"/>
        <v>43099.360209601669</v>
      </c>
      <c r="Y538" s="208">
        <f t="shared" si="1051"/>
        <v>25859.616125761004</v>
      </c>
      <c r="Z538" s="208">
        <f t="shared" si="1051"/>
        <v>15515.7696754566</v>
      </c>
      <c r="AA538" s="208">
        <f t="shared" si="1051"/>
        <v>15515.7696754566</v>
      </c>
      <c r="AB538" s="208">
        <f t="shared" si="1051"/>
        <v>7757.8848377283002</v>
      </c>
      <c r="AC538" s="208">
        <f t="shared" si="1051"/>
        <v>0</v>
      </c>
      <c r="AD538" s="208">
        <f t="shared" si="1051"/>
        <v>0</v>
      </c>
      <c r="AE538" s="208">
        <f t="shared" si="1051"/>
        <v>0</v>
      </c>
      <c r="AF538" s="208">
        <f t="shared" si="1051"/>
        <v>0</v>
      </c>
      <c r="AG538" s="208">
        <f t="shared" si="1051"/>
        <v>0</v>
      </c>
      <c r="AH538" s="208">
        <f t="shared" si="1051"/>
        <v>0</v>
      </c>
      <c r="AI538" s="208">
        <f t="shared" si="1051"/>
        <v>0</v>
      </c>
      <c r="AJ538" s="208">
        <f t="shared" si="1051"/>
        <v>0</v>
      </c>
      <c r="AK538" s="208">
        <f t="shared" si="1051"/>
        <v>0</v>
      </c>
      <c r="AL538" s="208">
        <f t="shared" si="1051"/>
        <v>0</v>
      </c>
      <c r="AM538" s="208">
        <f t="shared" si="1051"/>
        <v>0</v>
      </c>
      <c r="AN538" s="208">
        <f t="shared" si="1051"/>
        <v>0</v>
      </c>
      <c r="AO538" s="208">
        <f t="shared" si="1051"/>
        <v>0</v>
      </c>
      <c r="AP538" s="208">
        <f t="shared" si="1051"/>
        <v>0</v>
      </c>
    </row>
    <row r="539" spans="1:42">
      <c r="A539" s="37">
        <f t="shared" si="1046"/>
        <v>8</v>
      </c>
      <c r="B539" s="218">
        <f t="shared" si="1043"/>
        <v>140837.71546098724</v>
      </c>
      <c r="C539" s="250">
        <f t="shared" ref="C539:AP539" si="1052">LOOKUP(C527,$B$463:$AP$463,$B$464:$AP$464)*$B786</f>
        <v>0</v>
      </c>
      <c r="D539" s="208">
        <f t="shared" si="1052"/>
        <v>0</v>
      </c>
      <c r="E539" s="208">
        <f t="shared" si="1052"/>
        <v>0</v>
      </c>
      <c r="F539" s="208">
        <f t="shared" si="1052"/>
        <v>0</v>
      </c>
      <c r="G539" s="208">
        <f t="shared" si="1052"/>
        <v>0</v>
      </c>
      <c r="H539" s="208">
        <f t="shared" si="1052"/>
        <v>0</v>
      </c>
      <c r="I539" s="208">
        <f t="shared" si="1052"/>
        <v>0</v>
      </c>
      <c r="J539" s="208">
        <f t="shared" si="1052"/>
        <v>0</v>
      </c>
      <c r="K539" s="208">
        <f t="shared" si="1052"/>
        <v>0</v>
      </c>
      <c r="L539" s="208">
        <f t="shared" si="1052"/>
        <v>0</v>
      </c>
      <c r="M539" s="208">
        <f t="shared" si="1052"/>
        <v>0</v>
      </c>
      <c r="N539" s="208">
        <f t="shared" si="1052"/>
        <v>0</v>
      </c>
      <c r="O539" s="208">
        <f t="shared" si="1052"/>
        <v>0</v>
      </c>
      <c r="P539" s="208">
        <f t="shared" si="1052"/>
        <v>0</v>
      </c>
      <c r="Q539" s="208">
        <f t="shared" si="1052"/>
        <v>0</v>
      </c>
      <c r="R539" s="208">
        <f t="shared" si="1052"/>
        <v>0</v>
      </c>
      <c r="S539" s="208">
        <f t="shared" si="1052"/>
        <v>0</v>
      </c>
      <c r="T539" s="208">
        <f t="shared" si="1052"/>
        <v>0</v>
      </c>
      <c r="U539" s="208">
        <f t="shared" si="1052"/>
        <v>0</v>
      </c>
      <c r="V539" s="208">
        <f t="shared" si="1052"/>
        <v>0</v>
      </c>
      <c r="W539" s="208">
        <f t="shared" si="1052"/>
        <v>0</v>
      </c>
      <c r="X539" s="208">
        <f t="shared" si="1052"/>
        <v>0</v>
      </c>
      <c r="Y539" s="208">
        <f t="shared" si="1052"/>
        <v>0</v>
      </c>
      <c r="Z539" s="208">
        <f t="shared" si="1052"/>
        <v>28167.543092197448</v>
      </c>
      <c r="AA539" s="208">
        <f t="shared" si="1052"/>
        <v>45068.068947515916</v>
      </c>
      <c r="AB539" s="208">
        <f t="shared" si="1052"/>
        <v>27040.841368509551</v>
      </c>
      <c r="AC539" s="208">
        <f t="shared" si="1052"/>
        <v>16224.504821105729</v>
      </c>
      <c r="AD539" s="208">
        <f t="shared" si="1052"/>
        <v>16224.504821105729</v>
      </c>
      <c r="AE539" s="208">
        <f t="shared" si="1052"/>
        <v>8112.2524105528646</v>
      </c>
      <c r="AF539" s="208">
        <f t="shared" si="1052"/>
        <v>0</v>
      </c>
      <c r="AG539" s="208">
        <f t="shared" si="1052"/>
        <v>0</v>
      </c>
      <c r="AH539" s="208">
        <f t="shared" si="1052"/>
        <v>0</v>
      </c>
      <c r="AI539" s="208">
        <f t="shared" si="1052"/>
        <v>0</v>
      </c>
      <c r="AJ539" s="208">
        <f t="shared" si="1052"/>
        <v>0</v>
      </c>
      <c r="AK539" s="208">
        <f t="shared" si="1052"/>
        <v>0</v>
      </c>
      <c r="AL539" s="208">
        <f t="shared" si="1052"/>
        <v>0</v>
      </c>
      <c r="AM539" s="208">
        <f t="shared" si="1052"/>
        <v>0</v>
      </c>
      <c r="AN539" s="208">
        <f t="shared" si="1052"/>
        <v>0</v>
      </c>
      <c r="AO539" s="208">
        <f t="shared" si="1052"/>
        <v>0</v>
      </c>
      <c r="AP539" s="208">
        <f t="shared" si="1052"/>
        <v>0</v>
      </c>
    </row>
    <row r="540" spans="1:42">
      <c r="A540" s="37">
        <f>A539+1</f>
        <v>9</v>
      </c>
      <c r="B540" s="218">
        <f t="shared" si="1043"/>
        <v>121822.53268718722</v>
      </c>
      <c r="C540" s="250">
        <f t="shared" ref="C540:AP540" si="1053">LOOKUP(C528,$B$463:$AP$463,$B$464:$AP$464)*$B787</f>
        <v>0</v>
      </c>
      <c r="D540" s="208">
        <f t="shared" si="1053"/>
        <v>0</v>
      </c>
      <c r="E540" s="208">
        <f t="shared" si="1053"/>
        <v>0</v>
      </c>
      <c r="F540" s="208">
        <f t="shared" si="1053"/>
        <v>0</v>
      </c>
      <c r="G540" s="208">
        <f t="shared" si="1053"/>
        <v>0</v>
      </c>
      <c r="H540" s="208">
        <f t="shared" si="1053"/>
        <v>0</v>
      </c>
      <c r="I540" s="208">
        <f t="shared" si="1053"/>
        <v>0</v>
      </c>
      <c r="J540" s="208">
        <f t="shared" si="1053"/>
        <v>0</v>
      </c>
      <c r="K540" s="208">
        <f t="shared" si="1053"/>
        <v>0</v>
      </c>
      <c r="L540" s="208">
        <f t="shared" si="1053"/>
        <v>0</v>
      </c>
      <c r="M540" s="208">
        <f t="shared" si="1053"/>
        <v>0</v>
      </c>
      <c r="N540" s="208">
        <f t="shared" si="1053"/>
        <v>0</v>
      </c>
      <c r="O540" s="208">
        <f t="shared" si="1053"/>
        <v>0</v>
      </c>
      <c r="P540" s="208">
        <f t="shared" si="1053"/>
        <v>0</v>
      </c>
      <c r="Q540" s="208">
        <f t="shared" si="1053"/>
        <v>0</v>
      </c>
      <c r="R540" s="208">
        <f t="shared" si="1053"/>
        <v>0</v>
      </c>
      <c r="S540" s="208">
        <f t="shared" si="1053"/>
        <v>0</v>
      </c>
      <c r="T540" s="208">
        <f t="shared" si="1053"/>
        <v>0</v>
      </c>
      <c r="U540" s="208">
        <f t="shared" si="1053"/>
        <v>0</v>
      </c>
      <c r="V540" s="208">
        <f t="shared" si="1053"/>
        <v>0</v>
      </c>
      <c r="W540" s="208">
        <f t="shared" si="1053"/>
        <v>0</v>
      </c>
      <c r="X540" s="208">
        <f t="shared" si="1053"/>
        <v>0</v>
      </c>
      <c r="Y540" s="208">
        <f t="shared" si="1053"/>
        <v>0</v>
      </c>
      <c r="Z540" s="208">
        <f t="shared" si="1053"/>
        <v>0</v>
      </c>
      <c r="AA540" s="208">
        <f t="shared" si="1053"/>
        <v>0</v>
      </c>
      <c r="AB540" s="208">
        <f t="shared" si="1053"/>
        <v>0</v>
      </c>
      <c r="AC540" s="208">
        <f t="shared" si="1053"/>
        <v>29454.190688391496</v>
      </c>
      <c r="AD540" s="208">
        <f t="shared" si="1053"/>
        <v>47126.705101426393</v>
      </c>
      <c r="AE540" s="208">
        <f t="shared" si="1053"/>
        <v>28276.023060855838</v>
      </c>
      <c r="AF540" s="208">
        <f t="shared" si="1053"/>
        <v>16965.613836513501</v>
      </c>
      <c r="AG540" s="208">
        <f t="shared" si="1053"/>
        <v>0</v>
      </c>
      <c r="AH540" s="208">
        <f t="shared" si="1053"/>
        <v>0</v>
      </c>
      <c r="AI540" s="208">
        <f t="shared" si="1053"/>
        <v>0</v>
      </c>
      <c r="AJ540" s="208">
        <f t="shared" si="1053"/>
        <v>0</v>
      </c>
      <c r="AK540" s="208">
        <f t="shared" si="1053"/>
        <v>0</v>
      </c>
      <c r="AL540" s="208">
        <f t="shared" si="1053"/>
        <v>0</v>
      </c>
      <c r="AM540" s="208">
        <f t="shared" si="1053"/>
        <v>0</v>
      </c>
      <c r="AN540" s="208">
        <f t="shared" si="1053"/>
        <v>0</v>
      </c>
      <c r="AO540" s="208">
        <f t="shared" si="1053"/>
        <v>0</v>
      </c>
      <c r="AP540" s="208">
        <f t="shared" si="1053"/>
        <v>0</v>
      </c>
    </row>
    <row r="541" spans="1:42">
      <c r="A541" s="37">
        <f t="shared" ref="A541" si="1054">A540+1</f>
        <v>10</v>
      </c>
      <c r="B541" s="218">
        <f t="shared" si="1043"/>
        <v>30799.610255977339</v>
      </c>
      <c r="C541" s="246">
        <f t="shared" ref="C541:AP541" si="1055">LOOKUP(C529,$B$463:$AP$463,$B$464:$AP$464)*$B788</f>
        <v>0</v>
      </c>
      <c r="D541" s="209">
        <f t="shared" si="1055"/>
        <v>0</v>
      </c>
      <c r="E541" s="209">
        <f t="shared" si="1055"/>
        <v>0</v>
      </c>
      <c r="F541" s="209">
        <f t="shared" si="1055"/>
        <v>0</v>
      </c>
      <c r="G541" s="209">
        <f t="shared" si="1055"/>
        <v>0</v>
      </c>
      <c r="H541" s="209">
        <f t="shared" si="1055"/>
        <v>0</v>
      </c>
      <c r="I541" s="209">
        <f t="shared" si="1055"/>
        <v>0</v>
      </c>
      <c r="J541" s="209">
        <f t="shared" si="1055"/>
        <v>0</v>
      </c>
      <c r="K541" s="209">
        <f t="shared" si="1055"/>
        <v>0</v>
      </c>
      <c r="L541" s="209">
        <f t="shared" si="1055"/>
        <v>0</v>
      </c>
      <c r="M541" s="209">
        <f t="shared" si="1055"/>
        <v>0</v>
      </c>
      <c r="N541" s="209">
        <f t="shared" si="1055"/>
        <v>0</v>
      </c>
      <c r="O541" s="209">
        <f t="shared" si="1055"/>
        <v>0</v>
      </c>
      <c r="P541" s="209">
        <f t="shared" si="1055"/>
        <v>0</v>
      </c>
      <c r="Q541" s="209">
        <f t="shared" si="1055"/>
        <v>0</v>
      </c>
      <c r="R541" s="209">
        <f t="shared" si="1055"/>
        <v>0</v>
      </c>
      <c r="S541" s="209">
        <f t="shared" si="1055"/>
        <v>0</v>
      </c>
      <c r="T541" s="209">
        <f t="shared" si="1055"/>
        <v>0</v>
      </c>
      <c r="U541" s="209">
        <f t="shared" si="1055"/>
        <v>0</v>
      </c>
      <c r="V541" s="209">
        <f t="shared" si="1055"/>
        <v>0</v>
      </c>
      <c r="W541" s="209">
        <f t="shared" si="1055"/>
        <v>0</v>
      </c>
      <c r="X541" s="209">
        <f t="shared" si="1055"/>
        <v>0</v>
      </c>
      <c r="Y541" s="209">
        <f t="shared" si="1055"/>
        <v>0</v>
      </c>
      <c r="Z541" s="209">
        <f t="shared" si="1055"/>
        <v>0</v>
      </c>
      <c r="AA541" s="209">
        <f t="shared" si="1055"/>
        <v>0</v>
      </c>
      <c r="AB541" s="209">
        <f t="shared" si="1055"/>
        <v>0</v>
      </c>
      <c r="AC541" s="209">
        <f t="shared" si="1055"/>
        <v>0</v>
      </c>
      <c r="AD541" s="209">
        <f t="shared" si="1055"/>
        <v>0</v>
      </c>
      <c r="AE541" s="209">
        <f t="shared" si="1055"/>
        <v>0</v>
      </c>
      <c r="AF541" s="209">
        <f t="shared" si="1055"/>
        <v>30799.610255977339</v>
      </c>
      <c r="AG541" s="209">
        <f t="shared" si="1055"/>
        <v>0</v>
      </c>
      <c r="AH541" s="209">
        <f t="shared" si="1055"/>
        <v>0</v>
      </c>
      <c r="AI541" s="209">
        <f t="shared" si="1055"/>
        <v>0</v>
      </c>
      <c r="AJ541" s="209">
        <f t="shared" si="1055"/>
        <v>0</v>
      </c>
      <c r="AK541" s="209">
        <f t="shared" si="1055"/>
        <v>0</v>
      </c>
      <c r="AL541" s="209">
        <f t="shared" si="1055"/>
        <v>0</v>
      </c>
      <c r="AM541" s="209">
        <f t="shared" si="1055"/>
        <v>0</v>
      </c>
      <c r="AN541" s="209">
        <f t="shared" si="1055"/>
        <v>0</v>
      </c>
      <c r="AO541" s="209">
        <f t="shared" si="1055"/>
        <v>0</v>
      </c>
      <c r="AP541" s="209">
        <f t="shared" si="1055"/>
        <v>0</v>
      </c>
    </row>
    <row r="542" spans="1:42" s="119" customFormat="1">
      <c r="A542" s="247" t="s">
        <v>53</v>
      </c>
      <c r="B542" s="146"/>
      <c r="C542" s="146">
        <f>SUM(C532:C541)</f>
        <v>0</v>
      </c>
      <c r="D542" s="146">
        <f t="shared" ref="D542:AP542" si="1056">SUM(D532:D541)</f>
        <v>0</v>
      </c>
      <c r="E542" s="146">
        <f t="shared" si="1056"/>
        <v>20604.499999999996</v>
      </c>
      <c r="F542" s="146">
        <f t="shared" si="1056"/>
        <v>32967.19999999999</v>
      </c>
      <c r="G542" s="146">
        <f t="shared" si="1056"/>
        <v>19780.319999999996</v>
      </c>
      <c r="H542" s="146">
        <f t="shared" si="1056"/>
        <v>33413.872077687483</v>
      </c>
      <c r="I542" s="146">
        <f t="shared" si="1056"/>
        <v>46341.28012429997</v>
      </c>
      <c r="J542" s="146">
        <f t="shared" si="1056"/>
        <v>26617.948874579983</v>
      </c>
      <c r="K542" s="146">
        <f t="shared" si="1056"/>
        <v>34940.163456654111</v>
      </c>
      <c r="L542" s="146">
        <f t="shared" si="1056"/>
        <v>48458.074495797773</v>
      </c>
      <c r="M542" s="146">
        <f t="shared" si="1056"/>
        <v>27833.813525003865</v>
      </c>
      <c r="N542" s="146">
        <f t="shared" si="1056"/>
        <v>36536.173345588439</v>
      </c>
      <c r="O542" s="146">
        <f t="shared" si="1056"/>
        <v>50671.560594394745</v>
      </c>
      <c r="P542" s="146">
        <f t="shared" si="1056"/>
        <v>29105.216896879054</v>
      </c>
      <c r="Q542" s="146">
        <f t="shared" si="1056"/>
        <v>38205.086372733211</v>
      </c>
      <c r="R542" s="146">
        <f t="shared" si="1056"/>
        <v>52986.155141060706</v>
      </c>
      <c r="S542" s="146">
        <f t="shared" si="1056"/>
        <v>30434.695908751019</v>
      </c>
      <c r="T542" s="146">
        <f t="shared" si="1056"/>
        <v>39950.232634974287</v>
      </c>
      <c r="U542" s="146">
        <f t="shared" si="1056"/>
        <v>55406.476605402226</v>
      </c>
      <c r="V542" s="146">
        <f t="shared" si="1056"/>
        <v>31824.903361481898</v>
      </c>
      <c r="W542" s="146">
        <f t="shared" si="1056"/>
        <v>41775.094342611868</v>
      </c>
      <c r="X542" s="146">
        <f t="shared" si="1056"/>
        <v>57937.354421212491</v>
      </c>
      <c r="Y542" s="146">
        <f t="shared" si="1056"/>
        <v>33278.613231566414</v>
      </c>
      <c r="Z542" s="146">
        <f t="shared" si="1056"/>
        <v>43683.312767654046</v>
      </c>
      <c r="AA542" s="146">
        <f t="shared" si="1056"/>
        <v>60583.838622972515</v>
      </c>
      <c r="AB542" s="146">
        <f t="shared" si="1056"/>
        <v>34798.72620623785</v>
      </c>
      <c r="AC542" s="146">
        <f t="shared" si="1056"/>
        <v>45678.695509497222</v>
      </c>
      <c r="AD542" s="146">
        <f t="shared" si="1056"/>
        <v>63351.209922532122</v>
      </c>
      <c r="AE542" s="146">
        <f t="shared" si="1056"/>
        <v>36388.275471408706</v>
      </c>
      <c r="AF542" s="146">
        <f t="shared" si="1056"/>
        <v>47765.22409249084</v>
      </c>
      <c r="AG542" s="146">
        <f t="shared" si="1056"/>
        <v>0</v>
      </c>
      <c r="AH542" s="146">
        <f t="shared" si="1056"/>
        <v>0</v>
      </c>
      <c r="AI542" s="146">
        <f t="shared" si="1056"/>
        <v>0</v>
      </c>
      <c r="AJ542" s="146">
        <f t="shared" si="1056"/>
        <v>0</v>
      </c>
      <c r="AK542" s="146">
        <f t="shared" si="1056"/>
        <v>0</v>
      </c>
      <c r="AL542" s="146">
        <f t="shared" si="1056"/>
        <v>0</v>
      </c>
      <c r="AM542" s="146">
        <f t="shared" si="1056"/>
        <v>0</v>
      </c>
      <c r="AN542" s="146">
        <f t="shared" si="1056"/>
        <v>0</v>
      </c>
      <c r="AO542" s="146">
        <f t="shared" si="1056"/>
        <v>0</v>
      </c>
      <c r="AP542" s="146">
        <f t="shared" si="1056"/>
        <v>0</v>
      </c>
    </row>
    <row r="543" spans="1:42" s="119" customFormat="1">
      <c r="A543" s="247"/>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146"/>
      <c r="AD543" s="146"/>
      <c r="AE543" s="146"/>
      <c r="AF543" s="146"/>
      <c r="AG543" s="146"/>
      <c r="AH543" s="146"/>
      <c r="AI543" s="146"/>
      <c r="AJ543" s="146"/>
      <c r="AK543" s="146"/>
      <c r="AL543" s="146"/>
      <c r="AM543" s="146"/>
      <c r="AN543" s="146"/>
      <c r="AO543" s="146"/>
      <c r="AP543" s="146"/>
    </row>
    <row r="544" spans="1:42" s="119" customFormat="1">
      <c r="A544" s="201" t="s">
        <v>33</v>
      </c>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146"/>
      <c r="AD544" s="146"/>
      <c r="AE544" s="146"/>
      <c r="AF544" s="146"/>
      <c r="AG544" s="146"/>
      <c r="AH544" s="146"/>
      <c r="AI544" s="146"/>
      <c r="AJ544" s="146"/>
      <c r="AK544" s="146"/>
      <c r="AL544" s="146"/>
      <c r="AM544" s="146"/>
      <c r="AN544" s="146"/>
      <c r="AO544" s="146"/>
      <c r="AP544" s="146"/>
    </row>
    <row r="545" spans="1:45" s="119" customFormat="1">
      <c r="A545" s="251" t="s">
        <v>177</v>
      </c>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146"/>
      <c r="AD545" s="146"/>
      <c r="AE545" s="146"/>
      <c r="AF545" s="146"/>
      <c r="AG545" s="146"/>
      <c r="AH545" s="146"/>
      <c r="AI545" s="146"/>
      <c r="AJ545" s="146"/>
      <c r="AK545" s="146"/>
      <c r="AL545" s="146"/>
      <c r="AM545" s="146"/>
      <c r="AN545" s="146"/>
      <c r="AO545" s="146"/>
      <c r="AP545" s="146"/>
    </row>
    <row r="546" spans="1:45" s="119" customFormat="1">
      <c r="A546" s="37" t="s">
        <v>83</v>
      </c>
      <c r="B546" s="252" t="s">
        <v>173</v>
      </c>
      <c r="C546" s="253"/>
      <c r="D546" s="253"/>
      <c r="E546" s="253"/>
      <c r="F546" s="253"/>
      <c r="G546" s="253"/>
      <c r="H546" s="253"/>
      <c r="I546" s="254"/>
      <c r="J546" s="255" t="s">
        <v>174</v>
      </c>
      <c r="K546" s="256"/>
      <c r="L546" s="146"/>
      <c r="M546" s="146"/>
      <c r="N546" s="146"/>
      <c r="O546" s="146"/>
      <c r="P546" s="146"/>
      <c r="Q546" s="146"/>
      <c r="R546" s="146"/>
      <c r="S546" s="146"/>
      <c r="T546" s="146"/>
      <c r="U546" s="146"/>
      <c r="V546" s="146"/>
      <c r="W546" s="146"/>
      <c r="X546" s="146"/>
      <c r="Y546" s="146"/>
      <c r="Z546" s="146"/>
      <c r="AA546" s="146"/>
      <c r="AB546" s="146"/>
      <c r="AC546" s="146"/>
      <c r="AD546" s="146"/>
      <c r="AE546" s="146"/>
      <c r="AF546" s="146"/>
      <c r="AG546" s="146"/>
      <c r="AH546" s="146"/>
      <c r="AI546" s="146"/>
      <c r="AJ546" s="146"/>
      <c r="AK546" s="146"/>
      <c r="AL546" s="146"/>
      <c r="AM546" s="146"/>
      <c r="AN546" s="146"/>
      <c r="AO546" s="146"/>
      <c r="AP546" s="146"/>
    </row>
    <row r="547" spans="1:45" s="119" customFormat="1" ht="38.25">
      <c r="A547" s="37"/>
      <c r="B547" s="133" t="s">
        <v>164</v>
      </c>
      <c r="C547" s="133" t="s">
        <v>163</v>
      </c>
      <c r="D547" s="133" t="s">
        <v>166</v>
      </c>
      <c r="E547" s="133" t="s">
        <v>155</v>
      </c>
      <c r="F547" s="228" t="s">
        <v>156</v>
      </c>
      <c r="G547" s="228" t="s">
        <v>172</v>
      </c>
      <c r="H547" s="133" t="s">
        <v>165</v>
      </c>
      <c r="I547" s="133" t="s">
        <v>167</v>
      </c>
      <c r="J547" s="257" t="s">
        <v>34</v>
      </c>
      <c r="K547" s="133" t="s">
        <v>167</v>
      </c>
      <c r="L547" s="146"/>
      <c r="M547" s="146"/>
      <c r="N547" s="146"/>
      <c r="O547" s="146"/>
      <c r="P547" s="146"/>
      <c r="Q547" s="146"/>
      <c r="R547" s="146"/>
      <c r="S547" s="146"/>
      <c r="T547" s="146"/>
      <c r="U547" s="146"/>
      <c r="V547" s="146"/>
      <c r="W547" s="146"/>
      <c r="X547" s="146"/>
      <c r="Y547" s="146"/>
      <c r="Z547" s="146"/>
      <c r="AA547" s="146"/>
      <c r="AB547" s="146"/>
      <c r="AC547" s="146"/>
      <c r="AD547" s="146"/>
      <c r="AE547" s="146"/>
      <c r="AF547" s="146"/>
      <c r="AG547" s="146"/>
      <c r="AH547" s="146"/>
      <c r="AI547" s="146"/>
      <c r="AJ547" s="146"/>
      <c r="AK547" s="146"/>
      <c r="AL547" s="146"/>
      <c r="AM547" s="146"/>
      <c r="AN547" s="146"/>
      <c r="AO547" s="146"/>
      <c r="AP547" s="146"/>
      <c r="AQ547" s="146"/>
      <c r="AR547" s="146"/>
      <c r="AS547" s="146"/>
    </row>
    <row r="548" spans="1:45" s="119" customFormat="1">
      <c r="A548" s="206" t="str">
        <f>A412</f>
        <v>5-yr MACRS</v>
      </c>
      <c r="B548" s="250">
        <f>'Inputs &amp; Results'!C221</f>
        <v>39593328.638062894</v>
      </c>
      <c r="C548" s="258">
        <f>IF('Inputs &amp; Results'!B251="Yes",B548,0)</f>
        <v>39593328.638062894</v>
      </c>
      <c r="D548" s="259">
        <f>C548/$C$555</f>
        <v>1</v>
      </c>
      <c r="E548" s="260">
        <f t="shared" ref="E548:E553" si="1057">$E$555*D548</f>
        <v>3000</v>
      </c>
      <c r="F548" s="146">
        <f>$F$555*D548</f>
        <v>0</v>
      </c>
      <c r="G548" s="261">
        <f>C548-E548-F548</f>
        <v>39590328.638062894</v>
      </c>
      <c r="H548" s="261">
        <f>$H$555*D548</f>
        <v>0</v>
      </c>
      <c r="I548" s="261">
        <f>H548*0.5</f>
        <v>0</v>
      </c>
      <c r="J548" s="248">
        <f>D548*$J$555</f>
        <v>20000</v>
      </c>
      <c r="K548" s="248">
        <f>J548*0.5</f>
        <v>10000</v>
      </c>
      <c r="L548" s="146"/>
      <c r="M548" s="146"/>
      <c r="N548" s="146"/>
      <c r="O548" s="146"/>
      <c r="P548" s="146"/>
      <c r="Q548" s="146"/>
      <c r="R548" s="146"/>
      <c r="S548" s="146"/>
      <c r="T548" s="146"/>
      <c r="U548" s="146"/>
      <c r="V548" s="146"/>
      <c r="W548" s="146"/>
      <c r="X548" s="146"/>
      <c r="Y548" s="146"/>
      <c r="Z548" s="146"/>
      <c r="AA548" s="146"/>
      <c r="AB548" s="146"/>
      <c r="AC548" s="146"/>
      <c r="AD548" s="146"/>
      <c r="AE548" s="146"/>
      <c r="AF548" s="146"/>
      <c r="AG548" s="146"/>
      <c r="AH548" s="146"/>
      <c r="AI548" s="146"/>
      <c r="AJ548" s="146"/>
      <c r="AK548" s="146"/>
      <c r="AL548" s="146"/>
      <c r="AM548" s="146"/>
      <c r="AN548" s="146"/>
      <c r="AO548" s="146"/>
      <c r="AP548" s="146"/>
      <c r="AQ548" s="146"/>
      <c r="AR548" s="146"/>
      <c r="AS548" s="146"/>
    </row>
    <row r="549" spans="1:45" s="119" customFormat="1">
      <c r="A549" s="206" t="str">
        <f t="shared" ref="A549:A554" si="1058">A413</f>
        <v>15-yr MACRS</v>
      </c>
      <c r="B549" s="250">
        <f>'Inputs &amp; Results'!C222</f>
        <v>667303.29165274545</v>
      </c>
      <c r="C549" s="262">
        <f>IF('Inputs &amp; Results'!B252="Yes",B549,0)</f>
        <v>0</v>
      </c>
      <c r="D549" s="263">
        <f t="shared" ref="D549:D553" si="1059">C549/$C$555</f>
        <v>0</v>
      </c>
      <c r="E549" s="146">
        <f t="shared" si="1057"/>
        <v>0</v>
      </c>
      <c r="F549" s="146">
        <f t="shared" ref="F549:F553" si="1060">$F$555*D549</f>
        <v>0</v>
      </c>
      <c r="G549" s="248">
        <f t="shared" ref="G549:G553" si="1061">C549-E549-F549</f>
        <v>0</v>
      </c>
      <c r="H549" s="248">
        <f t="shared" ref="H549:H553" si="1062">$H$555*D549</f>
        <v>0</v>
      </c>
      <c r="I549" s="248">
        <f t="shared" ref="I549:I553" si="1063">H549*0.5</f>
        <v>0</v>
      </c>
      <c r="J549" s="248">
        <f t="shared" ref="J549:J553" si="1064">D549*$J$555</f>
        <v>0</v>
      </c>
      <c r="K549" s="248">
        <f t="shared" ref="K549:K553" si="1065">J549*0.5</f>
        <v>0</v>
      </c>
      <c r="L549" s="146"/>
      <c r="M549" s="146"/>
      <c r="N549" s="146"/>
      <c r="O549" s="146"/>
      <c r="P549" s="146"/>
      <c r="Q549" s="146"/>
      <c r="R549" s="146"/>
      <c r="S549" s="146"/>
      <c r="T549" s="146"/>
      <c r="U549" s="146"/>
      <c r="V549" s="146"/>
      <c r="W549" s="146"/>
      <c r="X549" s="146"/>
      <c r="Y549" s="146"/>
      <c r="Z549" s="146"/>
      <c r="AA549" s="146"/>
      <c r="AB549" s="146"/>
      <c r="AC549" s="146"/>
      <c r="AD549" s="146"/>
      <c r="AE549" s="146"/>
      <c r="AF549" s="146"/>
      <c r="AG549" s="146"/>
      <c r="AH549" s="146"/>
      <c r="AI549" s="146"/>
      <c r="AJ549" s="146"/>
      <c r="AK549" s="146"/>
      <c r="AL549" s="146"/>
      <c r="AM549" s="146"/>
      <c r="AN549" s="146"/>
      <c r="AO549" s="146"/>
      <c r="AP549" s="146"/>
      <c r="AQ549" s="146"/>
      <c r="AR549" s="146"/>
      <c r="AS549" s="146"/>
    </row>
    <row r="550" spans="1:45" s="119" customFormat="1">
      <c r="A550" s="206" t="str">
        <f t="shared" si="1058"/>
        <v>5-yr SL</v>
      </c>
      <c r="B550" s="250">
        <f>'Inputs &amp; Results'!C223</f>
        <v>0</v>
      </c>
      <c r="C550" s="262">
        <f>IF('Inputs &amp; Results'!B253="Yes",B550,0)</f>
        <v>0</v>
      </c>
      <c r="D550" s="263">
        <f t="shared" si="1059"/>
        <v>0</v>
      </c>
      <c r="E550" s="146">
        <f t="shared" si="1057"/>
        <v>0</v>
      </c>
      <c r="F550" s="146">
        <f t="shared" si="1060"/>
        <v>0</v>
      </c>
      <c r="G550" s="248">
        <f t="shared" si="1061"/>
        <v>0</v>
      </c>
      <c r="H550" s="248">
        <f t="shared" si="1062"/>
        <v>0</v>
      </c>
      <c r="I550" s="248">
        <f t="shared" si="1063"/>
        <v>0</v>
      </c>
      <c r="J550" s="248">
        <f t="shared" si="1064"/>
        <v>0</v>
      </c>
      <c r="K550" s="248">
        <f t="shared" si="1065"/>
        <v>0</v>
      </c>
      <c r="L550" s="146"/>
      <c r="M550" s="146"/>
      <c r="N550" s="146"/>
      <c r="O550" s="146"/>
      <c r="P550" s="146"/>
      <c r="Q550" s="146"/>
      <c r="R550" s="146"/>
      <c r="S550" s="146"/>
      <c r="T550" s="146"/>
      <c r="U550" s="146"/>
      <c r="V550" s="146"/>
      <c r="W550" s="146"/>
      <c r="X550" s="146"/>
      <c r="Y550" s="146"/>
      <c r="Z550" s="146"/>
      <c r="AA550" s="146"/>
      <c r="AB550" s="146"/>
      <c r="AC550" s="146"/>
      <c r="AD550" s="146"/>
      <c r="AE550" s="146"/>
      <c r="AF550" s="146"/>
      <c r="AG550" s="146"/>
      <c r="AH550" s="146"/>
      <c r="AI550" s="146"/>
      <c r="AJ550" s="146"/>
      <c r="AK550" s="146"/>
      <c r="AL550" s="146"/>
      <c r="AM550" s="146"/>
      <c r="AN550" s="146"/>
      <c r="AO550" s="146"/>
      <c r="AP550" s="146"/>
      <c r="AQ550" s="146"/>
      <c r="AR550" s="146"/>
      <c r="AS550" s="146"/>
    </row>
    <row r="551" spans="1:45" s="119" customFormat="1">
      <c r="A551" s="206" t="str">
        <f t="shared" si="1058"/>
        <v>15-yr SL</v>
      </c>
      <c r="B551" s="250">
        <f>'Inputs &amp; Results'!C224</f>
        <v>1334606.5833054909</v>
      </c>
      <c r="C551" s="262">
        <f>IF('Inputs &amp; Results'!B254="Yes",B551,0)</f>
        <v>0</v>
      </c>
      <c r="D551" s="263">
        <f t="shared" si="1059"/>
        <v>0</v>
      </c>
      <c r="E551" s="146">
        <f t="shared" si="1057"/>
        <v>0</v>
      </c>
      <c r="F551" s="146">
        <f t="shared" si="1060"/>
        <v>0</v>
      </c>
      <c r="G551" s="248">
        <f t="shared" si="1061"/>
        <v>0</v>
      </c>
      <c r="H551" s="248">
        <f t="shared" si="1062"/>
        <v>0</v>
      </c>
      <c r="I551" s="248">
        <f t="shared" si="1063"/>
        <v>0</v>
      </c>
      <c r="J551" s="248">
        <f t="shared" si="1064"/>
        <v>0</v>
      </c>
      <c r="K551" s="248">
        <f t="shared" si="1065"/>
        <v>0</v>
      </c>
      <c r="L551" s="146"/>
      <c r="M551" s="146"/>
      <c r="N551" s="146"/>
      <c r="O551" s="146"/>
      <c r="P551" s="146"/>
      <c r="Q551" s="146"/>
      <c r="R551" s="146"/>
      <c r="S551" s="146"/>
      <c r="T551" s="146"/>
      <c r="U551" s="146"/>
      <c r="V551" s="146"/>
      <c r="W551" s="146"/>
      <c r="X551" s="146"/>
      <c r="Y551" s="146"/>
      <c r="Z551" s="146"/>
      <c r="AA551" s="146"/>
      <c r="AB551" s="146"/>
      <c r="AC551" s="146"/>
      <c r="AD551" s="146"/>
      <c r="AE551" s="146"/>
      <c r="AF551" s="146"/>
      <c r="AG551" s="146"/>
      <c r="AH551" s="146"/>
      <c r="AI551" s="146"/>
      <c r="AJ551" s="146"/>
      <c r="AK551" s="146"/>
      <c r="AL551" s="146"/>
      <c r="AM551" s="146"/>
      <c r="AN551" s="146"/>
      <c r="AO551" s="146"/>
      <c r="AP551" s="146"/>
      <c r="AQ551" s="146"/>
      <c r="AR551" s="146"/>
      <c r="AS551" s="146"/>
    </row>
    <row r="552" spans="1:45" s="119" customFormat="1">
      <c r="A552" s="206" t="str">
        <f t="shared" si="1058"/>
        <v>20-yr SL</v>
      </c>
      <c r="B552" s="250">
        <f>'Inputs &amp; Results'!C225</f>
        <v>1334606.5833054909</v>
      </c>
      <c r="C552" s="262">
        <f>IF('Inputs &amp; Results'!B255="Yes",B552,0)</f>
        <v>0</v>
      </c>
      <c r="D552" s="263">
        <f t="shared" si="1059"/>
        <v>0</v>
      </c>
      <c r="E552" s="146">
        <f t="shared" si="1057"/>
        <v>0</v>
      </c>
      <c r="F552" s="146">
        <f t="shared" si="1060"/>
        <v>0</v>
      </c>
      <c r="G552" s="248">
        <f t="shared" si="1061"/>
        <v>0</v>
      </c>
      <c r="H552" s="248">
        <f t="shared" si="1062"/>
        <v>0</v>
      </c>
      <c r="I552" s="248">
        <f t="shared" si="1063"/>
        <v>0</v>
      </c>
      <c r="J552" s="248">
        <f t="shared" si="1064"/>
        <v>0</v>
      </c>
      <c r="K552" s="248">
        <f t="shared" si="1065"/>
        <v>0</v>
      </c>
      <c r="L552" s="146"/>
      <c r="M552" s="146"/>
      <c r="N552" s="146"/>
      <c r="O552" s="146"/>
      <c r="P552" s="146"/>
      <c r="Q552" s="146"/>
      <c r="R552" s="146"/>
      <c r="S552" s="146"/>
      <c r="T552" s="146"/>
      <c r="U552" s="146"/>
      <c r="V552" s="146"/>
      <c r="W552" s="146"/>
      <c r="X552" s="146"/>
      <c r="Y552" s="146"/>
      <c r="Z552" s="146"/>
      <c r="AA552" s="146"/>
      <c r="AB552" s="146"/>
      <c r="AC552" s="146"/>
      <c r="AD552" s="146"/>
      <c r="AE552" s="146"/>
      <c r="AF552" s="146"/>
      <c r="AG552" s="146"/>
      <c r="AH552" s="146"/>
      <c r="AI552" s="146"/>
      <c r="AJ552" s="146"/>
      <c r="AK552" s="146"/>
      <c r="AL552" s="146"/>
      <c r="AM552" s="146"/>
      <c r="AN552" s="146"/>
      <c r="AO552" s="146"/>
      <c r="AP552" s="146"/>
      <c r="AQ552" s="146"/>
      <c r="AR552" s="146"/>
      <c r="AS552" s="146"/>
    </row>
    <row r="553" spans="1:45" s="119" customFormat="1">
      <c r="A553" s="206" t="str">
        <f t="shared" si="1058"/>
        <v>39-yr SL</v>
      </c>
      <c r="B553" s="250">
        <f>'Inputs &amp; Results'!C226</f>
        <v>222434.43055091516</v>
      </c>
      <c r="C553" s="262">
        <f>IF('Inputs &amp; Results'!B256="Yes",B553,0)</f>
        <v>0</v>
      </c>
      <c r="D553" s="263">
        <f t="shared" si="1059"/>
        <v>0</v>
      </c>
      <c r="E553" s="146">
        <f t="shared" si="1057"/>
        <v>0</v>
      </c>
      <c r="F553" s="146">
        <f t="shared" si="1060"/>
        <v>0</v>
      </c>
      <c r="G553" s="248">
        <f t="shared" si="1061"/>
        <v>0</v>
      </c>
      <c r="H553" s="248">
        <f t="shared" si="1062"/>
        <v>0</v>
      </c>
      <c r="I553" s="248">
        <f t="shared" si="1063"/>
        <v>0</v>
      </c>
      <c r="J553" s="248">
        <f t="shared" si="1064"/>
        <v>0</v>
      </c>
      <c r="K553" s="248">
        <f t="shared" si="1065"/>
        <v>0</v>
      </c>
      <c r="L553" s="146"/>
      <c r="M553" s="146"/>
      <c r="N553" s="146"/>
      <c r="O553" s="146"/>
      <c r="P553" s="146"/>
      <c r="Q553" s="146"/>
      <c r="R553" s="146"/>
      <c r="S553" s="146"/>
      <c r="T553" s="146"/>
      <c r="U553" s="146"/>
      <c r="V553" s="146"/>
      <c r="W553" s="146"/>
      <c r="X553" s="146"/>
      <c r="Y553" s="146"/>
      <c r="Z553" s="146"/>
      <c r="AA553" s="146"/>
      <c r="AB553" s="146"/>
      <c r="AC553" s="146"/>
      <c r="AD553" s="146"/>
      <c r="AE553" s="146"/>
      <c r="AF553" s="146"/>
      <c r="AG553" s="146"/>
      <c r="AH553" s="146"/>
      <c r="AI553" s="146"/>
      <c r="AJ553" s="146"/>
      <c r="AK553" s="146"/>
      <c r="AL553" s="146"/>
      <c r="AM553" s="146"/>
      <c r="AN553" s="146"/>
      <c r="AO553" s="146"/>
      <c r="AP553" s="146"/>
      <c r="AQ553" s="146"/>
      <c r="AR553" s="146"/>
      <c r="AS553" s="146"/>
    </row>
    <row r="554" spans="1:45" s="119" customFormat="1">
      <c r="A554" s="206" t="str">
        <f t="shared" si="1058"/>
        <v xml:space="preserve">Non-Depreciable </v>
      </c>
      <c r="B554" s="246">
        <f>'Inputs &amp; Results'!C227</f>
        <v>1334606.5833054872</v>
      </c>
      <c r="C554" s="233"/>
      <c r="D554" s="264"/>
      <c r="E554" s="264"/>
      <c r="F554" s="264"/>
      <c r="G554" s="265"/>
      <c r="H554" s="265"/>
      <c r="I554" s="265"/>
      <c r="J554" s="265"/>
      <c r="K554" s="265"/>
      <c r="L554" s="146"/>
      <c r="M554" s="146"/>
      <c r="N554" s="146"/>
      <c r="O554" s="146"/>
      <c r="P554" s="146"/>
      <c r="Q554" s="146"/>
      <c r="R554" s="146"/>
      <c r="S554" s="146"/>
      <c r="T554" s="146"/>
      <c r="U554" s="146"/>
      <c r="V554" s="146"/>
      <c r="W554" s="146"/>
      <c r="X554" s="146"/>
      <c r="Y554" s="146"/>
      <c r="Z554" s="146"/>
      <c r="AA554" s="146"/>
      <c r="AB554" s="146"/>
      <c r="AC554" s="146"/>
      <c r="AD554" s="146"/>
      <c r="AE554" s="146"/>
      <c r="AF554" s="146"/>
      <c r="AG554" s="146"/>
      <c r="AH554" s="146"/>
      <c r="AI554" s="146"/>
      <c r="AJ554" s="146"/>
      <c r="AK554" s="146"/>
      <c r="AL554" s="146"/>
      <c r="AM554" s="146"/>
      <c r="AN554" s="146"/>
      <c r="AO554" s="146"/>
      <c r="AP554" s="146"/>
      <c r="AQ554" s="146"/>
      <c r="AR554" s="146"/>
      <c r="AS554" s="146"/>
    </row>
    <row r="555" spans="1:45" s="119" customFormat="1">
      <c r="A555" s="37"/>
      <c r="B555" s="246">
        <f>SUM(B548:B554)</f>
        <v>44486886.11018303</v>
      </c>
      <c r="C555" s="237">
        <f>SUM(C548:C554)</f>
        <v>39593328.638062894</v>
      </c>
      <c r="D555" s="266">
        <f>SUM(D548:D554)</f>
        <v>1</v>
      </c>
      <c r="E555" s="249">
        <f>B564+B570</f>
        <v>3000</v>
      </c>
      <c r="F555" s="225">
        <f>B576</f>
        <v>0</v>
      </c>
      <c r="G555" s="249">
        <f>SUM(G548:G554)</f>
        <v>39590328.638062894</v>
      </c>
      <c r="H555" s="249">
        <f>MIN(ITCStateMax,ITCStatePercent*G555)</f>
        <v>0</v>
      </c>
      <c r="I555" s="249">
        <f>SUM(I548:I554)</f>
        <v>0</v>
      </c>
      <c r="J555" s="249">
        <f>ITCStateFixed</f>
        <v>20000</v>
      </c>
      <c r="K555" s="249">
        <f>SUM(K548:K554)</f>
        <v>10000</v>
      </c>
      <c r="L555" s="146"/>
      <c r="M555" s="146"/>
      <c r="N555" s="146"/>
      <c r="O555" s="146"/>
      <c r="P555" s="146"/>
      <c r="Q555" s="146"/>
      <c r="R555" s="146"/>
      <c r="S555" s="146"/>
      <c r="T555" s="146"/>
      <c r="U555" s="146"/>
      <c r="V555" s="146"/>
      <c r="W555" s="146"/>
      <c r="X555" s="146"/>
      <c r="Y555" s="146"/>
      <c r="Z555" s="146"/>
      <c r="AA555" s="146"/>
      <c r="AB555" s="146"/>
      <c r="AC555" s="146"/>
      <c r="AD555" s="146"/>
      <c r="AE555" s="146"/>
      <c r="AF555" s="146"/>
      <c r="AG555" s="146"/>
      <c r="AH555" s="146"/>
      <c r="AI555" s="146"/>
      <c r="AJ555" s="146"/>
      <c r="AK555" s="146"/>
      <c r="AL555" s="146"/>
      <c r="AM555" s="146"/>
      <c r="AN555" s="146"/>
      <c r="AO555" s="146"/>
      <c r="AP555" s="146"/>
      <c r="AQ555" s="146"/>
      <c r="AR555" s="146"/>
      <c r="AS555" s="146"/>
    </row>
    <row r="556" spans="1:45" s="119" customFormat="1">
      <c r="A556" s="37"/>
      <c r="B556" s="164"/>
      <c r="C556" s="164"/>
      <c r="D556" s="245"/>
      <c r="E556" s="220"/>
      <c r="F556" s="220"/>
      <c r="G556" s="220"/>
      <c r="H556" s="220"/>
      <c r="I556" s="146"/>
      <c r="J556" s="146"/>
      <c r="K556" s="42"/>
      <c r="L556" s="146"/>
      <c r="M556" s="146"/>
      <c r="N556" s="146"/>
      <c r="O556" s="146"/>
      <c r="P556" s="146"/>
      <c r="Q556" s="146"/>
      <c r="R556" s="146"/>
      <c r="S556" s="146"/>
      <c r="T556" s="146"/>
      <c r="U556" s="146"/>
      <c r="V556" s="146"/>
      <c r="W556" s="146"/>
      <c r="X556" s="146"/>
      <c r="Y556" s="146"/>
      <c r="Z556" s="146"/>
      <c r="AA556" s="146"/>
      <c r="AB556" s="146"/>
      <c r="AC556" s="146"/>
      <c r="AD556" s="146"/>
      <c r="AE556" s="146"/>
      <c r="AF556" s="146"/>
      <c r="AG556" s="146"/>
      <c r="AH556" s="146"/>
      <c r="AI556" s="146"/>
      <c r="AJ556" s="146"/>
      <c r="AK556" s="146"/>
      <c r="AL556" s="146"/>
      <c r="AM556" s="146"/>
      <c r="AN556" s="146"/>
      <c r="AO556" s="146"/>
      <c r="AP556" s="146"/>
      <c r="AQ556" s="146"/>
      <c r="AR556" s="146"/>
      <c r="AS556" s="146"/>
    </row>
    <row r="557" spans="1:45" s="119" customFormat="1">
      <c r="A557" s="206" t="s">
        <v>170</v>
      </c>
      <c r="B557" s="37"/>
      <c r="C557" s="146"/>
      <c r="D557" s="146"/>
      <c r="E557" s="146"/>
      <c r="F557" s="146"/>
      <c r="G557" s="267"/>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146"/>
      <c r="AD557" s="146"/>
      <c r="AE557" s="146"/>
      <c r="AF557" s="146"/>
      <c r="AG557" s="146"/>
      <c r="AH557" s="146"/>
      <c r="AI557" s="146"/>
      <c r="AJ557" s="146"/>
      <c r="AK557" s="146"/>
      <c r="AL557" s="146"/>
      <c r="AM557" s="146"/>
      <c r="AN557" s="146"/>
      <c r="AO557" s="146"/>
      <c r="AP557" s="146"/>
      <c r="AQ557" s="146"/>
      <c r="AR557" s="146"/>
    </row>
    <row r="558" spans="1:45" s="119" customFormat="1">
      <c r="A558" s="222" t="str">
        <f t="shared" ref="A558:A576" si="1066">A288</f>
        <v>Investment Based Incentive (IBI)</v>
      </c>
      <c r="B558" s="37"/>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146"/>
      <c r="AD558" s="146"/>
      <c r="AE558" s="146"/>
      <c r="AF558" s="146"/>
      <c r="AG558" s="146"/>
      <c r="AH558" s="146"/>
      <c r="AI558" s="146"/>
      <c r="AJ558" s="146"/>
      <c r="AK558" s="146"/>
      <c r="AL558" s="146"/>
      <c r="AM558" s="146"/>
      <c r="AN558" s="146"/>
      <c r="AO558" s="146"/>
      <c r="AP558" s="146"/>
      <c r="AQ558" s="146"/>
      <c r="AR558" s="146"/>
    </row>
    <row r="559" spans="1:45" s="119" customFormat="1">
      <c r="A559" s="238" t="str">
        <f t="shared" si="1066"/>
        <v>Fixed Amount ($)</v>
      </c>
      <c r="B559" s="37"/>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146"/>
      <c r="AD559" s="146"/>
      <c r="AE559" s="146"/>
      <c r="AF559" s="146"/>
      <c r="AG559" s="146"/>
      <c r="AH559" s="146"/>
      <c r="AI559" s="146"/>
      <c r="AJ559" s="146"/>
      <c r="AK559" s="146"/>
      <c r="AL559" s="146"/>
      <c r="AM559" s="146"/>
      <c r="AN559" s="146"/>
      <c r="AO559" s="146"/>
      <c r="AP559" s="146"/>
      <c r="AQ559" s="146"/>
      <c r="AR559" s="146"/>
    </row>
    <row r="560" spans="1:45" s="119" customFormat="1">
      <c r="A560" s="238" t="str">
        <f t="shared" si="1066"/>
        <v>Federal</v>
      </c>
      <c r="B560" s="164">
        <f>IF(IBIFedFixedStateITC="Yes",IBIFedFixed,0)</f>
        <v>1000</v>
      </c>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146"/>
      <c r="AD560" s="146"/>
      <c r="AE560" s="146"/>
      <c r="AF560" s="146"/>
      <c r="AG560" s="146"/>
      <c r="AH560" s="146"/>
      <c r="AI560" s="146"/>
      <c r="AJ560" s="146"/>
      <c r="AK560" s="146"/>
      <c r="AL560" s="146"/>
      <c r="AM560" s="146"/>
      <c r="AN560" s="146"/>
      <c r="AO560" s="146"/>
      <c r="AP560" s="146"/>
      <c r="AQ560" s="146"/>
      <c r="AR560" s="146"/>
    </row>
    <row r="561" spans="1:44" s="119" customFormat="1">
      <c r="A561" s="238" t="str">
        <f t="shared" si="1066"/>
        <v>State</v>
      </c>
      <c r="B561" s="164">
        <f>IF(IBIStateFixedStateITC="Yes",IBIStateFixed,0)</f>
        <v>2000</v>
      </c>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146"/>
      <c r="AD561" s="146"/>
      <c r="AE561" s="146"/>
      <c r="AF561" s="146"/>
      <c r="AG561" s="146"/>
      <c r="AH561" s="146"/>
      <c r="AI561" s="146"/>
      <c r="AJ561" s="146"/>
      <c r="AK561" s="146"/>
      <c r="AL561" s="146"/>
      <c r="AM561" s="146"/>
      <c r="AN561" s="146"/>
      <c r="AO561" s="146"/>
      <c r="AP561" s="146"/>
      <c r="AQ561" s="146"/>
      <c r="AR561" s="146"/>
    </row>
    <row r="562" spans="1:44" s="119" customFormat="1">
      <c r="A562" s="238" t="str">
        <f t="shared" si="1066"/>
        <v>Utility</v>
      </c>
      <c r="B562" s="164">
        <f>IF(IBIUtilityFixedStateITC="Yes",IBIUtilityFixed,0)</f>
        <v>0</v>
      </c>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146"/>
      <c r="AD562" s="146"/>
      <c r="AE562" s="146"/>
      <c r="AF562" s="146"/>
      <c r="AG562" s="146"/>
      <c r="AH562" s="146"/>
      <c r="AI562" s="146"/>
      <c r="AJ562" s="146"/>
      <c r="AK562" s="146"/>
      <c r="AL562" s="146"/>
      <c r="AM562" s="146"/>
      <c r="AN562" s="146"/>
      <c r="AO562" s="146"/>
      <c r="AP562" s="146"/>
      <c r="AQ562" s="146"/>
      <c r="AR562" s="146"/>
    </row>
    <row r="563" spans="1:44" s="119" customFormat="1">
      <c r="A563" s="238" t="str">
        <f t="shared" si="1066"/>
        <v>Other</v>
      </c>
      <c r="B563" s="209">
        <f>IF(IBIOtherFixedStateITC="Yes",IBIOtherFixed,0)</f>
        <v>0</v>
      </c>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146"/>
      <c r="AD563" s="146"/>
      <c r="AE563" s="146"/>
      <c r="AF563" s="146"/>
      <c r="AG563" s="146"/>
      <c r="AH563" s="146"/>
      <c r="AI563" s="146"/>
      <c r="AJ563" s="146"/>
      <c r="AK563" s="146"/>
      <c r="AL563" s="146"/>
      <c r="AM563" s="146"/>
      <c r="AN563" s="146"/>
      <c r="AO563" s="146"/>
      <c r="AP563" s="146"/>
      <c r="AQ563" s="146"/>
      <c r="AR563" s="146"/>
    </row>
    <row r="564" spans="1:44" s="119" customFormat="1">
      <c r="A564" s="238" t="str">
        <f t="shared" si="1066"/>
        <v>Total</v>
      </c>
      <c r="B564" s="164">
        <f>SUM(B560:B563)</f>
        <v>3000</v>
      </c>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146"/>
      <c r="AD564" s="146"/>
      <c r="AE564" s="146"/>
      <c r="AF564" s="146"/>
      <c r="AG564" s="146"/>
      <c r="AH564" s="146"/>
      <c r="AI564" s="146"/>
      <c r="AJ564" s="146"/>
      <c r="AK564" s="146"/>
      <c r="AL564" s="146"/>
      <c r="AM564" s="146"/>
      <c r="AN564" s="146"/>
      <c r="AO564" s="146"/>
      <c r="AP564" s="146"/>
      <c r="AQ564" s="146"/>
      <c r="AR564" s="146"/>
    </row>
    <row r="565" spans="1:44" s="119" customFormat="1">
      <c r="A565" s="222" t="str">
        <f t="shared" si="1066"/>
        <v>Percentage of Pre-Financing Costs</v>
      </c>
      <c r="B565" s="37"/>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146"/>
      <c r="AD565" s="146"/>
      <c r="AE565" s="146"/>
      <c r="AF565" s="146"/>
      <c r="AG565" s="146"/>
      <c r="AH565" s="146"/>
      <c r="AI565" s="146"/>
      <c r="AJ565" s="146"/>
      <c r="AK565" s="146"/>
      <c r="AL565" s="146"/>
      <c r="AM565" s="146"/>
      <c r="AN565" s="146"/>
      <c r="AO565" s="146"/>
      <c r="AP565" s="146"/>
      <c r="AQ565" s="146"/>
      <c r="AR565" s="146"/>
    </row>
    <row r="566" spans="1:44" s="119" customFormat="1">
      <c r="A566" s="238" t="str">
        <f t="shared" si="1066"/>
        <v>Federal</v>
      </c>
      <c r="B566" s="164">
        <f>IF(IBIFedPercentStateITC="Yes",IBIFedPercent,0)</f>
        <v>0</v>
      </c>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146"/>
      <c r="AD566" s="146"/>
      <c r="AE566" s="146"/>
      <c r="AF566" s="146"/>
      <c r="AG566" s="146"/>
      <c r="AH566" s="146"/>
      <c r="AI566" s="146"/>
      <c r="AJ566" s="146"/>
      <c r="AK566" s="146"/>
      <c r="AL566" s="146"/>
      <c r="AM566" s="146"/>
      <c r="AN566" s="146"/>
      <c r="AO566" s="146"/>
      <c r="AP566" s="146"/>
      <c r="AQ566" s="146"/>
      <c r="AR566" s="146"/>
    </row>
    <row r="567" spans="1:44" s="119" customFormat="1">
      <c r="A567" s="238" t="str">
        <f t="shared" si="1066"/>
        <v>State</v>
      </c>
      <c r="B567" s="164">
        <f>IF(IBIStatePercentStateITC="Yes",IBIStatePercent,0)</f>
        <v>0</v>
      </c>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146"/>
      <c r="AD567" s="146"/>
      <c r="AE567" s="146"/>
      <c r="AF567" s="146"/>
      <c r="AG567" s="146"/>
      <c r="AH567" s="146"/>
      <c r="AI567" s="146"/>
      <c r="AJ567" s="146"/>
      <c r="AK567" s="146"/>
      <c r="AL567" s="146"/>
      <c r="AM567" s="146"/>
      <c r="AN567" s="146"/>
      <c r="AO567" s="146"/>
      <c r="AP567" s="146"/>
      <c r="AQ567" s="146"/>
      <c r="AR567" s="146"/>
    </row>
    <row r="568" spans="1:44" s="119" customFormat="1">
      <c r="A568" s="238" t="str">
        <f t="shared" si="1066"/>
        <v>Utility</v>
      </c>
      <c r="B568" s="164">
        <f>IF(IBIUtilityPercentStateITC="Yes",IBIUtilityPercent,0)</f>
        <v>0</v>
      </c>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146"/>
      <c r="AD568" s="146"/>
      <c r="AE568" s="146"/>
      <c r="AF568" s="146"/>
      <c r="AG568" s="146"/>
      <c r="AH568" s="146"/>
      <c r="AI568" s="146"/>
      <c r="AJ568" s="146"/>
      <c r="AK568" s="146"/>
      <c r="AL568" s="146"/>
      <c r="AM568" s="146"/>
      <c r="AN568" s="146"/>
      <c r="AO568" s="146"/>
      <c r="AP568" s="146"/>
      <c r="AQ568" s="146"/>
      <c r="AR568" s="146"/>
    </row>
    <row r="569" spans="1:44" s="119" customFormat="1">
      <c r="A569" s="238" t="str">
        <f t="shared" si="1066"/>
        <v>Other</v>
      </c>
      <c r="B569" s="209">
        <f>IF(IBIOtherPercentStateITC="Yes",IBIOtherPercent,0)</f>
        <v>0</v>
      </c>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146"/>
      <c r="AD569" s="146"/>
      <c r="AE569" s="146"/>
      <c r="AF569" s="146"/>
      <c r="AG569" s="146"/>
      <c r="AH569" s="146"/>
      <c r="AI569" s="146"/>
      <c r="AJ569" s="146"/>
      <c r="AK569" s="146"/>
      <c r="AL569" s="146"/>
      <c r="AM569" s="146"/>
      <c r="AN569" s="146"/>
      <c r="AO569" s="146"/>
      <c r="AP569" s="146"/>
      <c r="AQ569" s="146"/>
      <c r="AR569" s="146"/>
    </row>
    <row r="570" spans="1:44" s="119" customFormat="1">
      <c r="A570" s="238" t="str">
        <f t="shared" si="1066"/>
        <v>Total</v>
      </c>
      <c r="B570" s="164">
        <f>SUM(B566:B569)</f>
        <v>0</v>
      </c>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146"/>
      <c r="AD570" s="146"/>
      <c r="AE570" s="146"/>
      <c r="AF570" s="146"/>
      <c r="AG570" s="146"/>
      <c r="AH570" s="146"/>
      <c r="AI570" s="146"/>
      <c r="AJ570" s="146"/>
      <c r="AK570" s="146"/>
      <c r="AL570" s="146"/>
      <c r="AM570" s="146"/>
      <c r="AN570" s="146"/>
      <c r="AO570" s="146"/>
      <c r="AP570" s="146"/>
      <c r="AQ570" s="146"/>
      <c r="AR570" s="146"/>
    </row>
    <row r="571" spans="1:44" s="119" customFormat="1">
      <c r="A571" s="222" t="str">
        <f t="shared" si="1066"/>
        <v>Capacity Based Incentive (CBI)</v>
      </c>
      <c r="B571" s="37"/>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146"/>
      <c r="AD571" s="146"/>
      <c r="AE571" s="146"/>
      <c r="AF571" s="146"/>
      <c r="AG571" s="146"/>
      <c r="AH571" s="146"/>
      <c r="AI571" s="146"/>
      <c r="AJ571" s="146"/>
      <c r="AK571" s="146"/>
      <c r="AL571" s="146"/>
      <c r="AM571" s="146"/>
      <c r="AN571" s="146"/>
      <c r="AO571" s="146"/>
      <c r="AP571" s="146"/>
      <c r="AQ571" s="146"/>
      <c r="AR571" s="146"/>
    </row>
    <row r="572" spans="1:44" s="119" customFormat="1">
      <c r="A572" s="238" t="str">
        <f t="shared" si="1066"/>
        <v>Federal</v>
      </c>
      <c r="B572" s="164">
        <f>IF(CBIFedStateITC="Yes",CBIFed,0)</f>
        <v>0</v>
      </c>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146"/>
      <c r="AD572" s="146"/>
      <c r="AE572" s="146"/>
      <c r="AF572" s="146"/>
      <c r="AG572" s="146"/>
      <c r="AH572" s="146"/>
      <c r="AI572" s="146"/>
      <c r="AJ572" s="146"/>
      <c r="AK572" s="146"/>
      <c r="AL572" s="146"/>
      <c r="AM572" s="146"/>
      <c r="AN572" s="146"/>
      <c r="AO572" s="146"/>
      <c r="AP572" s="146"/>
    </row>
    <row r="573" spans="1:44" s="119" customFormat="1">
      <c r="A573" s="238" t="str">
        <f t="shared" si="1066"/>
        <v>State</v>
      </c>
      <c r="B573" s="164">
        <f>IF(CBIStateStateITC="Yes",CBIState,0)</f>
        <v>0</v>
      </c>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146"/>
      <c r="AD573" s="146"/>
      <c r="AE573" s="146"/>
      <c r="AF573" s="146"/>
      <c r="AG573" s="146"/>
      <c r="AH573" s="146"/>
      <c r="AI573" s="146"/>
      <c r="AJ573" s="146"/>
      <c r="AK573" s="146"/>
      <c r="AL573" s="146"/>
      <c r="AM573" s="146"/>
      <c r="AN573" s="146"/>
      <c r="AO573" s="146"/>
      <c r="AP573" s="146"/>
    </row>
    <row r="574" spans="1:44" s="119" customFormat="1">
      <c r="A574" s="238" t="str">
        <f t="shared" si="1066"/>
        <v>Utility</v>
      </c>
      <c r="B574" s="164">
        <f>IF(CBIUtilityStateITC="Yes",CBIUtility,0)</f>
        <v>0</v>
      </c>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146"/>
      <c r="AD574" s="146"/>
      <c r="AE574" s="146"/>
      <c r="AF574" s="146"/>
      <c r="AG574" s="146"/>
      <c r="AH574" s="146"/>
      <c r="AI574" s="146"/>
      <c r="AJ574" s="146"/>
      <c r="AK574" s="146"/>
      <c r="AL574" s="146"/>
      <c r="AM574" s="146"/>
      <c r="AN574" s="146"/>
      <c r="AO574" s="146"/>
      <c r="AP574" s="146"/>
    </row>
    <row r="575" spans="1:44" s="119" customFormat="1">
      <c r="A575" s="238" t="str">
        <f t="shared" si="1066"/>
        <v>Other</v>
      </c>
      <c r="B575" s="209">
        <f>IF(CBIOtherStateITC="Yes",CBIOther,0)</f>
        <v>0</v>
      </c>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146"/>
      <c r="AD575" s="146"/>
      <c r="AE575" s="146"/>
      <c r="AF575" s="146"/>
      <c r="AG575" s="146"/>
      <c r="AH575" s="146"/>
      <c r="AI575" s="146"/>
      <c r="AJ575" s="146"/>
      <c r="AK575" s="146"/>
      <c r="AL575" s="146"/>
      <c r="AM575" s="146"/>
      <c r="AN575" s="146"/>
      <c r="AO575" s="146"/>
      <c r="AP575" s="146"/>
    </row>
    <row r="576" spans="1:44" s="119" customFormat="1">
      <c r="A576" s="238" t="str">
        <f t="shared" si="1066"/>
        <v>Total</v>
      </c>
      <c r="B576" s="216">
        <f>SUM(B572:B575)</f>
        <v>0</v>
      </c>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146"/>
      <c r="AD576" s="146"/>
      <c r="AE576" s="146"/>
      <c r="AF576" s="146"/>
      <c r="AG576" s="146"/>
      <c r="AH576" s="146"/>
      <c r="AI576" s="146"/>
      <c r="AJ576" s="146"/>
      <c r="AK576" s="146"/>
      <c r="AL576" s="146"/>
      <c r="AM576" s="146"/>
      <c r="AN576" s="146"/>
      <c r="AO576" s="146"/>
      <c r="AP576" s="146"/>
    </row>
    <row r="577" spans="1:42" s="119" customFormat="1">
      <c r="A577" s="206" t="s">
        <v>169</v>
      </c>
      <c r="B577" s="164">
        <f>B564+B570+B576</f>
        <v>3000</v>
      </c>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146"/>
      <c r="AD577" s="146"/>
      <c r="AE577" s="146"/>
      <c r="AF577" s="146"/>
      <c r="AG577" s="146"/>
      <c r="AH577" s="146"/>
      <c r="AI577" s="146"/>
      <c r="AJ577" s="146"/>
      <c r="AK577" s="146"/>
      <c r="AL577" s="146"/>
      <c r="AM577" s="146"/>
      <c r="AN577" s="146"/>
      <c r="AO577" s="146"/>
      <c r="AP577" s="146"/>
    </row>
    <row r="578" spans="1:42" s="119" customFormat="1">
      <c r="A578" s="268" t="s">
        <v>292</v>
      </c>
      <c r="B578" s="269" t="str">
        <f>IF(B577-E555-F555=0,"OK","Check")</f>
        <v>OK</v>
      </c>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146"/>
      <c r="AD578" s="146"/>
      <c r="AE578" s="146"/>
      <c r="AF578" s="146"/>
      <c r="AG578" s="146"/>
      <c r="AH578" s="146"/>
      <c r="AI578" s="146"/>
      <c r="AJ578" s="146"/>
      <c r="AK578" s="146"/>
      <c r="AL578" s="146"/>
      <c r="AM578" s="146"/>
      <c r="AN578" s="146"/>
      <c r="AO578" s="146"/>
      <c r="AP578" s="146"/>
    </row>
    <row r="579" spans="1:42" s="119" customFormat="1">
      <c r="A579" s="22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146"/>
      <c r="AD579" s="146"/>
      <c r="AE579" s="146"/>
      <c r="AF579" s="146"/>
      <c r="AG579" s="146"/>
      <c r="AH579" s="146"/>
      <c r="AI579" s="146"/>
      <c r="AJ579" s="146"/>
      <c r="AK579" s="146"/>
      <c r="AL579" s="146"/>
      <c r="AM579" s="146"/>
      <c r="AN579" s="146"/>
      <c r="AO579" s="146"/>
      <c r="AP579" s="146"/>
    </row>
    <row r="580" spans="1:42" s="119" customFormat="1">
      <c r="A580" s="251" t="s">
        <v>178</v>
      </c>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146"/>
      <c r="AD580" s="146"/>
      <c r="AE580" s="146"/>
      <c r="AF580" s="146"/>
      <c r="AG580" s="146"/>
      <c r="AH580" s="146"/>
      <c r="AI580" s="146"/>
      <c r="AJ580" s="146"/>
      <c r="AK580" s="146"/>
      <c r="AL580" s="146"/>
      <c r="AM580" s="146"/>
      <c r="AN580" s="146"/>
      <c r="AO580" s="146"/>
      <c r="AP580" s="146"/>
    </row>
    <row r="581" spans="1:42" s="119" customFormat="1">
      <c r="A581" s="37" t="s">
        <v>83</v>
      </c>
      <c r="B581" s="252" t="s">
        <v>173</v>
      </c>
      <c r="C581" s="253"/>
      <c r="D581" s="253"/>
      <c r="E581" s="349"/>
      <c r="F581" s="253"/>
      <c r="G581" s="253"/>
      <c r="H581" s="253"/>
      <c r="I581" s="254"/>
      <c r="J581" s="255" t="s">
        <v>174</v>
      </c>
      <c r="K581" s="256"/>
      <c r="L581" s="146"/>
      <c r="M581" s="146"/>
      <c r="N581" s="146"/>
      <c r="O581" s="146"/>
      <c r="P581" s="146"/>
      <c r="Q581" s="146"/>
      <c r="R581" s="146"/>
      <c r="S581" s="146"/>
      <c r="T581" s="146"/>
      <c r="U581" s="146"/>
      <c r="V581" s="146"/>
      <c r="W581" s="146"/>
      <c r="X581" s="146"/>
      <c r="Y581" s="146"/>
      <c r="Z581" s="146"/>
      <c r="AA581" s="146"/>
      <c r="AB581" s="146"/>
      <c r="AC581" s="146"/>
      <c r="AD581" s="146"/>
      <c r="AE581" s="146"/>
      <c r="AF581" s="146"/>
      <c r="AG581" s="146"/>
      <c r="AH581" s="146"/>
      <c r="AI581" s="146"/>
      <c r="AJ581" s="146"/>
      <c r="AK581" s="146"/>
      <c r="AL581" s="146"/>
      <c r="AM581" s="146"/>
      <c r="AN581" s="146"/>
      <c r="AO581" s="146"/>
      <c r="AP581" s="146"/>
    </row>
    <row r="582" spans="1:42" s="119" customFormat="1" ht="38.25">
      <c r="A582" s="37"/>
      <c r="B582" s="133" t="s">
        <v>164</v>
      </c>
      <c r="C582" s="133" t="s">
        <v>163</v>
      </c>
      <c r="D582" s="133" t="s">
        <v>166</v>
      </c>
      <c r="E582" s="133" t="s">
        <v>155</v>
      </c>
      <c r="F582" s="228" t="s">
        <v>156</v>
      </c>
      <c r="G582" s="228" t="s">
        <v>172</v>
      </c>
      <c r="H582" s="133" t="s">
        <v>165</v>
      </c>
      <c r="I582" s="133" t="s">
        <v>167</v>
      </c>
      <c r="J582" s="257" t="s">
        <v>34</v>
      </c>
      <c r="K582" s="133" t="s">
        <v>167</v>
      </c>
      <c r="L582" s="146"/>
      <c r="M582" s="146"/>
      <c r="N582" s="146"/>
      <c r="O582" s="146"/>
      <c r="P582" s="146"/>
      <c r="Q582" s="146"/>
      <c r="R582" s="146"/>
      <c r="S582" s="146"/>
      <c r="T582" s="146"/>
      <c r="U582" s="146"/>
      <c r="V582" s="146"/>
      <c r="W582" s="146"/>
      <c r="X582" s="146"/>
      <c r="Y582" s="146"/>
      <c r="Z582" s="146"/>
      <c r="AA582" s="146"/>
      <c r="AB582" s="146"/>
      <c r="AC582" s="146"/>
      <c r="AD582" s="146"/>
      <c r="AE582" s="146"/>
      <c r="AF582" s="146"/>
      <c r="AG582" s="146"/>
      <c r="AH582" s="146"/>
      <c r="AI582" s="146"/>
      <c r="AJ582" s="146"/>
      <c r="AK582" s="146"/>
      <c r="AL582" s="146"/>
      <c r="AM582" s="146"/>
      <c r="AN582" s="146"/>
      <c r="AO582" s="146"/>
      <c r="AP582" s="146"/>
    </row>
    <row r="583" spans="1:42" s="119" customFormat="1">
      <c r="A583" s="206" t="str">
        <f>A548</f>
        <v>5-yr MACRS</v>
      </c>
      <c r="B583" s="250">
        <f>'Inputs &amp; Results'!C221</f>
        <v>39593328.638062894</v>
      </c>
      <c r="C583" s="258">
        <f>IF('Inputs &amp; Results'!B259="Yes",B583,0)</f>
        <v>39593328.638062894</v>
      </c>
      <c r="D583" s="259">
        <f>C583/$C$590</f>
        <v>1</v>
      </c>
      <c r="E583" s="146">
        <f t="shared" ref="E583:E588" si="1067">$E$590*D583</f>
        <v>3000</v>
      </c>
      <c r="F583" s="146">
        <f t="shared" ref="F583:F588" si="1068">$F$590*D583</f>
        <v>5000000</v>
      </c>
      <c r="G583" s="248">
        <f>C583-E583-F583</f>
        <v>34590328.638062894</v>
      </c>
      <c r="H583" s="261">
        <f>$H$590*D583</f>
        <v>0</v>
      </c>
      <c r="I583" s="261">
        <f>H583*0.5</f>
        <v>0</v>
      </c>
      <c r="J583" s="248">
        <f>D583*$J$590</f>
        <v>10000</v>
      </c>
      <c r="K583" s="248">
        <f>J583*0.5</f>
        <v>5000</v>
      </c>
      <c r="L583" s="146"/>
      <c r="M583" s="146"/>
      <c r="N583" s="146"/>
      <c r="O583" s="146"/>
      <c r="P583" s="146"/>
      <c r="Q583" s="146"/>
      <c r="R583" s="146"/>
      <c r="S583" s="146"/>
      <c r="T583" s="146"/>
      <c r="U583" s="146"/>
      <c r="V583" s="146"/>
      <c r="W583" s="146"/>
      <c r="X583" s="146"/>
      <c r="Y583" s="146"/>
      <c r="Z583" s="146"/>
      <c r="AA583" s="146"/>
      <c r="AB583" s="146"/>
      <c r="AC583" s="146"/>
      <c r="AD583" s="146"/>
      <c r="AE583" s="146"/>
      <c r="AF583" s="146"/>
      <c r="AG583" s="146"/>
      <c r="AH583" s="146"/>
      <c r="AI583" s="146"/>
      <c r="AJ583" s="146"/>
      <c r="AK583" s="146"/>
      <c r="AL583" s="146"/>
      <c r="AM583" s="146"/>
      <c r="AN583" s="146"/>
      <c r="AO583" s="146"/>
      <c r="AP583" s="146"/>
    </row>
    <row r="584" spans="1:42" s="119" customFormat="1">
      <c r="A584" s="206" t="str">
        <f t="shared" ref="A584:A589" si="1069">A549</f>
        <v>15-yr MACRS</v>
      </c>
      <c r="B584" s="250">
        <f>'Inputs &amp; Results'!C222</f>
        <v>667303.29165274545</v>
      </c>
      <c r="C584" s="262">
        <f>IF('Inputs &amp; Results'!B260="Yes",B584,0)</f>
        <v>0</v>
      </c>
      <c r="D584" s="263">
        <f t="shared" ref="D584:D588" si="1070">C584/$C$590</f>
        <v>0</v>
      </c>
      <c r="E584" s="146">
        <f t="shared" si="1067"/>
        <v>0</v>
      </c>
      <c r="F584" s="146">
        <f t="shared" si="1068"/>
        <v>0</v>
      </c>
      <c r="G584" s="248">
        <f t="shared" ref="G584:G588" si="1071">C584-E584-F584</f>
        <v>0</v>
      </c>
      <c r="H584" s="248">
        <f t="shared" ref="H584:H588" si="1072">$H$590*D584</f>
        <v>0</v>
      </c>
      <c r="I584" s="248">
        <f t="shared" ref="I584:I588" si="1073">H584*0.5</f>
        <v>0</v>
      </c>
      <c r="J584" s="248">
        <f t="shared" ref="J584:J588" si="1074">D584*$J$590</f>
        <v>0</v>
      </c>
      <c r="K584" s="248">
        <f t="shared" ref="K584:K588" si="1075">J584*0.5</f>
        <v>0</v>
      </c>
      <c r="L584" s="146"/>
      <c r="M584" s="146"/>
      <c r="N584" s="146"/>
      <c r="O584" s="146"/>
      <c r="P584" s="146"/>
      <c r="Q584" s="146"/>
      <c r="R584" s="146"/>
      <c r="S584" s="146"/>
      <c r="T584" s="146"/>
      <c r="U584" s="146"/>
      <c r="V584" s="146"/>
      <c r="W584" s="146"/>
      <c r="X584" s="146"/>
      <c r="Y584" s="146"/>
      <c r="Z584" s="146"/>
      <c r="AA584" s="146"/>
      <c r="AB584" s="146"/>
      <c r="AC584" s="146"/>
      <c r="AD584" s="146"/>
      <c r="AE584" s="146"/>
      <c r="AF584" s="146"/>
      <c r="AG584" s="146"/>
      <c r="AH584" s="146"/>
      <c r="AI584" s="146"/>
      <c r="AJ584" s="146"/>
      <c r="AK584" s="146"/>
      <c r="AL584" s="146"/>
      <c r="AM584" s="146"/>
      <c r="AN584" s="146"/>
      <c r="AO584" s="146"/>
      <c r="AP584" s="146"/>
    </row>
    <row r="585" spans="1:42" s="119" customFormat="1">
      <c r="A585" s="206" t="str">
        <f t="shared" si="1069"/>
        <v>5-yr SL</v>
      </c>
      <c r="B585" s="250">
        <f>'Inputs &amp; Results'!C223</f>
        <v>0</v>
      </c>
      <c r="C585" s="262">
        <f>IF('Inputs &amp; Results'!B261="Yes",B585,0)</f>
        <v>0</v>
      </c>
      <c r="D585" s="263">
        <f t="shared" si="1070"/>
        <v>0</v>
      </c>
      <c r="E585" s="146">
        <f t="shared" si="1067"/>
        <v>0</v>
      </c>
      <c r="F585" s="146">
        <f t="shared" si="1068"/>
        <v>0</v>
      </c>
      <c r="G585" s="248">
        <f t="shared" si="1071"/>
        <v>0</v>
      </c>
      <c r="H585" s="248">
        <f t="shared" si="1072"/>
        <v>0</v>
      </c>
      <c r="I585" s="248">
        <f t="shared" si="1073"/>
        <v>0</v>
      </c>
      <c r="J585" s="248">
        <f t="shared" si="1074"/>
        <v>0</v>
      </c>
      <c r="K585" s="248">
        <f t="shared" si="1075"/>
        <v>0</v>
      </c>
      <c r="L585" s="146"/>
      <c r="M585" s="146"/>
      <c r="N585" s="146"/>
      <c r="O585" s="146"/>
      <c r="P585" s="146"/>
      <c r="Q585" s="146"/>
      <c r="R585" s="146"/>
      <c r="S585" s="146"/>
      <c r="T585" s="146"/>
      <c r="U585" s="146"/>
      <c r="V585" s="146"/>
      <c r="W585" s="146"/>
      <c r="X585" s="146"/>
      <c r="Y585" s="146"/>
      <c r="Z585" s="146"/>
      <c r="AA585" s="146"/>
      <c r="AB585" s="146"/>
      <c r="AC585" s="146"/>
      <c r="AD585" s="146"/>
      <c r="AE585" s="146"/>
      <c r="AF585" s="146"/>
      <c r="AG585" s="146"/>
      <c r="AH585" s="146"/>
      <c r="AI585" s="146"/>
      <c r="AJ585" s="146"/>
      <c r="AK585" s="146"/>
      <c r="AL585" s="146"/>
      <c r="AM585" s="146"/>
      <c r="AN585" s="146"/>
      <c r="AO585" s="146"/>
      <c r="AP585" s="146"/>
    </row>
    <row r="586" spans="1:42" s="119" customFormat="1">
      <c r="A586" s="206" t="str">
        <f t="shared" si="1069"/>
        <v>15-yr SL</v>
      </c>
      <c r="B586" s="250">
        <f>'Inputs &amp; Results'!C224</f>
        <v>1334606.5833054909</v>
      </c>
      <c r="C586" s="262">
        <f>IF('Inputs &amp; Results'!B262="Yes",B586,0)</f>
        <v>0</v>
      </c>
      <c r="D586" s="263">
        <f t="shared" si="1070"/>
        <v>0</v>
      </c>
      <c r="E586" s="146">
        <f t="shared" si="1067"/>
        <v>0</v>
      </c>
      <c r="F586" s="146">
        <f t="shared" si="1068"/>
        <v>0</v>
      </c>
      <c r="G586" s="248">
        <f t="shared" si="1071"/>
        <v>0</v>
      </c>
      <c r="H586" s="248">
        <f t="shared" si="1072"/>
        <v>0</v>
      </c>
      <c r="I586" s="248">
        <f t="shared" si="1073"/>
        <v>0</v>
      </c>
      <c r="J586" s="248">
        <f t="shared" si="1074"/>
        <v>0</v>
      </c>
      <c r="K586" s="248">
        <f t="shared" si="1075"/>
        <v>0</v>
      </c>
      <c r="L586" s="146"/>
      <c r="M586" s="146"/>
      <c r="N586" s="146"/>
      <c r="O586" s="146"/>
      <c r="P586" s="146"/>
      <c r="Q586" s="146"/>
      <c r="R586" s="146"/>
      <c r="S586" s="146"/>
      <c r="T586" s="146"/>
      <c r="U586" s="146"/>
      <c r="V586" s="146"/>
      <c r="W586" s="146"/>
      <c r="X586" s="146"/>
      <c r="Y586" s="146"/>
      <c r="Z586" s="146"/>
      <c r="AA586" s="146"/>
      <c r="AB586" s="146"/>
      <c r="AC586" s="146"/>
      <c r="AD586" s="146"/>
      <c r="AE586" s="146"/>
      <c r="AF586" s="146"/>
      <c r="AG586" s="146"/>
      <c r="AH586" s="146"/>
      <c r="AI586" s="146"/>
      <c r="AJ586" s="146"/>
      <c r="AK586" s="146"/>
      <c r="AL586" s="146"/>
      <c r="AM586" s="146"/>
      <c r="AN586" s="146"/>
      <c r="AO586" s="146"/>
      <c r="AP586" s="146"/>
    </row>
    <row r="587" spans="1:42" s="119" customFormat="1">
      <c r="A587" s="206" t="str">
        <f t="shared" si="1069"/>
        <v>20-yr SL</v>
      </c>
      <c r="B587" s="250">
        <f>'Inputs &amp; Results'!C225</f>
        <v>1334606.5833054909</v>
      </c>
      <c r="C587" s="262">
        <f>IF('Inputs &amp; Results'!B263="Yes",B587,0)</f>
        <v>0</v>
      </c>
      <c r="D587" s="263">
        <f t="shared" si="1070"/>
        <v>0</v>
      </c>
      <c r="E587" s="146">
        <f t="shared" si="1067"/>
        <v>0</v>
      </c>
      <c r="F587" s="146">
        <f t="shared" si="1068"/>
        <v>0</v>
      </c>
      <c r="G587" s="248">
        <f t="shared" si="1071"/>
        <v>0</v>
      </c>
      <c r="H587" s="248">
        <f t="shared" si="1072"/>
        <v>0</v>
      </c>
      <c r="I587" s="248">
        <f t="shared" si="1073"/>
        <v>0</v>
      </c>
      <c r="J587" s="248">
        <f t="shared" si="1074"/>
        <v>0</v>
      </c>
      <c r="K587" s="248">
        <f t="shared" si="1075"/>
        <v>0</v>
      </c>
      <c r="L587" s="146"/>
      <c r="M587" s="146"/>
      <c r="N587" s="146"/>
      <c r="O587" s="146"/>
      <c r="P587" s="146"/>
      <c r="Q587" s="146"/>
      <c r="R587" s="146"/>
      <c r="S587" s="146"/>
      <c r="T587" s="146"/>
      <c r="U587" s="146"/>
      <c r="V587" s="146"/>
      <c r="W587" s="146"/>
      <c r="X587" s="146"/>
      <c r="Y587" s="146"/>
      <c r="Z587" s="146"/>
      <c r="AA587" s="146"/>
      <c r="AB587" s="146"/>
      <c r="AC587" s="146"/>
      <c r="AD587" s="146"/>
      <c r="AE587" s="146"/>
      <c r="AF587" s="146"/>
      <c r="AG587" s="146"/>
      <c r="AH587" s="146"/>
      <c r="AI587" s="146"/>
      <c r="AJ587" s="146"/>
      <c r="AK587" s="146"/>
      <c r="AL587" s="146"/>
      <c r="AM587" s="146"/>
      <c r="AN587" s="146"/>
      <c r="AO587" s="146"/>
      <c r="AP587" s="146"/>
    </row>
    <row r="588" spans="1:42" s="119" customFormat="1">
      <c r="A588" s="206" t="str">
        <f t="shared" si="1069"/>
        <v>39-yr SL</v>
      </c>
      <c r="B588" s="250">
        <f>'Inputs &amp; Results'!C226</f>
        <v>222434.43055091516</v>
      </c>
      <c r="C588" s="262">
        <f>IF('Inputs &amp; Results'!B264="Yes",B588,0)</f>
        <v>0</v>
      </c>
      <c r="D588" s="263">
        <f t="shared" si="1070"/>
        <v>0</v>
      </c>
      <c r="E588" s="146">
        <f t="shared" si="1067"/>
        <v>0</v>
      </c>
      <c r="F588" s="146">
        <f t="shared" si="1068"/>
        <v>0</v>
      </c>
      <c r="G588" s="248">
        <f t="shared" si="1071"/>
        <v>0</v>
      </c>
      <c r="H588" s="248">
        <f t="shared" si="1072"/>
        <v>0</v>
      </c>
      <c r="I588" s="248">
        <f t="shared" si="1073"/>
        <v>0</v>
      </c>
      <c r="J588" s="248">
        <f t="shared" si="1074"/>
        <v>0</v>
      </c>
      <c r="K588" s="248">
        <f t="shared" si="1075"/>
        <v>0</v>
      </c>
      <c r="L588" s="146"/>
      <c r="M588" s="146"/>
      <c r="N588" s="146"/>
      <c r="O588" s="146"/>
      <c r="P588" s="146"/>
      <c r="Q588" s="146"/>
      <c r="R588" s="146"/>
      <c r="S588" s="146"/>
      <c r="T588" s="146"/>
      <c r="U588" s="146"/>
      <c r="V588" s="146"/>
      <c r="W588" s="146"/>
      <c r="X588" s="146"/>
      <c r="Y588" s="146"/>
      <c r="Z588" s="146"/>
      <c r="AA588" s="146"/>
      <c r="AB588" s="146"/>
      <c r="AC588" s="146"/>
      <c r="AD588" s="146"/>
      <c r="AE588" s="146"/>
      <c r="AF588" s="146"/>
      <c r="AG588" s="146"/>
      <c r="AH588" s="146"/>
      <c r="AI588" s="146"/>
      <c r="AJ588" s="146"/>
      <c r="AK588" s="146"/>
      <c r="AL588" s="146"/>
      <c r="AM588" s="146"/>
      <c r="AN588" s="146"/>
      <c r="AO588" s="146"/>
      <c r="AP588" s="146"/>
    </row>
    <row r="589" spans="1:42" s="119" customFormat="1">
      <c r="A589" s="206" t="str">
        <f t="shared" si="1069"/>
        <v xml:space="preserve">Non-Depreciable </v>
      </c>
      <c r="B589" s="237">
        <f>'Inputs &amp; Results'!C227</f>
        <v>1334606.5833054872</v>
      </c>
      <c r="C589" s="233"/>
      <c r="D589" s="264"/>
      <c r="E589" s="264"/>
      <c r="F589" s="264"/>
      <c r="G589" s="265"/>
      <c r="H589" s="265"/>
      <c r="I589" s="265"/>
      <c r="J589" s="265"/>
      <c r="K589" s="265"/>
      <c r="L589" s="146"/>
      <c r="M589" s="146"/>
      <c r="N589" s="146"/>
      <c r="O589" s="146"/>
      <c r="P589" s="146"/>
      <c r="Q589" s="146"/>
      <c r="R589" s="146"/>
      <c r="S589" s="146"/>
      <c r="T589" s="146"/>
      <c r="U589" s="146"/>
      <c r="V589" s="146"/>
      <c r="W589" s="146"/>
      <c r="X589" s="146"/>
      <c r="Y589" s="146"/>
      <c r="Z589" s="146"/>
      <c r="AA589" s="146"/>
      <c r="AB589" s="146"/>
      <c r="AC589" s="146"/>
      <c r="AD589" s="146"/>
      <c r="AE589" s="146"/>
      <c r="AF589" s="146"/>
      <c r="AG589" s="146"/>
      <c r="AH589" s="146"/>
      <c r="AI589" s="146"/>
      <c r="AJ589" s="146"/>
      <c r="AK589" s="146"/>
      <c r="AL589" s="146"/>
      <c r="AM589" s="146"/>
      <c r="AN589" s="146"/>
      <c r="AO589" s="146"/>
      <c r="AP589" s="146"/>
    </row>
    <row r="590" spans="1:42" s="119" customFormat="1">
      <c r="A590" s="37"/>
      <c r="B590" s="246">
        <f>SUM(B583:B589)</f>
        <v>44486886.11018303</v>
      </c>
      <c r="C590" s="237">
        <f>SUM(C583:C589)</f>
        <v>39593328.638062894</v>
      </c>
      <c r="D590" s="266">
        <f>SUM(D583:D589)</f>
        <v>1</v>
      </c>
      <c r="E590" s="249">
        <f>B599+B604</f>
        <v>3000</v>
      </c>
      <c r="F590" s="225">
        <f>B611</f>
        <v>5000000</v>
      </c>
      <c r="G590" s="249">
        <f>SUM(G583:G589)</f>
        <v>34590328.638062894</v>
      </c>
      <c r="H590" s="249">
        <f>MIN(ITCFedMax,ITCFedPercent*G590)</f>
        <v>0</v>
      </c>
      <c r="I590" s="249">
        <f>SUM(I583:I589)</f>
        <v>0</v>
      </c>
      <c r="J590" s="249">
        <f>ITCFedFixed</f>
        <v>10000</v>
      </c>
      <c r="K590" s="249">
        <f>SUM(K583:K589)</f>
        <v>5000</v>
      </c>
      <c r="L590" s="146"/>
      <c r="M590" s="146"/>
      <c r="N590" s="146"/>
      <c r="O590" s="146"/>
      <c r="P590" s="146"/>
      <c r="Q590" s="146"/>
      <c r="R590" s="146"/>
      <c r="S590" s="146"/>
      <c r="T590" s="146"/>
      <c r="U590" s="146"/>
      <c r="V590" s="146"/>
      <c r="W590" s="146"/>
      <c r="X590" s="146"/>
      <c r="Y590" s="146"/>
      <c r="Z590" s="146"/>
      <c r="AA590" s="146"/>
      <c r="AB590" s="146"/>
      <c r="AC590" s="146"/>
      <c r="AD590" s="146"/>
      <c r="AE590" s="146"/>
      <c r="AF590" s="146"/>
      <c r="AG590" s="146"/>
      <c r="AH590" s="146"/>
      <c r="AI590" s="146"/>
      <c r="AJ590" s="146"/>
      <c r="AK590" s="146"/>
      <c r="AL590" s="146"/>
      <c r="AM590" s="146"/>
      <c r="AN590" s="146"/>
      <c r="AO590" s="146"/>
      <c r="AP590" s="146"/>
    </row>
    <row r="591" spans="1:42" s="119" customFormat="1">
      <c r="A591" s="37"/>
      <c r="B591" s="164"/>
      <c r="C591" s="164"/>
      <c r="D591" s="245"/>
      <c r="E591" s="220"/>
      <c r="F591" s="220"/>
      <c r="G591" s="220"/>
      <c r="H591" s="220"/>
      <c r="I591" s="146"/>
      <c r="J591" s="146"/>
      <c r="K591" s="42"/>
      <c r="L591" s="146"/>
      <c r="M591" s="146"/>
      <c r="N591" s="146"/>
      <c r="O591" s="146"/>
      <c r="P591" s="146"/>
      <c r="Q591" s="146"/>
      <c r="R591" s="146"/>
      <c r="S591" s="146"/>
      <c r="T591" s="146"/>
      <c r="U591" s="146"/>
      <c r="V591" s="146"/>
      <c r="W591" s="146"/>
      <c r="X591" s="146"/>
      <c r="Y591" s="146"/>
      <c r="Z591" s="146"/>
      <c r="AA591" s="146"/>
      <c r="AB591" s="146"/>
      <c r="AC591" s="146"/>
      <c r="AD591" s="146"/>
      <c r="AE591" s="146"/>
      <c r="AF591" s="146"/>
      <c r="AG591" s="146"/>
      <c r="AH591" s="146"/>
      <c r="AI591" s="146"/>
      <c r="AJ591" s="146"/>
      <c r="AK591" s="146"/>
      <c r="AL591" s="146"/>
      <c r="AM591" s="146"/>
      <c r="AN591" s="146"/>
      <c r="AO591" s="146"/>
      <c r="AP591" s="146"/>
    </row>
    <row r="592" spans="1:42" s="119" customFormat="1">
      <c r="A592" s="206" t="s">
        <v>170</v>
      </c>
      <c r="B592" s="37"/>
      <c r="C592" s="146"/>
      <c r="D592" s="146"/>
      <c r="E592" s="146"/>
      <c r="F592" s="146"/>
      <c r="G592" s="267"/>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146"/>
      <c r="AD592" s="146"/>
      <c r="AE592" s="146"/>
      <c r="AF592" s="146"/>
      <c r="AG592" s="146"/>
      <c r="AH592" s="146"/>
      <c r="AI592" s="146"/>
      <c r="AJ592" s="146"/>
      <c r="AK592" s="146"/>
      <c r="AL592" s="146"/>
      <c r="AM592" s="146"/>
      <c r="AN592" s="146"/>
      <c r="AO592" s="146"/>
      <c r="AP592" s="146"/>
    </row>
    <row r="593" spans="1:42" s="119" customFormat="1">
      <c r="A593" s="222" t="str">
        <f>A558</f>
        <v>Investment Based Incentive (IBI)</v>
      </c>
      <c r="B593" s="37"/>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146"/>
      <c r="AD593" s="146"/>
      <c r="AE593" s="146"/>
      <c r="AF593" s="146"/>
      <c r="AG593" s="146"/>
      <c r="AH593" s="146"/>
      <c r="AI593" s="146"/>
      <c r="AJ593" s="146"/>
      <c r="AK593" s="146"/>
      <c r="AL593" s="146"/>
      <c r="AM593" s="146"/>
      <c r="AN593" s="146"/>
      <c r="AO593" s="146"/>
      <c r="AP593" s="146"/>
    </row>
    <row r="594" spans="1:42" s="119" customFormat="1">
      <c r="A594" s="238" t="str">
        <f t="shared" ref="A594:A612" si="1076">A559</f>
        <v>Fixed Amount ($)</v>
      </c>
      <c r="B594" s="37"/>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146"/>
      <c r="AD594" s="146"/>
      <c r="AE594" s="146"/>
      <c r="AF594" s="146"/>
      <c r="AG594" s="146"/>
      <c r="AH594" s="146"/>
      <c r="AI594" s="146"/>
      <c r="AJ594" s="146"/>
      <c r="AK594" s="146"/>
      <c r="AL594" s="146"/>
      <c r="AM594" s="146"/>
      <c r="AN594" s="146"/>
      <c r="AO594" s="146"/>
      <c r="AP594" s="146"/>
    </row>
    <row r="595" spans="1:42" s="119" customFormat="1">
      <c r="A595" s="238" t="str">
        <f t="shared" si="1076"/>
        <v>Federal</v>
      </c>
      <c r="B595" s="164">
        <f>IF(IBIFedFixedFedITC="Yes",IBIFedFixed,0)</f>
        <v>1000</v>
      </c>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146"/>
      <c r="AD595" s="146"/>
      <c r="AE595" s="146"/>
      <c r="AF595" s="146"/>
      <c r="AG595" s="146"/>
      <c r="AH595" s="146"/>
      <c r="AI595" s="146"/>
      <c r="AJ595" s="146"/>
      <c r="AK595" s="146"/>
      <c r="AL595" s="146"/>
      <c r="AM595" s="146"/>
      <c r="AN595" s="146"/>
      <c r="AO595" s="146"/>
      <c r="AP595" s="146"/>
    </row>
    <row r="596" spans="1:42" s="119" customFormat="1">
      <c r="A596" s="238" t="str">
        <f t="shared" si="1076"/>
        <v>State</v>
      </c>
      <c r="B596" s="164">
        <f>IF(IBIStateFixedFedITC="Yes",IBIStateFixed,0)</f>
        <v>2000</v>
      </c>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146"/>
      <c r="AD596" s="146"/>
      <c r="AE596" s="146"/>
      <c r="AF596" s="146"/>
      <c r="AG596" s="146"/>
      <c r="AH596" s="146"/>
      <c r="AI596" s="146"/>
      <c r="AJ596" s="146"/>
      <c r="AK596" s="146"/>
      <c r="AL596" s="146"/>
      <c r="AM596" s="146"/>
      <c r="AN596" s="146"/>
      <c r="AO596" s="146"/>
      <c r="AP596" s="146"/>
    </row>
    <row r="597" spans="1:42" s="119" customFormat="1">
      <c r="A597" s="238" t="str">
        <f t="shared" si="1076"/>
        <v>Utility</v>
      </c>
      <c r="B597" s="164">
        <f>IF(IBIUtilityFixedFedITC="Yes",IBIUtilityFixed,0)</f>
        <v>0</v>
      </c>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c r="AA597" s="146"/>
      <c r="AB597" s="146"/>
      <c r="AC597" s="146"/>
      <c r="AD597" s="146"/>
      <c r="AE597" s="146"/>
      <c r="AF597" s="146"/>
      <c r="AG597" s="146"/>
      <c r="AH597" s="146"/>
      <c r="AI597" s="146"/>
      <c r="AJ597" s="146"/>
      <c r="AK597" s="146"/>
      <c r="AL597" s="146"/>
      <c r="AM597" s="146"/>
      <c r="AN597" s="146"/>
      <c r="AO597" s="146"/>
      <c r="AP597" s="146"/>
    </row>
    <row r="598" spans="1:42" s="119" customFormat="1">
      <c r="A598" s="238" t="str">
        <f t="shared" si="1076"/>
        <v>Other</v>
      </c>
      <c r="B598" s="209">
        <f>IF(IBIOtherFixedFedITC="Yes",IBIOtherFixed,0)</f>
        <v>0</v>
      </c>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c r="AA598" s="146"/>
      <c r="AB598" s="146"/>
      <c r="AC598" s="146"/>
      <c r="AD598" s="146"/>
      <c r="AE598" s="146"/>
      <c r="AF598" s="146"/>
      <c r="AG598" s="146"/>
      <c r="AH598" s="146"/>
      <c r="AI598" s="146"/>
      <c r="AJ598" s="146"/>
      <c r="AK598" s="146"/>
      <c r="AL598" s="146"/>
      <c r="AM598" s="146"/>
      <c r="AN598" s="146"/>
      <c r="AO598" s="146"/>
      <c r="AP598" s="146"/>
    </row>
    <row r="599" spans="1:42" s="119" customFormat="1">
      <c r="A599" s="238" t="str">
        <f t="shared" si="1076"/>
        <v>Total</v>
      </c>
      <c r="B599" s="164">
        <f>SUM(B595:B598)</f>
        <v>3000</v>
      </c>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c r="AA599" s="146"/>
      <c r="AB599" s="146"/>
      <c r="AC599" s="146"/>
      <c r="AD599" s="146"/>
      <c r="AE599" s="146"/>
      <c r="AF599" s="146"/>
      <c r="AG599" s="146"/>
      <c r="AH599" s="146"/>
      <c r="AI599" s="146"/>
      <c r="AJ599" s="146"/>
      <c r="AK599" s="146"/>
      <c r="AL599" s="146"/>
      <c r="AM599" s="146"/>
      <c r="AN599" s="146"/>
      <c r="AO599" s="146"/>
      <c r="AP599" s="146"/>
    </row>
    <row r="600" spans="1:42" s="119" customFormat="1">
      <c r="A600" s="222" t="str">
        <f t="shared" si="1076"/>
        <v>Percentage of Pre-Financing Costs</v>
      </c>
      <c r="B600" s="37"/>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c r="AA600" s="146"/>
      <c r="AB600" s="146"/>
      <c r="AC600" s="146"/>
      <c r="AD600" s="146"/>
      <c r="AE600" s="146"/>
      <c r="AF600" s="146"/>
      <c r="AG600" s="146"/>
      <c r="AH600" s="146"/>
      <c r="AI600" s="146"/>
      <c r="AJ600" s="146"/>
      <c r="AK600" s="146"/>
      <c r="AL600" s="146"/>
      <c r="AM600" s="146"/>
      <c r="AN600" s="146"/>
      <c r="AO600" s="146"/>
      <c r="AP600" s="146"/>
    </row>
    <row r="601" spans="1:42" s="119" customFormat="1">
      <c r="A601" s="238" t="str">
        <f t="shared" si="1076"/>
        <v>Federal</v>
      </c>
      <c r="B601" s="164">
        <f>IF(IBIFedPercentFedITC="Yes",IBIFedPercent,0)</f>
        <v>0</v>
      </c>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c r="AA601" s="146"/>
      <c r="AB601" s="146"/>
      <c r="AC601" s="146"/>
      <c r="AD601" s="146"/>
      <c r="AE601" s="146"/>
      <c r="AF601" s="146"/>
      <c r="AG601" s="146"/>
      <c r="AH601" s="146"/>
      <c r="AI601" s="146"/>
      <c r="AJ601" s="146"/>
      <c r="AK601" s="146"/>
      <c r="AL601" s="146"/>
      <c r="AM601" s="146"/>
      <c r="AN601" s="146"/>
      <c r="AO601" s="146"/>
      <c r="AP601" s="146"/>
    </row>
    <row r="602" spans="1:42" s="119" customFormat="1">
      <c r="A602" s="238" t="str">
        <f t="shared" si="1076"/>
        <v>State</v>
      </c>
      <c r="B602" s="164">
        <f>IF(IBIStatePercentFedITC="Yes",IBIStatePercent,0)</f>
        <v>0</v>
      </c>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c r="AA602" s="146"/>
      <c r="AB602" s="146"/>
      <c r="AC602" s="146"/>
      <c r="AD602" s="146"/>
      <c r="AE602" s="146"/>
      <c r="AF602" s="146"/>
      <c r="AG602" s="146"/>
      <c r="AH602" s="146"/>
      <c r="AI602" s="146"/>
      <c r="AJ602" s="146"/>
      <c r="AK602" s="146"/>
      <c r="AL602" s="146"/>
      <c r="AM602" s="146"/>
      <c r="AN602" s="146"/>
      <c r="AO602" s="146"/>
      <c r="AP602" s="146"/>
    </row>
    <row r="603" spans="1:42" s="119" customFormat="1">
      <c r="A603" s="238" t="str">
        <f t="shared" si="1076"/>
        <v>Utility</v>
      </c>
      <c r="B603" s="164">
        <f>IF(IBIUtilityPercentFedITC="Yes",IBIUtilityPercent,0)</f>
        <v>0</v>
      </c>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c r="AA603" s="146"/>
      <c r="AB603" s="146"/>
      <c r="AC603" s="146"/>
      <c r="AD603" s="146"/>
      <c r="AE603" s="146"/>
      <c r="AF603" s="146"/>
      <c r="AG603" s="146"/>
      <c r="AH603" s="146"/>
      <c r="AI603" s="146"/>
      <c r="AJ603" s="146"/>
      <c r="AK603" s="146"/>
      <c r="AL603" s="146"/>
      <c r="AM603" s="146"/>
      <c r="AN603" s="146"/>
      <c r="AO603" s="146"/>
      <c r="AP603" s="146"/>
    </row>
    <row r="604" spans="1:42" s="119" customFormat="1">
      <c r="A604" s="238" t="str">
        <f t="shared" si="1076"/>
        <v>Other</v>
      </c>
      <c r="B604" s="209">
        <f>IF(IBIOtherPercentFedITC="Yes",IBIOtherPercent,0)</f>
        <v>0</v>
      </c>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c r="AA604" s="146"/>
      <c r="AB604" s="146"/>
      <c r="AC604" s="146"/>
      <c r="AD604" s="146"/>
      <c r="AE604" s="146"/>
      <c r="AF604" s="146"/>
      <c r="AG604" s="146"/>
      <c r="AH604" s="146"/>
      <c r="AI604" s="146"/>
      <c r="AJ604" s="146"/>
      <c r="AK604" s="146"/>
      <c r="AL604" s="146"/>
      <c r="AM604" s="146"/>
      <c r="AN604" s="146"/>
      <c r="AO604" s="146"/>
      <c r="AP604" s="146"/>
    </row>
    <row r="605" spans="1:42" s="119" customFormat="1">
      <c r="A605" s="238" t="str">
        <f t="shared" si="1076"/>
        <v>Total</v>
      </c>
      <c r="B605" s="164">
        <f>SUM(B601:B604)</f>
        <v>0</v>
      </c>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c r="AA605" s="146"/>
      <c r="AB605" s="146"/>
      <c r="AC605" s="146"/>
      <c r="AD605" s="146"/>
      <c r="AE605" s="146"/>
      <c r="AF605" s="146"/>
      <c r="AG605" s="146"/>
      <c r="AH605" s="146"/>
      <c r="AI605" s="146"/>
      <c r="AJ605" s="146"/>
      <c r="AK605" s="146"/>
      <c r="AL605" s="146"/>
      <c r="AM605" s="146"/>
      <c r="AN605" s="146"/>
      <c r="AO605" s="146"/>
      <c r="AP605" s="146"/>
    </row>
    <row r="606" spans="1:42" s="119" customFormat="1">
      <c r="A606" s="222" t="str">
        <f t="shared" si="1076"/>
        <v>Capacity Based Incentive (CBI)</v>
      </c>
      <c r="B606" s="37"/>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c r="AA606" s="146"/>
      <c r="AB606" s="146"/>
      <c r="AC606" s="146"/>
      <c r="AD606" s="146"/>
      <c r="AE606" s="146"/>
      <c r="AF606" s="146"/>
      <c r="AG606" s="146"/>
      <c r="AH606" s="146"/>
      <c r="AI606" s="146"/>
      <c r="AJ606" s="146"/>
      <c r="AK606" s="146"/>
      <c r="AL606" s="146"/>
      <c r="AM606" s="146"/>
      <c r="AN606" s="146"/>
      <c r="AO606" s="146"/>
      <c r="AP606" s="146"/>
    </row>
    <row r="607" spans="1:42" s="119" customFormat="1">
      <c r="A607" s="238" t="str">
        <f t="shared" si="1076"/>
        <v>Federal</v>
      </c>
      <c r="B607" s="164">
        <f>IF(CBIFedFedITC="Yes",CBIFed,0)</f>
        <v>5000000</v>
      </c>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c r="AA607" s="146"/>
      <c r="AB607" s="146"/>
      <c r="AC607" s="146"/>
      <c r="AD607" s="146"/>
      <c r="AE607" s="146"/>
      <c r="AF607" s="146"/>
      <c r="AG607" s="146"/>
      <c r="AH607" s="146"/>
      <c r="AI607" s="146"/>
      <c r="AJ607" s="146"/>
      <c r="AK607" s="146"/>
      <c r="AL607" s="146"/>
      <c r="AM607" s="146"/>
      <c r="AN607" s="146"/>
      <c r="AO607" s="146"/>
      <c r="AP607" s="146"/>
    </row>
    <row r="608" spans="1:42" s="119" customFormat="1">
      <c r="A608" s="238" t="str">
        <f t="shared" si="1076"/>
        <v>State</v>
      </c>
      <c r="B608" s="164">
        <f>IF(CBIStateFedITC="Yes",CBIState,0)</f>
        <v>0</v>
      </c>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c r="AA608" s="146"/>
      <c r="AB608" s="146"/>
      <c r="AC608" s="146"/>
      <c r="AD608" s="146"/>
      <c r="AE608" s="146"/>
      <c r="AF608" s="146"/>
      <c r="AG608" s="146"/>
      <c r="AH608" s="146"/>
      <c r="AI608" s="146"/>
      <c r="AJ608" s="146"/>
      <c r="AK608" s="146"/>
      <c r="AL608" s="146"/>
      <c r="AM608" s="146"/>
      <c r="AN608" s="146"/>
      <c r="AO608" s="146"/>
      <c r="AP608" s="146"/>
    </row>
    <row r="609" spans="1:42" s="119" customFormat="1">
      <c r="A609" s="238" t="str">
        <f t="shared" si="1076"/>
        <v>Utility</v>
      </c>
      <c r="B609" s="164">
        <f>IF(CBIUtilityFedITC="Yes",CBIUtility,0)</f>
        <v>0</v>
      </c>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c r="AA609" s="146"/>
      <c r="AB609" s="146"/>
      <c r="AC609" s="146"/>
      <c r="AD609" s="146"/>
      <c r="AE609" s="146"/>
      <c r="AF609" s="146"/>
      <c r="AG609" s="146"/>
      <c r="AH609" s="146"/>
      <c r="AI609" s="146"/>
      <c r="AJ609" s="146"/>
      <c r="AK609" s="146"/>
      <c r="AL609" s="146"/>
      <c r="AM609" s="146"/>
      <c r="AN609" s="146"/>
      <c r="AO609" s="146"/>
      <c r="AP609" s="146"/>
    </row>
    <row r="610" spans="1:42" s="119" customFormat="1">
      <c r="A610" s="238" t="str">
        <f t="shared" si="1076"/>
        <v>Other</v>
      </c>
      <c r="B610" s="209">
        <f>IF(CBIOtherFedITC="Yes",CBIOther,0)</f>
        <v>0</v>
      </c>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c r="AA610" s="146"/>
      <c r="AB610" s="146"/>
      <c r="AC610" s="146"/>
      <c r="AD610" s="146"/>
      <c r="AE610" s="146"/>
      <c r="AF610" s="146"/>
      <c r="AG610" s="146"/>
      <c r="AH610" s="146"/>
      <c r="AI610" s="146"/>
      <c r="AJ610" s="146"/>
      <c r="AK610" s="146"/>
      <c r="AL610" s="146"/>
      <c r="AM610" s="146"/>
      <c r="AN610" s="146"/>
      <c r="AO610" s="146"/>
      <c r="AP610" s="146"/>
    </row>
    <row r="611" spans="1:42" s="119" customFormat="1">
      <c r="A611" s="238" t="str">
        <f t="shared" si="1076"/>
        <v>Total</v>
      </c>
      <c r="B611" s="216">
        <f>SUM(B607:B610)</f>
        <v>5000000</v>
      </c>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c r="AA611" s="146"/>
      <c r="AB611" s="146"/>
      <c r="AC611" s="146"/>
      <c r="AD611" s="146"/>
      <c r="AE611" s="146"/>
      <c r="AF611" s="146"/>
      <c r="AG611" s="146"/>
      <c r="AH611" s="146"/>
      <c r="AI611" s="146"/>
      <c r="AJ611" s="146"/>
      <c r="AK611" s="146"/>
      <c r="AL611" s="146"/>
      <c r="AM611" s="146"/>
      <c r="AN611" s="146"/>
      <c r="AO611" s="146"/>
      <c r="AP611" s="146"/>
    </row>
    <row r="612" spans="1:42" s="119" customFormat="1">
      <c r="A612" s="206" t="str">
        <f t="shared" si="1076"/>
        <v>Total ITC Qualifying Cost Reduction</v>
      </c>
      <c r="B612" s="164">
        <f>B599+B605+B611</f>
        <v>5003000</v>
      </c>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c r="AA612" s="146"/>
      <c r="AB612" s="146"/>
      <c r="AC612" s="146"/>
      <c r="AD612" s="146"/>
      <c r="AE612" s="146"/>
      <c r="AF612" s="146"/>
      <c r="AG612" s="146"/>
      <c r="AH612" s="146"/>
      <c r="AI612" s="146"/>
      <c r="AJ612" s="146"/>
      <c r="AK612" s="146"/>
      <c r="AL612" s="146"/>
      <c r="AM612" s="146"/>
      <c r="AN612" s="146"/>
      <c r="AO612" s="146"/>
      <c r="AP612" s="146"/>
    </row>
    <row r="613" spans="1:42" s="119" customFormat="1">
      <c r="A613" s="268" t="s">
        <v>292</v>
      </c>
      <c r="B613" s="269" t="str">
        <f>IF(B612-E590-F590=0,"OK","Check")</f>
        <v>OK</v>
      </c>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c r="AA613" s="146"/>
      <c r="AB613" s="146"/>
      <c r="AC613" s="146"/>
      <c r="AD613" s="146"/>
      <c r="AE613" s="146"/>
      <c r="AF613" s="146"/>
      <c r="AG613" s="146"/>
      <c r="AH613" s="146"/>
      <c r="AI613" s="146"/>
      <c r="AJ613" s="146"/>
      <c r="AK613" s="146"/>
      <c r="AL613" s="146"/>
      <c r="AM613" s="146"/>
      <c r="AN613" s="146"/>
      <c r="AO613" s="146"/>
      <c r="AP613" s="146"/>
    </row>
    <row r="614" spans="1:42" s="119" customFormat="1">
      <c r="A614" s="22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c r="AA614" s="146"/>
      <c r="AB614" s="146"/>
      <c r="AC614" s="146"/>
      <c r="AD614" s="146"/>
      <c r="AE614" s="146"/>
      <c r="AF614" s="146"/>
      <c r="AG614" s="146"/>
      <c r="AH614" s="146"/>
      <c r="AI614" s="146"/>
      <c r="AJ614" s="146"/>
      <c r="AK614" s="146"/>
      <c r="AL614" s="146"/>
      <c r="AM614" s="146"/>
      <c r="AN614" s="146"/>
      <c r="AO614" s="146"/>
      <c r="AP614" s="146"/>
    </row>
    <row r="615" spans="1:42" s="119" customFormat="1">
      <c r="A615" s="201" t="s">
        <v>180</v>
      </c>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c r="AA615" s="146"/>
      <c r="AB615" s="146"/>
      <c r="AC615" s="146"/>
      <c r="AD615" s="146"/>
      <c r="AE615" s="146"/>
      <c r="AF615" s="146"/>
      <c r="AG615" s="146"/>
      <c r="AH615" s="146"/>
      <c r="AI615" s="146"/>
      <c r="AJ615" s="146"/>
      <c r="AK615" s="146"/>
      <c r="AL615" s="146"/>
      <c r="AM615" s="146"/>
      <c r="AN615" s="146"/>
      <c r="AO615" s="146"/>
      <c r="AP615" s="146"/>
    </row>
    <row r="616" spans="1:42" s="119" customFormat="1">
      <c r="A616" s="219" t="s">
        <v>37</v>
      </c>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c r="AA616" s="146"/>
      <c r="AB616" s="146"/>
      <c r="AC616" s="146"/>
      <c r="AD616" s="146"/>
      <c r="AE616" s="146"/>
      <c r="AF616" s="146"/>
      <c r="AG616" s="146"/>
      <c r="AH616" s="146"/>
      <c r="AI616" s="146"/>
      <c r="AJ616" s="146"/>
      <c r="AK616" s="146"/>
      <c r="AL616" s="146"/>
      <c r="AM616" s="146"/>
      <c r="AN616" s="146"/>
      <c r="AO616" s="146"/>
      <c r="AP616" s="146"/>
    </row>
    <row r="617" spans="1:42" s="119" customFormat="1">
      <c r="A617" s="226" t="s">
        <v>182</v>
      </c>
      <c r="C617" s="270">
        <f t="shared" ref="C617:AP617" si="1077">IF(C$2&lt;=StatePTCTerm,StatePTCAmount*(1+Inflation)^B$2,0)</f>
        <v>0</v>
      </c>
      <c r="D617" s="270">
        <f t="shared" si="1077"/>
        <v>0</v>
      </c>
      <c r="E617" s="270">
        <f t="shared" si="1077"/>
        <v>0</v>
      </c>
      <c r="F617" s="270">
        <f t="shared" si="1077"/>
        <v>0</v>
      </c>
      <c r="G617" s="270">
        <f t="shared" si="1077"/>
        <v>0</v>
      </c>
      <c r="H617" s="270">
        <f t="shared" si="1077"/>
        <v>0</v>
      </c>
      <c r="I617" s="270">
        <f t="shared" si="1077"/>
        <v>0</v>
      </c>
      <c r="J617" s="270">
        <f t="shared" si="1077"/>
        <v>0</v>
      </c>
      <c r="K617" s="270">
        <f t="shared" si="1077"/>
        <v>0</v>
      </c>
      <c r="L617" s="270">
        <f t="shared" si="1077"/>
        <v>0</v>
      </c>
      <c r="M617" s="270">
        <f t="shared" si="1077"/>
        <v>0</v>
      </c>
      <c r="N617" s="270">
        <f t="shared" si="1077"/>
        <v>0</v>
      </c>
      <c r="O617" s="270">
        <f t="shared" si="1077"/>
        <v>0</v>
      </c>
      <c r="P617" s="270">
        <f t="shared" si="1077"/>
        <v>0</v>
      </c>
      <c r="Q617" s="270">
        <f t="shared" si="1077"/>
        <v>0</v>
      </c>
      <c r="R617" s="270">
        <f t="shared" si="1077"/>
        <v>0</v>
      </c>
      <c r="S617" s="270">
        <f t="shared" si="1077"/>
        <v>0</v>
      </c>
      <c r="T617" s="270">
        <f t="shared" si="1077"/>
        <v>0</v>
      </c>
      <c r="U617" s="270">
        <f t="shared" si="1077"/>
        <v>0</v>
      </c>
      <c r="V617" s="270">
        <f t="shared" si="1077"/>
        <v>0</v>
      </c>
      <c r="W617" s="270">
        <f t="shared" si="1077"/>
        <v>0</v>
      </c>
      <c r="X617" s="270">
        <f t="shared" si="1077"/>
        <v>0</v>
      </c>
      <c r="Y617" s="270">
        <f t="shared" si="1077"/>
        <v>0</v>
      </c>
      <c r="Z617" s="270">
        <f t="shared" si="1077"/>
        <v>0</v>
      </c>
      <c r="AA617" s="270">
        <f t="shared" si="1077"/>
        <v>0</v>
      </c>
      <c r="AB617" s="270">
        <f t="shared" si="1077"/>
        <v>0</v>
      </c>
      <c r="AC617" s="270">
        <f t="shared" si="1077"/>
        <v>0</v>
      </c>
      <c r="AD617" s="270">
        <f t="shared" si="1077"/>
        <v>0</v>
      </c>
      <c r="AE617" s="270">
        <f t="shared" si="1077"/>
        <v>0</v>
      </c>
      <c r="AF617" s="270">
        <f t="shared" si="1077"/>
        <v>0</v>
      </c>
      <c r="AG617" s="270">
        <f t="shared" si="1077"/>
        <v>0</v>
      </c>
      <c r="AH617" s="270">
        <f t="shared" si="1077"/>
        <v>0</v>
      </c>
      <c r="AI617" s="270">
        <f t="shared" si="1077"/>
        <v>0</v>
      </c>
      <c r="AJ617" s="270">
        <f t="shared" si="1077"/>
        <v>0</v>
      </c>
      <c r="AK617" s="270">
        <f t="shared" si="1077"/>
        <v>0</v>
      </c>
      <c r="AL617" s="270">
        <f t="shared" si="1077"/>
        <v>0</v>
      </c>
      <c r="AM617" s="270">
        <f t="shared" si="1077"/>
        <v>0</v>
      </c>
      <c r="AN617" s="270">
        <f t="shared" si="1077"/>
        <v>0</v>
      </c>
      <c r="AO617" s="270">
        <f t="shared" si="1077"/>
        <v>0</v>
      </c>
      <c r="AP617" s="270">
        <f t="shared" si="1077"/>
        <v>0</v>
      </c>
    </row>
    <row r="618" spans="1:42" s="119" customFormat="1">
      <c r="A618" s="226" t="s">
        <v>183</v>
      </c>
      <c r="C618" s="271">
        <f>ROUND(C617*1000,0)</f>
        <v>0</v>
      </c>
      <c r="D618" s="271">
        <f>ROUND(D617*1000,0)</f>
        <v>0</v>
      </c>
      <c r="E618" s="271">
        <f t="shared" ref="E618:AP618" si="1078">ROUND(E617*1000,0)</f>
        <v>0</v>
      </c>
      <c r="F618" s="271">
        <f t="shared" si="1078"/>
        <v>0</v>
      </c>
      <c r="G618" s="271">
        <f t="shared" si="1078"/>
        <v>0</v>
      </c>
      <c r="H618" s="271">
        <f t="shared" si="1078"/>
        <v>0</v>
      </c>
      <c r="I618" s="271">
        <f t="shared" si="1078"/>
        <v>0</v>
      </c>
      <c r="J618" s="271">
        <f t="shared" si="1078"/>
        <v>0</v>
      </c>
      <c r="K618" s="271">
        <f t="shared" si="1078"/>
        <v>0</v>
      </c>
      <c r="L618" s="271">
        <f t="shared" si="1078"/>
        <v>0</v>
      </c>
      <c r="M618" s="271">
        <f t="shared" si="1078"/>
        <v>0</v>
      </c>
      <c r="N618" s="271">
        <f t="shared" si="1078"/>
        <v>0</v>
      </c>
      <c r="O618" s="271">
        <f t="shared" si="1078"/>
        <v>0</v>
      </c>
      <c r="P618" s="271">
        <f t="shared" si="1078"/>
        <v>0</v>
      </c>
      <c r="Q618" s="271">
        <f t="shared" si="1078"/>
        <v>0</v>
      </c>
      <c r="R618" s="271">
        <f t="shared" si="1078"/>
        <v>0</v>
      </c>
      <c r="S618" s="271">
        <f t="shared" si="1078"/>
        <v>0</v>
      </c>
      <c r="T618" s="271">
        <f t="shared" si="1078"/>
        <v>0</v>
      </c>
      <c r="U618" s="271">
        <f t="shared" si="1078"/>
        <v>0</v>
      </c>
      <c r="V618" s="271">
        <f t="shared" si="1078"/>
        <v>0</v>
      </c>
      <c r="W618" s="271">
        <f t="shared" si="1078"/>
        <v>0</v>
      </c>
      <c r="X618" s="271">
        <f t="shared" si="1078"/>
        <v>0</v>
      </c>
      <c r="Y618" s="271">
        <f t="shared" si="1078"/>
        <v>0</v>
      </c>
      <c r="Z618" s="271">
        <f t="shared" si="1078"/>
        <v>0</v>
      </c>
      <c r="AA618" s="271">
        <f t="shared" si="1078"/>
        <v>0</v>
      </c>
      <c r="AB618" s="271">
        <f t="shared" si="1078"/>
        <v>0</v>
      </c>
      <c r="AC618" s="271">
        <f t="shared" si="1078"/>
        <v>0</v>
      </c>
      <c r="AD618" s="271">
        <f t="shared" si="1078"/>
        <v>0</v>
      </c>
      <c r="AE618" s="271">
        <f t="shared" si="1078"/>
        <v>0</v>
      </c>
      <c r="AF618" s="271">
        <f t="shared" si="1078"/>
        <v>0</v>
      </c>
      <c r="AG618" s="271">
        <f t="shared" si="1078"/>
        <v>0</v>
      </c>
      <c r="AH618" s="271">
        <f t="shared" si="1078"/>
        <v>0</v>
      </c>
      <c r="AI618" s="271">
        <f t="shared" si="1078"/>
        <v>0</v>
      </c>
      <c r="AJ618" s="271">
        <f t="shared" si="1078"/>
        <v>0</v>
      </c>
      <c r="AK618" s="271">
        <f t="shared" si="1078"/>
        <v>0</v>
      </c>
      <c r="AL618" s="271">
        <f t="shared" si="1078"/>
        <v>0</v>
      </c>
      <c r="AM618" s="271">
        <f t="shared" si="1078"/>
        <v>0</v>
      </c>
      <c r="AN618" s="271">
        <f t="shared" si="1078"/>
        <v>0</v>
      </c>
      <c r="AO618" s="271">
        <f t="shared" si="1078"/>
        <v>0</v>
      </c>
      <c r="AP618" s="271">
        <f t="shared" si="1078"/>
        <v>0</v>
      </c>
    </row>
    <row r="619" spans="1:42" s="119" customFormat="1">
      <c r="A619" s="226" t="s">
        <v>184</v>
      </c>
      <c r="C619" s="225">
        <f>C$5/1000</f>
        <v>17000</v>
      </c>
      <c r="D619" s="225">
        <f>D$5/1000</f>
        <v>16915</v>
      </c>
      <c r="E619" s="225">
        <f t="shared" ref="E619:AP619" si="1079">E$5/1000</f>
        <v>16830.424999999999</v>
      </c>
      <c r="F619" s="225">
        <f t="shared" si="1079"/>
        <v>16746.272874999999</v>
      </c>
      <c r="G619" s="225">
        <f t="shared" si="1079"/>
        <v>16662.541510625</v>
      </c>
      <c r="H619" s="225">
        <f t="shared" si="1079"/>
        <v>16579.228803071874</v>
      </c>
      <c r="I619" s="225">
        <f t="shared" si="1079"/>
        <v>16496.332659056516</v>
      </c>
      <c r="J619" s="225">
        <f t="shared" si="1079"/>
        <v>16413.850995761233</v>
      </c>
      <c r="K619" s="225">
        <f t="shared" si="1079"/>
        <v>16331.781740782426</v>
      </c>
      <c r="L619" s="225">
        <f t="shared" si="1079"/>
        <v>16250.122832078514</v>
      </c>
      <c r="M619" s="225">
        <f t="shared" si="1079"/>
        <v>16168.872217918122</v>
      </c>
      <c r="N619" s="225">
        <f t="shared" si="1079"/>
        <v>16088.027856828532</v>
      </c>
      <c r="O619" s="225">
        <f t="shared" si="1079"/>
        <v>16007.587717544387</v>
      </c>
      <c r="P619" s="225">
        <f t="shared" si="1079"/>
        <v>15927.549778956667</v>
      </c>
      <c r="Q619" s="225">
        <f t="shared" si="1079"/>
        <v>15847.912030061883</v>
      </c>
      <c r="R619" s="225">
        <f t="shared" si="1079"/>
        <v>15768.672469911573</v>
      </c>
      <c r="S619" s="225">
        <f t="shared" si="1079"/>
        <v>15689.829107562015</v>
      </c>
      <c r="T619" s="225">
        <f t="shared" si="1079"/>
        <v>15611.379962024204</v>
      </c>
      <c r="U619" s="225">
        <f t="shared" si="1079"/>
        <v>15533.323062214084</v>
      </c>
      <c r="V619" s="225">
        <f t="shared" si="1079"/>
        <v>15455.656446903013</v>
      </c>
      <c r="W619" s="225">
        <f t="shared" si="1079"/>
        <v>15378.378164668497</v>
      </c>
      <c r="X619" s="225">
        <f t="shared" si="1079"/>
        <v>15301.486273845156</v>
      </c>
      <c r="Y619" s="225">
        <f t="shared" si="1079"/>
        <v>15224.978842475928</v>
      </c>
      <c r="Z619" s="225">
        <f t="shared" si="1079"/>
        <v>15148.853948263548</v>
      </c>
      <c r="AA619" s="225">
        <f t="shared" si="1079"/>
        <v>15073.109678522231</v>
      </c>
      <c r="AB619" s="225">
        <f t="shared" si="1079"/>
        <v>14997.74413012962</v>
      </c>
      <c r="AC619" s="225">
        <f t="shared" si="1079"/>
        <v>14922.755409478972</v>
      </c>
      <c r="AD619" s="225">
        <f t="shared" si="1079"/>
        <v>14848.141632431576</v>
      </c>
      <c r="AE619" s="225">
        <f t="shared" si="1079"/>
        <v>14773.900924269417</v>
      </c>
      <c r="AF619" s="225">
        <f t="shared" si="1079"/>
        <v>14700.03141964807</v>
      </c>
      <c r="AG619" s="225">
        <f t="shared" si="1079"/>
        <v>0</v>
      </c>
      <c r="AH619" s="225">
        <f t="shared" si="1079"/>
        <v>0</v>
      </c>
      <c r="AI619" s="225">
        <f t="shared" si="1079"/>
        <v>0</v>
      </c>
      <c r="AJ619" s="225">
        <f t="shared" si="1079"/>
        <v>0</v>
      </c>
      <c r="AK619" s="225">
        <f t="shared" si="1079"/>
        <v>0</v>
      </c>
      <c r="AL619" s="225">
        <f t="shared" si="1079"/>
        <v>0</v>
      </c>
      <c r="AM619" s="225">
        <f t="shared" si="1079"/>
        <v>0</v>
      </c>
      <c r="AN619" s="225">
        <f t="shared" si="1079"/>
        <v>0</v>
      </c>
      <c r="AO619" s="225">
        <f t="shared" si="1079"/>
        <v>0</v>
      </c>
      <c r="AP619" s="225">
        <f t="shared" si="1079"/>
        <v>0</v>
      </c>
    </row>
    <row r="620" spans="1:42" s="119" customFormat="1">
      <c r="A620" s="226" t="s">
        <v>53</v>
      </c>
      <c r="C620" s="146">
        <f>C618*C619</f>
        <v>0</v>
      </c>
      <c r="D620" s="146">
        <f>D618*D619</f>
        <v>0</v>
      </c>
      <c r="E620" s="146">
        <f t="shared" ref="E620:AP620" si="1080">E618*E619</f>
        <v>0</v>
      </c>
      <c r="F620" s="146">
        <f t="shared" si="1080"/>
        <v>0</v>
      </c>
      <c r="G620" s="146">
        <f t="shared" si="1080"/>
        <v>0</v>
      </c>
      <c r="H620" s="146">
        <f t="shared" si="1080"/>
        <v>0</v>
      </c>
      <c r="I620" s="146">
        <f t="shared" si="1080"/>
        <v>0</v>
      </c>
      <c r="J620" s="146">
        <f t="shared" si="1080"/>
        <v>0</v>
      </c>
      <c r="K620" s="146">
        <f t="shared" si="1080"/>
        <v>0</v>
      </c>
      <c r="L620" s="146">
        <f t="shared" si="1080"/>
        <v>0</v>
      </c>
      <c r="M620" s="146">
        <f t="shared" si="1080"/>
        <v>0</v>
      </c>
      <c r="N620" s="146">
        <f t="shared" si="1080"/>
        <v>0</v>
      </c>
      <c r="O620" s="146">
        <f t="shared" si="1080"/>
        <v>0</v>
      </c>
      <c r="P620" s="146">
        <f t="shared" si="1080"/>
        <v>0</v>
      </c>
      <c r="Q620" s="146">
        <f t="shared" si="1080"/>
        <v>0</v>
      </c>
      <c r="R620" s="146">
        <f t="shared" si="1080"/>
        <v>0</v>
      </c>
      <c r="S620" s="146">
        <f t="shared" si="1080"/>
        <v>0</v>
      </c>
      <c r="T620" s="146">
        <f t="shared" si="1080"/>
        <v>0</v>
      </c>
      <c r="U620" s="146">
        <f t="shared" si="1080"/>
        <v>0</v>
      </c>
      <c r="V620" s="146">
        <f t="shared" si="1080"/>
        <v>0</v>
      </c>
      <c r="W620" s="146">
        <f t="shared" si="1080"/>
        <v>0</v>
      </c>
      <c r="X620" s="146">
        <f t="shared" si="1080"/>
        <v>0</v>
      </c>
      <c r="Y620" s="146">
        <f t="shared" si="1080"/>
        <v>0</v>
      </c>
      <c r="Z620" s="146">
        <f t="shared" si="1080"/>
        <v>0</v>
      </c>
      <c r="AA620" s="146">
        <f t="shared" si="1080"/>
        <v>0</v>
      </c>
      <c r="AB620" s="146">
        <f t="shared" si="1080"/>
        <v>0</v>
      </c>
      <c r="AC620" s="146">
        <f t="shared" si="1080"/>
        <v>0</v>
      </c>
      <c r="AD620" s="146">
        <f t="shared" si="1080"/>
        <v>0</v>
      </c>
      <c r="AE620" s="146">
        <f t="shared" si="1080"/>
        <v>0</v>
      </c>
      <c r="AF620" s="146">
        <f t="shared" si="1080"/>
        <v>0</v>
      </c>
      <c r="AG620" s="146">
        <f t="shared" si="1080"/>
        <v>0</v>
      </c>
      <c r="AH620" s="146">
        <f t="shared" si="1080"/>
        <v>0</v>
      </c>
      <c r="AI620" s="146">
        <f t="shared" si="1080"/>
        <v>0</v>
      </c>
      <c r="AJ620" s="146">
        <f t="shared" si="1080"/>
        <v>0</v>
      </c>
      <c r="AK620" s="146">
        <f t="shared" si="1080"/>
        <v>0</v>
      </c>
      <c r="AL620" s="146">
        <f t="shared" si="1080"/>
        <v>0</v>
      </c>
      <c r="AM620" s="146">
        <f t="shared" si="1080"/>
        <v>0</v>
      </c>
      <c r="AN620" s="146">
        <f t="shared" si="1080"/>
        <v>0</v>
      </c>
      <c r="AO620" s="146">
        <f t="shared" si="1080"/>
        <v>0</v>
      </c>
      <c r="AP620" s="146">
        <f t="shared" si="1080"/>
        <v>0</v>
      </c>
    </row>
    <row r="621" spans="1:42" s="119" customFormat="1">
      <c r="A621" s="219"/>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c r="AA621" s="146"/>
      <c r="AB621" s="146"/>
      <c r="AC621" s="146"/>
      <c r="AD621" s="146"/>
      <c r="AE621" s="146"/>
      <c r="AF621" s="146"/>
      <c r="AG621" s="146"/>
      <c r="AH621" s="146"/>
      <c r="AI621" s="146"/>
      <c r="AJ621" s="146"/>
      <c r="AK621" s="146"/>
      <c r="AL621" s="146"/>
      <c r="AM621" s="146"/>
      <c r="AN621" s="146"/>
      <c r="AO621" s="146"/>
      <c r="AP621" s="146"/>
    </row>
    <row r="622" spans="1:42" s="119" customFormat="1">
      <c r="A622" s="219" t="s">
        <v>36</v>
      </c>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146"/>
      <c r="Z622" s="146"/>
      <c r="AA622" s="146"/>
      <c r="AB622" s="146"/>
      <c r="AC622" s="146"/>
      <c r="AD622" s="146"/>
      <c r="AE622" s="146"/>
      <c r="AF622" s="146"/>
      <c r="AG622" s="146"/>
      <c r="AH622" s="146"/>
      <c r="AI622" s="146"/>
      <c r="AJ622" s="146"/>
      <c r="AK622" s="146"/>
      <c r="AL622" s="146"/>
      <c r="AM622" s="146"/>
      <c r="AN622" s="146"/>
      <c r="AO622" s="146"/>
      <c r="AP622" s="146"/>
    </row>
    <row r="623" spans="1:42" s="119" customFormat="1">
      <c r="A623" s="226" t="s">
        <v>182</v>
      </c>
      <c r="C623" s="270">
        <f t="shared" ref="C623:AP623" si="1081">IF(C$2&lt;=FedPTCTerm,FedPTCAmount*(1+Inflation)^B$2,0)</f>
        <v>0</v>
      </c>
      <c r="D623" s="270">
        <f t="shared" si="1081"/>
        <v>0</v>
      </c>
      <c r="E623" s="270">
        <f t="shared" si="1081"/>
        <v>0</v>
      </c>
      <c r="F623" s="270">
        <f t="shared" si="1081"/>
        <v>0</v>
      </c>
      <c r="G623" s="270">
        <f t="shared" si="1081"/>
        <v>0</v>
      </c>
      <c r="H623" s="270">
        <f t="shared" si="1081"/>
        <v>0</v>
      </c>
      <c r="I623" s="270">
        <f t="shared" si="1081"/>
        <v>0</v>
      </c>
      <c r="J623" s="270">
        <f t="shared" si="1081"/>
        <v>0</v>
      </c>
      <c r="K623" s="270">
        <f t="shared" si="1081"/>
        <v>0</v>
      </c>
      <c r="L623" s="270">
        <f t="shared" si="1081"/>
        <v>0</v>
      </c>
      <c r="M623" s="270">
        <f t="shared" si="1081"/>
        <v>0</v>
      </c>
      <c r="N623" s="270">
        <f t="shared" si="1081"/>
        <v>0</v>
      </c>
      <c r="O623" s="270">
        <f t="shared" si="1081"/>
        <v>0</v>
      </c>
      <c r="P623" s="270">
        <f t="shared" si="1081"/>
        <v>0</v>
      </c>
      <c r="Q623" s="270">
        <f t="shared" si="1081"/>
        <v>0</v>
      </c>
      <c r="R623" s="270">
        <f t="shared" si="1081"/>
        <v>0</v>
      </c>
      <c r="S623" s="270">
        <f t="shared" si="1081"/>
        <v>0</v>
      </c>
      <c r="T623" s="270">
        <f t="shared" si="1081"/>
        <v>0</v>
      </c>
      <c r="U623" s="270">
        <f t="shared" si="1081"/>
        <v>0</v>
      </c>
      <c r="V623" s="270">
        <f t="shared" si="1081"/>
        <v>0</v>
      </c>
      <c r="W623" s="270">
        <f t="shared" si="1081"/>
        <v>0</v>
      </c>
      <c r="X623" s="270">
        <f t="shared" si="1081"/>
        <v>0</v>
      </c>
      <c r="Y623" s="270">
        <f t="shared" si="1081"/>
        <v>0</v>
      </c>
      <c r="Z623" s="270">
        <f t="shared" si="1081"/>
        <v>0</v>
      </c>
      <c r="AA623" s="270">
        <f t="shared" si="1081"/>
        <v>0</v>
      </c>
      <c r="AB623" s="270">
        <f t="shared" si="1081"/>
        <v>0</v>
      </c>
      <c r="AC623" s="270">
        <f t="shared" si="1081"/>
        <v>0</v>
      </c>
      <c r="AD623" s="270">
        <f t="shared" si="1081"/>
        <v>0</v>
      </c>
      <c r="AE623" s="270">
        <f t="shared" si="1081"/>
        <v>0</v>
      </c>
      <c r="AF623" s="270">
        <f t="shared" si="1081"/>
        <v>0</v>
      </c>
      <c r="AG623" s="270">
        <f t="shared" si="1081"/>
        <v>0</v>
      </c>
      <c r="AH623" s="270">
        <f t="shared" si="1081"/>
        <v>0</v>
      </c>
      <c r="AI623" s="270">
        <f t="shared" si="1081"/>
        <v>0</v>
      </c>
      <c r="AJ623" s="270">
        <f t="shared" si="1081"/>
        <v>0</v>
      </c>
      <c r="AK623" s="270">
        <f t="shared" si="1081"/>
        <v>0</v>
      </c>
      <c r="AL623" s="270">
        <f t="shared" si="1081"/>
        <v>0</v>
      </c>
      <c r="AM623" s="270">
        <f t="shared" si="1081"/>
        <v>0</v>
      </c>
      <c r="AN623" s="270">
        <f t="shared" si="1081"/>
        <v>0</v>
      </c>
      <c r="AO623" s="270">
        <f t="shared" si="1081"/>
        <v>0</v>
      </c>
      <c r="AP623" s="270">
        <f t="shared" si="1081"/>
        <v>0</v>
      </c>
    </row>
    <row r="624" spans="1:42" s="119" customFormat="1">
      <c r="A624" s="226" t="s">
        <v>183</v>
      </c>
      <c r="C624" s="271">
        <f>ROUND(C623*1000,0)</f>
        <v>0</v>
      </c>
      <c r="D624" s="271">
        <f>ROUND(D623*1000,0)</f>
        <v>0</v>
      </c>
      <c r="E624" s="271">
        <f t="shared" ref="E624:AP624" si="1082">ROUND(E623*1000,0)</f>
        <v>0</v>
      </c>
      <c r="F624" s="271">
        <f t="shared" si="1082"/>
        <v>0</v>
      </c>
      <c r="G624" s="271">
        <f t="shared" si="1082"/>
        <v>0</v>
      </c>
      <c r="H624" s="271">
        <f t="shared" si="1082"/>
        <v>0</v>
      </c>
      <c r="I624" s="271">
        <f t="shared" si="1082"/>
        <v>0</v>
      </c>
      <c r="J624" s="271">
        <f t="shared" si="1082"/>
        <v>0</v>
      </c>
      <c r="K624" s="271">
        <f t="shared" si="1082"/>
        <v>0</v>
      </c>
      <c r="L624" s="271">
        <f t="shared" si="1082"/>
        <v>0</v>
      </c>
      <c r="M624" s="271">
        <f t="shared" si="1082"/>
        <v>0</v>
      </c>
      <c r="N624" s="271">
        <f t="shared" si="1082"/>
        <v>0</v>
      </c>
      <c r="O624" s="271">
        <f t="shared" si="1082"/>
        <v>0</v>
      </c>
      <c r="P624" s="271">
        <f t="shared" si="1082"/>
        <v>0</v>
      </c>
      <c r="Q624" s="271">
        <f t="shared" si="1082"/>
        <v>0</v>
      </c>
      <c r="R624" s="271">
        <f t="shared" si="1082"/>
        <v>0</v>
      </c>
      <c r="S624" s="271">
        <f t="shared" si="1082"/>
        <v>0</v>
      </c>
      <c r="T624" s="271">
        <f t="shared" si="1082"/>
        <v>0</v>
      </c>
      <c r="U624" s="271">
        <f t="shared" si="1082"/>
        <v>0</v>
      </c>
      <c r="V624" s="271">
        <f t="shared" si="1082"/>
        <v>0</v>
      </c>
      <c r="W624" s="271">
        <f t="shared" si="1082"/>
        <v>0</v>
      </c>
      <c r="X624" s="271">
        <f t="shared" si="1082"/>
        <v>0</v>
      </c>
      <c r="Y624" s="271">
        <f t="shared" si="1082"/>
        <v>0</v>
      </c>
      <c r="Z624" s="271">
        <f t="shared" si="1082"/>
        <v>0</v>
      </c>
      <c r="AA624" s="271">
        <f t="shared" si="1082"/>
        <v>0</v>
      </c>
      <c r="AB624" s="271">
        <f t="shared" si="1082"/>
        <v>0</v>
      </c>
      <c r="AC624" s="271">
        <f t="shared" si="1082"/>
        <v>0</v>
      </c>
      <c r="AD624" s="271">
        <f t="shared" si="1082"/>
        <v>0</v>
      </c>
      <c r="AE624" s="271">
        <f t="shared" si="1082"/>
        <v>0</v>
      </c>
      <c r="AF624" s="271">
        <f t="shared" si="1082"/>
        <v>0</v>
      </c>
      <c r="AG624" s="271">
        <f t="shared" si="1082"/>
        <v>0</v>
      </c>
      <c r="AH624" s="271">
        <f t="shared" si="1082"/>
        <v>0</v>
      </c>
      <c r="AI624" s="271">
        <f t="shared" si="1082"/>
        <v>0</v>
      </c>
      <c r="AJ624" s="271">
        <f t="shared" si="1082"/>
        <v>0</v>
      </c>
      <c r="AK624" s="271">
        <f t="shared" si="1082"/>
        <v>0</v>
      </c>
      <c r="AL624" s="271">
        <f t="shared" si="1082"/>
        <v>0</v>
      </c>
      <c r="AM624" s="271">
        <f t="shared" si="1082"/>
        <v>0</v>
      </c>
      <c r="AN624" s="271">
        <f t="shared" si="1082"/>
        <v>0</v>
      </c>
      <c r="AO624" s="271">
        <f t="shared" si="1082"/>
        <v>0</v>
      </c>
      <c r="AP624" s="271">
        <f t="shared" si="1082"/>
        <v>0</v>
      </c>
    </row>
    <row r="625" spans="1:42" s="119" customFormat="1">
      <c r="A625" s="226" t="s">
        <v>184</v>
      </c>
      <c r="C625" s="225">
        <f>C$5/1000</f>
        <v>17000</v>
      </c>
      <c r="D625" s="225">
        <f>D$5/1000</f>
        <v>16915</v>
      </c>
      <c r="E625" s="225">
        <f t="shared" ref="E625:AP625" si="1083">E$5/1000</f>
        <v>16830.424999999999</v>
      </c>
      <c r="F625" s="225">
        <f t="shared" si="1083"/>
        <v>16746.272874999999</v>
      </c>
      <c r="G625" s="225">
        <f t="shared" si="1083"/>
        <v>16662.541510625</v>
      </c>
      <c r="H625" s="225">
        <f t="shared" si="1083"/>
        <v>16579.228803071874</v>
      </c>
      <c r="I625" s="225">
        <f t="shared" si="1083"/>
        <v>16496.332659056516</v>
      </c>
      <c r="J625" s="225">
        <f t="shared" si="1083"/>
        <v>16413.850995761233</v>
      </c>
      <c r="K625" s="225">
        <f t="shared" si="1083"/>
        <v>16331.781740782426</v>
      </c>
      <c r="L625" s="225">
        <f t="shared" si="1083"/>
        <v>16250.122832078514</v>
      </c>
      <c r="M625" s="225">
        <f t="shared" si="1083"/>
        <v>16168.872217918122</v>
      </c>
      <c r="N625" s="225">
        <f t="shared" si="1083"/>
        <v>16088.027856828532</v>
      </c>
      <c r="O625" s="225">
        <f t="shared" si="1083"/>
        <v>16007.587717544387</v>
      </c>
      <c r="P625" s="225">
        <f t="shared" si="1083"/>
        <v>15927.549778956667</v>
      </c>
      <c r="Q625" s="225">
        <f t="shared" si="1083"/>
        <v>15847.912030061883</v>
      </c>
      <c r="R625" s="225">
        <f t="shared" si="1083"/>
        <v>15768.672469911573</v>
      </c>
      <c r="S625" s="225">
        <f t="shared" si="1083"/>
        <v>15689.829107562015</v>
      </c>
      <c r="T625" s="225">
        <f t="shared" si="1083"/>
        <v>15611.379962024204</v>
      </c>
      <c r="U625" s="225">
        <f t="shared" si="1083"/>
        <v>15533.323062214084</v>
      </c>
      <c r="V625" s="225">
        <f t="shared" si="1083"/>
        <v>15455.656446903013</v>
      </c>
      <c r="W625" s="225">
        <f t="shared" si="1083"/>
        <v>15378.378164668497</v>
      </c>
      <c r="X625" s="225">
        <f t="shared" si="1083"/>
        <v>15301.486273845156</v>
      </c>
      <c r="Y625" s="225">
        <f t="shared" si="1083"/>
        <v>15224.978842475928</v>
      </c>
      <c r="Z625" s="225">
        <f t="shared" si="1083"/>
        <v>15148.853948263548</v>
      </c>
      <c r="AA625" s="225">
        <f t="shared" si="1083"/>
        <v>15073.109678522231</v>
      </c>
      <c r="AB625" s="225">
        <f t="shared" si="1083"/>
        <v>14997.74413012962</v>
      </c>
      <c r="AC625" s="225">
        <f t="shared" si="1083"/>
        <v>14922.755409478972</v>
      </c>
      <c r="AD625" s="225">
        <f t="shared" si="1083"/>
        <v>14848.141632431576</v>
      </c>
      <c r="AE625" s="225">
        <f t="shared" si="1083"/>
        <v>14773.900924269417</v>
      </c>
      <c r="AF625" s="225">
        <f t="shared" si="1083"/>
        <v>14700.03141964807</v>
      </c>
      <c r="AG625" s="225">
        <f t="shared" si="1083"/>
        <v>0</v>
      </c>
      <c r="AH625" s="225">
        <f t="shared" si="1083"/>
        <v>0</v>
      </c>
      <c r="AI625" s="225">
        <f t="shared" si="1083"/>
        <v>0</v>
      </c>
      <c r="AJ625" s="225">
        <f t="shared" si="1083"/>
        <v>0</v>
      </c>
      <c r="AK625" s="225">
        <f t="shared" si="1083"/>
        <v>0</v>
      </c>
      <c r="AL625" s="225">
        <f t="shared" si="1083"/>
        <v>0</v>
      </c>
      <c r="AM625" s="225">
        <f t="shared" si="1083"/>
        <v>0</v>
      </c>
      <c r="AN625" s="225">
        <f t="shared" si="1083"/>
        <v>0</v>
      </c>
      <c r="AO625" s="225">
        <f t="shared" si="1083"/>
        <v>0</v>
      </c>
      <c r="AP625" s="225">
        <f t="shared" si="1083"/>
        <v>0</v>
      </c>
    </row>
    <row r="626" spans="1:42" s="119" customFormat="1">
      <c r="A626" s="226" t="s">
        <v>53</v>
      </c>
      <c r="C626" s="146">
        <f>C624*C625</f>
        <v>0</v>
      </c>
      <c r="D626" s="146">
        <f>D624*D625</f>
        <v>0</v>
      </c>
      <c r="E626" s="146">
        <f t="shared" ref="E626:AP626" si="1084">E624*E625</f>
        <v>0</v>
      </c>
      <c r="F626" s="146">
        <f t="shared" si="1084"/>
        <v>0</v>
      </c>
      <c r="G626" s="146">
        <f t="shared" si="1084"/>
        <v>0</v>
      </c>
      <c r="H626" s="146">
        <f t="shared" si="1084"/>
        <v>0</v>
      </c>
      <c r="I626" s="146">
        <f t="shared" si="1084"/>
        <v>0</v>
      </c>
      <c r="J626" s="146">
        <f t="shared" si="1084"/>
        <v>0</v>
      </c>
      <c r="K626" s="146">
        <f t="shared" si="1084"/>
        <v>0</v>
      </c>
      <c r="L626" s="146">
        <f t="shared" si="1084"/>
        <v>0</v>
      </c>
      <c r="M626" s="146">
        <f t="shared" si="1084"/>
        <v>0</v>
      </c>
      <c r="N626" s="146">
        <f t="shared" si="1084"/>
        <v>0</v>
      </c>
      <c r="O626" s="146">
        <f t="shared" si="1084"/>
        <v>0</v>
      </c>
      <c r="P626" s="146">
        <f t="shared" si="1084"/>
        <v>0</v>
      </c>
      <c r="Q626" s="146">
        <f t="shared" si="1084"/>
        <v>0</v>
      </c>
      <c r="R626" s="146">
        <f t="shared" si="1084"/>
        <v>0</v>
      </c>
      <c r="S626" s="146">
        <f t="shared" si="1084"/>
        <v>0</v>
      </c>
      <c r="T626" s="146">
        <f t="shared" si="1084"/>
        <v>0</v>
      </c>
      <c r="U626" s="146">
        <f t="shared" si="1084"/>
        <v>0</v>
      </c>
      <c r="V626" s="146">
        <f t="shared" si="1084"/>
        <v>0</v>
      </c>
      <c r="W626" s="146">
        <f t="shared" si="1084"/>
        <v>0</v>
      </c>
      <c r="X626" s="146">
        <f t="shared" si="1084"/>
        <v>0</v>
      </c>
      <c r="Y626" s="146">
        <f t="shared" si="1084"/>
        <v>0</v>
      </c>
      <c r="Z626" s="146">
        <f t="shared" si="1084"/>
        <v>0</v>
      </c>
      <c r="AA626" s="146">
        <f t="shared" si="1084"/>
        <v>0</v>
      </c>
      <c r="AB626" s="146">
        <f t="shared" si="1084"/>
        <v>0</v>
      </c>
      <c r="AC626" s="146">
        <f t="shared" si="1084"/>
        <v>0</v>
      </c>
      <c r="AD626" s="146">
        <f t="shared" si="1084"/>
        <v>0</v>
      </c>
      <c r="AE626" s="146">
        <f t="shared" si="1084"/>
        <v>0</v>
      </c>
      <c r="AF626" s="146">
        <f t="shared" si="1084"/>
        <v>0</v>
      </c>
      <c r="AG626" s="146">
        <f t="shared" si="1084"/>
        <v>0</v>
      </c>
      <c r="AH626" s="146">
        <f t="shared" si="1084"/>
        <v>0</v>
      </c>
      <c r="AI626" s="146">
        <f t="shared" si="1084"/>
        <v>0</v>
      </c>
      <c r="AJ626" s="146">
        <f t="shared" si="1084"/>
        <v>0</v>
      </c>
      <c r="AK626" s="146">
        <f t="shared" si="1084"/>
        <v>0</v>
      </c>
      <c r="AL626" s="146">
        <f t="shared" si="1084"/>
        <v>0</v>
      </c>
      <c r="AM626" s="146">
        <f t="shared" si="1084"/>
        <v>0</v>
      </c>
      <c r="AN626" s="146">
        <f t="shared" si="1084"/>
        <v>0</v>
      </c>
      <c r="AO626" s="146">
        <f t="shared" si="1084"/>
        <v>0</v>
      </c>
      <c r="AP626" s="146">
        <f t="shared" si="1084"/>
        <v>0</v>
      </c>
    </row>
    <row r="627" spans="1:42" s="119" customFormat="1">
      <c r="A627" s="226"/>
      <c r="C627" s="146"/>
      <c r="D627" s="146"/>
      <c r="E627" s="146"/>
      <c r="F627" s="146"/>
      <c r="G627" s="146"/>
      <c r="H627" s="146"/>
      <c r="I627" s="146"/>
      <c r="J627" s="146"/>
      <c r="K627" s="146"/>
      <c r="L627" s="146"/>
      <c r="M627" s="146"/>
      <c r="N627" s="146"/>
      <c r="O627" s="146"/>
      <c r="P627" s="146"/>
      <c r="Q627" s="146"/>
      <c r="R627" s="146"/>
      <c r="S627" s="146"/>
      <c r="T627" s="146"/>
      <c r="U627" s="146"/>
      <c r="V627" s="146"/>
      <c r="W627" s="146"/>
      <c r="X627" s="146"/>
      <c r="Y627" s="146"/>
      <c r="Z627" s="146"/>
      <c r="AA627" s="146"/>
      <c r="AB627" s="146"/>
      <c r="AC627" s="146"/>
      <c r="AD627" s="146"/>
      <c r="AE627" s="146"/>
      <c r="AF627" s="146"/>
      <c r="AG627" s="146"/>
      <c r="AH627" s="146"/>
      <c r="AI627" s="146"/>
      <c r="AJ627" s="146"/>
      <c r="AK627" s="146"/>
      <c r="AL627" s="146"/>
      <c r="AM627" s="146"/>
      <c r="AN627" s="146"/>
      <c r="AO627" s="146"/>
      <c r="AP627" s="146"/>
    </row>
    <row r="628" spans="1:42">
      <c r="A628" s="201" t="s">
        <v>58</v>
      </c>
      <c r="C628" s="208"/>
      <c r="D628" s="208"/>
      <c r="E628" s="208"/>
      <c r="F628" s="208"/>
      <c r="G628" s="208"/>
      <c r="H628" s="208"/>
      <c r="I628" s="208"/>
      <c r="J628" s="208"/>
      <c r="K628" s="208"/>
      <c r="L628" s="208"/>
      <c r="M628" s="208"/>
      <c r="N628" s="208"/>
      <c r="O628" s="208"/>
      <c r="P628" s="208"/>
      <c r="Q628" s="208"/>
      <c r="R628" s="208"/>
      <c r="S628" s="208"/>
      <c r="T628" s="208"/>
      <c r="U628" s="208"/>
      <c r="V628" s="208"/>
      <c r="W628" s="208"/>
      <c r="X628" s="208"/>
      <c r="Y628" s="208"/>
      <c r="Z628" s="208"/>
      <c r="AA628" s="208"/>
      <c r="AB628" s="208"/>
      <c r="AC628" s="208"/>
      <c r="AD628" s="208"/>
      <c r="AE628" s="208"/>
      <c r="AF628" s="208"/>
      <c r="AG628" s="208"/>
      <c r="AH628" s="208"/>
      <c r="AI628" s="208"/>
      <c r="AJ628" s="208"/>
      <c r="AK628" s="208"/>
      <c r="AL628" s="208"/>
      <c r="AM628" s="208"/>
      <c r="AN628" s="208"/>
      <c r="AO628" s="208"/>
      <c r="AP628" s="208"/>
    </row>
    <row r="629" spans="1:42">
      <c r="A629" s="219" t="str">
        <f>'Inputs &amp; Results'!A49</f>
        <v>Fixed Amount ($)</v>
      </c>
      <c r="B629" s="119"/>
      <c r="C629" s="119"/>
      <c r="D629" s="208"/>
      <c r="E629" s="208"/>
      <c r="F629" s="208"/>
      <c r="G629" s="208"/>
      <c r="H629" s="208"/>
      <c r="I629" s="208"/>
      <c r="J629" s="208"/>
      <c r="K629" s="208"/>
      <c r="L629" s="208"/>
      <c r="M629" s="208"/>
      <c r="N629" s="208"/>
      <c r="O629" s="208"/>
      <c r="P629" s="208"/>
      <c r="Q629" s="208"/>
      <c r="R629" s="208"/>
      <c r="S629" s="208"/>
      <c r="T629" s="208"/>
      <c r="U629" s="208"/>
      <c r="V629" s="208"/>
      <c r="W629" s="208"/>
      <c r="X629" s="208"/>
      <c r="Y629" s="208"/>
      <c r="Z629" s="208"/>
      <c r="AA629" s="208"/>
      <c r="AB629" s="208"/>
      <c r="AC629" s="208"/>
      <c r="AD629" s="208"/>
      <c r="AE629" s="208"/>
      <c r="AF629" s="208"/>
      <c r="AG629" s="208"/>
      <c r="AH629" s="208"/>
      <c r="AI629" s="208"/>
      <c r="AJ629" s="208"/>
      <c r="AK629" s="208"/>
      <c r="AL629" s="208"/>
      <c r="AM629" s="208"/>
      <c r="AN629" s="208"/>
      <c r="AO629" s="208"/>
      <c r="AP629" s="208"/>
    </row>
    <row r="630" spans="1:42">
      <c r="A630" s="226" t="str">
        <f>'Inputs &amp; Results'!A50</f>
        <v>Federal</v>
      </c>
      <c r="B630" s="119"/>
      <c r="C630" s="220">
        <f>IBIFedFixed</f>
        <v>1000</v>
      </c>
      <c r="D630" s="208"/>
      <c r="E630" s="208"/>
      <c r="F630" s="208"/>
      <c r="G630" s="208"/>
      <c r="H630" s="208"/>
      <c r="I630" s="208"/>
      <c r="J630" s="208"/>
      <c r="K630" s="208"/>
      <c r="L630" s="208"/>
      <c r="M630" s="208"/>
      <c r="N630" s="208"/>
      <c r="O630" s="208"/>
      <c r="P630" s="208"/>
      <c r="Q630" s="208"/>
      <c r="R630" s="208"/>
      <c r="S630" s="208"/>
      <c r="T630" s="208"/>
      <c r="U630" s="208"/>
      <c r="V630" s="208"/>
      <c r="W630" s="208"/>
      <c r="X630" s="208"/>
      <c r="Y630" s="208"/>
      <c r="Z630" s="208"/>
      <c r="AA630" s="208"/>
      <c r="AB630" s="208"/>
      <c r="AC630" s="208"/>
      <c r="AD630" s="208"/>
      <c r="AE630" s="208"/>
      <c r="AF630" s="208"/>
      <c r="AG630" s="208"/>
      <c r="AH630" s="208"/>
      <c r="AI630" s="208"/>
      <c r="AJ630" s="208"/>
      <c r="AK630" s="208"/>
      <c r="AL630" s="208"/>
      <c r="AM630" s="208"/>
      <c r="AN630" s="208"/>
      <c r="AO630" s="208"/>
      <c r="AP630" s="208"/>
    </row>
    <row r="631" spans="1:42">
      <c r="A631" s="226" t="str">
        <f>'Inputs &amp; Results'!A51</f>
        <v>State</v>
      </c>
      <c r="B631" s="119"/>
      <c r="C631" s="220">
        <f>IBIStateFixed</f>
        <v>2000</v>
      </c>
      <c r="D631" s="208"/>
      <c r="E631" s="208"/>
      <c r="F631" s="208"/>
      <c r="G631" s="208"/>
      <c r="H631" s="208"/>
      <c r="I631" s="208"/>
      <c r="J631" s="208"/>
      <c r="K631" s="208"/>
      <c r="L631" s="208"/>
      <c r="M631" s="208"/>
      <c r="N631" s="208"/>
      <c r="O631" s="208"/>
      <c r="P631" s="208"/>
      <c r="Q631" s="208"/>
      <c r="R631" s="208"/>
      <c r="S631" s="208"/>
      <c r="T631" s="208"/>
      <c r="U631" s="208"/>
      <c r="V631" s="208"/>
      <c r="W631" s="208"/>
      <c r="X631" s="208"/>
      <c r="Y631" s="208"/>
      <c r="Z631" s="208"/>
      <c r="AA631" s="208"/>
      <c r="AB631" s="208"/>
      <c r="AC631" s="208"/>
      <c r="AD631" s="208"/>
      <c r="AE631" s="208"/>
      <c r="AF631" s="208"/>
      <c r="AG631" s="208"/>
      <c r="AH631" s="208"/>
      <c r="AI631" s="208"/>
      <c r="AJ631" s="208"/>
      <c r="AK631" s="208"/>
      <c r="AL631" s="208"/>
      <c r="AM631" s="208"/>
      <c r="AN631" s="208"/>
      <c r="AO631" s="208"/>
      <c r="AP631" s="208"/>
    </row>
    <row r="632" spans="1:42">
      <c r="A632" s="226" t="str">
        <f>'Inputs &amp; Results'!A52</f>
        <v>Utility</v>
      </c>
      <c r="B632" s="119"/>
      <c r="C632" s="220">
        <f>IBIUtilityFixed</f>
        <v>500</v>
      </c>
      <c r="D632" s="208"/>
      <c r="E632" s="208"/>
      <c r="F632" s="208"/>
      <c r="G632" s="208"/>
      <c r="H632" s="208"/>
      <c r="I632" s="208"/>
      <c r="J632" s="208"/>
      <c r="K632" s="208"/>
      <c r="L632" s="208"/>
      <c r="M632" s="208"/>
      <c r="N632" s="208"/>
      <c r="O632" s="208"/>
      <c r="P632" s="208"/>
      <c r="Q632" s="208"/>
      <c r="R632" s="208"/>
      <c r="S632" s="208"/>
      <c r="T632" s="208"/>
      <c r="U632" s="208"/>
      <c r="V632" s="208"/>
      <c r="W632" s="208"/>
      <c r="X632" s="208"/>
      <c r="Y632" s="208"/>
      <c r="Z632" s="208"/>
      <c r="AA632" s="208"/>
      <c r="AB632" s="208"/>
      <c r="AC632" s="208"/>
      <c r="AD632" s="208"/>
      <c r="AE632" s="208"/>
      <c r="AF632" s="208"/>
      <c r="AG632" s="208"/>
      <c r="AH632" s="208"/>
      <c r="AI632" s="208"/>
      <c r="AJ632" s="208"/>
      <c r="AK632" s="208"/>
      <c r="AL632" s="208"/>
      <c r="AM632" s="208"/>
      <c r="AN632" s="208"/>
      <c r="AO632" s="208"/>
      <c r="AP632" s="208"/>
    </row>
    <row r="633" spans="1:42">
      <c r="A633" s="226" t="str">
        <f>'Inputs &amp; Results'!A53</f>
        <v>Other</v>
      </c>
      <c r="C633" s="225">
        <f>IBIOtherFixed</f>
        <v>250</v>
      </c>
      <c r="D633" s="208"/>
      <c r="E633" s="208"/>
      <c r="F633" s="208"/>
      <c r="G633" s="208"/>
      <c r="H633" s="208"/>
      <c r="I633" s="208"/>
      <c r="J633" s="208"/>
      <c r="K633" s="208"/>
      <c r="L633" s="208"/>
      <c r="M633" s="208"/>
      <c r="N633" s="208"/>
      <c r="O633" s="208"/>
      <c r="P633" s="208"/>
      <c r="Q633" s="208"/>
      <c r="R633" s="208"/>
      <c r="S633" s="208"/>
      <c r="T633" s="208"/>
      <c r="U633" s="208"/>
      <c r="V633" s="208"/>
      <c r="W633" s="208"/>
      <c r="X633" s="208"/>
      <c r="Y633" s="208"/>
      <c r="Z633" s="208"/>
      <c r="AA633" s="208"/>
      <c r="AB633" s="208"/>
      <c r="AC633" s="208"/>
      <c r="AD633" s="208"/>
      <c r="AE633" s="208"/>
      <c r="AF633" s="208"/>
      <c r="AG633" s="208"/>
      <c r="AH633" s="208"/>
      <c r="AI633" s="208"/>
      <c r="AJ633" s="208"/>
      <c r="AK633" s="208"/>
      <c r="AL633" s="208"/>
      <c r="AM633" s="208"/>
      <c r="AN633" s="208"/>
      <c r="AO633" s="208"/>
      <c r="AP633" s="208"/>
    </row>
    <row r="634" spans="1:42">
      <c r="A634" s="206" t="s">
        <v>53</v>
      </c>
      <c r="C634" s="208">
        <f>SUM(C630:C633)</f>
        <v>3750</v>
      </c>
      <c r="D634" s="208"/>
      <c r="E634" s="208"/>
      <c r="F634" s="208"/>
      <c r="G634" s="208"/>
      <c r="H634" s="208"/>
      <c r="I634" s="208"/>
      <c r="J634" s="208"/>
      <c r="K634" s="208"/>
      <c r="L634" s="208"/>
      <c r="M634" s="208"/>
      <c r="N634" s="208"/>
      <c r="O634" s="208"/>
      <c r="P634" s="208"/>
      <c r="Q634" s="208"/>
      <c r="R634" s="208"/>
      <c r="S634" s="208"/>
      <c r="T634" s="208"/>
      <c r="U634" s="208"/>
      <c r="V634" s="208"/>
      <c r="W634" s="208"/>
      <c r="X634" s="208"/>
      <c r="Y634" s="208"/>
      <c r="Z634" s="208"/>
      <c r="AA634" s="208"/>
      <c r="AB634" s="208"/>
      <c r="AC634" s="208"/>
      <c r="AD634" s="208"/>
      <c r="AE634" s="208"/>
      <c r="AF634" s="208"/>
      <c r="AG634" s="208"/>
      <c r="AH634" s="208"/>
      <c r="AI634" s="208"/>
      <c r="AJ634" s="208"/>
      <c r="AK634" s="208"/>
      <c r="AL634" s="208"/>
      <c r="AM634" s="208"/>
      <c r="AN634" s="208"/>
      <c r="AO634" s="208"/>
      <c r="AP634" s="208"/>
    </row>
    <row r="635" spans="1:42">
      <c r="A635" s="219" t="str">
        <f>'Inputs &amp; Results'!A54</f>
        <v>Percentage of Pre-Financing Costs</v>
      </c>
      <c r="C635" s="208"/>
      <c r="D635" s="208"/>
      <c r="E635" s="208"/>
      <c r="F635" s="208"/>
      <c r="G635" s="208"/>
      <c r="H635" s="208"/>
      <c r="I635" s="208"/>
      <c r="J635" s="208"/>
      <c r="K635" s="208"/>
      <c r="L635" s="208"/>
      <c r="M635" s="208"/>
      <c r="N635" s="208"/>
      <c r="O635" s="208"/>
      <c r="P635" s="208"/>
      <c r="Q635" s="208"/>
      <c r="R635" s="208"/>
      <c r="S635" s="208"/>
      <c r="T635" s="208"/>
      <c r="U635" s="208"/>
      <c r="V635" s="208"/>
      <c r="W635" s="208"/>
      <c r="X635" s="208"/>
      <c r="Y635" s="208"/>
      <c r="Z635" s="208"/>
      <c r="AA635" s="208"/>
      <c r="AB635" s="208"/>
      <c r="AC635" s="208"/>
      <c r="AD635" s="208"/>
      <c r="AE635" s="208"/>
      <c r="AF635" s="208"/>
      <c r="AG635" s="208"/>
      <c r="AH635" s="208"/>
      <c r="AI635" s="208"/>
      <c r="AJ635" s="208"/>
      <c r="AK635" s="208"/>
      <c r="AL635" s="208"/>
      <c r="AM635" s="208"/>
      <c r="AN635" s="208"/>
      <c r="AO635" s="208"/>
      <c r="AP635" s="208"/>
    </row>
    <row r="636" spans="1:42">
      <c r="A636" s="226" t="str">
        <f>'Inputs &amp; Results'!A55</f>
        <v>Federal</v>
      </c>
      <c r="C636" s="220">
        <f>IBIFedPercent</f>
        <v>2011357.5</v>
      </c>
      <c r="D636" s="208"/>
      <c r="E636" s="208"/>
      <c r="F636" s="208"/>
      <c r="G636" s="208"/>
      <c r="H636" s="208"/>
      <c r="I636" s="208"/>
      <c r="J636" s="208"/>
      <c r="K636" s="208"/>
      <c r="L636" s="208"/>
      <c r="M636" s="208"/>
      <c r="N636" s="208"/>
      <c r="O636" s="208"/>
      <c r="P636" s="208"/>
      <c r="Q636" s="208"/>
      <c r="R636" s="208"/>
      <c r="S636" s="208"/>
      <c r="T636" s="208"/>
      <c r="U636" s="208"/>
      <c r="V636" s="208"/>
      <c r="W636" s="208"/>
      <c r="X636" s="208"/>
      <c r="Y636" s="208"/>
      <c r="Z636" s="208"/>
      <c r="AA636" s="208"/>
      <c r="AB636" s="208"/>
      <c r="AC636" s="208"/>
      <c r="AD636" s="208"/>
      <c r="AE636" s="208"/>
      <c r="AF636" s="208"/>
      <c r="AG636" s="208"/>
      <c r="AH636" s="208"/>
      <c r="AI636" s="208"/>
      <c r="AJ636" s="208"/>
      <c r="AK636" s="208"/>
      <c r="AL636" s="208"/>
      <c r="AM636" s="208"/>
      <c r="AN636" s="208"/>
      <c r="AO636" s="208"/>
      <c r="AP636" s="208"/>
    </row>
    <row r="637" spans="1:42">
      <c r="A637" s="226" t="str">
        <f>'Inputs &amp; Results'!A56</f>
        <v>State</v>
      </c>
      <c r="C637" s="220">
        <f>IBIStatePercent</f>
        <v>4022715</v>
      </c>
      <c r="D637" s="208"/>
      <c r="E637" s="208"/>
      <c r="F637" s="208"/>
      <c r="G637" s="208"/>
      <c r="H637" s="208"/>
      <c r="I637" s="208"/>
      <c r="J637" s="208"/>
      <c r="K637" s="208"/>
      <c r="L637" s="208"/>
      <c r="M637" s="208"/>
      <c r="N637" s="208"/>
      <c r="O637" s="208"/>
      <c r="P637" s="208"/>
      <c r="Q637" s="208"/>
      <c r="R637" s="208"/>
      <c r="S637" s="208"/>
      <c r="T637" s="208"/>
      <c r="U637" s="208"/>
      <c r="V637" s="208"/>
      <c r="W637" s="208"/>
      <c r="X637" s="208"/>
      <c r="Y637" s="208"/>
      <c r="Z637" s="208"/>
      <c r="AA637" s="208"/>
      <c r="AB637" s="208"/>
      <c r="AC637" s="208"/>
      <c r="AD637" s="208"/>
      <c r="AE637" s="208"/>
      <c r="AF637" s="208"/>
      <c r="AG637" s="208"/>
      <c r="AH637" s="208"/>
      <c r="AI637" s="208"/>
      <c r="AJ637" s="208"/>
      <c r="AK637" s="208"/>
      <c r="AL637" s="208"/>
      <c r="AM637" s="208"/>
      <c r="AN637" s="208"/>
      <c r="AO637" s="208"/>
      <c r="AP637" s="208"/>
    </row>
    <row r="638" spans="1:42">
      <c r="A638" s="226" t="str">
        <f>'Inputs &amp; Results'!A57</f>
        <v>Utility</v>
      </c>
      <c r="C638" s="220">
        <f>IBIUtilityPercent</f>
        <v>402271.5</v>
      </c>
      <c r="D638" s="208"/>
      <c r="E638" s="208"/>
      <c r="F638" s="208"/>
      <c r="G638" s="208"/>
      <c r="H638" s="208"/>
      <c r="I638" s="208"/>
      <c r="J638" s="208"/>
      <c r="K638" s="208"/>
      <c r="L638" s="208"/>
      <c r="M638" s="208"/>
      <c r="N638" s="208"/>
      <c r="O638" s="208"/>
      <c r="P638" s="208"/>
      <c r="Q638" s="208"/>
      <c r="R638" s="208"/>
      <c r="S638" s="208"/>
      <c r="T638" s="208"/>
      <c r="U638" s="208"/>
      <c r="V638" s="208"/>
      <c r="W638" s="208"/>
      <c r="X638" s="208"/>
      <c r="Y638" s="208"/>
      <c r="Z638" s="208"/>
      <c r="AA638" s="208"/>
      <c r="AB638" s="208"/>
      <c r="AC638" s="208"/>
      <c r="AD638" s="208"/>
      <c r="AE638" s="208"/>
      <c r="AF638" s="208"/>
      <c r="AG638" s="208"/>
      <c r="AH638" s="208"/>
      <c r="AI638" s="208"/>
      <c r="AJ638" s="208"/>
      <c r="AK638" s="208"/>
      <c r="AL638" s="208"/>
      <c r="AM638" s="208"/>
      <c r="AN638" s="208"/>
      <c r="AO638" s="208"/>
      <c r="AP638" s="208"/>
    </row>
    <row r="639" spans="1:42">
      <c r="A639" s="226" t="str">
        <f>'Inputs &amp; Results'!A58</f>
        <v>Other</v>
      </c>
      <c r="C639" s="225">
        <f>IBIOtherPercent</f>
        <v>201135.75</v>
      </c>
      <c r="D639" s="208"/>
      <c r="E639" s="208"/>
      <c r="F639" s="208"/>
      <c r="G639" s="208"/>
      <c r="H639" s="208"/>
      <c r="I639" s="208"/>
      <c r="J639" s="208"/>
      <c r="K639" s="208"/>
      <c r="L639" s="208"/>
      <c r="M639" s="208"/>
      <c r="N639" s="208"/>
      <c r="O639" s="208"/>
      <c r="P639" s="208"/>
      <c r="Q639" s="208"/>
      <c r="R639" s="208"/>
      <c r="S639" s="208"/>
      <c r="T639" s="208"/>
      <c r="U639" s="208"/>
      <c r="V639" s="208"/>
      <c r="W639" s="208"/>
      <c r="X639" s="208"/>
      <c r="Y639" s="208"/>
      <c r="Z639" s="208"/>
      <c r="AA639" s="208"/>
      <c r="AB639" s="208"/>
      <c r="AC639" s="208"/>
      <c r="AD639" s="208"/>
      <c r="AE639" s="208"/>
      <c r="AF639" s="208"/>
      <c r="AG639" s="208"/>
      <c r="AH639" s="208"/>
      <c r="AI639" s="208"/>
      <c r="AJ639" s="208"/>
      <c r="AK639" s="208"/>
      <c r="AL639" s="208"/>
      <c r="AM639" s="208"/>
      <c r="AN639" s="208"/>
      <c r="AO639" s="208"/>
      <c r="AP639" s="208"/>
    </row>
    <row r="640" spans="1:42">
      <c r="A640" s="226" t="s">
        <v>53</v>
      </c>
      <c r="C640" s="208">
        <f>SUM(C636:C639)</f>
        <v>6637479.75</v>
      </c>
      <c r="D640" s="208"/>
      <c r="E640" s="208"/>
      <c r="F640" s="208"/>
      <c r="G640" s="208"/>
      <c r="H640" s="208"/>
      <c r="I640" s="208"/>
      <c r="J640" s="208"/>
      <c r="K640" s="208"/>
      <c r="L640" s="208"/>
      <c r="M640" s="208"/>
      <c r="N640" s="208"/>
      <c r="O640" s="208"/>
      <c r="P640" s="208"/>
      <c r="Q640" s="208"/>
      <c r="R640" s="208"/>
      <c r="S640" s="208"/>
      <c r="T640" s="208"/>
      <c r="U640" s="208"/>
      <c r="V640" s="208"/>
      <c r="W640" s="208"/>
      <c r="X640" s="208"/>
      <c r="Y640" s="208"/>
      <c r="Z640" s="208"/>
      <c r="AA640" s="208"/>
      <c r="AB640" s="208"/>
      <c r="AC640" s="208"/>
      <c r="AD640" s="208"/>
      <c r="AE640" s="208"/>
      <c r="AF640" s="208"/>
      <c r="AG640" s="208"/>
      <c r="AH640" s="208"/>
      <c r="AI640" s="208"/>
      <c r="AJ640" s="208"/>
      <c r="AK640" s="208"/>
      <c r="AL640" s="208"/>
      <c r="AM640" s="208"/>
      <c r="AN640" s="208"/>
      <c r="AO640" s="208"/>
      <c r="AP640" s="208"/>
    </row>
    <row r="641" spans="1:42">
      <c r="A641" s="201" t="s">
        <v>129</v>
      </c>
      <c r="C641" s="208"/>
      <c r="D641" s="208"/>
      <c r="E641" s="208"/>
      <c r="F641" s="208"/>
      <c r="G641" s="208"/>
      <c r="H641" s="208"/>
      <c r="I641" s="208"/>
      <c r="J641" s="208"/>
      <c r="K641" s="208"/>
      <c r="L641" s="208"/>
      <c r="M641" s="208"/>
      <c r="N641" s="208"/>
      <c r="O641" s="208"/>
      <c r="P641" s="208"/>
      <c r="Q641" s="208"/>
      <c r="R641" s="208"/>
      <c r="S641" s="208"/>
      <c r="T641" s="208"/>
      <c r="U641" s="208"/>
      <c r="V641" s="208"/>
      <c r="W641" s="208"/>
      <c r="X641" s="208"/>
      <c r="Y641" s="208"/>
      <c r="Z641" s="208"/>
      <c r="AA641" s="208"/>
      <c r="AB641" s="208"/>
      <c r="AC641" s="208"/>
      <c r="AD641" s="208"/>
      <c r="AE641" s="208"/>
      <c r="AF641" s="208"/>
      <c r="AG641" s="208"/>
      <c r="AH641" s="208"/>
      <c r="AI641" s="208"/>
      <c r="AJ641" s="208"/>
      <c r="AK641" s="208"/>
      <c r="AL641" s="208"/>
      <c r="AM641" s="208"/>
      <c r="AN641" s="208"/>
      <c r="AO641" s="208"/>
      <c r="AP641" s="208"/>
    </row>
    <row r="642" spans="1:42">
      <c r="A642" s="219" t="str">
        <f>'Inputs &amp; Results'!A60</f>
        <v>Federal</v>
      </c>
      <c r="B642" s="119"/>
      <c r="C642" s="220">
        <f>CBIFed</f>
        <v>5000000</v>
      </c>
      <c r="D642" s="208"/>
      <c r="E642" s="208"/>
      <c r="F642" s="208"/>
      <c r="G642" s="208"/>
      <c r="H642" s="208"/>
      <c r="I642" s="208"/>
      <c r="J642" s="208"/>
      <c r="K642" s="208"/>
      <c r="L642" s="208"/>
      <c r="M642" s="208"/>
      <c r="N642" s="208"/>
      <c r="O642" s="208"/>
      <c r="P642" s="208"/>
      <c r="Q642" s="208"/>
      <c r="R642" s="208"/>
      <c r="S642" s="208"/>
      <c r="T642" s="208"/>
      <c r="U642" s="208"/>
      <c r="V642" s="208"/>
      <c r="W642" s="208"/>
      <c r="X642" s="208"/>
      <c r="Y642" s="208"/>
      <c r="Z642" s="208"/>
      <c r="AA642" s="208"/>
      <c r="AB642" s="208"/>
      <c r="AC642" s="208"/>
      <c r="AD642" s="208"/>
      <c r="AE642" s="208"/>
      <c r="AF642" s="208"/>
      <c r="AG642" s="208"/>
      <c r="AH642" s="208"/>
      <c r="AI642" s="208"/>
      <c r="AJ642" s="208"/>
      <c r="AK642" s="208"/>
      <c r="AL642" s="208"/>
      <c r="AM642" s="208"/>
      <c r="AN642" s="208"/>
      <c r="AO642" s="208"/>
      <c r="AP642" s="208"/>
    </row>
    <row r="643" spans="1:42">
      <c r="A643" s="219" t="str">
        <f>'Inputs &amp; Results'!A61</f>
        <v>State</v>
      </c>
      <c r="B643" s="119"/>
      <c r="C643" s="220">
        <f>CBIState</f>
        <v>2000000</v>
      </c>
      <c r="D643" s="208"/>
      <c r="E643" s="208"/>
      <c r="F643" s="208"/>
      <c r="G643" s="208"/>
      <c r="H643" s="208"/>
      <c r="I643" s="208"/>
      <c r="J643" s="208"/>
      <c r="K643" s="208"/>
      <c r="L643" s="208"/>
      <c r="M643" s="208"/>
      <c r="N643" s="208"/>
      <c r="O643" s="208"/>
      <c r="P643" s="208"/>
      <c r="Q643" s="208"/>
      <c r="R643" s="208"/>
      <c r="S643" s="208"/>
      <c r="T643" s="208"/>
      <c r="U643" s="208"/>
      <c r="V643" s="208"/>
      <c r="W643" s="208"/>
      <c r="X643" s="208"/>
      <c r="Y643" s="208"/>
      <c r="Z643" s="208"/>
      <c r="AA643" s="208"/>
      <c r="AB643" s="208"/>
      <c r="AC643" s="208"/>
      <c r="AD643" s="208"/>
      <c r="AE643" s="208"/>
      <c r="AF643" s="208"/>
      <c r="AG643" s="208"/>
      <c r="AH643" s="208"/>
      <c r="AI643" s="208"/>
      <c r="AJ643" s="208"/>
      <c r="AK643" s="208"/>
      <c r="AL643" s="208"/>
      <c r="AM643" s="208"/>
      <c r="AN643" s="208"/>
      <c r="AO643" s="208"/>
      <c r="AP643" s="208"/>
    </row>
    <row r="644" spans="1:42">
      <c r="A644" s="219" t="str">
        <f>'Inputs &amp; Results'!A62</f>
        <v>Utility</v>
      </c>
      <c r="B644" s="119"/>
      <c r="C644" s="220">
        <f>CBIUtility</f>
        <v>100000</v>
      </c>
      <c r="D644" s="208"/>
      <c r="E644" s="208"/>
      <c r="F644" s="208"/>
      <c r="G644" s="208"/>
      <c r="H644" s="208"/>
      <c r="I644" s="208"/>
      <c r="J644" s="208"/>
      <c r="K644" s="208"/>
      <c r="L644" s="208"/>
      <c r="M644" s="208"/>
      <c r="N644" s="208"/>
      <c r="O644" s="208"/>
      <c r="P644" s="208"/>
      <c r="Q644" s="208"/>
      <c r="R644" s="208"/>
      <c r="S644" s="208"/>
      <c r="T644" s="208"/>
      <c r="U644" s="208"/>
      <c r="V644" s="208"/>
      <c r="W644" s="208"/>
      <c r="X644" s="208"/>
      <c r="Y644" s="208"/>
      <c r="Z644" s="208"/>
      <c r="AA644" s="208"/>
      <c r="AB644" s="208"/>
      <c r="AC644" s="208"/>
      <c r="AD644" s="208"/>
      <c r="AE644" s="208"/>
      <c r="AF644" s="208"/>
      <c r="AG644" s="208"/>
      <c r="AH644" s="208"/>
      <c r="AI644" s="208"/>
      <c r="AJ644" s="208"/>
      <c r="AK644" s="208"/>
      <c r="AL644" s="208"/>
      <c r="AM644" s="208"/>
      <c r="AN644" s="208"/>
      <c r="AO644" s="208"/>
      <c r="AP644" s="208"/>
    </row>
    <row r="645" spans="1:42">
      <c r="A645" s="219" t="str">
        <f>'Inputs &amp; Results'!A63</f>
        <v>Other</v>
      </c>
      <c r="C645" s="225">
        <f>CBIOther</f>
        <v>50000</v>
      </c>
      <c r="D645" s="208"/>
      <c r="E645" s="208"/>
      <c r="F645" s="208"/>
      <c r="G645" s="208"/>
      <c r="H645" s="208"/>
      <c r="I645" s="208"/>
      <c r="J645" s="208"/>
      <c r="K645" s="208"/>
      <c r="L645" s="208"/>
      <c r="M645" s="208"/>
      <c r="N645" s="208"/>
      <c r="O645" s="208"/>
      <c r="P645" s="208"/>
      <c r="Q645" s="208"/>
      <c r="R645" s="208"/>
      <c r="S645" s="208"/>
      <c r="T645" s="208"/>
      <c r="U645" s="208"/>
      <c r="V645" s="208"/>
      <c r="W645" s="208"/>
      <c r="X645" s="208"/>
      <c r="Y645" s="208"/>
      <c r="Z645" s="208"/>
      <c r="AA645" s="208"/>
      <c r="AB645" s="208"/>
      <c r="AC645" s="208"/>
      <c r="AD645" s="208"/>
      <c r="AE645" s="208"/>
      <c r="AF645" s="208"/>
      <c r="AG645" s="208"/>
      <c r="AH645" s="208"/>
      <c r="AI645" s="208"/>
      <c r="AJ645" s="208"/>
      <c r="AK645" s="208"/>
      <c r="AL645" s="208"/>
      <c r="AM645" s="208"/>
      <c r="AN645" s="208"/>
      <c r="AO645" s="208"/>
      <c r="AP645" s="208"/>
    </row>
    <row r="646" spans="1:42">
      <c r="A646" s="202" t="s">
        <v>53</v>
      </c>
      <c r="C646" s="208">
        <f>SUM(C642:C645)</f>
        <v>7150000</v>
      </c>
      <c r="D646" s="208"/>
      <c r="E646" s="208"/>
      <c r="F646" s="208"/>
      <c r="G646" s="208"/>
      <c r="H646" s="208"/>
      <c r="I646" s="208"/>
      <c r="J646" s="208"/>
      <c r="K646" s="208"/>
      <c r="L646" s="208"/>
      <c r="M646" s="208"/>
      <c r="N646" s="208"/>
      <c r="O646" s="208"/>
      <c r="P646" s="208"/>
      <c r="Q646" s="208"/>
      <c r="R646" s="208"/>
      <c r="S646" s="208"/>
      <c r="T646" s="208"/>
      <c r="U646" s="208"/>
      <c r="V646" s="208"/>
      <c r="W646" s="208"/>
      <c r="X646" s="208"/>
      <c r="Y646" s="208"/>
      <c r="Z646" s="208"/>
      <c r="AA646" s="208"/>
      <c r="AB646" s="208"/>
      <c r="AC646" s="208"/>
      <c r="AD646" s="208"/>
      <c r="AE646" s="208"/>
      <c r="AF646" s="208"/>
      <c r="AG646" s="208"/>
      <c r="AH646" s="208"/>
      <c r="AI646" s="208"/>
      <c r="AJ646" s="208"/>
      <c r="AK646" s="208"/>
      <c r="AL646" s="208"/>
      <c r="AM646" s="208"/>
      <c r="AN646" s="208"/>
      <c r="AO646" s="208"/>
      <c r="AP646" s="208"/>
    </row>
    <row r="647" spans="1:42">
      <c r="C647" s="208"/>
      <c r="D647" s="208"/>
      <c r="E647" s="208"/>
      <c r="F647" s="208"/>
      <c r="G647" s="208"/>
      <c r="H647" s="208"/>
      <c r="I647" s="208"/>
      <c r="J647" s="208"/>
      <c r="K647" s="208"/>
      <c r="L647" s="208"/>
      <c r="M647" s="208"/>
      <c r="N647" s="208"/>
      <c r="O647" s="208"/>
      <c r="P647" s="208"/>
      <c r="Q647" s="208"/>
      <c r="R647" s="208"/>
      <c r="S647" s="208"/>
      <c r="T647" s="208"/>
      <c r="U647" s="208"/>
      <c r="V647" s="208"/>
      <c r="W647" s="208"/>
      <c r="X647" s="208"/>
      <c r="Y647" s="208"/>
      <c r="Z647" s="208"/>
      <c r="AA647" s="208"/>
      <c r="AB647" s="208"/>
      <c r="AC647" s="208"/>
      <c r="AD647" s="208"/>
      <c r="AE647" s="208"/>
      <c r="AF647" s="208"/>
      <c r="AG647" s="208"/>
      <c r="AH647" s="208"/>
      <c r="AI647" s="208"/>
      <c r="AJ647" s="208"/>
      <c r="AK647" s="208"/>
      <c r="AL647" s="208"/>
      <c r="AM647" s="208"/>
      <c r="AN647" s="208"/>
      <c r="AO647" s="208"/>
      <c r="AP647" s="208"/>
    </row>
    <row r="648" spans="1:42">
      <c r="A648" s="201" t="s">
        <v>126</v>
      </c>
    </row>
    <row r="649" spans="1:42">
      <c r="A649" s="202" t="str">
        <f>'Inputs &amp; Results'!A65</f>
        <v>Federal</v>
      </c>
    </row>
    <row r="650" spans="1:42">
      <c r="A650" s="206" t="s">
        <v>127</v>
      </c>
      <c r="C650" s="270">
        <f t="shared" ref="C650:AP650" si="1085">IF(AND(C$2&lt;=PBIFedTerm,C$2&lt;=AnalysisPeriod),PBIFed*(1+PBIFedEsc)^B$2,0)</f>
        <v>0</v>
      </c>
      <c r="D650" s="270">
        <f t="shared" si="1085"/>
        <v>0</v>
      </c>
      <c r="E650" s="270">
        <f t="shared" si="1085"/>
        <v>0</v>
      </c>
      <c r="F650" s="270">
        <f t="shared" si="1085"/>
        <v>0</v>
      </c>
      <c r="G650" s="270">
        <f t="shared" si="1085"/>
        <v>0</v>
      </c>
      <c r="H650" s="270">
        <f t="shared" si="1085"/>
        <v>0</v>
      </c>
      <c r="I650" s="270">
        <f t="shared" si="1085"/>
        <v>0</v>
      </c>
      <c r="J650" s="270">
        <f t="shared" si="1085"/>
        <v>0</v>
      </c>
      <c r="K650" s="270">
        <f t="shared" si="1085"/>
        <v>0</v>
      </c>
      <c r="L650" s="270">
        <f t="shared" si="1085"/>
        <v>0</v>
      </c>
      <c r="M650" s="270">
        <f t="shared" si="1085"/>
        <v>0</v>
      </c>
      <c r="N650" s="270">
        <f t="shared" si="1085"/>
        <v>0</v>
      </c>
      <c r="O650" s="270">
        <f t="shared" si="1085"/>
        <v>0</v>
      </c>
      <c r="P650" s="270">
        <f t="shared" si="1085"/>
        <v>0</v>
      </c>
      <c r="Q650" s="270">
        <f t="shared" si="1085"/>
        <v>0</v>
      </c>
      <c r="R650" s="270">
        <f t="shared" si="1085"/>
        <v>0</v>
      </c>
      <c r="S650" s="270">
        <f t="shared" si="1085"/>
        <v>0</v>
      </c>
      <c r="T650" s="270">
        <f t="shared" si="1085"/>
        <v>0</v>
      </c>
      <c r="U650" s="270">
        <f t="shared" si="1085"/>
        <v>0</v>
      </c>
      <c r="V650" s="270">
        <f t="shared" si="1085"/>
        <v>0</v>
      </c>
      <c r="W650" s="270">
        <f t="shared" si="1085"/>
        <v>0</v>
      </c>
      <c r="X650" s="270">
        <f t="shared" si="1085"/>
        <v>0</v>
      </c>
      <c r="Y650" s="270">
        <f t="shared" si="1085"/>
        <v>0</v>
      </c>
      <c r="Z650" s="270">
        <f t="shared" si="1085"/>
        <v>0</v>
      </c>
      <c r="AA650" s="270">
        <f t="shared" si="1085"/>
        <v>0</v>
      </c>
      <c r="AB650" s="270">
        <f t="shared" si="1085"/>
        <v>0</v>
      </c>
      <c r="AC650" s="270">
        <f t="shared" si="1085"/>
        <v>0</v>
      </c>
      <c r="AD650" s="270">
        <f t="shared" si="1085"/>
        <v>0</v>
      </c>
      <c r="AE650" s="270">
        <f t="shared" si="1085"/>
        <v>0</v>
      </c>
      <c r="AF650" s="270">
        <f t="shared" si="1085"/>
        <v>0</v>
      </c>
      <c r="AG650" s="270">
        <f t="shared" si="1085"/>
        <v>0</v>
      </c>
      <c r="AH650" s="270">
        <f t="shared" si="1085"/>
        <v>0</v>
      </c>
      <c r="AI650" s="270">
        <f t="shared" si="1085"/>
        <v>0</v>
      </c>
      <c r="AJ650" s="270">
        <f t="shared" si="1085"/>
        <v>0</v>
      </c>
      <c r="AK650" s="270">
        <f t="shared" si="1085"/>
        <v>0</v>
      </c>
      <c r="AL650" s="270">
        <f t="shared" si="1085"/>
        <v>0</v>
      </c>
      <c r="AM650" s="270">
        <f t="shared" si="1085"/>
        <v>0</v>
      </c>
      <c r="AN650" s="270">
        <f t="shared" si="1085"/>
        <v>0</v>
      </c>
      <c r="AO650" s="270">
        <f t="shared" si="1085"/>
        <v>0</v>
      </c>
      <c r="AP650" s="270">
        <f t="shared" si="1085"/>
        <v>0</v>
      </c>
    </row>
    <row r="651" spans="1:42">
      <c r="A651" s="206" t="s">
        <v>128</v>
      </c>
      <c r="C651" s="225">
        <f>C$5</f>
        <v>17000000</v>
      </c>
      <c r="D651" s="225">
        <f t="shared" ref="D651:AP651" si="1086">D$5</f>
        <v>16915000</v>
      </c>
      <c r="E651" s="225">
        <f t="shared" si="1086"/>
        <v>16830425</v>
      </c>
      <c r="F651" s="225">
        <f t="shared" si="1086"/>
        <v>16746272.875</v>
      </c>
      <c r="G651" s="225">
        <f t="shared" si="1086"/>
        <v>16662541.510624999</v>
      </c>
      <c r="H651" s="225">
        <f t="shared" si="1086"/>
        <v>16579228.803071873</v>
      </c>
      <c r="I651" s="225">
        <f t="shared" si="1086"/>
        <v>16496332.659056515</v>
      </c>
      <c r="J651" s="225">
        <f t="shared" si="1086"/>
        <v>16413850.995761232</v>
      </c>
      <c r="K651" s="225">
        <f t="shared" si="1086"/>
        <v>16331781.740782427</v>
      </c>
      <c r="L651" s="225">
        <f t="shared" si="1086"/>
        <v>16250122.832078515</v>
      </c>
      <c r="M651" s="225">
        <f t="shared" si="1086"/>
        <v>16168872.217918122</v>
      </c>
      <c r="N651" s="225">
        <f t="shared" si="1086"/>
        <v>16088027.856828531</v>
      </c>
      <c r="O651" s="225">
        <f t="shared" si="1086"/>
        <v>16007587.717544388</v>
      </c>
      <c r="P651" s="225">
        <f t="shared" si="1086"/>
        <v>15927549.778956667</v>
      </c>
      <c r="Q651" s="225">
        <f t="shared" si="1086"/>
        <v>15847912.030061884</v>
      </c>
      <c r="R651" s="225">
        <f t="shared" si="1086"/>
        <v>15768672.469911573</v>
      </c>
      <c r="S651" s="225">
        <f t="shared" si="1086"/>
        <v>15689829.107562015</v>
      </c>
      <c r="T651" s="225">
        <f t="shared" si="1086"/>
        <v>15611379.962024204</v>
      </c>
      <c r="U651" s="225">
        <f t="shared" si="1086"/>
        <v>15533323.062214084</v>
      </c>
      <c r="V651" s="225">
        <f t="shared" si="1086"/>
        <v>15455656.446903013</v>
      </c>
      <c r="W651" s="225">
        <f t="shared" si="1086"/>
        <v>15378378.164668497</v>
      </c>
      <c r="X651" s="225">
        <f t="shared" si="1086"/>
        <v>15301486.273845155</v>
      </c>
      <c r="Y651" s="225">
        <f t="shared" si="1086"/>
        <v>15224978.842475928</v>
      </c>
      <c r="Z651" s="225">
        <f t="shared" si="1086"/>
        <v>15148853.948263548</v>
      </c>
      <c r="AA651" s="225">
        <f t="shared" si="1086"/>
        <v>15073109.678522231</v>
      </c>
      <c r="AB651" s="225">
        <f t="shared" si="1086"/>
        <v>14997744.13012962</v>
      </c>
      <c r="AC651" s="225">
        <f t="shared" si="1086"/>
        <v>14922755.409478972</v>
      </c>
      <c r="AD651" s="225">
        <f t="shared" si="1086"/>
        <v>14848141.632431576</v>
      </c>
      <c r="AE651" s="225">
        <f t="shared" si="1086"/>
        <v>14773900.924269417</v>
      </c>
      <c r="AF651" s="225">
        <f t="shared" si="1086"/>
        <v>14700031.41964807</v>
      </c>
      <c r="AG651" s="225">
        <f t="shared" si="1086"/>
        <v>0</v>
      </c>
      <c r="AH651" s="225">
        <f t="shared" si="1086"/>
        <v>0</v>
      </c>
      <c r="AI651" s="225">
        <f t="shared" si="1086"/>
        <v>0</v>
      </c>
      <c r="AJ651" s="225">
        <f t="shared" si="1086"/>
        <v>0</v>
      </c>
      <c r="AK651" s="225">
        <f t="shared" si="1086"/>
        <v>0</v>
      </c>
      <c r="AL651" s="225">
        <f t="shared" si="1086"/>
        <v>0</v>
      </c>
      <c r="AM651" s="225">
        <f t="shared" si="1086"/>
        <v>0</v>
      </c>
      <c r="AN651" s="225">
        <f t="shared" si="1086"/>
        <v>0</v>
      </c>
      <c r="AO651" s="225">
        <f t="shared" si="1086"/>
        <v>0</v>
      </c>
      <c r="AP651" s="225">
        <f t="shared" si="1086"/>
        <v>0</v>
      </c>
    </row>
    <row r="652" spans="1:42">
      <c r="A652" s="206" t="s">
        <v>53</v>
      </c>
      <c r="C652" s="220">
        <f>C650*C651</f>
        <v>0</v>
      </c>
      <c r="D652" s="220">
        <f t="shared" ref="D652:AP652" si="1087">D650*D651</f>
        <v>0</v>
      </c>
      <c r="E652" s="220">
        <f t="shared" si="1087"/>
        <v>0</v>
      </c>
      <c r="F652" s="220">
        <f t="shared" si="1087"/>
        <v>0</v>
      </c>
      <c r="G652" s="220">
        <f t="shared" si="1087"/>
        <v>0</v>
      </c>
      <c r="H652" s="220">
        <f t="shared" si="1087"/>
        <v>0</v>
      </c>
      <c r="I652" s="220">
        <f t="shared" si="1087"/>
        <v>0</v>
      </c>
      <c r="J652" s="220">
        <f t="shared" si="1087"/>
        <v>0</v>
      </c>
      <c r="K652" s="220">
        <f t="shared" si="1087"/>
        <v>0</v>
      </c>
      <c r="L652" s="220">
        <f t="shared" si="1087"/>
        <v>0</v>
      </c>
      <c r="M652" s="220">
        <f t="shared" si="1087"/>
        <v>0</v>
      </c>
      <c r="N652" s="220">
        <f t="shared" si="1087"/>
        <v>0</v>
      </c>
      <c r="O652" s="220">
        <f t="shared" si="1087"/>
        <v>0</v>
      </c>
      <c r="P652" s="220">
        <f t="shared" si="1087"/>
        <v>0</v>
      </c>
      <c r="Q652" s="220">
        <f t="shared" si="1087"/>
        <v>0</v>
      </c>
      <c r="R652" s="220">
        <f t="shared" si="1087"/>
        <v>0</v>
      </c>
      <c r="S652" s="220">
        <f t="shared" si="1087"/>
        <v>0</v>
      </c>
      <c r="T652" s="220">
        <f t="shared" si="1087"/>
        <v>0</v>
      </c>
      <c r="U652" s="220">
        <f t="shared" si="1087"/>
        <v>0</v>
      </c>
      <c r="V652" s="220">
        <f t="shared" si="1087"/>
        <v>0</v>
      </c>
      <c r="W652" s="220">
        <f t="shared" si="1087"/>
        <v>0</v>
      </c>
      <c r="X652" s="220">
        <f t="shared" si="1087"/>
        <v>0</v>
      </c>
      <c r="Y652" s="220">
        <f t="shared" si="1087"/>
        <v>0</v>
      </c>
      <c r="Z652" s="220">
        <f t="shared" si="1087"/>
        <v>0</v>
      </c>
      <c r="AA652" s="220">
        <f t="shared" si="1087"/>
        <v>0</v>
      </c>
      <c r="AB652" s="220">
        <f t="shared" si="1087"/>
        <v>0</v>
      </c>
      <c r="AC652" s="220">
        <f t="shared" si="1087"/>
        <v>0</v>
      </c>
      <c r="AD652" s="220">
        <f t="shared" si="1087"/>
        <v>0</v>
      </c>
      <c r="AE652" s="220">
        <f t="shared" si="1087"/>
        <v>0</v>
      </c>
      <c r="AF652" s="220">
        <f t="shared" si="1087"/>
        <v>0</v>
      </c>
      <c r="AG652" s="220">
        <f t="shared" si="1087"/>
        <v>0</v>
      </c>
      <c r="AH652" s="220">
        <f t="shared" si="1087"/>
        <v>0</v>
      </c>
      <c r="AI652" s="220">
        <f t="shared" si="1087"/>
        <v>0</v>
      </c>
      <c r="AJ652" s="220">
        <f t="shared" si="1087"/>
        <v>0</v>
      </c>
      <c r="AK652" s="220">
        <f t="shared" si="1087"/>
        <v>0</v>
      </c>
      <c r="AL652" s="220">
        <f t="shared" si="1087"/>
        <v>0</v>
      </c>
      <c r="AM652" s="220">
        <f t="shared" si="1087"/>
        <v>0</v>
      </c>
      <c r="AN652" s="220">
        <f t="shared" si="1087"/>
        <v>0</v>
      </c>
      <c r="AO652" s="220">
        <f t="shared" si="1087"/>
        <v>0</v>
      </c>
      <c r="AP652" s="220">
        <f t="shared" si="1087"/>
        <v>0</v>
      </c>
    </row>
    <row r="653" spans="1:42">
      <c r="A653" s="202" t="str">
        <f>'Inputs &amp; Results'!A66</f>
        <v>State</v>
      </c>
    </row>
    <row r="654" spans="1:42">
      <c r="A654" s="206" t="s">
        <v>127</v>
      </c>
      <c r="C654" s="270">
        <f t="shared" ref="C654:AP654" si="1088">IF(AND(C$2&lt;=PBIStateTerm,C$2&lt;=AnalysisPeriod),PBIState*(1+PBIStateEsc)^B$2,0)</f>
        <v>0</v>
      </c>
      <c r="D654" s="270">
        <f t="shared" si="1088"/>
        <v>0</v>
      </c>
      <c r="E654" s="270">
        <f t="shared" si="1088"/>
        <v>0</v>
      </c>
      <c r="F654" s="270">
        <f t="shared" si="1088"/>
        <v>0</v>
      </c>
      <c r="G654" s="270">
        <f t="shared" si="1088"/>
        <v>0</v>
      </c>
      <c r="H654" s="270">
        <f t="shared" si="1088"/>
        <v>0</v>
      </c>
      <c r="I654" s="270">
        <f t="shared" si="1088"/>
        <v>0</v>
      </c>
      <c r="J654" s="270">
        <f t="shared" si="1088"/>
        <v>0</v>
      </c>
      <c r="K654" s="270">
        <f t="shared" si="1088"/>
        <v>0</v>
      </c>
      <c r="L654" s="270">
        <f t="shared" si="1088"/>
        <v>0</v>
      </c>
      <c r="M654" s="270">
        <f t="shared" si="1088"/>
        <v>0</v>
      </c>
      <c r="N654" s="270">
        <f t="shared" si="1088"/>
        <v>0</v>
      </c>
      <c r="O654" s="270">
        <f t="shared" si="1088"/>
        <v>0</v>
      </c>
      <c r="P654" s="270">
        <f t="shared" si="1088"/>
        <v>0</v>
      </c>
      <c r="Q654" s="270">
        <f t="shared" si="1088"/>
        <v>0</v>
      </c>
      <c r="R654" s="270">
        <f t="shared" si="1088"/>
        <v>0</v>
      </c>
      <c r="S654" s="270">
        <f t="shared" si="1088"/>
        <v>0</v>
      </c>
      <c r="T654" s="270">
        <f t="shared" si="1088"/>
        <v>0</v>
      </c>
      <c r="U654" s="270">
        <f t="shared" si="1088"/>
        <v>0</v>
      </c>
      <c r="V654" s="270">
        <f t="shared" si="1088"/>
        <v>0</v>
      </c>
      <c r="W654" s="270">
        <f t="shared" si="1088"/>
        <v>0</v>
      </c>
      <c r="X654" s="270">
        <f t="shared" si="1088"/>
        <v>0</v>
      </c>
      <c r="Y654" s="270">
        <f t="shared" si="1088"/>
        <v>0</v>
      </c>
      <c r="Z654" s="270">
        <f t="shared" si="1088"/>
        <v>0</v>
      </c>
      <c r="AA654" s="270">
        <f t="shared" si="1088"/>
        <v>0</v>
      </c>
      <c r="AB654" s="270">
        <f t="shared" si="1088"/>
        <v>0</v>
      </c>
      <c r="AC654" s="270">
        <f t="shared" si="1088"/>
        <v>0</v>
      </c>
      <c r="AD654" s="270">
        <f t="shared" si="1088"/>
        <v>0</v>
      </c>
      <c r="AE654" s="270">
        <f t="shared" si="1088"/>
        <v>0</v>
      </c>
      <c r="AF654" s="270">
        <f t="shared" si="1088"/>
        <v>0</v>
      </c>
      <c r="AG654" s="270">
        <f t="shared" si="1088"/>
        <v>0</v>
      </c>
      <c r="AH654" s="270">
        <f t="shared" si="1088"/>
        <v>0</v>
      </c>
      <c r="AI654" s="270">
        <f t="shared" si="1088"/>
        <v>0</v>
      </c>
      <c r="AJ654" s="270">
        <f t="shared" si="1088"/>
        <v>0</v>
      </c>
      <c r="AK654" s="270">
        <f t="shared" si="1088"/>
        <v>0</v>
      </c>
      <c r="AL654" s="270">
        <f t="shared" si="1088"/>
        <v>0</v>
      </c>
      <c r="AM654" s="270">
        <f t="shared" si="1088"/>
        <v>0</v>
      </c>
      <c r="AN654" s="270">
        <f t="shared" si="1088"/>
        <v>0</v>
      </c>
      <c r="AO654" s="270">
        <f t="shared" si="1088"/>
        <v>0</v>
      </c>
      <c r="AP654" s="270">
        <f t="shared" si="1088"/>
        <v>0</v>
      </c>
    </row>
    <row r="655" spans="1:42">
      <c r="A655" s="206" t="s">
        <v>128</v>
      </c>
      <c r="C655" s="225">
        <f>C$5</f>
        <v>17000000</v>
      </c>
      <c r="D655" s="225">
        <f t="shared" ref="D655:AP655" si="1089">D$5</f>
        <v>16915000</v>
      </c>
      <c r="E655" s="225">
        <f t="shared" si="1089"/>
        <v>16830425</v>
      </c>
      <c r="F655" s="225">
        <f t="shared" si="1089"/>
        <v>16746272.875</v>
      </c>
      <c r="G655" s="225">
        <f t="shared" si="1089"/>
        <v>16662541.510624999</v>
      </c>
      <c r="H655" s="225">
        <f t="shared" si="1089"/>
        <v>16579228.803071873</v>
      </c>
      <c r="I655" s="225">
        <f t="shared" si="1089"/>
        <v>16496332.659056515</v>
      </c>
      <c r="J655" s="225">
        <f t="shared" si="1089"/>
        <v>16413850.995761232</v>
      </c>
      <c r="K655" s="225">
        <f t="shared" si="1089"/>
        <v>16331781.740782427</v>
      </c>
      <c r="L655" s="225">
        <f t="shared" si="1089"/>
        <v>16250122.832078515</v>
      </c>
      <c r="M655" s="225">
        <f t="shared" si="1089"/>
        <v>16168872.217918122</v>
      </c>
      <c r="N655" s="225">
        <f t="shared" si="1089"/>
        <v>16088027.856828531</v>
      </c>
      <c r="O655" s="225">
        <f t="shared" si="1089"/>
        <v>16007587.717544388</v>
      </c>
      <c r="P655" s="225">
        <f t="shared" si="1089"/>
        <v>15927549.778956667</v>
      </c>
      <c r="Q655" s="225">
        <f t="shared" si="1089"/>
        <v>15847912.030061884</v>
      </c>
      <c r="R655" s="225">
        <f t="shared" si="1089"/>
        <v>15768672.469911573</v>
      </c>
      <c r="S655" s="225">
        <f t="shared" si="1089"/>
        <v>15689829.107562015</v>
      </c>
      <c r="T655" s="225">
        <f t="shared" si="1089"/>
        <v>15611379.962024204</v>
      </c>
      <c r="U655" s="225">
        <f t="shared" si="1089"/>
        <v>15533323.062214084</v>
      </c>
      <c r="V655" s="225">
        <f t="shared" si="1089"/>
        <v>15455656.446903013</v>
      </c>
      <c r="W655" s="225">
        <f t="shared" si="1089"/>
        <v>15378378.164668497</v>
      </c>
      <c r="X655" s="225">
        <f t="shared" si="1089"/>
        <v>15301486.273845155</v>
      </c>
      <c r="Y655" s="225">
        <f t="shared" si="1089"/>
        <v>15224978.842475928</v>
      </c>
      <c r="Z655" s="225">
        <f t="shared" si="1089"/>
        <v>15148853.948263548</v>
      </c>
      <c r="AA655" s="225">
        <f t="shared" si="1089"/>
        <v>15073109.678522231</v>
      </c>
      <c r="AB655" s="225">
        <f t="shared" si="1089"/>
        <v>14997744.13012962</v>
      </c>
      <c r="AC655" s="225">
        <f t="shared" si="1089"/>
        <v>14922755.409478972</v>
      </c>
      <c r="AD655" s="225">
        <f t="shared" si="1089"/>
        <v>14848141.632431576</v>
      </c>
      <c r="AE655" s="225">
        <f t="shared" si="1089"/>
        <v>14773900.924269417</v>
      </c>
      <c r="AF655" s="225">
        <f t="shared" si="1089"/>
        <v>14700031.41964807</v>
      </c>
      <c r="AG655" s="225">
        <f t="shared" si="1089"/>
        <v>0</v>
      </c>
      <c r="AH655" s="225">
        <f t="shared" si="1089"/>
        <v>0</v>
      </c>
      <c r="AI655" s="225">
        <f t="shared" si="1089"/>
        <v>0</v>
      </c>
      <c r="AJ655" s="225">
        <f t="shared" si="1089"/>
        <v>0</v>
      </c>
      <c r="AK655" s="225">
        <f t="shared" si="1089"/>
        <v>0</v>
      </c>
      <c r="AL655" s="225">
        <f t="shared" si="1089"/>
        <v>0</v>
      </c>
      <c r="AM655" s="225">
        <f t="shared" si="1089"/>
        <v>0</v>
      </c>
      <c r="AN655" s="225">
        <f t="shared" si="1089"/>
        <v>0</v>
      </c>
      <c r="AO655" s="225">
        <f t="shared" si="1089"/>
        <v>0</v>
      </c>
      <c r="AP655" s="225">
        <f t="shared" si="1089"/>
        <v>0</v>
      </c>
    </row>
    <row r="656" spans="1:42">
      <c r="A656" s="206" t="s">
        <v>53</v>
      </c>
      <c r="C656" s="220">
        <f>C654*C655</f>
        <v>0</v>
      </c>
      <c r="D656" s="220">
        <f t="shared" ref="D656" si="1090">D654*D655</f>
        <v>0</v>
      </c>
      <c r="E656" s="220">
        <f t="shared" ref="E656" si="1091">E654*E655</f>
        <v>0</v>
      </c>
      <c r="F656" s="220">
        <f t="shared" ref="F656" si="1092">F654*F655</f>
        <v>0</v>
      </c>
      <c r="G656" s="220">
        <f t="shared" ref="G656" si="1093">G654*G655</f>
        <v>0</v>
      </c>
      <c r="H656" s="220">
        <f t="shared" ref="H656" si="1094">H654*H655</f>
        <v>0</v>
      </c>
      <c r="I656" s="220">
        <f t="shared" ref="I656" si="1095">I654*I655</f>
        <v>0</v>
      </c>
      <c r="J656" s="220">
        <f t="shared" ref="J656" si="1096">J654*J655</f>
        <v>0</v>
      </c>
      <c r="K656" s="220">
        <f t="shared" ref="K656" si="1097">K654*K655</f>
        <v>0</v>
      </c>
      <c r="L656" s="220">
        <f t="shared" ref="L656" si="1098">L654*L655</f>
        <v>0</v>
      </c>
      <c r="M656" s="220">
        <f t="shared" ref="M656" si="1099">M654*M655</f>
        <v>0</v>
      </c>
      <c r="N656" s="220">
        <f t="shared" ref="N656" si="1100">N654*N655</f>
        <v>0</v>
      </c>
      <c r="O656" s="220">
        <f t="shared" ref="O656" si="1101">O654*O655</f>
        <v>0</v>
      </c>
      <c r="P656" s="220">
        <f t="shared" ref="P656" si="1102">P654*P655</f>
        <v>0</v>
      </c>
      <c r="Q656" s="220">
        <f t="shared" ref="Q656" si="1103">Q654*Q655</f>
        <v>0</v>
      </c>
      <c r="R656" s="220">
        <f t="shared" ref="R656" si="1104">R654*R655</f>
        <v>0</v>
      </c>
      <c r="S656" s="220">
        <f t="shared" ref="S656" si="1105">S654*S655</f>
        <v>0</v>
      </c>
      <c r="T656" s="220">
        <f t="shared" ref="T656" si="1106">T654*T655</f>
        <v>0</v>
      </c>
      <c r="U656" s="220">
        <f t="shared" ref="U656" si="1107">U654*U655</f>
        <v>0</v>
      </c>
      <c r="V656" s="220">
        <f t="shared" ref="V656" si="1108">V654*V655</f>
        <v>0</v>
      </c>
      <c r="W656" s="220">
        <f t="shared" ref="W656" si="1109">W654*W655</f>
        <v>0</v>
      </c>
      <c r="X656" s="220">
        <f t="shared" ref="X656" si="1110">X654*X655</f>
        <v>0</v>
      </c>
      <c r="Y656" s="220">
        <f t="shared" ref="Y656" si="1111">Y654*Y655</f>
        <v>0</v>
      </c>
      <c r="Z656" s="220">
        <f t="shared" ref="Z656" si="1112">Z654*Z655</f>
        <v>0</v>
      </c>
      <c r="AA656" s="220">
        <f t="shared" ref="AA656" si="1113">AA654*AA655</f>
        <v>0</v>
      </c>
      <c r="AB656" s="220">
        <f t="shared" ref="AB656" si="1114">AB654*AB655</f>
        <v>0</v>
      </c>
      <c r="AC656" s="220">
        <f t="shared" ref="AC656" si="1115">AC654*AC655</f>
        <v>0</v>
      </c>
      <c r="AD656" s="220">
        <f t="shared" ref="AD656" si="1116">AD654*AD655</f>
        <v>0</v>
      </c>
      <c r="AE656" s="220">
        <f t="shared" ref="AE656" si="1117">AE654*AE655</f>
        <v>0</v>
      </c>
      <c r="AF656" s="220">
        <f t="shared" ref="AF656" si="1118">AF654*AF655</f>
        <v>0</v>
      </c>
      <c r="AG656" s="220">
        <f t="shared" ref="AG656" si="1119">AG654*AG655</f>
        <v>0</v>
      </c>
      <c r="AH656" s="220">
        <f t="shared" ref="AH656" si="1120">AH654*AH655</f>
        <v>0</v>
      </c>
      <c r="AI656" s="220">
        <f t="shared" ref="AI656" si="1121">AI654*AI655</f>
        <v>0</v>
      </c>
      <c r="AJ656" s="220">
        <f t="shared" ref="AJ656" si="1122">AJ654*AJ655</f>
        <v>0</v>
      </c>
      <c r="AK656" s="220">
        <f t="shared" ref="AK656" si="1123">AK654*AK655</f>
        <v>0</v>
      </c>
      <c r="AL656" s="220">
        <f t="shared" ref="AL656" si="1124">AL654*AL655</f>
        <v>0</v>
      </c>
      <c r="AM656" s="220">
        <f t="shared" ref="AM656" si="1125">AM654*AM655</f>
        <v>0</v>
      </c>
      <c r="AN656" s="220">
        <f t="shared" ref="AN656" si="1126">AN654*AN655</f>
        <v>0</v>
      </c>
      <c r="AO656" s="220">
        <f t="shared" ref="AO656" si="1127">AO654*AO655</f>
        <v>0</v>
      </c>
      <c r="AP656" s="220">
        <f t="shared" ref="AP656" si="1128">AP654*AP655</f>
        <v>0</v>
      </c>
    </row>
    <row r="657" spans="1:42">
      <c r="A657" s="202" t="str">
        <f>'Inputs &amp; Results'!A67</f>
        <v>Utility</v>
      </c>
    </row>
    <row r="658" spans="1:42">
      <c r="A658" s="206" t="s">
        <v>127</v>
      </c>
      <c r="C658" s="270">
        <f t="shared" ref="C658:AP658" si="1129">IF(AND(C$2&lt;=PBIUtilityTerm,C$2&lt;=AnalysisPeriod),PBIUtility*(1+PBIUtilityEsc)^B$2,0)</f>
        <v>0</v>
      </c>
      <c r="D658" s="270">
        <f t="shared" si="1129"/>
        <v>0</v>
      </c>
      <c r="E658" s="270">
        <f t="shared" si="1129"/>
        <v>0</v>
      </c>
      <c r="F658" s="270">
        <f t="shared" si="1129"/>
        <v>0</v>
      </c>
      <c r="G658" s="270">
        <f t="shared" si="1129"/>
        <v>0</v>
      </c>
      <c r="H658" s="270">
        <f t="shared" si="1129"/>
        <v>0</v>
      </c>
      <c r="I658" s="270">
        <f t="shared" si="1129"/>
        <v>0</v>
      </c>
      <c r="J658" s="270">
        <f t="shared" si="1129"/>
        <v>0</v>
      </c>
      <c r="K658" s="270">
        <f t="shared" si="1129"/>
        <v>0</v>
      </c>
      <c r="L658" s="270">
        <f t="shared" si="1129"/>
        <v>0</v>
      </c>
      <c r="M658" s="270">
        <f t="shared" si="1129"/>
        <v>0</v>
      </c>
      <c r="N658" s="270">
        <f t="shared" si="1129"/>
        <v>0</v>
      </c>
      <c r="O658" s="270">
        <f t="shared" si="1129"/>
        <v>0</v>
      </c>
      <c r="P658" s="270">
        <f t="shared" si="1129"/>
        <v>0</v>
      </c>
      <c r="Q658" s="270">
        <f t="shared" si="1129"/>
        <v>0</v>
      </c>
      <c r="R658" s="270">
        <f t="shared" si="1129"/>
        <v>0</v>
      </c>
      <c r="S658" s="270">
        <f t="shared" si="1129"/>
        <v>0</v>
      </c>
      <c r="T658" s="270">
        <f t="shared" si="1129"/>
        <v>0</v>
      </c>
      <c r="U658" s="270">
        <f t="shared" si="1129"/>
        <v>0</v>
      </c>
      <c r="V658" s="270">
        <f t="shared" si="1129"/>
        <v>0</v>
      </c>
      <c r="W658" s="270">
        <f t="shared" si="1129"/>
        <v>0</v>
      </c>
      <c r="X658" s="270">
        <f t="shared" si="1129"/>
        <v>0</v>
      </c>
      <c r="Y658" s="270">
        <f t="shared" si="1129"/>
        <v>0</v>
      </c>
      <c r="Z658" s="270">
        <f t="shared" si="1129"/>
        <v>0</v>
      </c>
      <c r="AA658" s="270">
        <f t="shared" si="1129"/>
        <v>0</v>
      </c>
      <c r="AB658" s="270">
        <f t="shared" si="1129"/>
        <v>0</v>
      </c>
      <c r="AC658" s="270">
        <f t="shared" si="1129"/>
        <v>0</v>
      </c>
      <c r="AD658" s="270">
        <f t="shared" si="1129"/>
        <v>0</v>
      </c>
      <c r="AE658" s="270">
        <f t="shared" si="1129"/>
        <v>0</v>
      </c>
      <c r="AF658" s="270">
        <f t="shared" si="1129"/>
        <v>0</v>
      </c>
      <c r="AG658" s="270">
        <f t="shared" si="1129"/>
        <v>0</v>
      </c>
      <c r="AH658" s="270">
        <f t="shared" si="1129"/>
        <v>0</v>
      </c>
      <c r="AI658" s="270">
        <f t="shared" si="1129"/>
        <v>0</v>
      </c>
      <c r="AJ658" s="270">
        <f t="shared" si="1129"/>
        <v>0</v>
      </c>
      <c r="AK658" s="270">
        <f t="shared" si="1129"/>
        <v>0</v>
      </c>
      <c r="AL658" s="270">
        <f t="shared" si="1129"/>
        <v>0</v>
      </c>
      <c r="AM658" s="270">
        <f t="shared" si="1129"/>
        <v>0</v>
      </c>
      <c r="AN658" s="270">
        <f t="shared" si="1129"/>
        <v>0</v>
      </c>
      <c r="AO658" s="270">
        <f t="shared" si="1129"/>
        <v>0</v>
      </c>
      <c r="AP658" s="270">
        <f t="shared" si="1129"/>
        <v>0</v>
      </c>
    </row>
    <row r="659" spans="1:42">
      <c r="A659" s="206" t="s">
        <v>128</v>
      </c>
      <c r="C659" s="225">
        <f>C$5</f>
        <v>17000000</v>
      </c>
      <c r="D659" s="225">
        <f t="shared" ref="D659:AP659" si="1130">D$5</f>
        <v>16915000</v>
      </c>
      <c r="E659" s="225">
        <f t="shared" si="1130"/>
        <v>16830425</v>
      </c>
      <c r="F659" s="225">
        <f t="shared" si="1130"/>
        <v>16746272.875</v>
      </c>
      <c r="G659" s="225">
        <f t="shared" si="1130"/>
        <v>16662541.510624999</v>
      </c>
      <c r="H659" s="225">
        <f t="shared" si="1130"/>
        <v>16579228.803071873</v>
      </c>
      <c r="I659" s="225">
        <f t="shared" si="1130"/>
        <v>16496332.659056515</v>
      </c>
      <c r="J659" s="225">
        <f t="shared" si="1130"/>
        <v>16413850.995761232</v>
      </c>
      <c r="K659" s="225">
        <f t="shared" si="1130"/>
        <v>16331781.740782427</v>
      </c>
      <c r="L659" s="225">
        <f t="shared" si="1130"/>
        <v>16250122.832078515</v>
      </c>
      <c r="M659" s="225">
        <f t="shared" si="1130"/>
        <v>16168872.217918122</v>
      </c>
      <c r="N659" s="225">
        <f t="shared" si="1130"/>
        <v>16088027.856828531</v>
      </c>
      <c r="O659" s="225">
        <f t="shared" si="1130"/>
        <v>16007587.717544388</v>
      </c>
      <c r="P659" s="225">
        <f t="shared" si="1130"/>
        <v>15927549.778956667</v>
      </c>
      <c r="Q659" s="225">
        <f t="shared" si="1130"/>
        <v>15847912.030061884</v>
      </c>
      <c r="R659" s="225">
        <f t="shared" si="1130"/>
        <v>15768672.469911573</v>
      </c>
      <c r="S659" s="225">
        <f t="shared" si="1130"/>
        <v>15689829.107562015</v>
      </c>
      <c r="T659" s="225">
        <f t="shared" si="1130"/>
        <v>15611379.962024204</v>
      </c>
      <c r="U659" s="225">
        <f t="shared" si="1130"/>
        <v>15533323.062214084</v>
      </c>
      <c r="V659" s="225">
        <f t="shared" si="1130"/>
        <v>15455656.446903013</v>
      </c>
      <c r="W659" s="225">
        <f t="shared" si="1130"/>
        <v>15378378.164668497</v>
      </c>
      <c r="X659" s="225">
        <f t="shared" si="1130"/>
        <v>15301486.273845155</v>
      </c>
      <c r="Y659" s="225">
        <f t="shared" si="1130"/>
        <v>15224978.842475928</v>
      </c>
      <c r="Z659" s="225">
        <f t="shared" si="1130"/>
        <v>15148853.948263548</v>
      </c>
      <c r="AA659" s="225">
        <f t="shared" si="1130"/>
        <v>15073109.678522231</v>
      </c>
      <c r="AB659" s="225">
        <f t="shared" si="1130"/>
        <v>14997744.13012962</v>
      </c>
      <c r="AC659" s="225">
        <f t="shared" si="1130"/>
        <v>14922755.409478972</v>
      </c>
      <c r="AD659" s="225">
        <f t="shared" si="1130"/>
        <v>14848141.632431576</v>
      </c>
      <c r="AE659" s="225">
        <f t="shared" si="1130"/>
        <v>14773900.924269417</v>
      </c>
      <c r="AF659" s="225">
        <f t="shared" si="1130"/>
        <v>14700031.41964807</v>
      </c>
      <c r="AG659" s="225">
        <f t="shared" si="1130"/>
        <v>0</v>
      </c>
      <c r="AH659" s="225">
        <f t="shared" si="1130"/>
        <v>0</v>
      </c>
      <c r="AI659" s="225">
        <f t="shared" si="1130"/>
        <v>0</v>
      </c>
      <c r="AJ659" s="225">
        <f t="shared" si="1130"/>
        <v>0</v>
      </c>
      <c r="AK659" s="225">
        <f t="shared" si="1130"/>
        <v>0</v>
      </c>
      <c r="AL659" s="225">
        <f t="shared" si="1130"/>
        <v>0</v>
      </c>
      <c r="AM659" s="225">
        <f t="shared" si="1130"/>
        <v>0</v>
      </c>
      <c r="AN659" s="225">
        <f t="shared" si="1130"/>
        <v>0</v>
      </c>
      <c r="AO659" s="225">
        <f t="shared" si="1130"/>
        <v>0</v>
      </c>
      <c r="AP659" s="225">
        <f t="shared" si="1130"/>
        <v>0</v>
      </c>
    </row>
    <row r="660" spans="1:42">
      <c r="A660" s="206" t="s">
        <v>53</v>
      </c>
      <c r="C660" s="220">
        <f>C658*C659</f>
        <v>0</v>
      </c>
      <c r="D660" s="220">
        <f t="shared" ref="D660" si="1131">D658*D659</f>
        <v>0</v>
      </c>
      <c r="E660" s="220">
        <f t="shared" ref="E660" si="1132">E658*E659</f>
        <v>0</v>
      </c>
      <c r="F660" s="220">
        <f t="shared" ref="F660" si="1133">F658*F659</f>
        <v>0</v>
      </c>
      <c r="G660" s="220">
        <f t="shared" ref="G660" si="1134">G658*G659</f>
        <v>0</v>
      </c>
      <c r="H660" s="220">
        <f t="shared" ref="H660" si="1135">H658*H659</f>
        <v>0</v>
      </c>
      <c r="I660" s="220">
        <f t="shared" ref="I660" si="1136">I658*I659</f>
        <v>0</v>
      </c>
      <c r="J660" s="220">
        <f t="shared" ref="J660" si="1137">J658*J659</f>
        <v>0</v>
      </c>
      <c r="K660" s="220">
        <f t="shared" ref="K660" si="1138">K658*K659</f>
        <v>0</v>
      </c>
      <c r="L660" s="220">
        <f t="shared" ref="L660" si="1139">L658*L659</f>
        <v>0</v>
      </c>
      <c r="M660" s="220">
        <f t="shared" ref="M660" si="1140">M658*M659</f>
        <v>0</v>
      </c>
      <c r="N660" s="220">
        <f t="shared" ref="N660" si="1141">N658*N659</f>
        <v>0</v>
      </c>
      <c r="O660" s="220">
        <f t="shared" ref="O660" si="1142">O658*O659</f>
        <v>0</v>
      </c>
      <c r="P660" s="220">
        <f t="shared" ref="P660" si="1143">P658*P659</f>
        <v>0</v>
      </c>
      <c r="Q660" s="220">
        <f t="shared" ref="Q660" si="1144">Q658*Q659</f>
        <v>0</v>
      </c>
      <c r="R660" s="220">
        <f t="shared" ref="R660" si="1145">R658*R659</f>
        <v>0</v>
      </c>
      <c r="S660" s="220">
        <f t="shared" ref="S660" si="1146">S658*S659</f>
        <v>0</v>
      </c>
      <c r="T660" s="220">
        <f t="shared" ref="T660" si="1147">T658*T659</f>
        <v>0</v>
      </c>
      <c r="U660" s="220">
        <f t="shared" ref="U660" si="1148">U658*U659</f>
        <v>0</v>
      </c>
      <c r="V660" s="220">
        <f t="shared" ref="V660" si="1149">V658*V659</f>
        <v>0</v>
      </c>
      <c r="W660" s="220">
        <f t="shared" ref="W660" si="1150">W658*W659</f>
        <v>0</v>
      </c>
      <c r="X660" s="220">
        <f t="shared" ref="X660" si="1151">X658*X659</f>
        <v>0</v>
      </c>
      <c r="Y660" s="220">
        <f t="shared" ref="Y660" si="1152">Y658*Y659</f>
        <v>0</v>
      </c>
      <c r="Z660" s="220">
        <f t="shared" ref="Z660" si="1153">Z658*Z659</f>
        <v>0</v>
      </c>
      <c r="AA660" s="220">
        <f t="shared" ref="AA660" si="1154">AA658*AA659</f>
        <v>0</v>
      </c>
      <c r="AB660" s="220">
        <f t="shared" ref="AB660" si="1155">AB658*AB659</f>
        <v>0</v>
      </c>
      <c r="AC660" s="220">
        <f t="shared" ref="AC660" si="1156">AC658*AC659</f>
        <v>0</v>
      </c>
      <c r="AD660" s="220">
        <f t="shared" ref="AD660" si="1157">AD658*AD659</f>
        <v>0</v>
      </c>
      <c r="AE660" s="220">
        <f t="shared" ref="AE660" si="1158">AE658*AE659</f>
        <v>0</v>
      </c>
      <c r="AF660" s="220">
        <f t="shared" ref="AF660" si="1159">AF658*AF659</f>
        <v>0</v>
      </c>
      <c r="AG660" s="220">
        <f t="shared" ref="AG660" si="1160">AG658*AG659</f>
        <v>0</v>
      </c>
      <c r="AH660" s="220">
        <f t="shared" ref="AH660" si="1161">AH658*AH659</f>
        <v>0</v>
      </c>
      <c r="AI660" s="220">
        <f t="shared" ref="AI660" si="1162">AI658*AI659</f>
        <v>0</v>
      </c>
      <c r="AJ660" s="220">
        <f t="shared" ref="AJ660" si="1163">AJ658*AJ659</f>
        <v>0</v>
      </c>
      <c r="AK660" s="220">
        <f t="shared" ref="AK660" si="1164">AK658*AK659</f>
        <v>0</v>
      </c>
      <c r="AL660" s="220">
        <f t="shared" ref="AL660" si="1165">AL658*AL659</f>
        <v>0</v>
      </c>
      <c r="AM660" s="220">
        <f t="shared" ref="AM660" si="1166">AM658*AM659</f>
        <v>0</v>
      </c>
      <c r="AN660" s="220">
        <f t="shared" ref="AN660" si="1167">AN658*AN659</f>
        <v>0</v>
      </c>
      <c r="AO660" s="220">
        <f t="shared" ref="AO660" si="1168">AO658*AO659</f>
        <v>0</v>
      </c>
      <c r="AP660" s="220">
        <f t="shared" ref="AP660" si="1169">AP658*AP659</f>
        <v>0</v>
      </c>
    </row>
    <row r="661" spans="1:42">
      <c r="A661" s="202" t="str">
        <f>'Inputs &amp; Results'!A68</f>
        <v>Other</v>
      </c>
    </row>
    <row r="662" spans="1:42">
      <c r="A662" s="206" t="s">
        <v>127</v>
      </c>
      <c r="C662" s="272">
        <f t="shared" ref="C662:AP662" si="1170">IF(AND(C$2&lt;=PBIOtherTerm,C$2&lt;=AnalysisPeriod),PBIOther*(1+PBIOtherEsc)^B$2,0)</f>
        <v>0</v>
      </c>
      <c r="D662" s="272">
        <f t="shared" si="1170"/>
        <v>0</v>
      </c>
      <c r="E662" s="272">
        <f t="shared" si="1170"/>
        <v>0</v>
      </c>
      <c r="F662" s="272">
        <f t="shared" si="1170"/>
        <v>0</v>
      </c>
      <c r="G662" s="272">
        <f t="shared" si="1170"/>
        <v>0</v>
      </c>
      <c r="H662" s="272">
        <f t="shared" si="1170"/>
        <v>0</v>
      </c>
      <c r="I662" s="272">
        <f t="shared" si="1170"/>
        <v>0</v>
      </c>
      <c r="J662" s="272">
        <f t="shared" si="1170"/>
        <v>0</v>
      </c>
      <c r="K662" s="272">
        <f t="shared" si="1170"/>
        <v>0</v>
      </c>
      <c r="L662" s="272">
        <f t="shared" si="1170"/>
        <v>0</v>
      </c>
      <c r="M662" s="272">
        <f t="shared" si="1170"/>
        <v>0</v>
      </c>
      <c r="N662" s="272">
        <f t="shared" si="1170"/>
        <v>0</v>
      </c>
      <c r="O662" s="272">
        <f t="shared" si="1170"/>
        <v>0</v>
      </c>
      <c r="P662" s="272">
        <f t="shared" si="1170"/>
        <v>0</v>
      </c>
      <c r="Q662" s="272">
        <f t="shared" si="1170"/>
        <v>0</v>
      </c>
      <c r="R662" s="272">
        <f t="shared" si="1170"/>
        <v>0</v>
      </c>
      <c r="S662" s="272">
        <f t="shared" si="1170"/>
        <v>0</v>
      </c>
      <c r="T662" s="272">
        <f t="shared" si="1170"/>
        <v>0</v>
      </c>
      <c r="U662" s="272">
        <f t="shared" si="1170"/>
        <v>0</v>
      </c>
      <c r="V662" s="272">
        <f t="shared" si="1170"/>
        <v>0</v>
      </c>
      <c r="W662" s="272">
        <f t="shared" si="1170"/>
        <v>0</v>
      </c>
      <c r="X662" s="272">
        <f t="shared" si="1170"/>
        <v>0</v>
      </c>
      <c r="Y662" s="272">
        <f t="shared" si="1170"/>
        <v>0</v>
      </c>
      <c r="Z662" s="272">
        <f t="shared" si="1170"/>
        <v>0</v>
      </c>
      <c r="AA662" s="272">
        <f t="shared" si="1170"/>
        <v>0</v>
      </c>
      <c r="AB662" s="272">
        <f t="shared" si="1170"/>
        <v>0</v>
      </c>
      <c r="AC662" s="272">
        <f t="shared" si="1170"/>
        <v>0</v>
      </c>
      <c r="AD662" s="272">
        <f t="shared" si="1170"/>
        <v>0</v>
      </c>
      <c r="AE662" s="272">
        <f t="shared" si="1170"/>
        <v>0</v>
      </c>
      <c r="AF662" s="272">
        <f t="shared" si="1170"/>
        <v>0</v>
      </c>
      <c r="AG662" s="272">
        <f t="shared" si="1170"/>
        <v>0</v>
      </c>
      <c r="AH662" s="272">
        <f t="shared" si="1170"/>
        <v>0</v>
      </c>
      <c r="AI662" s="272">
        <f t="shared" si="1170"/>
        <v>0</v>
      </c>
      <c r="AJ662" s="272">
        <f t="shared" si="1170"/>
        <v>0</v>
      </c>
      <c r="AK662" s="272">
        <f t="shared" si="1170"/>
        <v>0</v>
      </c>
      <c r="AL662" s="272">
        <f t="shared" si="1170"/>
        <v>0</v>
      </c>
      <c r="AM662" s="272">
        <f t="shared" si="1170"/>
        <v>0</v>
      </c>
      <c r="AN662" s="272">
        <f t="shared" si="1170"/>
        <v>0</v>
      </c>
      <c r="AO662" s="272">
        <f t="shared" si="1170"/>
        <v>0</v>
      </c>
      <c r="AP662" s="272">
        <f t="shared" si="1170"/>
        <v>0</v>
      </c>
    </row>
    <row r="663" spans="1:42">
      <c r="A663" s="206" t="s">
        <v>128</v>
      </c>
      <c r="C663" s="225">
        <f>C$5</f>
        <v>17000000</v>
      </c>
      <c r="D663" s="225">
        <f t="shared" ref="D663:AP663" si="1171">D$5</f>
        <v>16915000</v>
      </c>
      <c r="E663" s="225">
        <f t="shared" si="1171"/>
        <v>16830425</v>
      </c>
      <c r="F663" s="225">
        <f t="shared" si="1171"/>
        <v>16746272.875</v>
      </c>
      <c r="G663" s="225">
        <f t="shared" si="1171"/>
        <v>16662541.510624999</v>
      </c>
      <c r="H663" s="225">
        <f t="shared" si="1171"/>
        <v>16579228.803071873</v>
      </c>
      <c r="I663" s="225">
        <f t="shared" si="1171"/>
        <v>16496332.659056515</v>
      </c>
      <c r="J663" s="225">
        <f t="shared" si="1171"/>
        <v>16413850.995761232</v>
      </c>
      <c r="K663" s="225">
        <f t="shared" si="1171"/>
        <v>16331781.740782427</v>
      </c>
      <c r="L663" s="225">
        <f t="shared" si="1171"/>
        <v>16250122.832078515</v>
      </c>
      <c r="M663" s="225">
        <f t="shared" si="1171"/>
        <v>16168872.217918122</v>
      </c>
      <c r="N663" s="225">
        <f t="shared" si="1171"/>
        <v>16088027.856828531</v>
      </c>
      <c r="O663" s="225">
        <f t="shared" si="1171"/>
        <v>16007587.717544388</v>
      </c>
      <c r="P663" s="225">
        <f t="shared" si="1171"/>
        <v>15927549.778956667</v>
      </c>
      <c r="Q663" s="225">
        <f t="shared" si="1171"/>
        <v>15847912.030061884</v>
      </c>
      <c r="R663" s="225">
        <f t="shared" si="1171"/>
        <v>15768672.469911573</v>
      </c>
      <c r="S663" s="225">
        <f t="shared" si="1171"/>
        <v>15689829.107562015</v>
      </c>
      <c r="T663" s="225">
        <f t="shared" si="1171"/>
        <v>15611379.962024204</v>
      </c>
      <c r="U663" s="225">
        <f t="shared" si="1171"/>
        <v>15533323.062214084</v>
      </c>
      <c r="V663" s="225">
        <f t="shared" si="1171"/>
        <v>15455656.446903013</v>
      </c>
      <c r="W663" s="225">
        <f t="shared" si="1171"/>
        <v>15378378.164668497</v>
      </c>
      <c r="X663" s="225">
        <f t="shared" si="1171"/>
        <v>15301486.273845155</v>
      </c>
      <c r="Y663" s="225">
        <f t="shared" si="1171"/>
        <v>15224978.842475928</v>
      </c>
      <c r="Z663" s="225">
        <f t="shared" si="1171"/>
        <v>15148853.948263548</v>
      </c>
      <c r="AA663" s="225">
        <f t="shared" si="1171"/>
        <v>15073109.678522231</v>
      </c>
      <c r="AB663" s="225">
        <f t="shared" si="1171"/>
        <v>14997744.13012962</v>
      </c>
      <c r="AC663" s="225">
        <f t="shared" si="1171"/>
        <v>14922755.409478972</v>
      </c>
      <c r="AD663" s="225">
        <f t="shared" si="1171"/>
        <v>14848141.632431576</v>
      </c>
      <c r="AE663" s="225">
        <f t="shared" si="1171"/>
        <v>14773900.924269417</v>
      </c>
      <c r="AF663" s="225">
        <f t="shared" si="1171"/>
        <v>14700031.41964807</v>
      </c>
      <c r="AG663" s="225">
        <f t="shared" si="1171"/>
        <v>0</v>
      </c>
      <c r="AH663" s="225">
        <f t="shared" si="1171"/>
        <v>0</v>
      </c>
      <c r="AI663" s="225">
        <f t="shared" si="1171"/>
        <v>0</v>
      </c>
      <c r="AJ663" s="225">
        <f t="shared" si="1171"/>
        <v>0</v>
      </c>
      <c r="AK663" s="225">
        <f t="shared" si="1171"/>
        <v>0</v>
      </c>
      <c r="AL663" s="225">
        <f t="shared" si="1171"/>
        <v>0</v>
      </c>
      <c r="AM663" s="225">
        <f t="shared" si="1171"/>
        <v>0</v>
      </c>
      <c r="AN663" s="225">
        <f t="shared" si="1171"/>
        <v>0</v>
      </c>
      <c r="AO663" s="225">
        <f t="shared" si="1171"/>
        <v>0</v>
      </c>
      <c r="AP663" s="225">
        <f t="shared" si="1171"/>
        <v>0</v>
      </c>
    </row>
    <row r="664" spans="1:42">
      <c r="A664" s="206" t="s">
        <v>53</v>
      </c>
      <c r="C664" s="220">
        <f>C662*C663</f>
        <v>0</v>
      </c>
      <c r="D664" s="220">
        <f t="shared" ref="D664" si="1172">D662*D663</f>
        <v>0</v>
      </c>
      <c r="E664" s="220">
        <f t="shared" ref="E664" si="1173">E662*E663</f>
        <v>0</v>
      </c>
      <c r="F664" s="220">
        <f t="shared" ref="F664" si="1174">F662*F663</f>
        <v>0</v>
      </c>
      <c r="G664" s="220">
        <f t="shared" ref="G664" si="1175">G662*G663</f>
        <v>0</v>
      </c>
      <c r="H664" s="220">
        <f t="shared" ref="H664" si="1176">H662*H663</f>
        <v>0</v>
      </c>
      <c r="I664" s="220">
        <f t="shared" ref="I664" si="1177">I662*I663</f>
        <v>0</v>
      </c>
      <c r="J664" s="220">
        <f t="shared" ref="J664" si="1178">J662*J663</f>
        <v>0</v>
      </c>
      <c r="K664" s="220">
        <f t="shared" ref="K664" si="1179">K662*K663</f>
        <v>0</v>
      </c>
      <c r="L664" s="220">
        <f t="shared" ref="L664" si="1180">L662*L663</f>
        <v>0</v>
      </c>
      <c r="M664" s="220">
        <f t="shared" ref="M664" si="1181">M662*M663</f>
        <v>0</v>
      </c>
      <c r="N664" s="220">
        <f t="shared" ref="N664" si="1182">N662*N663</f>
        <v>0</v>
      </c>
      <c r="O664" s="220">
        <f t="shared" ref="O664" si="1183">O662*O663</f>
        <v>0</v>
      </c>
      <c r="P664" s="220">
        <f t="shared" ref="P664" si="1184">P662*P663</f>
        <v>0</v>
      </c>
      <c r="Q664" s="220">
        <f t="shared" ref="Q664" si="1185">Q662*Q663</f>
        <v>0</v>
      </c>
      <c r="R664" s="220">
        <f t="shared" ref="R664" si="1186">R662*R663</f>
        <v>0</v>
      </c>
      <c r="S664" s="220">
        <f t="shared" ref="S664" si="1187">S662*S663</f>
        <v>0</v>
      </c>
      <c r="T664" s="220">
        <f t="shared" ref="T664" si="1188">T662*T663</f>
        <v>0</v>
      </c>
      <c r="U664" s="220">
        <f t="shared" ref="U664" si="1189">U662*U663</f>
        <v>0</v>
      </c>
      <c r="V664" s="220">
        <f t="shared" ref="V664" si="1190">V662*V663</f>
        <v>0</v>
      </c>
      <c r="W664" s="220">
        <f t="shared" ref="W664" si="1191">W662*W663</f>
        <v>0</v>
      </c>
      <c r="X664" s="220">
        <f t="shared" ref="X664" si="1192">X662*X663</f>
        <v>0</v>
      </c>
      <c r="Y664" s="220">
        <f t="shared" ref="Y664" si="1193">Y662*Y663</f>
        <v>0</v>
      </c>
      <c r="Z664" s="220">
        <f t="shared" ref="Z664" si="1194">Z662*Z663</f>
        <v>0</v>
      </c>
      <c r="AA664" s="220">
        <f t="shared" ref="AA664" si="1195">AA662*AA663</f>
        <v>0</v>
      </c>
      <c r="AB664" s="220">
        <f t="shared" ref="AB664" si="1196">AB662*AB663</f>
        <v>0</v>
      </c>
      <c r="AC664" s="220">
        <f t="shared" ref="AC664" si="1197">AC662*AC663</f>
        <v>0</v>
      </c>
      <c r="AD664" s="220">
        <f t="shared" ref="AD664" si="1198">AD662*AD663</f>
        <v>0</v>
      </c>
      <c r="AE664" s="220">
        <f t="shared" ref="AE664" si="1199">AE662*AE663</f>
        <v>0</v>
      </c>
      <c r="AF664" s="220">
        <f t="shared" ref="AF664" si="1200">AF662*AF663</f>
        <v>0</v>
      </c>
      <c r="AG664" s="220">
        <f t="shared" ref="AG664" si="1201">AG662*AG663</f>
        <v>0</v>
      </c>
      <c r="AH664" s="220">
        <f t="shared" ref="AH664" si="1202">AH662*AH663</f>
        <v>0</v>
      </c>
      <c r="AI664" s="220">
        <f t="shared" ref="AI664" si="1203">AI662*AI663</f>
        <v>0</v>
      </c>
      <c r="AJ664" s="220">
        <f t="shared" ref="AJ664" si="1204">AJ662*AJ663</f>
        <v>0</v>
      </c>
      <c r="AK664" s="220">
        <f t="shared" ref="AK664" si="1205">AK662*AK663</f>
        <v>0</v>
      </c>
      <c r="AL664" s="220">
        <f t="shared" ref="AL664" si="1206">AL662*AL663</f>
        <v>0</v>
      </c>
      <c r="AM664" s="220">
        <f t="shared" ref="AM664" si="1207">AM662*AM663</f>
        <v>0</v>
      </c>
      <c r="AN664" s="220">
        <f t="shared" ref="AN664" si="1208">AN662*AN663</f>
        <v>0</v>
      </c>
      <c r="AO664" s="220">
        <f t="shared" ref="AO664" si="1209">AO662*AO663</f>
        <v>0</v>
      </c>
      <c r="AP664" s="220">
        <f t="shared" ref="AP664" si="1210">AP662*AP663</f>
        <v>0</v>
      </c>
    </row>
    <row r="665" spans="1:42">
      <c r="C665" s="208"/>
      <c r="D665" s="208"/>
      <c r="E665" s="208"/>
      <c r="F665" s="208"/>
      <c r="G665" s="208"/>
      <c r="H665" s="208"/>
      <c r="I665" s="208"/>
      <c r="J665" s="208"/>
      <c r="K665" s="208"/>
      <c r="L665" s="208"/>
      <c r="M665" s="208"/>
      <c r="N665" s="208"/>
      <c r="O665" s="208"/>
      <c r="P665" s="208"/>
      <c r="Q665" s="208"/>
      <c r="R665" s="208"/>
      <c r="S665" s="208"/>
      <c r="T665" s="208"/>
      <c r="U665" s="208"/>
      <c r="V665" s="208"/>
      <c r="W665" s="208"/>
      <c r="X665" s="208"/>
      <c r="Y665" s="208"/>
      <c r="Z665" s="208"/>
      <c r="AA665" s="208"/>
      <c r="AB665" s="208"/>
      <c r="AC665" s="208"/>
      <c r="AD665" s="208"/>
      <c r="AE665" s="208"/>
      <c r="AF665" s="208"/>
      <c r="AG665" s="208"/>
      <c r="AH665" s="208"/>
      <c r="AI665" s="208"/>
      <c r="AJ665" s="208"/>
      <c r="AK665" s="208"/>
      <c r="AL665" s="208"/>
      <c r="AM665" s="208"/>
      <c r="AN665" s="208"/>
      <c r="AO665" s="208"/>
      <c r="AP665" s="208"/>
    </row>
    <row r="666" spans="1:42">
      <c r="A666" s="37" t="s">
        <v>53</v>
      </c>
      <c r="C666" s="216">
        <f>C652+C656+C660+C664</f>
        <v>0</v>
      </c>
      <c r="D666" s="216">
        <f t="shared" ref="D666:AP666" si="1211">D652+D656+D660+D664</f>
        <v>0</v>
      </c>
      <c r="E666" s="216">
        <f t="shared" si="1211"/>
        <v>0</v>
      </c>
      <c r="F666" s="216">
        <f t="shared" si="1211"/>
        <v>0</v>
      </c>
      <c r="G666" s="216">
        <f t="shared" si="1211"/>
        <v>0</v>
      </c>
      <c r="H666" s="216">
        <f t="shared" si="1211"/>
        <v>0</v>
      </c>
      <c r="I666" s="216">
        <f t="shared" si="1211"/>
        <v>0</v>
      </c>
      <c r="J666" s="216">
        <f t="shared" si="1211"/>
        <v>0</v>
      </c>
      <c r="K666" s="216">
        <f t="shared" si="1211"/>
        <v>0</v>
      </c>
      <c r="L666" s="216">
        <f t="shared" si="1211"/>
        <v>0</v>
      </c>
      <c r="M666" s="216">
        <f t="shared" si="1211"/>
        <v>0</v>
      </c>
      <c r="N666" s="216">
        <f t="shared" si="1211"/>
        <v>0</v>
      </c>
      <c r="O666" s="216">
        <f t="shared" si="1211"/>
        <v>0</v>
      </c>
      <c r="P666" s="216">
        <f t="shared" si="1211"/>
        <v>0</v>
      </c>
      <c r="Q666" s="216">
        <f t="shared" si="1211"/>
        <v>0</v>
      </c>
      <c r="R666" s="216">
        <f t="shared" si="1211"/>
        <v>0</v>
      </c>
      <c r="S666" s="216">
        <f t="shared" si="1211"/>
        <v>0</v>
      </c>
      <c r="T666" s="216">
        <f t="shared" si="1211"/>
        <v>0</v>
      </c>
      <c r="U666" s="216">
        <f t="shared" si="1211"/>
        <v>0</v>
      </c>
      <c r="V666" s="216">
        <f t="shared" si="1211"/>
        <v>0</v>
      </c>
      <c r="W666" s="216">
        <f t="shared" si="1211"/>
        <v>0</v>
      </c>
      <c r="X666" s="216">
        <f t="shared" si="1211"/>
        <v>0</v>
      </c>
      <c r="Y666" s="216">
        <f t="shared" si="1211"/>
        <v>0</v>
      </c>
      <c r="Z666" s="216">
        <f t="shared" si="1211"/>
        <v>0</v>
      </c>
      <c r="AA666" s="216">
        <f t="shared" si="1211"/>
        <v>0</v>
      </c>
      <c r="AB666" s="216">
        <f t="shared" si="1211"/>
        <v>0</v>
      </c>
      <c r="AC666" s="216">
        <f t="shared" si="1211"/>
        <v>0</v>
      </c>
      <c r="AD666" s="216">
        <f t="shared" si="1211"/>
        <v>0</v>
      </c>
      <c r="AE666" s="216">
        <f t="shared" si="1211"/>
        <v>0</v>
      </c>
      <c r="AF666" s="216">
        <f t="shared" si="1211"/>
        <v>0</v>
      </c>
      <c r="AG666" s="216">
        <f t="shared" si="1211"/>
        <v>0</v>
      </c>
      <c r="AH666" s="216">
        <f t="shared" si="1211"/>
        <v>0</v>
      </c>
      <c r="AI666" s="216">
        <f t="shared" si="1211"/>
        <v>0</v>
      </c>
      <c r="AJ666" s="216">
        <f t="shared" si="1211"/>
        <v>0</v>
      </c>
      <c r="AK666" s="216">
        <f t="shared" si="1211"/>
        <v>0</v>
      </c>
      <c r="AL666" s="216">
        <f t="shared" si="1211"/>
        <v>0</v>
      </c>
      <c r="AM666" s="216">
        <f t="shared" si="1211"/>
        <v>0</v>
      </c>
      <c r="AN666" s="216">
        <f t="shared" si="1211"/>
        <v>0</v>
      </c>
      <c r="AO666" s="216">
        <f t="shared" si="1211"/>
        <v>0</v>
      </c>
      <c r="AP666" s="216">
        <f t="shared" si="1211"/>
        <v>0</v>
      </c>
    </row>
    <row r="668" spans="1:42">
      <c r="A668" s="201" t="s">
        <v>99</v>
      </c>
    </row>
    <row r="669" spans="1:42" s="119" customFormat="1">
      <c r="A669" s="204" t="s">
        <v>311</v>
      </c>
    </row>
    <row r="670" spans="1:42" s="119" customFormat="1">
      <c r="A670" s="37" t="s">
        <v>312</v>
      </c>
      <c r="C670" s="273">
        <f t="shared" ref="C670:AP670" si="1212">IF(AND(C$2&lt;=LPFDebtTerm,C$2&lt;=AnalysisPeriod),LPFDebtRate,0)</f>
        <v>8.5000000000000006E-2</v>
      </c>
      <c r="D670" s="148">
        <f t="shared" si="1212"/>
        <v>8.5000000000000006E-2</v>
      </c>
      <c r="E670" s="148">
        <f t="shared" si="1212"/>
        <v>8.5000000000000006E-2</v>
      </c>
      <c r="F670" s="148">
        <f t="shared" si="1212"/>
        <v>8.5000000000000006E-2</v>
      </c>
      <c r="G670" s="148">
        <f t="shared" si="1212"/>
        <v>8.5000000000000006E-2</v>
      </c>
      <c r="H670" s="148">
        <f t="shared" si="1212"/>
        <v>8.5000000000000006E-2</v>
      </c>
      <c r="I670" s="148">
        <f t="shared" si="1212"/>
        <v>8.5000000000000006E-2</v>
      </c>
      <c r="J670" s="148">
        <f t="shared" si="1212"/>
        <v>8.5000000000000006E-2</v>
      </c>
      <c r="K670" s="148">
        <f t="shared" si="1212"/>
        <v>8.5000000000000006E-2</v>
      </c>
      <c r="L670" s="148">
        <f t="shared" si="1212"/>
        <v>8.5000000000000006E-2</v>
      </c>
      <c r="M670" s="148">
        <f t="shared" si="1212"/>
        <v>0</v>
      </c>
      <c r="N670" s="148">
        <f t="shared" si="1212"/>
        <v>0</v>
      </c>
      <c r="O670" s="148">
        <f t="shared" si="1212"/>
        <v>0</v>
      </c>
      <c r="P670" s="148">
        <f t="shared" si="1212"/>
        <v>0</v>
      </c>
      <c r="Q670" s="148">
        <f t="shared" si="1212"/>
        <v>0</v>
      </c>
      <c r="R670" s="148">
        <f t="shared" si="1212"/>
        <v>0</v>
      </c>
      <c r="S670" s="148">
        <f t="shared" si="1212"/>
        <v>0</v>
      </c>
      <c r="T670" s="148">
        <f t="shared" si="1212"/>
        <v>0</v>
      </c>
      <c r="U670" s="148">
        <f t="shared" si="1212"/>
        <v>0</v>
      </c>
      <c r="V670" s="148">
        <f t="shared" si="1212"/>
        <v>0</v>
      </c>
      <c r="W670" s="148">
        <f t="shared" si="1212"/>
        <v>0</v>
      </c>
      <c r="X670" s="148">
        <f t="shared" si="1212"/>
        <v>0</v>
      </c>
      <c r="Y670" s="148">
        <f t="shared" si="1212"/>
        <v>0</v>
      </c>
      <c r="Z670" s="148">
        <f t="shared" si="1212"/>
        <v>0</v>
      </c>
      <c r="AA670" s="148">
        <f t="shared" si="1212"/>
        <v>0</v>
      </c>
      <c r="AB670" s="148">
        <f t="shared" si="1212"/>
        <v>0</v>
      </c>
      <c r="AC670" s="148">
        <f t="shared" si="1212"/>
        <v>0</v>
      </c>
      <c r="AD670" s="148">
        <f t="shared" si="1212"/>
        <v>0</v>
      </c>
      <c r="AE670" s="148">
        <f t="shared" si="1212"/>
        <v>0</v>
      </c>
      <c r="AF670" s="148">
        <f t="shared" si="1212"/>
        <v>0</v>
      </c>
      <c r="AG670" s="148">
        <f t="shared" si="1212"/>
        <v>0</v>
      </c>
      <c r="AH670" s="148">
        <f t="shared" si="1212"/>
        <v>0</v>
      </c>
      <c r="AI670" s="148">
        <f t="shared" si="1212"/>
        <v>0</v>
      </c>
      <c r="AJ670" s="148">
        <f t="shared" si="1212"/>
        <v>0</v>
      </c>
      <c r="AK670" s="148">
        <f t="shared" si="1212"/>
        <v>0</v>
      </c>
      <c r="AL670" s="148">
        <f t="shared" si="1212"/>
        <v>0</v>
      </c>
      <c r="AM670" s="148">
        <f t="shared" si="1212"/>
        <v>0</v>
      </c>
      <c r="AN670" s="148">
        <f t="shared" si="1212"/>
        <v>0</v>
      </c>
      <c r="AO670" s="148">
        <f t="shared" si="1212"/>
        <v>0</v>
      </c>
      <c r="AP670" s="148">
        <f t="shared" si="1212"/>
        <v>0</v>
      </c>
    </row>
    <row r="671" spans="1:42" s="119" customFormat="1">
      <c r="A671" s="37" t="s">
        <v>313</v>
      </c>
      <c r="C671" s="274">
        <f>IF(AND(C$2&lt;=LPFDebtTerm,C$2&lt;=AnalysisPeriod),1/(1+C670),0)</f>
        <v>0.92165898617511521</v>
      </c>
      <c r="D671" s="275">
        <f t="shared" ref="D671:AP671" si="1213">IF(AND(D$2&lt;=LPFDebtTerm,D$2&lt;=AnalysisPeriod),C671/(1+D670),0)</f>
        <v>0.84945528679734128</v>
      </c>
      <c r="E671" s="275">
        <f t="shared" si="1213"/>
        <v>0.78290809843072928</v>
      </c>
      <c r="F671" s="275">
        <f t="shared" si="1213"/>
        <v>0.72157428426795323</v>
      </c>
      <c r="G671" s="275">
        <f t="shared" si="1213"/>
        <v>0.66504542328843619</v>
      </c>
      <c r="H671" s="275">
        <f t="shared" si="1213"/>
        <v>0.6129450905884205</v>
      </c>
      <c r="I671" s="275">
        <f t="shared" si="1213"/>
        <v>0.56492635077273778</v>
      </c>
      <c r="J671" s="275">
        <f t="shared" si="1213"/>
        <v>0.52066944771680901</v>
      </c>
      <c r="K671" s="275">
        <f t="shared" si="1213"/>
        <v>0.47987967531503134</v>
      </c>
      <c r="L671" s="275">
        <f t="shared" si="1213"/>
        <v>0.44228541503689528</v>
      </c>
      <c r="M671" s="275">
        <f t="shared" si="1213"/>
        <v>0</v>
      </c>
      <c r="N671" s="275">
        <f t="shared" si="1213"/>
        <v>0</v>
      </c>
      <c r="O671" s="275">
        <f t="shared" si="1213"/>
        <v>0</v>
      </c>
      <c r="P671" s="275">
        <f t="shared" si="1213"/>
        <v>0</v>
      </c>
      <c r="Q671" s="275">
        <f t="shared" si="1213"/>
        <v>0</v>
      </c>
      <c r="R671" s="275">
        <f t="shared" si="1213"/>
        <v>0</v>
      </c>
      <c r="S671" s="275">
        <f t="shared" si="1213"/>
        <v>0</v>
      </c>
      <c r="T671" s="275">
        <f t="shared" si="1213"/>
        <v>0</v>
      </c>
      <c r="U671" s="275">
        <f t="shared" si="1213"/>
        <v>0</v>
      </c>
      <c r="V671" s="275">
        <f t="shared" si="1213"/>
        <v>0</v>
      </c>
      <c r="W671" s="275">
        <f t="shared" si="1213"/>
        <v>0</v>
      </c>
      <c r="X671" s="275">
        <f t="shared" si="1213"/>
        <v>0</v>
      </c>
      <c r="Y671" s="275">
        <f t="shared" si="1213"/>
        <v>0</v>
      </c>
      <c r="Z671" s="275">
        <f t="shared" si="1213"/>
        <v>0</v>
      </c>
      <c r="AA671" s="275">
        <f t="shared" si="1213"/>
        <v>0</v>
      </c>
      <c r="AB671" s="275">
        <f t="shared" si="1213"/>
        <v>0</v>
      </c>
      <c r="AC671" s="275">
        <f t="shared" si="1213"/>
        <v>0</v>
      </c>
      <c r="AD671" s="275">
        <f t="shared" si="1213"/>
        <v>0</v>
      </c>
      <c r="AE671" s="275">
        <f t="shared" si="1213"/>
        <v>0</v>
      </c>
      <c r="AF671" s="275">
        <f t="shared" si="1213"/>
        <v>0</v>
      </c>
      <c r="AG671" s="275">
        <f t="shared" si="1213"/>
        <v>0</v>
      </c>
      <c r="AH671" s="275">
        <f t="shared" si="1213"/>
        <v>0</v>
      </c>
      <c r="AI671" s="275">
        <f t="shared" si="1213"/>
        <v>0</v>
      </c>
      <c r="AJ671" s="275">
        <f t="shared" si="1213"/>
        <v>0</v>
      </c>
      <c r="AK671" s="275">
        <f t="shared" si="1213"/>
        <v>0</v>
      </c>
      <c r="AL671" s="275">
        <f t="shared" si="1213"/>
        <v>0</v>
      </c>
      <c r="AM671" s="275">
        <f t="shared" si="1213"/>
        <v>0</v>
      </c>
      <c r="AN671" s="275">
        <f t="shared" si="1213"/>
        <v>0</v>
      </c>
      <c r="AO671" s="275">
        <f t="shared" si="1213"/>
        <v>0</v>
      </c>
      <c r="AP671" s="275">
        <f t="shared" si="1213"/>
        <v>0</v>
      </c>
    </row>
    <row r="672" spans="1:42" s="119" customFormat="1">
      <c r="A672" s="37" t="s">
        <v>110</v>
      </c>
      <c r="B672" s="276">
        <f>SUM(C672:AP672)</f>
        <v>48737254.762018964</v>
      </c>
      <c r="C672" s="246">
        <f t="shared" ref="C672:AP672" si="1214">IF(AND(C$2&lt;=LPFDebtTerm,C$2&lt;=AnalysisPeriod),C43-C709-C741-C773,0)</f>
        <v>4440592.830549079</v>
      </c>
      <c r="D672" s="246">
        <f t="shared" si="1214"/>
        <v>4534148.0480209282</v>
      </c>
      <c r="E672" s="246">
        <f t="shared" si="1214"/>
        <v>4628846.1987129534</v>
      </c>
      <c r="F672" s="246">
        <f t="shared" si="1214"/>
        <v>4723134.7939256616</v>
      </c>
      <c r="G672" s="246">
        <f t="shared" si="1214"/>
        <v>4820167.4655032447</v>
      </c>
      <c r="H672" s="246">
        <f t="shared" si="1214"/>
        <v>4918392.1678708969</v>
      </c>
      <c r="I672" s="246">
        <f t="shared" si="1214"/>
        <v>5016185.4286412131</v>
      </c>
      <c r="J672" s="246">
        <f t="shared" si="1214"/>
        <v>5116844.8623898979</v>
      </c>
      <c r="K672" s="246">
        <f t="shared" si="1214"/>
        <v>5218747.4570224043</v>
      </c>
      <c r="L672" s="246">
        <f t="shared" si="1214"/>
        <v>5320195.5093826801</v>
      </c>
      <c r="M672" s="246">
        <f t="shared" si="1214"/>
        <v>0</v>
      </c>
      <c r="N672" s="246">
        <f t="shared" si="1214"/>
        <v>0</v>
      </c>
      <c r="O672" s="246">
        <f t="shared" si="1214"/>
        <v>0</v>
      </c>
      <c r="P672" s="246">
        <f t="shared" si="1214"/>
        <v>0</v>
      </c>
      <c r="Q672" s="246">
        <f t="shared" si="1214"/>
        <v>0</v>
      </c>
      <c r="R672" s="246">
        <f t="shared" si="1214"/>
        <v>0</v>
      </c>
      <c r="S672" s="246">
        <f t="shared" si="1214"/>
        <v>0</v>
      </c>
      <c r="T672" s="246">
        <f t="shared" si="1214"/>
        <v>0</v>
      </c>
      <c r="U672" s="246">
        <f t="shared" si="1214"/>
        <v>0</v>
      </c>
      <c r="V672" s="246">
        <f t="shared" si="1214"/>
        <v>0</v>
      </c>
      <c r="W672" s="246">
        <f t="shared" si="1214"/>
        <v>0</v>
      </c>
      <c r="X672" s="246">
        <f t="shared" si="1214"/>
        <v>0</v>
      </c>
      <c r="Y672" s="246">
        <f t="shared" si="1214"/>
        <v>0</v>
      </c>
      <c r="Z672" s="246">
        <f t="shared" si="1214"/>
        <v>0</v>
      </c>
      <c r="AA672" s="246">
        <f t="shared" si="1214"/>
        <v>0</v>
      </c>
      <c r="AB672" s="246">
        <f t="shared" si="1214"/>
        <v>0</v>
      </c>
      <c r="AC672" s="246">
        <f t="shared" si="1214"/>
        <v>0</v>
      </c>
      <c r="AD672" s="246">
        <f t="shared" si="1214"/>
        <v>0</v>
      </c>
      <c r="AE672" s="246">
        <f t="shared" si="1214"/>
        <v>0</v>
      </c>
      <c r="AF672" s="246">
        <f t="shared" si="1214"/>
        <v>0</v>
      </c>
      <c r="AG672" s="246">
        <f t="shared" si="1214"/>
        <v>0</v>
      </c>
      <c r="AH672" s="246">
        <f t="shared" si="1214"/>
        <v>0</v>
      </c>
      <c r="AI672" s="246">
        <f t="shared" si="1214"/>
        <v>0</v>
      </c>
      <c r="AJ672" s="246">
        <f t="shared" si="1214"/>
        <v>0</v>
      </c>
      <c r="AK672" s="246">
        <f t="shared" si="1214"/>
        <v>0</v>
      </c>
      <c r="AL672" s="246">
        <f t="shared" si="1214"/>
        <v>0</v>
      </c>
      <c r="AM672" s="246">
        <f t="shared" si="1214"/>
        <v>0</v>
      </c>
      <c r="AN672" s="246">
        <f t="shared" si="1214"/>
        <v>0</v>
      </c>
      <c r="AO672" s="246">
        <f t="shared" si="1214"/>
        <v>0</v>
      </c>
      <c r="AP672" s="246">
        <f t="shared" si="1214"/>
        <v>0</v>
      </c>
    </row>
    <row r="673" spans="1:42" s="119" customFormat="1">
      <c r="A673" s="37" t="s">
        <v>314</v>
      </c>
      <c r="B673" s="276">
        <f>SUM(C673:AP673)</f>
        <v>31552032.577552579</v>
      </c>
      <c r="C673" s="164">
        <f t="shared" ref="C673:AP673" si="1215">C671*C672</f>
        <v>4092712.2862203494</v>
      </c>
      <c r="D673" s="164">
        <f t="shared" si="1215"/>
        <v>3851556.0305132228</v>
      </c>
      <c r="E673" s="164">
        <f t="shared" si="1215"/>
        <v>3623961.175362668</v>
      </c>
      <c r="F673" s="164">
        <f t="shared" si="1215"/>
        <v>3408092.6084279758</v>
      </c>
      <c r="G673" s="164">
        <f t="shared" si="1215"/>
        <v>3205630.3124167542</v>
      </c>
      <c r="H673" s="164">
        <f t="shared" si="1215"/>
        <v>3014704.3328850046</v>
      </c>
      <c r="I673" s="164">
        <f t="shared" si="1215"/>
        <v>2833775.3290016619</v>
      </c>
      <c r="J673" s="164">
        <f t="shared" si="1215"/>
        <v>2664184.7885531397</v>
      </c>
      <c r="K673" s="164">
        <f t="shared" si="1215"/>
        <v>2504370.8352270569</v>
      </c>
      <c r="L673" s="164">
        <f t="shared" si="1215"/>
        <v>2353044.8789447453</v>
      </c>
      <c r="M673" s="164">
        <f t="shared" si="1215"/>
        <v>0</v>
      </c>
      <c r="N673" s="164">
        <f t="shared" si="1215"/>
        <v>0</v>
      </c>
      <c r="O673" s="164">
        <f t="shared" si="1215"/>
        <v>0</v>
      </c>
      <c r="P673" s="164">
        <f t="shared" si="1215"/>
        <v>0</v>
      </c>
      <c r="Q673" s="164">
        <f t="shared" si="1215"/>
        <v>0</v>
      </c>
      <c r="R673" s="164">
        <f t="shared" si="1215"/>
        <v>0</v>
      </c>
      <c r="S673" s="164">
        <f t="shared" si="1215"/>
        <v>0</v>
      </c>
      <c r="T673" s="164">
        <f t="shared" si="1215"/>
        <v>0</v>
      </c>
      <c r="U673" s="164">
        <f t="shared" si="1215"/>
        <v>0</v>
      </c>
      <c r="V673" s="164">
        <f t="shared" si="1215"/>
        <v>0</v>
      </c>
      <c r="W673" s="164">
        <f t="shared" si="1215"/>
        <v>0</v>
      </c>
      <c r="X673" s="164">
        <f t="shared" si="1215"/>
        <v>0</v>
      </c>
      <c r="Y673" s="164">
        <f t="shared" si="1215"/>
        <v>0</v>
      </c>
      <c r="Z673" s="164">
        <f t="shared" si="1215"/>
        <v>0</v>
      </c>
      <c r="AA673" s="164">
        <f t="shared" si="1215"/>
        <v>0</v>
      </c>
      <c r="AB673" s="164">
        <f t="shared" si="1215"/>
        <v>0</v>
      </c>
      <c r="AC673" s="164">
        <f t="shared" si="1215"/>
        <v>0</v>
      </c>
      <c r="AD673" s="164">
        <f t="shared" si="1215"/>
        <v>0</v>
      </c>
      <c r="AE673" s="164">
        <f t="shared" si="1215"/>
        <v>0</v>
      </c>
      <c r="AF673" s="164">
        <f t="shared" si="1215"/>
        <v>0</v>
      </c>
      <c r="AG673" s="164">
        <f t="shared" si="1215"/>
        <v>0</v>
      </c>
      <c r="AH673" s="164">
        <f t="shared" si="1215"/>
        <v>0</v>
      </c>
      <c r="AI673" s="164">
        <f t="shared" si="1215"/>
        <v>0</v>
      </c>
      <c r="AJ673" s="164">
        <f t="shared" si="1215"/>
        <v>0</v>
      </c>
      <c r="AK673" s="164">
        <f t="shared" si="1215"/>
        <v>0</v>
      </c>
      <c r="AL673" s="164">
        <f t="shared" si="1215"/>
        <v>0</v>
      </c>
      <c r="AM673" s="164">
        <f t="shared" si="1215"/>
        <v>0</v>
      </c>
      <c r="AN673" s="164">
        <f t="shared" si="1215"/>
        <v>0</v>
      </c>
      <c r="AO673" s="164">
        <f t="shared" si="1215"/>
        <v>0</v>
      </c>
      <c r="AP673" s="164">
        <f t="shared" si="1215"/>
        <v>0</v>
      </c>
    </row>
    <row r="674" spans="1:42" s="119" customFormat="1">
      <c r="A674" s="37" t="s">
        <v>109</v>
      </c>
      <c r="C674" s="277">
        <f t="shared" ref="C674:AP674" si="1216">IF(AND(C$2&lt;=LPFDebtTerm,C$2&lt;=AnalysisPeriod),LPFDSCR,0)</f>
        <v>1.5</v>
      </c>
      <c r="D674" s="277">
        <f t="shared" si="1216"/>
        <v>1.5</v>
      </c>
      <c r="E674" s="277">
        <f t="shared" si="1216"/>
        <v>1.5</v>
      </c>
      <c r="F674" s="277">
        <f t="shared" si="1216"/>
        <v>1.5</v>
      </c>
      <c r="G674" s="277">
        <f t="shared" si="1216"/>
        <v>1.5</v>
      </c>
      <c r="H674" s="277">
        <f t="shared" si="1216"/>
        <v>1.5</v>
      </c>
      <c r="I674" s="277">
        <f t="shared" si="1216"/>
        <v>1.5</v>
      </c>
      <c r="J674" s="277">
        <f t="shared" si="1216"/>
        <v>1.5</v>
      </c>
      <c r="K674" s="277">
        <f t="shared" si="1216"/>
        <v>1.5</v>
      </c>
      <c r="L674" s="277">
        <f t="shared" si="1216"/>
        <v>1.5</v>
      </c>
      <c r="M674" s="277">
        <f t="shared" si="1216"/>
        <v>0</v>
      </c>
      <c r="N674" s="277">
        <f t="shared" si="1216"/>
        <v>0</v>
      </c>
      <c r="O674" s="277">
        <f t="shared" si="1216"/>
        <v>0</v>
      </c>
      <c r="P674" s="277">
        <f t="shared" si="1216"/>
        <v>0</v>
      </c>
      <c r="Q674" s="277">
        <f t="shared" si="1216"/>
        <v>0</v>
      </c>
      <c r="R674" s="277">
        <f t="shared" si="1216"/>
        <v>0</v>
      </c>
      <c r="S674" s="277">
        <f t="shared" si="1216"/>
        <v>0</v>
      </c>
      <c r="T674" s="277">
        <f t="shared" si="1216"/>
        <v>0</v>
      </c>
      <c r="U674" s="277">
        <f t="shared" si="1216"/>
        <v>0</v>
      </c>
      <c r="V674" s="277">
        <f t="shared" si="1216"/>
        <v>0</v>
      </c>
      <c r="W674" s="277">
        <f t="shared" si="1216"/>
        <v>0</v>
      </c>
      <c r="X674" s="277">
        <f t="shared" si="1216"/>
        <v>0</v>
      </c>
      <c r="Y674" s="277">
        <f t="shared" si="1216"/>
        <v>0</v>
      </c>
      <c r="Z674" s="277">
        <f t="shared" si="1216"/>
        <v>0</v>
      </c>
      <c r="AA674" s="277">
        <f t="shared" si="1216"/>
        <v>0</v>
      </c>
      <c r="AB674" s="277">
        <f t="shared" si="1216"/>
        <v>0</v>
      </c>
      <c r="AC674" s="277">
        <f t="shared" si="1216"/>
        <v>0</v>
      </c>
      <c r="AD674" s="277">
        <f t="shared" si="1216"/>
        <v>0</v>
      </c>
      <c r="AE674" s="277">
        <f t="shared" si="1216"/>
        <v>0</v>
      </c>
      <c r="AF674" s="277">
        <f t="shared" si="1216"/>
        <v>0</v>
      </c>
      <c r="AG674" s="277">
        <f t="shared" si="1216"/>
        <v>0</v>
      </c>
      <c r="AH674" s="277">
        <f t="shared" si="1216"/>
        <v>0</v>
      </c>
      <c r="AI674" s="277">
        <f t="shared" si="1216"/>
        <v>0</v>
      </c>
      <c r="AJ674" s="277">
        <f t="shared" si="1216"/>
        <v>0</v>
      </c>
      <c r="AK674" s="277">
        <f t="shared" si="1216"/>
        <v>0</v>
      </c>
      <c r="AL674" s="277">
        <f t="shared" si="1216"/>
        <v>0</v>
      </c>
      <c r="AM674" s="277">
        <f t="shared" si="1216"/>
        <v>0</v>
      </c>
      <c r="AN674" s="277">
        <f t="shared" si="1216"/>
        <v>0</v>
      </c>
      <c r="AO674" s="277">
        <f t="shared" si="1216"/>
        <v>0</v>
      </c>
      <c r="AP674" s="277">
        <f t="shared" si="1216"/>
        <v>0</v>
      </c>
    </row>
    <row r="675" spans="1:42" s="119" customFormat="1">
      <c r="A675" s="37" t="s">
        <v>315</v>
      </c>
      <c r="B675" s="276">
        <f>SUM(C675:AP675)</f>
        <v>21034688.385035053</v>
      </c>
      <c r="C675" s="164">
        <f t="shared" ref="C675:AP675" si="1217">IF(AND(C$2&lt;=LPFDebtTerm,C$2&lt;=AnalysisPeriod),C673/C674,0)</f>
        <v>2728474.8574802331</v>
      </c>
      <c r="D675" s="164">
        <f t="shared" si="1217"/>
        <v>2567704.0203421484</v>
      </c>
      <c r="E675" s="164">
        <f t="shared" si="1217"/>
        <v>2415974.1169084455</v>
      </c>
      <c r="F675" s="164">
        <f t="shared" si="1217"/>
        <v>2272061.7389519839</v>
      </c>
      <c r="G675" s="164">
        <f t="shared" si="1217"/>
        <v>2137086.874944503</v>
      </c>
      <c r="H675" s="164">
        <f t="shared" si="1217"/>
        <v>2009802.8885900031</v>
      </c>
      <c r="I675" s="164">
        <f t="shared" si="1217"/>
        <v>1889183.5526677745</v>
      </c>
      <c r="J675" s="164">
        <f t="shared" si="1217"/>
        <v>1776123.1923687598</v>
      </c>
      <c r="K675" s="164">
        <f t="shared" si="1217"/>
        <v>1669580.556818038</v>
      </c>
      <c r="L675" s="164">
        <f t="shared" si="1217"/>
        <v>1568696.5859631635</v>
      </c>
      <c r="M675" s="164">
        <f t="shared" si="1217"/>
        <v>0</v>
      </c>
      <c r="N675" s="164">
        <f t="shared" si="1217"/>
        <v>0</v>
      </c>
      <c r="O675" s="164">
        <f t="shared" si="1217"/>
        <v>0</v>
      </c>
      <c r="P675" s="164">
        <f t="shared" si="1217"/>
        <v>0</v>
      </c>
      <c r="Q675" s="164">
        <f t="shared" si="1217"/>
        <v>0</v>
      </c>
      <c r="R675" s="164">
        <f t="shared" si="1217"/>
        <v>0</v>
      </c>
      <c r="S675" s="164">
        <f t="shared" si="1217"/>
        <v>0</v>
      </c>
      <c r="T675" s="164">
        <f t="shared" si="1217"/>
        <v>0</v>
      </c>
      <c r="U675" s="164">
        <f t="shared" si="1217"/>
        <v>0</v>
      </c>
      <c r="V675" s="164">
        <f t="shared" si="1217"/>
        <v>0</v>
      </c>
      <c r="W675" s="164">
        <f t="shared" si="1217"/>
        <v>0</v>
      </c>
      <c r="X675" s="164">
        <f t="shared" si="1217"/>
        <v>0</v>
      </c>
      <c r="Y675" s="164">
        <f t="shared" si="1217"/>
        <v>0</v>
      </c>
      <c r="Z675" s="164">
        <f t="shared" si="1217"/>
        <v>0</v>
      </c>
      <c r="AA675" s="164">
        <f t="shared" si="1217"/>
        <v>0</v>
      </c>
      <c r="AB675" s="164">
        <f t="shared" si="1217"/>
        <v>0</v>
      </c>
      <c r="AC675" s="164">
        <f t="shared" si="1217"/>
        <v>0</v>
      </c>
      <c r="AD675" s="164">
        <f t="shared" si="1217"/>
        <v>0</v>
      </c>
      <c r="AE675" s="164">
        <f t="shared" si="1217"/>
        <v>0</v>
      </c>
      <c r="AF675" s="164">
        <f t="shared" si="1217"/>
        <v>0</v>
      </c>
      <c r="AG675" s="164">
        <f t="shared" si="1217"/>
        <v>0</v>
      </c>
      <c r="AH675" s="164">
        <f t="shared" si="1217"/>
        <v>0</v>
      </c>
      <c r="AI675" s="164">
        <f t="shared" si="1217"/>
        <v>0</v>
      </c>
      <c r="AJ675" s="164">
        <f t="shared" si="1217"/>
        <v>0</v>
      </c>
      <c r="AK675" s="164">
        <f t="shared" si="1217"/>
        <v>0</v>
      </c>
      <c r="AL675" s="164">
        <f t="shared" si="1217"/>
        <v>0</v>
      </c>
      <c r="AM675" s="164">
        <f t="shared" si="1217"/>
        <v>0</v>
      </c>
      <c r="AN675" s="164">
        <f t="shared" si="1217"/>
        <v>0</v>
      </c>
      <c r="AO675" s="164">
        <f t="shared" si="1217"/>
        <v>0</v>
      </c>
      <c r="AP675" s="164">
        <f t="shared" si="1217"/>
        <v>0</v>
      </c>
    </row>
    <row r="676" spans="1:42" s="119" customFormat="1">
      <c r="A676" s="278"/>
    </row>
    <row r="677" spans="1:42">
      <c r="A677" s="204" t="s">
        <v>102</v>
      </c>
      <c r="C677" s="164"/>
      <c r="D677" s="164"/>
      <c r="E677" s="164"/>
      <c r="F677" s="164"/>
      <c r="G677" s="164"/>
      <c r="H677" s="164"/>
      <c r="I677" s="164"/>
      <c r="J677" s="164"/>
      <c r="K677" s="164"/>
      <c r="L677" s="164"/>
      <c r="M677" s="164"/>
      <c r="N677" s="164"/>
      <c r="O677" s="164"/>
      <c r="P677" s="164"/>
      <c r="Q677" s="164"/>
      <c r="R677" s="164"/>
      <c r="S677" s="164"/>
      <c r="T677" s="164"/>
      <c r="U677" s="164"/>
      <c r="V677" s="164"/>
      <c r="W677" s="164"/>
      <c r="X677" s="164"/>
      <c r="Y677" s="164"/>
      <c r="Z677" s="164"/>
      <c r="AA677" s="164"/>
      <c r="AB677" s="164"/>
      <c r="AC677" s="164"/>
      <c r="AD677" s="164"/>
      <c r="AE677" s="164"/>
      <c r="AF677" s="164"/>
      <c r="AG677" s="164"/>
      <c r="AH677" s="164"/>
      <c r="AI677" s="164"/>
      <c r="AJ677" s="164"/>
      <c r="AK677" s="164"/>
      <c r="AL677" s="164"/>
      <c r="AM677" s="164"/>
      <c r="AN677" s="164"/>
      <c r="AO677" s="164"/>
      <c r="AP677" s="164"/>
    </row>
    <row r="678" spans="1:42">
      <c r="A678" s="37" t="s">
        <v>100</v>
      </c>
      <c r="B678" s="164">
        <v>0</v>
      </c>
      <c r="C678" s="164">
        <f>B681</f>
        <v>21034688.385035053</v>
      </c>
      <c r="D678" s="164">
        <f t="shared" ref="D678:J678" si="1218">C681</f>
        <v>19862241.677396979</v>
      </c>
      <c r="E678" s="164">
        <f t="shared" si="1218"/>
        <v>18527766.854628436</v>
      </c>
      <c r="F678" s="164">
        <f t="shared" si="1218"/>
        <v>17016729.57146322</v>
      </c>
      <c r="G678" s="164">
        <f t="shared" si="1218"/>
        <v>15314395.05575382</v>
      </c>
      <c r="H678" s="164">
        <f t="shared" si="1218"/>
        <v>13402673.658490732</v>
      </c>
      <c r="I678" s="164">
        <f t="shared" si="1218"/>
        <v>11262972.807548514</v>
      </c>
      <c r="J678" s="164">
        <f t="shared" si="1218"/>
        <v>8876201.8770959955</v>
      </c>
      <c r="K678" s="164">
        <f t="shared" ref="K678:AP678" si="1219">J681</f>
        <v>6219449.1283892235</v>
      </c>
      <c r="L678" s="164">
        <f t="shared" si="1219"/>
        <v>3268937.3329540379</v>
      </c>
      <c r="M678" s="164">
        <f t="shared" si="1219"/>
        <v>1.1175870895385742E-8</v>
      </c>
      <c r="N678" s="164">
        <f t="shared" si="1219"/>
        <v>1.1175870895385742E-8</v>
      </c>
      <c r="O678" s="164">
        <f t="shared" si="1219"/>
        <v>1.1175870895385742E-8</v>
      </c>
      <c r="P678" s="164">
        <f t="shared" si="1219"/>
        <v>1.1175870895385742E-8</v>
      </c>
      <c r="Q678" s="164">
        <f t="shared" si="1219"/>
        <v>1.1175870895385742E-8</v>
      </c>
      <c r="R678" s="164">
        <f t="shared" si="1219"/>
        <v>1.1175870895385742E-8</v>
      </c>
      <c r="S678" s="164">
        <f t="shared" si="1219"/>
        <v>1.1175870895385742E-8</v>
      </c>
      <c r="T678" s="164">
        <f t="shared" si="1219"/>
        <v>1.1175870895385742E-8</v>
      </c>
      <c r="U678" s="164">
        <f t="shared" si="1219"/>
        <v>1.1175870895385742E-8</v>
      </c>
      <c r="V678" s="164">
        <f t="shared" si="1219"/>
        <v>1.1175870895385742E-8</v>
      </c>
      <c r="W678" s="164">
        <f t="shared" si="1219"/>
        <v>1.1175870895385742E-8</v>
      </c>
      <c r="X678" s="164">
        <f t="shared" si="1219"/>
        <v>1.1175870895385742E-8</v>
      </c>
      <c r="Y678" s="164">
        <f t="shared" si="1219"/>
        <v>1.1175870895385742E-8</v>
      </c>
      <c r="Z678" s="164">
        <f t="shared" si="1219"/>
        <v>1.1175870895385742E-8</v>
      </c>
      <c r="AA678" s="164">
        <f t="shared" si="1219"/>
        <v>1.1175870895385742E-8</v>
      </c>
      <c r="AB678" s="164">
        <f t="shared" si="1219"/>
        <v>1.1175870895385742E-8</v>
      </c>
      <c r="AC678" s="164">
        <f t="shared" si="1219"/>
        <v>1.1175870895385742E-8</v>
      </c>
      <c r="AD678" s="164">
        <f t="shared" si="1219"/>
        <v>1.1175870895385742E-8</v>
      </c>
      <c r="AE678" s="164">
        <f t="shared" si="1219"/>
        <v>1.1175870895385742E-8</v>
      </c>
      <c r="AF678" s="164">
        <f t="shared" si="1219"/>
        <v>1.1175870895385742E-8</v>
      </c>
      <c r="AG678" s="164">
        <f t="shared" si="1219"/>
        <v>1.1175870895385742E-8</v>
      </c>
      <c r="AH678" s="164">
        <f t="shared" si="1219"/>
        <v>1.1175870895385742E-8</v>
      </c>
      <c r="AI678" s="164">
        <f t="shared" si="1219"/>
        <v>1.1175870895385742E-8</v>
      </c>
      <c r="AJ678" s="164">
        <f t="shared" si="1219"/>
        <v>1.1175870895385742E-8</v>
      </c>
      <c r="AK678" s="164">
        <f t="shared" si="1219"/>
        <v>1.1175870895385742E-8</v>
      </c>
      <c r="AL678" s="164">
        <f t="shared" si="1219"/>
        <v>1.1175870895385742E-8</v>
      </c>
      <c r="AM678" s="164">
        <f t="shared" si="1219"/>
        <v>1.1175870895385742E-8</v>
      </c>
      <c r="AN678" s="164">
        <f t="shared" si="1219"/>
        <v>1.1175870895385742E-8</v>
      </c>
      <c r="AO678" s="164">
        <f t="shared" si="1219"/>
        <v>1.1175870895385742E-8</v>
      </c>
      <c r="AP678" s="164">
        <f t="shared" si="1219"/>
        <v>1.1175870895385742E-8</v>
      </c>
    </row>
    <row r="679" spans="1:42">
      <c r="A679" s="37" t="s">
        <v>101</v>
      </c>
      <c r="B679" s="164">
        <f>B675</f>
        <v>21034688.385035053</v>
      </c>
      <c r="C679" s="164">
        <v>0</v>
      </c>
      <c r="D679" s="164">
        <v>0</v>
      </c>
      <c r="E679" s="164">
        <v>0</v>
      </c>
      <c r="F679" s="164">
        <v>0</v>
      </c>
      <c r="G679" s="164">
        <v>0</v>
      </c>
      <c r="H679" s="164">
        <v>0</v>
      </c>
      <c r="I679" s="164">
        <v>0</v>
      </c>
      <c r="J679" s="164">
        <v>0</v>
      </c>
      <c r="K679" s="164">
        <v>0</v>
      </c>
      <c r="L679" s="164">
        <v>0</v>
      </c>
      <c r="M679" s="164">
        <v>0</v>
      </c>
      <c r="N679" s="164">
        <v>0</v>
      </c>
      <c r="O679" s="164">
        <v>0</v>
      </c>
      <c r="P679" s="164">
        <v>0</v>
      </c>
      <c r="Q679" s="164">
        <v>0</v>
      </c>
      <c r="R679" s="164">
        <v>0</v>
      </c>
      <c r="S679" s="164">
        <v>0</v>
      </c>
      <c r="T679" s="164">
        <v>0</v>
      </c>
      <c r="U679" s="164">
        <v>0</v>
      </c>
      <c r="V679" s="164">
        <v>0</v>
      </c>
      <c r="W679" s="164">
        <v>0</v>
      </c>
      <c r="X679" s="164">
        <v>0</v>
      </c>
      <c r="Y679" s="164">
        <v>0</v>
      </c>
      <c r="Z679" s="164">
        <v>0</v>
      </c>
      <c r="AA679" s="164">
        <v>0</v>
      </c>
      <c r="AB679" s="164">
        <v>0</v>
      </c>
      <c r="AC679" s="164">
        <v>0</v>
      </c>
      <c r="AD679" s="164">
        <v>0</v>
      </c>
      <c r="AE679" s="164">
        <v>0</v>
      </c>
      <c r="AF679" s="164">
        <v>0</v>
      </c>
      <c r="AG679" s="164">
        <v>0</v>
      </c>
      <c r="AH679" s="164">
        <v>0</v>
      </c>
      <c r="AI679" s="164">
        <v>0</v>
      </c>
      <c r="AJ679" s="164">
        <v>0</v>
      </c>
      <c r="AK679" s="164">
        <v>0</v>
      </c>
      <c r="AL679" s="164">
        <v>0</v>
      </c>
      <c r="AM679" s="164">
        <v>0</v>
      </c>
      <c r="AN679" s="164">
        <v>0</v>
      </c>
      <c r="AO679" s="164">
        <v>0</v>
      </c>
      <c r="AP679" s="164">
        <v>0</v>
      </c>
    </row>
    <row r="680" spans="1:42">
      <c r="A680" s="37" t="s">
        <v>102</v>
      </c>
      <c r="B680" s="209">
        <v>0</v>
      </c>
      <c r="C680" s="209">
        <f>-C683</f>
        <v>-1172446.7076380732</v>
      </c>
      <c r="D680" s="209">
        <f t="shared" ref="D680:J680" si="1220">-D683</f>
        <v>-1334474.822768542</v>
      </c>
      <c r="E680" s="209">
        <f t="shared" si="1220"/>
        <v>-1511037.2831652183</v>
      </c>
      <c r="F680" s="209">
        <f t="shared" si="1220"/>
        <v>-1702334.5157094009</v>
      </c>
      <c r="G680" s="209">
        <f t="shared" si="1220"/>
        <v>-1911721.3972630883</v>
      </c>
      <c r="H680" s="209">
        <f t="shared" si="1220"/>
        <v>-2139700.8509422187</v>
      </c>
      <c r="I680" s="209">
        <f t="shared" si="1220"/>
        <v>-2386770.9304525186</v>
      </c>
      <c r="J680" s="209">
        <f t="shared" si="1220"/>
        <v>-2656752.748706772</v>
      </c>
      <c r="K680" s="209">
        <f t="shared" ref="K680:AP680" si="1221">-K683</f>
        <v>-2950511.7954351855</v>
      </c>
      <c r="L680" s="209">
        <f t="shared" si="1221"/>
        <v>-3268937.3329540268</v>
      </c>
      <c r="M680" s="209">
        <f t="shared" si="1221"/>
        <v>0</v>
      </c>
      <c r="N680" s="209">
        <f t="shared" si="1221"/>
        <v>0</v>
      </c>
      <c r="O680" s="209">
        <f t="shared" si="1221"/>
        <v>0</v>
      </c>
      <c r="P680" s="209">
        <f t="shared" si="1221"/>
        <v>0</v>
      </c>
      <c r="Q680" s="209">
        <f t="shared" si="1221"/>
        <v>0</v>
      </c>
      <c r="R680" s="209">
        <f t="shared" si="1221"/>
        <v>0</v>
      </c>
      <c r="S680" s="209">
        <f t="shared" si="1221"/>
        <v>0</v>
      </c>
      <c r="T680" s="209">
        <f t="shared" si="1221"/>
        <v>0</v>
      </c>
      <c r="U680" s="209">
        <f t="shared" si="1221"/>
        <v>0</v>
      </c>
      <c r="V680" s="209">
        <f t="shared" si="1221"/>
        <v>0</v>
      </c>
      <c r="W680" s="209">
        <f t="shared" si="1221"/>
        <v>0</v>
      </c>
      <c r="X680" s="209">
        <f t="shared" si="1221"/>
        <v>0</v>
      </c>
      <c r="Y680" s="209">
        <f t="shared" si="1221"/>
        <v>0</v>
      </c>
      <c r="Z680" s="209">
        <f t="shared" si="1221"/>
        <v>0</v>
      </c>
      <c r="AA680" s="209">
        <f t="shared" si="1221"/>
        <v>0</v>
      </c>
      <c r="AB680" s="209">
        <f t="shared" si="1221"/>
        <v>0</v>
      </c>
      <c r="AC680" s="209">
        <f t="shared" si="1221"/>
        <v>0</v>
      </c>
      <c r="AD680" s="209">
        <f t="shared" si="1221"/>
        <v>0</v>
      </c>
      <c r="AE680" s="209">
        <f t="shared" si="1221"/>
        <v>0</v>
      </c>
      <c r="AF680" s="209">
        <f t="shared" si="1221"/>
        <v>0</v>
      </c>
      <c r="AG680" s="209">
        <f t="shared" si="1221"/>
        <v>0</v>
      </c>
      <c r="AH680" s="209">
        <f t="shared" si="1221"/>
        <v>0</v>
      </c>
      <c r="AI680" s="209">
        <f t="shared" si="1221"/>
        <v>0</v>
      </c>
      <c r="AJ680" s="209">
        <f t="shared" si="1221"/>
        <v>0</v>
      </c>
      <c r="AK680" s="209">
        <f t="shared" si="1221"/>
        <v>0</v>
      </c>
      <c r="AL680" s="209">
        <f t="shared" si="1221"/>
        <v>0</v>
      </c>
      <c r="AM680" s="209">
        <f t="shared" si="1221"/>
        <v>0</v>
      </c>
      <c r="AN680" s="209">
        <f t="shared" si="1221"/>
        <v>0</v>
      </c>
      <c r="AO680" s="209">
        <f t="shared" si="1221"/>
        <v>0</v>
      </c>
      <c r="AP680" s="209">
        <f t="shared" si="1221"/>
        <v>0</v>
      </c>
    </row>
    <row r="681" spans="1:42">
      <c r="A681" s="37" t="s">
        <v>103</v>
      </c>
      <c r="B681" s="164">
        <f>SUM(B678:B680)</f>
        <v>21034688.385035053</v>
      </c>
      <c r="C681" s="164">
        <f>SUM(C678:C680)</f>
        <v>19862241.677396979</v>
      </c>
      <c r="D681" s="164">
        <f t="shared" ref="D681:J681" si="1222">SUM(D678:D680)</f>
        <v>18527766.854628436</v>
      </c>
      <c r="E681" s="164">
        <f t="shared" si="1222"/>
        <v>17016729.57146322</v>
      </c>
      <c r="F681" s="164">
        <f t="shared" si="1222"/>
        <v>15314395.05575382</v>
      </c>
      <c r="G681" s="164">
        <f t="shared" si="1222"/>
        <v>13402673.658490732</v>
      </c>
      <c r="H681" s="164">
        <f t="shared" si="1222"/>
        <v>11262972.807548514</v>
      </c>
      <c r="I681" s="164">
        <f t="shared" si="1222"/>
        <v>8876201.8770959955</v>
      </c>
      <c r="J681" s="164">
        <f t="shared" si="1222"/>
        <v>6219449.1283892235</v>
      </c>
      <c r="K681" s="164">
        <f t="shared" ref="K681" si="1223">SUM(K678:K680)</f>
        <v>3268937.3329540379</v>
      </c>
      <c r="L681" s="164">
        <f t="shared" ref="L681" si="1224">SUM(L678:L680)</f>
        <v>1.1175870895385742E-8</v>
      </c>
      <c r="M681" s="164">
        <f t="shared" ref="M681" si="1225">SUM(M678:M680)</f>
        <v>1.1175870895385742E-8</v>
      </c>
      <c r="N681" s="164">
        <f t="shared" ref="N681" si="1226">SUM(N678:N680)</f>
        <v>1.1175870895385742E-8</v>
      </c>
      <c r="O681" s="164">
        <f t="shared" ref="O681" si="1227">SUM(O678:O680)</f>
        <v>1.1175870895385742E-8</v>
      </c>
      <c r="P681" s="164">
        <f t="shared" ref="P681:Q681" si="1228">SUM(P678:P680)</f>
        <v>1.1175870895385742E-8</v>
      </c>
      <c r="Q681" s="164">
        <f t="shared" si="1228"/>
        <v>1.1175870895385742E-8</v>
      </c>
      <c r="R681" s="164">
        <f t="shared" ref="R681" si="1229">SUM(R678:R680)</f>
        <v>1.1175870895385742E-8</v>
      </c>
      <c r="S681" s="164">
        <f t="shared" ref="S681" si="1230">SUM(S678:S680)</f>
        <v>1.1175870895385742E-8</v>
      </c>
      <c r="T681" s="164">
        <f t="shared" ref="T681" si="1231">SUM(T678:T680)</f>
        <v>1.1175870895385742E-8</v>
      </c>
      <c r="U681" s="164">
        <f t="shared" ref="U681" si="1232">SUM(U678:U680)</f>
        <v>1.1175870895385742E-8</v>
      </c>
      <c r="V681" s="164">
        <f t="shared" ref="V681" si="1233">SUM(V678:V680)</f>
        <v>1.1175870895385742E-8</v>
      </c>
      <c r="W681" s="164">
        <f t="shared" ref="W681:X681" si="1234">SUM(W678:W680)</f>
        <v>1.1175870895385742E-8</v>
      </c>
      <c r="X681" s="164">
        <f t="shared" si="1234"/>
        <v>1.1175870895385742E-8</v>
      </c>
      <c r="Y681" s="164">
        <f t="shared" ref="Y681" si="1235">SUM(Y678:Y680)</f>
        <v>1.1175870895385742E-8</v>
      </c>
      <c r="Z681" s="164">
        <f t="shared" ref="Z681" si="1236">SUM(Z678:Z680)</f>
        <v>1.1175870895385742E-8</v>
      </c>
      <c r="AA681" s="164">
        <f t="shared" ref="AA681" si="1237">SUM(AA678:AA680)</f>
        <v>1.1175870895385742E-8</v>
      </c>
      <c r="AB681" s="164">
        <f t="shared" ref="AB681" si="1238">SUM(AB678:AB680)</f>
        <v>1.1175870895385742E-8</v>
      </c>
      <c r="AC681" s="164">
        <f t="shared" ref="AC681" si="1239">SUM(AC678:AC680)</f>
        <v>1.1175870895385742E-8</v>
      </c>
      <c r="AD681" s="164">
        <f t="shared" ref="AD681:AE681" si="1240">SUM(AD678:AD680)</f>
        <v>1.1175870895385742E-8</v>
      </c>
      <c r="AE681" s="164">
        <f t="shared" si="1240"/>
        <v>1.1175870895385742E-8</v>
      </c>
      <c r="AF681" s="164">
        <f t="shared" ref="AF681" si="1241">SUM(AF678:AF680)</f>
        <v>1.1175870895385742E-8</v>
      </c>
      <c r="AG681" s="164">
        <f t="shared" ref="AG681" si="1242">SUM(AG678:AG680)</f>
        <v>1.1175870895385742E-8</v>
      </c>
      <c r="AH681" s="164">
        <f t="shared" ref="AH681" si="1243">SUM(AH678:AH680)</f>
        <v>1.1175870895385742E-8</v>
      </c>
      <c r="AI681" s="164">
        <f t="shared" ref="AI681" si="1244">SUM(AI678:AI680)</f>
        <v>1.1175870895385742E-8</v>
      </c>
      <c r="AJ681" s="164">
        <f t="shared" ref="AJ681" si="1245">SUM(AJ678:AJ680)</f>
        <v>1.1175870895385742E-8</v>
      </c>
      <c r="AK681" s="164">
        <f t="shared" ref="AK681:AL681" si="1246">SUM(AK678:AK680)</f>
        <v>1.1175870895385742E-8</v>
      </c>
      <c r="AL681" s="164">
        <f t="shared" si="1246"/>
        <v>1.1175870895385742E-8</v>
      </c>
      <c r="AM681" s="164">
        <f t="shared" ref="AM681" si="1247">SUM(AM678:AM680)</f>
        <v>1.1175870895385742E-8</v>
      </c>
      <c r="AN681" s="164">
        <f t="shared" ref="AN681" si="1248">SUM(AN678:AN680)</f>
        <v>1.1175870895385742E-8</v>
      </c>
      <c r="AO681" s="164">
        <f t="shared" ref="AO681" si="1249">SUM(AO678:AO680)</f>
        <v>1.1175870895385742E-8</v>
      </c>
      <c r="AP681" s="164">
        <f t="shared" ref="AP681" si="1250">SUM(AP678:AP680)</f>
        <v>1.1175870895385742E-8</v>
      </c>
    </row>
    <row r="682" spans="1:42">
      <c r="B682" s="164"/>
      <c r="C682" s="164"/>
      <c r="D682" s="164"/>
      <c r="E682" s="164"/>
      <c r="F682" s="164"/>
      <c r="G682" s="164"/>
      <c r="H682" s="164"/>
      <c r="I682" s="164"/>
      <c r="J682" s="164"/>
      <c r="K682" s="164"/>
      <c r="L682" s="164"/>
      <c r="M682" s="164"/>
      <c r="N682" s="164"/>
      <c r="O682" s="164"/>
      <c r="P682" s="164"/>
      <c r="Q682" s="164"/>
      <c r="R682" s="164"/>
      <c r="S682" s="164"/>
      <c r="T682" s="164"/>
      <c r="U682" s="164"/>
      <c r="V682" s="164"/>
      <c r="W682" s="164"/>
      <c r="X682" s="164"/>
      <c r="Y682" s="164"/>
      <c r="Z682" s="164"/>
      <c r="AA682" s="164"/>
      <c r="AB682" s="164"/>
      <c r="AC682" s="164"/>
      <c r="AD682" s="164"/>
      <c r="AE682" s="164"/>
      <c r="AF682" s="164"/>
      <c r="AG682" s="164"/>
      <c r="AH682" s="164"/>
      <c r="AI682" s="164"/>
      <c r="AJ682" s="164"/>
      <c r="AK682" s="164"/>
      <c r="AL682" s="164"/>
      <c r="AM682" s="164"/>
      <c r="AN682" s="164"/>
      <c r="AO682" s="164"/>
      <c r="AP682" s="164"/>
    </row>
    <row r="683" spans="1:42">
      <c r="A683" s="37" t="s">
        <v>104</v>
      </c>
      <c r="B683" s="218">
        <f>SUM(C683:AP683)</f>
        <v>21034688.385035045</v>
      </c>
      <c r="C683" s="164">
        <f>C685-C684</f>
        <v>1172446.7076380732</v>
      </c>
      <c r="D683" s="164">
        <f t="shared" ref="D683:J683" si="1251">D685-D684</f>
        <v>1334474.822768542</v>
      </c>
      <c r="E683" s="164">
        <f t="shared" si="1251"/>
        <v>1511037.2831652183</v>
      </c>
      <c r="F683" s="164">
        <f t="shared" si="1251"/>
        <v>1702334.5157094009</v>
      </c>
      <c r="G683" s="164">
        <f t="shared" si="1251"/>
        <v>1911721.3972630883</v>
      </c>
      <c r="H683" s="164">
        <f t="shared" si="1251"/>
        <v>2139700.8509422187</v>
      </c>
      <c r="I683" s="164">
        <f t="shared" si="1251"/>
        <v>2386770.9304525186</v>
      </c>
      <c r="J683" s="164">
        <f t="shared" si="1251"/>
        <v>2656752.748706772</v>
      </c>
      <c r="K683" s="164">
        <f t="shared" ref="K683" si="1252">K685-K684</f>
        <v>2950511.7954351855</v>
      </c>
      <c r="L683" s="164">
        <f t="shared" ref="L683" si="1253">L685-L684</f>
        <v>3268937.3329540268</v>
      </c>
      <c r="M683" s="164">
        <f t="shared" ref="M683" si="1254">M685-M684</f>
        <v>0</v>
      </c>
      <c r="N683" s="164">
        <f t="shared" ref="N683" si="1255">N685-N684</f>
        <v>0</v>
      </c>
      <c r="O683" s="164">
        <f t="shared" ref="O683" si="1256">O685-O684</f>
        <v>0</v>
      </c>
      <c r="P683" s="164">
        <f t="shared" ref="P683:Q683" si="1257">P685-P684</f>
        <v>0</v>
      </c>
      <c r="Q683" s="164">
        <f t="shared" si="1257"/>
        <v>0</v>
      </c>
      <c r="R683" s="164">
        <f t="shared" ref="R683" si="1258">R685-R684</f>
        <v>0</v>
      </c>
      <c r="S683" s="164">
        <f t="shared" ref="S683" si="1259">S685-S684</f>
        <v>0</v>
      </c>
      <c r="T683" s="164">
        <f t="shared" ref="T683" si="1260">T685-T684</f>
        <v>0</v>
      </c>
      <c r="U683" s="164">
        <f t="shared" ref="U683" si="1261">U685-U684</f>
        <v>0</v>
      </c>
      <c r="V683" s="164">
        <f t="shared" ref="V683" si="1262">V685-V684</f>
        <v>0</v>
      </c>
      <c r="W683" s="164">
        <f t="shared" ref="W683:X683" si="1263">W685-W684</f>
        <v>0</v>
      </c>
      <c r="X683" s="164">
        <f t="shared" si="1263"/>
        <v>0</v>
      </c>
      <c r="Y683" s="164">
        <f t="shared" ref="Y683" si="1264">Y685-Y684</f>
        <v>0</v>
      </c>
      <c r="Z683" s="164">
        <f t="shared" ref="Z683" si="1265">Z685-Z684</f>
        <v>0</v>
      </c>
      <c r="AA683" s="164">
        <f t="shared" ref="AA683" si="1266">AA685-AA684</f>
        <v>0</v>
      </c>
      <c r="AB683" s="164">
        <f t="shared" ref="AB683" si="1267">AB685-AB684</f>
        <v>0</v>
      </c>
      <c r="AC683" s="164">
        <f t="shared" ref="AC683" si="1268">AC685-AC684</f>
        <v>0</v>
      </c>
      <c r="AD683" s="164">
        <f t="shared" ref="AD683:AE683" si="1269">AD685-AD684</f>
        <v>0</v>
      </c>
      <c r="AE683" s="164">
        <f t="shared" si="1269"/>
        <v>0</v>
      </c>
      <c r="AF683" s="164">
        <f t="shared" ref="AF683" si="1270">AF685-AF684</f>
        <v>0</v>
      </c>
      <c r="AG683" s="164">
        <f t="shared" ref="AG683" si="1271">AG685-AG684</f>
        <v>0</v>
      </c>
      <c r="AH683" s="164">
        <f t="shared" ref="AH683" si="1272">AH685-AH684</f>
        <v>0</v>
      </c>
      <c r="AI683" s="164">
        <f t="shared" ref="AI683" si="1273">AI685-AI684</f>
        <v>0</v>
      </c>
      <c r="AJ683" s="164">
        <f t="shared" ref="AJ683" si="1274">AJ685-AJ684</f>
        <v>0</v>
      </c>
      <c r="AK683" s="164">
        <f t="shared" ref="AK683:AL683" si="1275">AK685-AK684</f>
        <v>0</v>
      </c>
      <c r="AL683" s="164">
        <f t="shared" si="1275"/>
        <v>0</v>
      </c>
      <c r="AM683" s="164">
        <f t="shared" ref="AM683" si="1276">AM685-AM684</f>
        <v>0</v>
      </c>
      <c r="AN683" s="164">
        <f t="shared" ref="AN683" si="1277">AN685-AN684</f>
        <v>0</v>
      </c>
      <c r="AO683" s="164">
        <f t="shared" ref="AO683" si="1278">AO685-AO684</f>
        <v>0</v>
      </c>
      <c r="AP683" s="164">
        <f t="shared" ref="AP683" si="1279">AP685-AP684</f>
        <v>0</v>
      </c>
    </row>
    <row r="684" spans="1:42">
      <c r="A684" s="37" t="s">
        <v>105</v>
      </c>
      <c r="B684" s="218">
        <f>SUM(C684:AP684)</f>
        <v>11456814.789644262</v>
      </c>
      <c r="C684" s="209">
        <f t="shared" ref="C684:AP684" si="1280">IF(AND(C$2&lt;=LPFDebtTerm,C$2&lt;=AnalysisPeriod),B681*C670,0)</f>
        <v>1787948.5127279796</v>
      </c>
      <c r="D684" s="209">
        <f t="shared" si="1280"/>
        <v>1688290.5425787433</v>
      </c>
      <c r="E684" s="209">
        <f t="shared" si="1280"/>
        <v>1574860.1826434173</v>
      </c>
      <c r="F684" s="209">
        <f t="shared" si="1280"/>
        <v>1446422.0135743737</v>
      </c>
      <c r="G684" s="209">
        <f t="shared" si="1280"/>
        <v>1301723.5797390747</v>
      </c>
      <c r="H684" s="209">
        <f t="shared" si="1280"/>
        <v>1139227.2609717124</v>
      </c>
      <c r="I684" s="209">
        <f t="shared" si="1280"/>
        <v>957352.68864162371</v>
      </c>
      <c r="J684" s="209">
        <f t="shared" si="1280"/>
        <v>754477.15955315973</v>
      </c>
      <c r="K684" s="209">
        <f t="shared" si="1280"/>
        <v>528653.17591308407</v>
      </c>
      <c r="L684" s="209">
        <f t="shared" si="1280"/>
        <v>277859.67330109322</v>
      </c>
      <c r="M684" s="209">
        <f t="shared" si="1280"/>
        <v>0</v>
      </c>
      <c r="N684" s="209">
        <f t="shared" si="1280"/>
        <v>0</v>
      </c>
      <c r="O684" s="209">
        <f t="shared" si="1280"/>
        <v>0</v>
      </c>
      <c r="P684" s="209">
        <f t="shared" si="1280"/>
        <v>0</v>
      </c>
      <c r="Q684" s="209">
        <f t="shared" si="1280"/>
        <v>0</v>
      </c>
      <c r="R684" s="209">
        <f t="shared" si="1280"/>
        <v>0</v>
      </c>
      <c r="S684" s="209">
        <f t="shared" si="1280"/>
        <v>0</v>
      </c>
      <c r="T684" s="209">
        <f t="shared" si="1280"/>
        <v>0</v>
      </c>
      <c r="U684" s="209">
        <f t="shared" si="1280"/>
        <v>0</v>
      </c>
      <c r="V684" s="209">
        <f t="shared" si="1280"/>
        <v>0</v>
      </c>
      <c r="W684" s="209">
        <f t="shared" si="1280"/>
        <v>0</v>
      </c>
      <c r="X684" s="209">
        <f t="shared" si="1280"/>
        <v>0</v>
      </c>
      <c r="Y684" s="209">
        <f t="shared" si="1280"/>
        <v>0</v>
      </c>
      <c r="Z684" s="209">
        <f t="shared" si="1280"/>
        <v>0</v>
      </c>
      <c r="AA684" s="209">
        <f t="shared" si="1280"/>
        <v>0</v>
      </c>
      <c r="AB684" s="209">
        <f t="shared" si="1280"/>
        <v>0</v>
      </c>
      <c r="AC684" s="209">
        <f t="shared" si="1280"/>
        <v>0</v>
      </c>
      <c r="AD684" s="209">
        <f t="shared" si="1280"/>
        <v>0</v>
      </c>
      <c r="AE684" s="209">
        <f t="shared" si="1280"/>
        <v>0</v>
      </c>
      <c r="AF684" s="209">
        <f t="shared" si="1280"/>
        <v>0</v>
      </c>
      <c r="AG684" s="209">
        <f t="shared" si="1280"/>
        <v>0</v>
      </c>
      <c r="AH684" s="209">
        <f t="shared" si="1280"/>
        <v>0</v>
      </c>
      <c r="AI684" s="209">
        <f t="shared" si="1280"/>
        <v>0</v>
      </c>
      <c r="AJ684" s="209">
        <f t="shared" si="1280"/>
        <v>0</v>
      </c>
      <c r="AK684" s="209">
        <f t="shared" si="1280"/>
        <v>0</v>
      </c>
      <c r="AL684" s="209">
        <f t="shared" si="1280"/>
        <v>0</v>
      </c>
      <c r="AM684" s="209">
        <f t="shared" si="1280"/>
        <v>0</v>
      </c>
      <c r="AN684" s="209">
        <f t="shared" si="1280"/>
        <v>0</v>
      </c>
      <c r="AO684" s="209">
        <f t="shared" si="1280"/>
        <v>0</v>
      </c>
      <c r="AP684" s="209">
        <f t="shared" si="1280"/>
        <v>0</v>
      </c>
    </row>
    <row r="685" spans="1:42">
      <c r="A685" s="37" t="s">
        <v>106</v>
      </c>
      <c r="B685" s="218">
        <f>SUM(C685:AP685)</f>
        <v>32491503.174679305</v>
      </c>
      <c r="C685" s="164">
        <f>IF(C674&gt;0,C672/C674,0)</f>
        <v>2960395.2203660528</v>
      </c>
      <c r="D685" s="164">
        <f>IF(D674&gt;0,D672/D674,0)</f>
        <v>3022765.3653472853</v>
      </c>
      <c r="E685" s="164">
        <f t="shared" ref="E685:AP685" si="1281">IF(E674&gt;0,E672/E674,0)</f>
        <v>3085897.4658086356</v>
      </c>
      <c r="F685" s="164">
        <f t="shared" si="1281"/>
        <v>3148756.5292837746</v>
      </c>
      <c r="G685" s="164">
        <f t="shared" si="1281"/>
        <v>3213444.977002163</v>
      </c>
      <c r="H685" s="164">
        <f t="shared" si="1281"/>
        <v>3278928.1119139311</v>
      </c>
      <c r="I685" s="164">
        <f t="shared" si="1281"/>
        <v>3344123.6190941422</v>
      </c>
      <c r="J685" s="164">
        <f t="shared" si="1281"/>
        <v>3411229.908259932</v>
      </c>
      <c r="K685" s="164">
        <f t="shared" si="1281"/>
        <v>3479164.9713482694</v>
      </c>
      <c r="L685" s="164">
        <f t="shared" si="1281"/>
        <v>3546797.00625512</v>
      </c>
      <c r="M685" s="164">
        <f t="shared" si="1281"/>
        <v>0</v>
      </c>
      <c r="N685" s="164">
        <f t="shared" si="1281"/>
        <v>0</v>
      </c>
      <c r="O685" s="164">
        <f t="shared" si="1281"/>
        <v>0</v>
      </c>
      <c r="P685" s="164">
        <f t="shared" si="1281"/>
        <v>0</v>
      </c>
      <c r="Q685" s="164">
        <f t="shared" si="1281"/>
        <v>0</v>
      </c>
      <c r="R685" s="164">
        <f t="shared" si="1281"/>
        <v>0</v>
      </c>
      <c r="S685" s="164">
        <f t="shared" si="1281"/>
        <v>0</v>
      </c>
      <c r="T685" s="164">
        <f t="shared" si="1281"/>
        <v>0</v>
      </c>
      <c r="U685" s="164">
        <f t="shared" si="1281"/>
        <v>0</v>
      </c>
      <c r="V685" s="164">
        <f t="shared" si="1281"/>
        <v>0</v>
      </c>
      <c r="W685" s="164">
        <f t="shared" si="1281"/>
        <v>0</v>
      </c>
      <c r="X685" s="164">
        <f t="shared" si="1281"/>
        <v>0</v>
      </c>
      <c r="Y685" s="164">
        <f t="shared" si="1281"/>
        <v>0</v>
      </c>
      <c r="Z685" s="164">
        <f t="shared" si="1281"/>
        <v>0</v>
      </c>
      <c r="AA685" s="164">
        <f t="shared" si="1281"/>
        <v>0</v>
      </c>
      <c r="AB685" s="164">
        <f t="shared" si="1281"/>
        <v>0</v>
      </c>
      <c r="AC685" s="164">
        <f t="shared" si="1281"/>
        <v>0</v>
      </c>
      <c r="AD685" s="164">
        <f t="shared" si="1281"/>
        <v>0</v>
      </c>
      <c r="AE685" s="164">
        <f t="shared" si="1281"/>
        <v>0</v>
      </c>
      <c r="AF685" s="164">
        <f t="shared" si="1281"/>
        <v>0</v>
      </c>
      <c r="AG685" s="164">
        <f t="shared" si="1281"/>
        <v>0</v>
      </c>
      <c r="AH685" s="164">
        <f t="shared" si="1281"/>
        <v>0</v>
      </c>
      <c r="AI685" s="164">
        <f t="shared" si="1281"/>
        <v>0</v>
      </c>
      <c r="AJ685" s="164">
        <f t="shared" si="1281"/>
        <v>0</v>
      </c>
      <c r="AK685" s="164">
        <f t="shared" si="1281"/>
        <v>0</v>
      </c>
      <c r="AL685" s="164">
        <f t="shared" si="1281"/>
        <v>0</v>
      </c>
      <c r="AM685" s="164">
        <f t="shared" si="1281"/>
        <v>0</v>
      </c>
      <c r="AN685" s="164">
        <f t="shared" si="1281"/>
        <v>0</v>
      </c>
      <c r="AO685" s="164">
        <f t="shared" si="1281"/>
        <v>0</v>
      </c>
      <c r="AP685" s="164">
        <f t="shared" si="1281"/>
        <v>0</v>
      </c>
    </row>
    <row r="687" spans="1:42">
      <c r="A687" s="204" t="s">
        <v>109</v>
      </c>
    </row>
    <row r="688" spans="1:42">
      <c r="A688" s="37" t="s">
        <v>110</v>
      </c>
      <c r="B688" s="218">
        <f>SUM(C688:AP688)</f>
        <v>55659832.607544564</v>
      </c>
      <c r="C688" s="164">
        <f t="shared" ref="C688:AP688" si="1282">IF(C$2&lt;=LPFDebtTerm,C43,0)</f>
        <v>5130924.9360721735</v>
      </c>
      <c r="D688" s="164">
        <f t="shared" si="1282"/>
        <v>5224480.1535440227</v>
      </c>
      <c r="E688" s="164">
        <f t="shared" si="1282"/>
        <v>5319178.3042360479</v>
      </c>
      <c r="F688" s="164">
        <f t="shared" si="1282"/>
        <v>5415035.5329115689</v>
      </c>
      <c r="G688" s="164">
        <f t="shared" si="1282"/>
        <v>5512068.2044891519</v>
      </c>
      <c r="H688" s="164">
        <f t="shared" si="1282"/>
        <v>5610292.9068568042</v>
      </c>
      <c r="I688" s="164">
        <f t="shared" si="1282"/>
        <v>5709726.4537174851</v>
      </c>
      <c r="J688" s="164">
        <f t="shared" si="1282"/>
        <v>5810385.8874661699</v>
      </c>
      <c r="K688" s="164">
        <f t="shared" si="1282"/>
        <v>5912288.4820986763</v>
      </c>
      <c r="L688" s="164">
        <f t="shared" si="1282"/>
        <v>6015451.7461524587</v>
      </c>
      <c r="M688" s="164">
        <f t="shared" si="1282"/>
        <v>0</v>
      </c>
      <c r="N688" s="164">
        <f t="shared" si="1282"/>
        <v>0</v>
      </c>
      <c r="O688" s="164">
        <f t="shared" si="1282"/>
        <v>0</v>
      </c>
      <c r="P688" s="164">
        <f t="shared" si="1282"/>
        <v>0</v>
      </c>
      <c r="Q688" s="164">
        <f t="shared" si="1282"/>
        <v>0</v>
      </c>
      <c r="R688" s="164">
        <f t="shared" si="1282"/>
        <v>0</v>
      </c>
      <c r="S688" s="164">
        <f t="shared" si="1282"/>
        <v>0</v>
      </c>
      <c r="T688" s="164">
        <f t="shared" si="1282"/>
        <v>0</v>
      </c>
      <c r="U688" s="164">
        <f t="shared" si="1282"/>
        <v>0</v>
      </c>
      <c r="V688" s="164">
        <f t="shared" si="1282"/>
        <v>0</v>
      </c>
      <c r="W688" s="164">
        <f t="shared" si="1282"/>
        <v>0</v>
      </c>
      <c r="X688" s="164">
        <f t="shared" si="1282"/>
        <v>0</v>
      </c>
      <c r="Y688" s="164">
        <f t="shared" si="1282"/>
        <v>0</v>
      </c>
      <c r="Z688" s="164">
        <f t="shared" si="1282"/>
        <v>0</v>
      </c>
      <c r="AA688" s="164">
        <f t="shared" si="1282"/>
        <v>0</v>
      </c>
      <c r="AB688" s="164">
        <f t="shared" si="1282"/>
        <v>0</v>
      </c>
      <c r="AC688" s="164">
        <f t="shared" si="1282"/>
        <v>0</v>
      </c>
      <c r="AD688" s="164">
        <f t="shared" si="1282"/>
        <v>0</v>
      </c>
      <c r="AE688" s="164">
        <f t="shared" si="1282"/>
        <v>0</v>
      </c>
      <c r="AF688" s="164">
        <f t="shared" si="1282"/>
        <v>0</v>
      </c>
      <c r="AG688" s="164">
        <f t="shared" si="1282"/>
        <v>0</v>
      </c>
      <c r="AH688" s="164">
        <f t="shared" si="1282"/>
        <v>0</v>
      </c>
      <c r="AI688" s="164">
        <f t="shared" si="1282"/>
        <v>0</v>
      </c>
      <c r="AJ688" s="164">
        <f t="shared" si="1282"/>
        <v>0</v>
      </c>
      <c r="AK688" s="164">
        <f t="shared" si="1282"/>
        <v>0</v>
      </c>
      <c r="AL688" s="164">
        <f t="shared" si="1282"/>
        <v>0</v>
      </c>
      <c r="AM688" s="164">
        <f t="shared" si="1282"/>
        <v>0</v>
      </c>
      <c r="AN688" s="164">
        <f t="shared" si="1282"/>
        <v>0</v>
      </c>
      <c r="AO688" s="164">
        <f t="shared" si="1282"/>
        <v>0</v>
      </c>
      <c r="AP688" s="164">
        <f t="shared" si="1282"/>
        <v>0</v>
      </c>
    </row>
    <row r="689" spans="1:42">
      <c r="A689" s="37" t="s">
        <v>111</v>
      </c>
      <c r="B689" s="218">
        <f>SUM(C689:AP689)</f>
        <v>32491503.174679305</v>
      </c>
      <c r="C689" s="164">
        <f>C685</f>
        <v>2960395.2203660528</v>
      </c>
      <c r="D689" s="164">
        <f t="shared" ref="D689:AP689" si="1283">D685</f>
        <v>3022765.3653472853</v>
      </c>
      <c r="E689" s="164">
        <f t="shared" si="1283"/>
        <v>3085897.4658086356</v>
      </c>
      <c r="F689" s="164">
        <f t="shared" si="1283"/>
        <v>3148756.5292837746</v>
      </c>
      <c r="G689" s="164">
        <f t="shared" si="1283"/>
        <v>3213444.977002163</v>
      </c>
      <c r="H689" s="164">
        <f t="shared" si="1283"/>
        <v>3278928.1119139311</v>
      </c>
      <c r="I689" s="164">
        <f t="shared" si="1283"/>
        <v>3344123.6190941422</v>
      </c>
      <c r="J689" s="164">
        <f t="shared" si="1283"/>
        <v>3411229.908259932</v>
      </c>
      <c r="K689" s="164">
        <f t="shared" si="1283"/>
        <v>3479164.9713482694</v>
      </c>
      <c r="L689" s="164">
        <f t="shared" si="1283"/>
        <v>3546797.00625512</v>
      </c>
      <c r="M689" s="164">
        <f t="shared" si="1283"/>
        <v>0</v>
      </c>
      <c r="N689" s="164">
        <f t="shared" si="1283"/>
        <v>0</v>
      </c>
      <c r="O689" s="164">
        <f t="shared" si="1283"/>
        <v>0</v>
      </c>
      <c r="P689" s="164">
        <f t="shared" si="1283"/>
        <v>0</v>
      </c>
      <c r="Q689" s="164">
        <f t="shared" si="1283"/>
        <v>0</v>
      </c>
      <c r="R689" s="164">
        <f t="shared" si="1283"/>
        <v>0</v>
      </c>
      <c r="S689" s="164">
        <f t="shared" si="1283"/>
        <v>0</v>
      </c>
      <c r="T689" s="164">
        <f t="shared" si="1283"/>
        <v>0</v>
      </c>
      <c r="U689" s="164">
        <f t="shared" si="1283"/>
        <v>0</v>
      </c>
      <c r="V689" s="164">
        <f t="shared" si="1283"/>
        <v>0</v>
      </c>
      <c r="W689" s="164">
        <f t="shared" si="1283"/>
        <v>0</v>
      </c>
      <c r="X689" s="164">
        <f t="shared" si="1283"/>
        <v>0</v>
      </c>
      <c r="Y689" s="164">
        <f t="shared" si="1283"/>
        <v>0</v>
      </c>
      <c r="Z689" s="164">
        <f t="shared" si="1283"/>
        <v>0</v>
      </c>
      <c r="AA689" s="164">
        <f t="shared" si="1283"/>
        <v>0</v>
      </c>
      <c r="AB689" s="164">
        <f t="shared" si="1283"/>
        <v>0</v>
      </c>
      <c r="AC689" s="164">
        <f t="shared" si="1283"/>
        <v>0</v>
      </c>
      <c r="AD689" s="164">
        <f t="shared" si="1283"/>
        <v>0</v>
      </c>
      <c r="AE689" s="164">
        <f t="shared" si="1283"/>
        <v>0</v>
      </c>
      <c r="AF689" s="164">
        <f t="shared" si="1283"/>
        <v>0</v>
      </c>
      <c r="AG689" s="164">
        <f t="shared" si="1283"/>
        <v>0</v>
      </c>
      <c r="AH689" s="164">
        <f t="shared" si="1283"/>
        <v>0</v>
      </c>
      <c r="AI689" s="164">
        <f t="shared" si="1283"/>
        <v>0</v>
      </c>
      <c r="AJ689" s="164">
        <f t="shared" si="1283"/>
        <v>0</v>
      </c>
      <c r="AK689" s="164">
        <f t="shared" si="1283"/>
        <v>0</v>
      </c>
      <c r="AL689" s="164">
        <f t="shared" si="1283"/>
        <v>0</v>
      </c>
      <c r="AM689" s="164">
        <f t="shared" si="1283"/>
        <v>0</v>
      </c>
      <c r="AN689" s="164">
        <f t="shared" si="1283"/>
        <v>0</v>
      </c>
      <c r="AO689" s="164">
        <f t="shared" si="1283"/>
        <v>0</v>
      </c>
      <c r="AP689" s="164">
        <f t="shared" si="1283"/>
        <v>0</v>
      </c>
    </row>
    <row r="690" spans="1:42">
      <c r="A690" s="37" t="s">
        <v>109</v>
      </c>
      <c r="C690" s="279">
        <f t="shared" ref="C690:AP690" si="1284">IF(ISERROR(IF(C$2&lt;=LPFDebtTerm,C688/C689,"")),0,IF(C$2&lt;=LPFDebtTerm,C688/C689,""))</f>
        <v>1.7331891704100693</v>
      </c>
      <c r="D690" s="279">
        <f t="shared" si="1284"/>
        <v>1.7283776681567815</v>
      </c>
      <c r="E690" s="279">
        <f t="shared" si="1284"/>
        <v>1.723705457868218</v>
      </c>
      <c r="F690" s="279">
        <f t="shared" si="1284"/>
        <v>1.7197377703074708</v>
      </c>
      <c r="G690" s="279">
        <f t="shared" si="1284"/>
        <v>1.7153143258831787</v>
      </c>
      <c r="H690" s="279">
        <f t="shared" si="1284"/>
        <v>1.711014305703104</v>
      </c>
      <c r="I690" s="279">
        <f t="shared" si="1284"/>
        <v>1.7073909651893007</v>
      </c>
      <c r="J690" s="279">
        <f t="shared" si="1284"/>
        <v>1.7033111351999277</v>
      </c>
      <c r="K690" s="279">
        <f t="shared" si="1284"/>
        <v>1.6993412300904795</v>
      </c>
      <c r="L690" s="279">
        <f t="shared" si="1284"/>
        <v>1.6960236899782049</v>
      </c>
      <c r="M690" s="279" t="str">
        <f t="shared" si="1284"/>
        <v/>
      </c>
      <c r="N690" s="279" t="str">
        <f t="shared" si="1284"/>
        <v/>
      </c>
      <c r="O690" s="279" t="str">
        <f t="shared" si="1284"/>
        <v/>
      </c>
      <c r="P690" s="279" t="str">
        <f t="shared" si="1284"/>
        <v/>
      </c>
      <c r="Q690" s="279" t="str">
        <f t="shared" si="1284"/>
        <v/>
      </c>
      <c r="R690" s="279" t="str">
        <f t="shared" si="1284"/>
        <v/>
      </c>
      <c r="S690" s="279" t="str">
        <f t="shared" si="1284"/>
        <v/>
      </c>
      <c r="T690" s="279" t="str">
        <f t="shared" si="1284"/>
        <v/>
      </c>
      <c r="U690" s="279" t="str">
        <f t="shared" si="1284"/>
        <v/>
      </c>
      <c r="V690" s="279" t="str">
        <f t="shared" si="1284"/>
        <v/>
      </c>
      <c r="W690" s="279" t="str">
        <f t="shared" si="1284"/>
        <v/>
      </c>
      <c r="X690" s="279" t="str">
        <f t="shared" si="1284"/>
        <v/>
      </c>
      <c r="Y690" s="279" t="str">
        <f t="shared" si="1284"/>
        <v/>
      </c>
      <c r="Z690" s="279" t="str">
        <f t="shared" si="1284"/>
        <v/>
      </c>
      <c r="AA690" s="279" t="str">
        <f t="shared" si="1284"/>
        <v/>
      </c>
      <c r="AB690" s="279" t="str">
        <f t="shared" si="1284"/>
        <v/>
      </c>
      <c r="AC690" s="279" t="str">
        <f t="shared" si="1284"/>
        <v/>
      </c>
      <c r="AD690" s="279" t="str">
        <f t="shared" si="1284"/>
        <v/>
      </c>
      <c r="AE690" s="279" t="str">
        <f t="shared" si="1284"/>
        <v/>
      </c>
      <c r="AF690" s="279" t="str">
        <f t="shared" si="1284"/>
        <v/>
      </c>
      <c r="AG690" s="279" t="str">
        <f t="shared" si="1284"/>
        <v/>
      </c>
      <c r="AH690" s="279" t="str">
        <f t="shared" si="1284"/>
        <v/>
      </c>
      <c r="AI690" s="279" t="str">
        <f t="shared" si="1284"/>
        <v/>
      </c>
      <c r="AJ690" s="279" t="str">
        <f t="shared" si="1284"/>
        <v/>
      </c>
      <c r="AK690" s="279" t="str">
        <f t="shared" si="1284"/>
        <v/>
      </c>
      <c r="AL690" s="279" t="str">
        <f t="shared" si="1284"/>
        <v/>
      </c>
      <c r="AM690" s="279" t="str">
        <f t="shared" si="1284"/>
        <v/>
      </c>
      <c r="AN690" s="279" t="str">
        <f t="shared" si="1284"/>
        <v/>
      </c>
      <c r="AO690" s="279" t="str">
        <f t="shared" si="1284"/>
        <v/>
      </c>
      <c r="AP690" s="279" t="str">
        <f t="shared" si="1284"/>
        <v/>
      </c>
    </row>
    <row r="691" spans="1:42">
      <c r="A691" s="37" t="s">
        <v>112</v>
      </c>
      <c r="B691" s="221">
        <f>IF(ISERROR(B688/B689),0,B688/B689)</f>
        <v>1.7130580973218987</v>
      </c>
    </row>
    <row r="692" spans="1:42">
      <c r="A692" s="37" t="s">
        <v>113</v>
      </c>
      <c r="B692" s="221">
        <f>MIN(C690:AP690)</f>
        <v>1.6960236899782049</v>
      </c>
    </row>
    <row r="694" spans="1:42">
      <c r="A694" s="201" t="s">
        <v>201</v>
      </c>
      <c r="B694" s="164"/>
      <c r="C694" s="164"/>
      <c r="D694" s="164"/>
      <c r="E694" s="164"/>
      <c r="F694" s="164"/>
      <c r="G694" s="208"/>
      <c r="H694" s="208"/>
      <c r="I694" s="208"/>
      <c r="J694" s="208"/>
      <c r="K694" s="208"/>
      <c r="L694" s="208"/>
      <c r="M694" s="208"/>
      <c r="N694" s="208"/>
      <c r="O694" s="208"/>
      <c r="P694" s="208"/>
      <c r="Q694" s="208"/>
      <c r="R694" s="208"/>
      <c r="S694" s="208"/>
      <c r="T694" s="208"/>
      <c r="U694" s="208"/>
      <c r="V694" s="208"/>
      <c r="W694" s="208"/>
      <c r="X694" s="208"/>
      <c r="Y694" s="208"/>
      <c r="Z694" s="208"/>
      <c r="AA694" s="208"/>
      <c r="AB694" s="208"/>
      <c r="AC694" s="208"/>
      <c r="AD694" s="208"/>
      <c r="AE694" s="208"/>
      <c r="AF694" s="208"/>
      <c r="AG694" s="208"/>
      <c r="AH694" s="208"/>
      <c r="AI694" s="208"/>
      <c r="AJ694" s="208"/>
      <c r="AK694" s="208"/>
      <c r="AL694" s="208"/>
      <c r="AM694" s="208"/>
      <c r="AN694" s="208"/>
      <c r="AO694" s="208"/>
      <c r="AP694" s="208"/>
    </row>
    <row r="695" spans="1:42">
      <c r="A695" s="204" t="s">
        <v>85</v>
      </c>
      <c r="C695" s="164"/>
      <c r="D695" s="164"/>
      <c r="E695" s="164"/>
      <c r="F695" s="164"/>
      <c r="G695" s="164"/>
      <c r="H695" s="164"/>
      <c r="I695" s="164"/>
      <c r="J695" s="164"/>
      <c r="K695" s="164"/>
      <c r="L695" s="164"/>
      <c r="M695" s="164"/>
      <c r="N695" s="164"/>
      <c r="O695" s="164"/>
      <c r="P695" s="164"/>
      <c r="Q695" s="164"/>
      <c r="R695" s="164"/>
      <c r="S695" s="164"/>
      <c r="T695" s="164"/>
      <c r="U695" s="164"/>
      <c r="V695" s="164"/>
      <c r="W695" s="164"/>
      <c r="X695" s="164"/>
      <c r="Y695" s="164"/>
      <c r="Z695" s="164"/>
      <c r="AA695" s="164"/>
      <c r="AB695" s="164"/>
      <c r="AC695" s="164"/>
      <c r="AD695" s="164"/>
      <c r="AE695" s="164"/>
      <c r="AF695" s="164"/>
      <c r="AG695" s="164"/>
      <c r="AH695" s="164"/>
      <c r="AI695" s="164"/>
      <c r="AJ695" s="164"/>
      <c r="AK695" s="164"/>
      <c r="AL695" s="164"/>
      <c r="AM695" s="164"/>
      <c r="AN695" s="164"/>
      <c r="AO695" s="164"/>
      <c r="AP695" s="164"/>
    </row>
    <row r="696" spans="1:42">
      <c r="A696" s="37" t="s">
        <v>100</v>
      </c>
      <c r="B696" s="164">
        <v>0</v>
      </c>
      <c r="C696" s="164">
        <f>B699</f>
        <v>1480197.6101830264</v>
      </c>
      <c r="D696" s="164">
        <f t="shared" ref="D696:AP696" si="1285">C699</f>
        <v>1511382.6826736426</v>
      </c>
      <c r="E696" s="164">
        <f t="shared" si="1285"/>
        <v>1542948.7329043178</v>
      </c>
      <c r="F696" s="164">
        <f t="shared" si="1285"/>
        <v>1574378.2646418873</v>
      </c>
      <c r="G696" s="164">
        <f t="shared" si="1285"/>
        <v>1606722.4885010815</v>
      </c>
      <c r="H696" s="164">
        <f t="shared" si="1285"/>
        <v>1639464.0559569655</v>
      </c>
      <c r="I696" s="164">
        <f t="shared" si="1285"/>
        <v>1672061.8095470711</v>
      </c>
      <c r="J696" s="164">
        <f t="shared" si="1285"/>
        <v>1705614.954129966</v>
      </c>
      <c r="K696" s="164">
        <f t="shared" si="1285"/>
        <v>1739582.4856741347</v>
      </c>
      <c r="L696" s="164">
        <f t="shared" si="1285"/>
        <v>1773398.50312756</v>
      </c>
      <c r="M696" s="164">
        <f t="shared" si="1285"/>
        <v>0</v>
      </c>
      <c r="N696" s="164">
        <f t="shared" si="1285"/>
        <v>0</v>
      </c>
      <c r="O696" s="164">
        <f t="shared" si="1285"/>
        <v>0</v>
      </c>
      <c r="P696" s="164">
        <f t="shared" si="1285"/>
        <v>0</v>
      </c>
      <c r="Q696" s="164">
        <f t="shared" si="1285"/>
        <v>0</v>
      </c>
      <c r="R696" s="164">
        <f t="shared" si="1285"/>
        <v>0</v>
      </c>
      <c r="S696" s="164">
        <f t="shared" si="1285"/>
        <v>0</v>
      </c>
      <c r="T696" s="164">
        <f t="shared" si="1285"/>
        <v>0</v>
      </c>
      <c r="U696" s="164">
        <f t="shared" si="1285"/>
        <v>0</v>
      </c>
      <c r="V696" s="164">
        <f t="shared" si="1285"/>
        <v>0</v>
      </c>
      <c r="W696" s="164">
        <f t="shared" si="1285"/>
        <v>0</v>
      </c>
      <c r="X696" s="164">
        <f t="shared" si="1285"/>
        <v>0</v>
      </c>
      <c r="Y696" s="164">
        <f t="shared" si="1285"/>
        <v>0</v>
      </c>
      <c r="Z696" s="164">
        <f t="shared" si="1285"/>
        <v>0</v>
      </c>
      <c r="AA696" s="164">
        <f t="shared" si="1285"/>
        <v>0</v>
      </c>
      <c r="AB696" s="164">
        <f t="shared" si="1285"/>
        <v>0</v>
      </c>
      <c r="AC696" s="164">
        <f t="shared" si="1285"/>
        <v>0</v>
      </c>
      <c r="AD696" s="164">
        <f t="shared" si="1285"/>
        <v>0</v>
      </c>
      <c r="AE696" s="164">
        <f t="shared" si="1285"/>
        <v>0</v>
      </c>
      <c r="AF696" s="164">
        <f t="shared" si="1285"/>
        <v>0</v>
      </c>
      <c r="AG696" s="164">
        <f t="shared" si="1285"/>
        <v>0</v>
      </c>
      <c r="AH696" s="164">
        <f t="shared" si="1285"/>
        <v>0</v>
      </c>
      <c r="AI696" s="164">
        <f t="shared" si="1285"/>
        <v>0</v>
      </c>
      <c r="AJ696" s="164">
        <f t="shared" si="1285"/>
        <v>0</v>
      </c>
      <c r="AK696" s="164">
        <f t="shared" si="1285"/>
        <v>0</v>
      </c>
      <c r="AL696" s="164">
        <f t="shared" si="1285"/>
        <v>0</v>
      </c>
      <c r="AM696" s="164">
        <f t="shared" si="1285"/>
        <v>0</v>
      </c>
      <c r="AN696" s="164">
        <f t="shared" si="1285"/>
        <v>0</v>
      </c>
      <c r="AO696" s="164">
        <f t="shared" si="1285"/>
        <v>0</v>
      </c>
      <c r="AP696" s="164">
        <f t="shared" si="1285"/>
        <v>0</v>
      </c>
    </row>
    <row r="697" spans="1:42">
      <c r="A697" s="37" t="s">
        <v>101</v>
      </c>
      <c r="B697" s="164">
        <f t="shared" ref="B697:AP697" si="1286">IF(B2&lt;MIN(LPFDebtTerm,AnalysisPeriod),B699-B696,0)</f>
        <v>1480197.6101830264</v>
      </c>
      <c r="C697" s="164">
        <f t="shared" si="1286"/>
        <v>31185.072490616236</v>
      </c>
      <c r="D697" s="164">
        <f t="shared" si="1286"/>
        <v>31566.050230675144</v>
      </c>
      <c r="E697" s="164">
        <f t="shared" si="1286"/>
        <v>31429.531737569487</v>
      </c>
      <c r="F697" s="164">
        <f t="shared" si="1286"/>
        <v>32344.2238591942</v>
      </c>
      <c r="G697" s="164">
        <f t="shared" si="1286"/>
        <v>32741.567455884069</v>
      </c>
      <c r="H697" s="164">
        <f t="shared" si="1286"/>
        <v>32597.753590105567</v>
      </c>
      <c r="I697" s="164">
        <f t="shared" si="1286"/>
        <v>33553.144582894864</v>
      </c>
      <c r="J697" s="164">
        <f t="shared" si="1286"/>
        <v>33967.531544168713</v>
      </c>
      <c r="K697" s="164">
        <f t="shared" si="1286"/>
        <v>33816.017453425331</v>
      </c>
      <c r="L697" s="164">
        <f t="shared" si="1286"/>
        <v>0</v>
      </c>
      <c r="M697" s="164">
        <f t="shared" si="1286"/>
        <v>0</v>
      </c>
      <c r="N697" s="164">
        <f t="shared" si="1286"/>
        <v>0</v>
      </c>
      <c r="O697" s="164">
        <f t="shared" si="1286"/>
        <v>0</v>
      </c>
      <c r="P697" s="164">
        <f t="shared" si="1286"/>
        <v>0</v>
      </c>
      <c r="Q697" s="164">
        <f t="shared" si="1286"/>
        <v>0</v>
      </c>
      <c r="R697" s="164">
        <f t="shared" si="1286"/>
        <v>0</v>
      </c>
      <c r="S697" s="164">
        <f t="shared" si="1286"/>
        <v>0</v>
      </c>
      <c r="T697" s="164">
        <f t="shared" si="1286"/>
        <v>0</v>
      </c>
      <c r="U697" s="164">
        <f t="shared" si="1286"/>
        <v>0</v>
      </c>
      <c r="V697" s="164">
        <f t="shared" si="1286"/>
        <v>0</v>
      </c>
      <c r="W697" s="164">
        <f t="shared" si="1286"/>
        <v>0</v>
      </c>
      <c r="X697" s="164">
        <f t="shared" si="1286"/>
        <v>0</v>
      </c>
      <c r="Y697" s="164">
        <f t="shared" si="1286"/>
        <v>0</v>
      </c>
      <c r="Z697" s="164">
        <f t="shared" si="1286"/>
        <v>0</v>
      </c>
      <c r="AA697" s="164">
        <f t="shared" si="1286"/>
        <v>0</v>
      </c>
      <c r="AB697" s="164">
        <f t="shared" si="1286"/>
        <v>0</v>
      </c>
      <c r="AC697" s="164">
        <f t="shared" si="1286"/>
        <v>0</v>
      </c>
      <c r="AD697" s="164">
        <f t="shared" si="1286"/>
        <v>0</v>
      </c>
      <c r="AE697" s="164">
        <f t="shared" si="1286"/>
        <v>0</v>
      </c>
      <c r="AF697" s="164">
        <f t="shared" si="1286"/>
        <v>0</v>
      </c>
      <c r="AG697" s="164">
        <f t="shared" si="1286"/>
        <v>0</v>
      </c>
      <c r="AH697" s="164">
        <f t="shared" si="1286"/>
        <v>0</v>
      </c>
      <c r="AI697" s="164">
        <f t="shared" si="1286"/>
        <v>0</v>
      </c>
      <c r="AJ697" s="164">
        <f t="shared" si="1286"/>
        <v>0</v>
      </c>
      <c r="AK697" s="164">
        <f t="shared" si="1286"/>
        <v>0</v>
      </c>
      <c r="AL697" s="164">
        <f t="shared" si="1286"/>
        <v>0</v>
      </c>
      <c r="AM697" s="164">
        <f t="shared" si="1286"/>
        <v>0</v>
      </c>
      <c r="AN697" s="164">
        <f t="shared" si="1286"/>
        <v>0</v>
      </c>
      <c r="AO697" s="164">
        <f t="shared" si="1286"/>
        <v>0</v>
      </c>
      <c r="AP697" s="164">
        <f t="shared" si="1286"/>
        <v>0</v>
      </c>
    </row>
    <row r="698" spans="1:42">
      <c r="A698" s="37" t="s">
        <v>107</v>
      </c>
      <c r="B698" s="209">
        <v>0</v>
      </c>
      <c r="C698" s="209">
        <f t="shared" ref="C698:AP698" si="1287">IF(C$2=LPFDebtTerm,-C696,0)</f>
        <v>0</v>
      </c>
      <c r="D698" s="209">
        <f t="shared" si="1287"/>
        <v>0</v>
      </c>
      <c r="E698" s="209">
        <f t="shared" si="1287"/>
        <v>0</v>
      </c>
      <c r="F698" s="209">
        <f t="shared" si="1287"/>
        <v>0</v>
      </c>
      <c r="G698" s="209">
        <f t="shared" si="1287"/>
        <v>0</v>
      </c>
      <c r="H698" s="209">
        <f t="shared" si="1287"/>
        <v>0</v>
      </c>
      <c r="I698" s="209">
        <f t="shared" si="1287"/>
        <v>0</v>
      </c>
      <c r="J698" s="209">
        <f t="shared" si="1287"/>
        <v>0</v>
      </c>
      <c r="K698" s="209">
        <f t="shared" si="1287"/>
        <v>0</v>
      </c>
      <c r="L698" s="209">
        <f t="shared" si="1287"/>
        <v>-1773398.50312756</v>
      </c>
      <c r="M698" s="209">
        <f t="shared" si="1287"/>
        <v>0</v>
      </c>
      <c r="N698" s="209">
        <f t="shared" si="1287"/>
        <v>0</v>
      </c>
      <c r="O698" s="209">
        <f t="shared" si="1287"/>
        <v>0</v>
      </c>
      <c r="P698" s="209">
        <f t="shared" si="1287"/>
        <v>0</v>
      </c>
      <c r="Q698" s="209">
        <f t="shared" si="1287"/>
        <v>0</v>
      </c>
      <c r="R698" s="209">
        <f t="shared" si="1287"/>
        <v>0</v>
      </c>
      <c r="S698" s="209">
        <f t="shared" si="1287"/>
        <v>0</v>
      </c>
      <c r="T698" s="209">
        <f t="shared" si="1287"/>
        <v>0</v>
      </c>
      <c r="U698" s="209">
        <f t="shared" si="1287"/>
        <v>0</v>
      </c>
      <c r="V698" s="209">
        <f t="shared" si="1287"/>
        <v>0</v>
      </c>
      <c r="W698" s="209">
        <f t="shared" si="1287"/>
        <v>0</v>
      </c>
      <c r="X698" s="209">
        <f t="shared" si="1287"/>
        <v>0</v>
      </c>
      <c r="Y698" s="209">
        <f t="shared" si="1287"/>
        <v>0</v>
      </c>
      <c r="Z698" s="209">
        <f t="shared" si="1287"/>
        <v>0</v>
      </c>
      <c r="AA698" s="209">
        <f t="shared" si="1287"/>
        <v>0</v>
      </c>
      <c r="AB698" s="209">
        <f t="shared" si="1287"/>
        <v>0</v>
      </c>
      <c r="AC698" s="209">
        <f t="shared" si="1287"/>
        <v>0</v>
      </c>
      <c r="AD698" s="209">
        <f t="shared" si="1287"/>
        <v>0</v>
      </c>
      <c r="AE698" s="209">
        <f t="shared" si="1287"/>
        <v>0</v>
      </c>
      <c r="AF698" s="209">
        <f t="shared" si="1287"/>
        <v>0</v>
      </c>
      <c r="AG698" s="209">
        <f t="shared" si="1287"/>
        <v>0</v>
      </c>
      <c r="AH698" s="209">
        <f t="shared" si="1287"/>
        <v>0</v>
      </c>
      <c r="AI698" s="209">
        <f t="shared" si="1287"/>
        <v>0</v>
      </c>
      <c r="AJ698" s="209">
        <f t="shared" si="1287"/>
        <v>0</v>
      </c>
      <c r="AK698" s="209">
        <f t="shared" si="1287"/>
        <v>0</v>
      </c>
      <c r="AL698" s="209">
        <f t="shared" si="1287"/>
        <v>0</v>
      </c>
      <c r="AM698" s="209">
        <f t="shared" si="1287"/>
        <v>0</v>
      </c>
      <c r="AN698" s="209">
        <f t="shared" si="1287"/>
        <v>0</v>
      </c>
      <c r="AO698" s="209">
        <f t="shared" si="1287"/>
        <v>0</v>
      </c>
      <c r="AP698" s="209">
        <f t="shared" si="1287"/>
        <v>0</v>
      </c>
    </row>
    <row r="699" spans="1:42">
      <c r="A699" s="37" t="s">
        <v>103</v>
      </c>
      <c r="B699" s="164">
        <f t="shared" ref="B699:AP699" si="1288">IF(B2&lt;=MIN(LPFDebtTerm,AnalysisPeriod),(LPFDSRASize/12)*C685,0)</f>
        <v>1480197.6101830264</v>
      </c>
      <c r="C699" s="164">
        <f t="shared" si="1288"/>
        <v>1511382.6826736426</v>
      </c>
      <c r="D699" s="164">
        <f t="shared" si="1288"/>
        <v>1542948.7329043178</v>
      </c>
      <c r="E699" s="164">
        <f t="shared" si="1288"/>
        <v>1574378.2646418873</v>
      </c>
      <c r="F699" s="164">
        <f t="shared" si="1288"/>
        <v>1606722.4885010815</v>
      </c>
      <c r="G699" s="164">
        <f t="shared" si="1288"/>
        <v>1639464.0559569655</v>
      </c>
      <c r="H699" s="164">
        <f t="shared" si="1288"/>
        <v>1672061.8095470711</v>
      </c>
      <c r="I699" s="164">
        <f t="shared" si="1288"/>
        <v>1705614.954129966</v>
      </c>
      <c r="J699" s="164">
        <f t="shared" si="1288"/>
        <v>1739582.4856741347</v>
      </c>
      <c r="K699" s="164">
        <f t="shared" si="1288"/>
        <v>1773398.50312756</v>
      </c>
      <c r="L699" s="164">
        <f t="shared" si="1288"/>
        <v>0</v>
      </c>
      <c r="M699" s="164">
        <f t="shared" si="1288"/>
        <v>0</v>
      </c>
      <c r="N699" s="164">
        <f t="shared" si="1288"/>
        <v>0</v>
      </c>
      <c r="O699" s="164">
        <f t="shared" si="1288"/>
        <v>0</v>
      </c>
      <c r="P699" s="164">
        <f t="shared" si="1288"/>
        <v>0</v>
      </c>
      <c r="Q699" s="164">
        <f t="shared" si="1288"/>
        <v>0</v>
      </c>
      <c r="R699" s="164">
        <f t="shared" si="1288"/>
        <v>0</v>
      </c>
      <c r="S699" s="164">
        <f t="shared" si="1288"/>
        <v>0</v>
      </c>
      <c r="T699" s="164">
        <f t="shared" si="1288"/>
        <v>0</v>
      </c>
      <c r="U699" s="164">
        <f t="shared" si="1288"/>
        <v>0</v>
      </c>
      <c r="V699" s="164">
        <f t="shared" si="1288"/>
        <v>0</v>
      </c>
      <c r="W699" s="164">
        <f t="shared" si="1288"/>
        <v>0</v>
      </c>
      <c r="X699" s="164">
        <f t="shared" si="1288"/>
        <v>0</v>
      </c>
      <c r="Y699" s="164">
        <f t="shared" si="1288"/>
        <v>0</v>
      </c>
      <c r="Z699" s="164">
        <f t="shared" si="1288"/>
        <v>0</v>
      </c>
      <c r="AA699" s="164">
        <f t="shared" si="1288"/>
        <v>0</v>
      </c>
      <c r="AB699" s="164">
        <f t="shared" si="1288"/>
        <v>0</v>
      </c>
      <c r="AC699" s="164">
        <f t="shared" si="1288"/>
        <v>0</v>
      </c>
      <c r="AD699" s="164">
        <f t="shared" si="1288"/>
        <v>0</v>
      </c>
      <c r="AE699" s="164">
        <f t="shared" si="1288"/>
        <v>0</v>
      </c>
      <c r="AF699" s="164">
        <f t="shared" si="1288"/>
        <v>0</v>
      </c>
      <c r="AG699" s="164">
        <f t="shared" si="1288"/>
        <v>0</v>
      </c>
      <c r="AH699" s="164">
        <f t="shared" si="1288"/>
        <v>0</v>
      </c>
      <c r="AI699" s="164">
        <f t="shared" si="1288"/>
        <v>0</v>
      </c>
      <c r="AJ699" s="164">
        <f t="shared" si="1288"/>
        <v>0</v>
      </c>
      <c r="AK699" s="164">
        <f t="shared" si="1288"/>
        <v>0</v>
      </c>
      <c r="AL699" s="164">
        <f t="shared" si="1288"/>
        <v>0</v>
      </c>
      <c r="AM699" s="164">
        <f t="shared" si="1288"/>
        <v>0</v>
      </c>
      <c r="AN699" s="164">
        <f t="shared" si="1288"/>
        <v>0</v>
      </c>
      <c r="AO699" s="164">
        <f t="shared" si="1288"/>
        <v>0</v>
      </c>
      <c r="AP699" s="164">
        <f t="shared" si="1288"/>
        <v>0</v>
      </c>
    </row>
    <row r="700" spans="1:42">
      <c r="B700" s="164"/>
      <c r="C700" s="164"/>
      <c r="D700" s="164"/>
      <c r="E700" s="164"/>
      <c r="F700" s="164"/>
      <c r="G700" s="208"/>
      <c r="H700" s="208"/>
      <c r="I700" s="208"/>
      <c r="J700" s="208"/>
      <c r="K700" s="208"/>
      <c r="L700" s="208"/>
      <c r="M700" s="208"/>
      <c r="N700" s="208"/>
      <c r="O700" s="208"/>
      <c r="P700" s="208"/>
      <c r="Q700" s="208"/>
      <c r="R700" s="208"/>
      <c r="S700" s="208"/>
      <c r="T700" s="208"/>
      <c r="U700" s="208"/>
      <c r="V700" s="208"/>
      <c r="W700" s="208"/>
      <c r="X700" s="208"/>
      <c r="Y700" s="208"/>
      <c r="Z700" s="208"/>
      <c r="AA700" s="208"/>
      <c r="AB700" s="208"/>
      <c r="AC700" s="208"/>
      <c r="AD700" s="208"/>
      <c r="AE700" s="208"/>
      <c r="AF700" s="208"/>
      <c r="AG700" s="208"/>
      <c r="AH700" s="208"/>
      <c r="AI700" s="208"/>
      <c r="AJ700" s="208"/>
      <c r="AK700" s="208"/>
      <c r="AL700" s="208"/>
      <c r="AM700" s="208"/>
      <c r="AN700" s="208"/>
      <c r="AO700" s="208"/>
      <c r="AP700" s="208"/>
    </row>
    <row r="701" spans="1:42">
      <c r="A701" s="204" t="str">
        <f>'Inputs &amp; Results'!A147</f>
        <v>O&amp;M/Working Capital Reserve</v>
      </c>
      <c r="C701" s="164"/>
      <c r="D701" s="164"/>
      <c r="E701" s="164"/>
      <c r="F701" s="164"/>
      <c r="G701" s="164"/>
      <c r="H701" s="164"/>
      <c r="I701" s="164"/>
      <c r="J701" s="164"/>
      <c r="K701" s="164"/>
      <c r="L701" s="164"/>
      <c r="M701" s="164"/>
      <c r="N701" s="164"/>
      <c r="O701" s="164"/>
      <c r="P701" s="164"/>
      <c r="Q701" s="164"/>
      <c r="R701" s="164"/>
      <c r="S701" s="164"/>
      <c r="T701" s="164"/>
      <c r="U701" s="164"/>
      <c r="V701" s="164"/>
      <c r="W701" s="164"/>
      <c r="X701" s="164"/>
      <c r="Y701" s="164"/>
      <c r="Z701" s="164"/>
      <c r="AA701" s="164"/>
      <c r="AB701" s="164"/>
      <c r="AC701" s="164"/>
      <c r="AD701" s="164"/>
      <c r="AE701" s="164"/>
      <c r="AF701" s="164"/>
      <c r="AG701" s="164"/>
      <c r="AH701" s="164"/>
      <c r="AI701" s="164"/>
      <c r="AJ701" s="164"/>
      <c r="AK701" s="164"/>
      <c r="AL701" s="164"/>
      <c r="AM701" s="164"/>
      <c r="AN701" s="164"/>
      <c r="AO701" s="164"/>
      <c r="AP701" s="164"/>
    </row>
    <row r="702" spans="1:42">
      <c r="A702" s="37" t="s">
        <v>100</v>
      </c>
      <c r="B702" s="164">
        <v>0</v>
      </c>
      <c r="C702" s="164">
        <f>B705</f>
        <v>150000</v>
      </c>
      <c r="D702" s="164">
        <f t="shared" ref="D702" si="1289">C705</f>
        <v>150000</v>
      </c>
      <c r="E702" s="164">
        <f t="shared" ref="E702" si="1290">D705</f>
        <v>150000</v>
      </c>
      <c r="F702" s="164">
        <f t="shared" ref="F702" si="1291">E705</f>
        <v>150000</v>
      </c>
      <c r="G702" s="164">
        <f t="shared" ref="G702" si="1292">F705</f>
        <v>150000</v>
      </c>
      <c r="H702" s="164">
        <f t="shared" ref="H702" si="1293">G705</f>
        <v>150000</v>
      </c>
      <c r="I702" s="164">
        <f t="shared" ref="I702" si="1294">H705</f>
        <v>150000</v>
      </c>
      <c r="J702" s="164">
        <f t="shared" ref="J702" si="1295">I705</f>
        <v>150000</v>
      </c>
      <c r="K702" s="164">
        <f t="shared" ref="K702" si="1296">J705</f>
        <v>150000</v>
      </c>
      <c r="L702" s="164">
        <f t="shared" ref="L702" si="1297">K705</f>
        <v>150000</v>
      </c>
      <c r="M702" s="164">
        <f t="shared" ref="M702" si="1298">L705</f>
        <v>150000</v>
      </c>
      <c r="N702" s="164">
        <f t="shared" ref="N702" si="1299">M705</f>
        <v>150000</v>
      </c>
      <c r="O702" s="164">
        <f t="shared" ref="O702" si="1300">N705</f>
        <v>150000</v>
      </c>
      <c r="P702" s="164">
        <f t="shared" ref="P702" si="1301">O705</f>
        <v>150000</v>
      </c>
      <c r="Q702" s="164">
        <f t="shared" ref="Q702" si="1302">P705</f>
        <v>150000</v>
      </c>
      <c r="R702" s="164">
        <f t="shared" ref="R702" si="1303">Q705</f>
        <v>150000</v>
      </c>
      <c r="S702" s="164">
        <f t="shared" ref="S702" si="1304">R705</f>
        <v>150000</v>
      </c>
      <c r="T702" s="164">
        <f t="shared" ref="T702" si="1305">S705</f>
        <v>150000</v>
      </c>
      <c r="U702" s="164">
        <f t="shared" ref="U702" si="1306">T705</f>
        <v>150000</v>
      </c>
      <c r="V702" s="164">
        <f t="shared" ref="V702" si="1307">U705</f>
        <v>150000</v>
      </c>
      <c r="W702" s="164">
        <f t="shared" ref="W702" si="1308">V705</f>
        <v>150000</v>
      </c>
      <c r="X702" s="164">
        <f t="shared" ref="X702" si="1309">W705</f>
        <v>150000</v>
      </c>
      <c r="Y702" s="164">
        <f t="shared" ref="Y702" si="1310">X705</f>
        <v>150000</v>
      </c>
      <c r="Z702" s="164">
        <f t="shared" ref="Z702" si="1311">Y705</f>
        <v>150000</v>
      </c>
      <c r="AA702" s="164">
        <f t="shared" ref="AA702" si="1312">Z705</f>
        <v>150000</v>
      </c>
      <c r="AB702" s="164">
        <f t="shared" ref="AB702" si="1313">AA705</f>
        <v>150000</v>
      </c>
      <c r="AC702" s="164">
        <f t="shared" ref="AC702" si="1314">AB705</f>
        <v>150000</v>
      </c>
      <c r="AD702" s="164">
        <f t="shared" ref="AD702" si="1315">AC705</f>
        <v>150000</v>
      </c>
      <c r="AE702" s="164">
        <f t="shared" ref="AE702" si="1316">AD705</f>
        <v>150000</v>
      </c>
      <c r="AF702" s="164">
        <f t="shared" ref="AF702" si="1317">AE705</f>
        <v>150000</v>
      </c>
      <c r="AG702" s="164">
        <f t="shared" ref="AG702" si="1318">AF705</f>
        <v>0</v>
      </c>
      <c r="AH702" s="164">
        <f t="shared" ref="AH702" si="1319">AG705</f>
        <v>0</v>
      </c>
      <c r="AI702" s="164">
        <f t="shared" ref="AI702" si="1320">AH705</f>
        <v>0</v>
      </c>
      <c r="AJ702" s="164">
        <f t="shared" ref="AJ702" si="1321">AI705</f>
        <v>0</v>
      </c>
      <c r="AK702" s="164">
        <f t="shared" ref="AK702" si="1322">AJ705</f>
        <v>0</v>
      </c>
      <c r="AL702" s="164">
        <f t="shared" ref="AL702" si="1323">AK705</f>
        <v>0</v>
      </c>
      <c r="AM702" s="164">
        <f t="shared" ref="AM702" si="1324">AL705</f>
        <v>0</v>
      </c>
      <c r="AN702" s="164">
        <f t="shared" ref="AN702" si="1325">AM705</f>
        <v>0</v>
      </c>
      <c r="AO702" s="164">
        <f t="shared" ref="AO702" si="1326">AN705</f>
        <v>0</v>
      </c>
      <c r="AP702" s="164">
        <f t="shared" ref="AP702" si="1327">AO705</f>
        <v>0</v>
      </c>
    </row>
    <row r="703" spans="1:42">
      <c r="A703" s="37" t="s">
        <v>101</v>
      </c>
      <c r="B703" s="164">
        <f>'Inputs &amp; Results'!$C$147</f>
        <v>150000</v>
      </c>
      <c r="C703" s="164"/>
      <c r="D703" s="164"/>
      <c r="E703" s="164"/>
      <c r="F703" s="164"/>
      <c r="G703" s="164"/>
      <c r="H703" s="164"/>
      <c r="I703" s="164"/>
      <c r="J703" s="164"/>
      <c r="K703" s="164"/>
      <c r="L703" s="164"/>
      <c r="M703" s="164"/>
      <c r="N703" s="164"/>
      <c r="O703" s="164"/>
      <c r="P703" s="164"/>
      <c r="Q703" s="164"/>
      <c r="R703" s="164"/>
      <c r="S703" s="164"/>
      <c r="T703" s="164"/>
      <c r="U703" s="164"/>
      <c r="V703" s="164"/>
      <c r="W703" s="164"/>
      <c r="X703" s="164"/>
      <c r="Y703" s="164"/>
      <c r="Z703" s="164"/>
      <c r="AA703" s="164"/>
      <c r="AB703" s="164"/>
      <c r="AC703" s="164"/>
      <c r="AD703" s="164"/>
      <c r="AE703" s="164"/>
      <c r="AF703" s="164"/>
      <c r="AG703" s="164"/>
      <c r="AH703" s="164"/>
      <c r="AI703" s="164"/>
      <c r="AJ703" s="164"/>
      <c r="AK703" s="164"/>
      <c r="AL703" s="164"/>
      <c r="AM703" s="164"/>
      <c r="AN703" s="164"/>
      <c r="AO703" s="164"/>
      <c r="AP703" s="164"/>
    </row>
    <row r="704" spans="1:42">
      <c r="A704" s="37" t="s">
        <v>107</v>
      </c>
      <c r="B704" s="209">
        <v>0</v>
      </c>
      <c r="C704" s="209">
        <f t="shared" ref="C704:AP704" si="1328">IF(C$2=AnalysisPeriod,-C702,0)</f>
        <v>0</v>
      </c>
      <c r="D704" s="209">
        <f t="shared" si="1328"/>
        <v>0</v>
      </c>
      <c r="E704" s="209">
        <f t="shared" si="1328"/>
        <v>0</v>
      </c>
      <c r="F704" s="209">
        <f t="shared" si="1328"/>
        <v>0</v>
      </c>
      <c r="G704" s="209">
        <f t="shared" si="1328"/>
        <v>0</v>
      </c>
      <c r="H704" s="209">
        <f t="shared" si="1328"/>
        <v>0</v>
      </c>
      <c r="I704" s="209">
        <f t="shared" si="1328"/>
        <v>0</v>
      </c>
      <c r="J704" s="209">
        <f t="shared" si="1328"/>
        <v>0</v>
      </c>
      <c r="K704" s="209">
        <f t="shared" si="1328"/>
        <v>0</v>
      </c>
      <c r="L704" s="209">
        <f t="shared" si="1328"/>
        <v>0</v>
      </c>
      <c r="M704" s="209">
        <f t="shared" si="1328"/>
        <v>0</v>
      </c>
      <c r="N704" s="209">
        <f t="shared" si="1328"/>
        <v>0</v>
      </c>
      <c r="O704" s="209">
        <f t="shared" si="1328"/>
        <v>0</v>
      </c>
      <c r="P704" s="209">
        <f t="shared" si="1328"/>
        <v>0</v>
      </c>
      <c r="Q704" s="209">
        <f t="shared" si="1328"/>
        <v>0</v>
      </c>
      <c r="R704" s="209">
        <f t="shared" si="1328"/>
        <v>0</v>
      </c>
      <c r="S704" s="209">
        <f t="shared" si="1328"/>
        <v>0</v>
      </c>
      <c r="T704" s="209">
        <f t="shared" si="1328"/>
        <v>0</v>
      </c>
      <c r="U704" s="209">
        <f t="shared" si="1328"/>
        <v>0</v>
      </c>
      <c r="V704" s="209">
        <f t="shared" si="1328"/>
        <v>0</v>
      </c>
      <c r="W704" s="209">
        <f t="shared" si="1328"/>
        <v>0</v>
      </c>
      <c r="X704" s="209">
        <f t="shared" si="1328"/>
        <v>0</v>
      </c>
      <c r="Y704" s="209">
        <f t="shared" si="1328"/>
        <v>0</v>
      </c>
      <c r="Z704" s="209">
        <f t="shared" si="1328"/>
        <v>0</v>
      </c>
      <c r="AA704" s="209">
        <f t="shared" si="1328"/>
        <v>0</v>
      </c>
      <c r="AB704" s="209">
        <f t="shared" si="1328"/>
        <v>0</v>
      </c>
      <c r="AC704" s="209">
        <f t="shared" si="1328"/>
        <v>0</v>
      </c>
      <c r="AD704" s="209">
        <f t="shared" si="1328"/>
        <v>0</v>
      </c>
      <c r="AE704" s="209">
        <f t="shared" si="1328"/>
        <v>0</v>
      </c>
      <c r="AF704" s="209">
        <f t="shared" si="1328"/>
        <v>-150000</v>
      </c>
      <c r="AG704" s="209">
        <f t="shared" si="1328"/>
        <v>0</v>
      </c>
      <c r="AH704" s="209">
        <f t="shared" si="1328"/>
        <v>0</v>
      </c>
      <c r="AI704" s="209">
        <f t="shared" si="1328"/>
        <v>0</v>
      </c>
      <c r="AJ704" s="209">
        <f t="shared" si="1328"/>
        <v>0</v>
      </c>
      <c r="AK704" s="209">
        <f t="shared" si="1328"/>
        <v>0</v>
      </c>
      <c r="AL704" s="209">
        <f t="shared" si="1328"/>
        <v>0</v>
      </c>
      <c r="AM704" s="209">
        <f t="shared" si="1328"/>
        <v>0</v>
      </c>
      <c r="AN704" s="209">
        <f t="shared" si="1328"/>
        <v>0</v>
      </c>
      <c r="AO704" s="209">
        <f t="shared" si="1328"/>
        <v>0</v>
      </c>
      <c r="AP704" s="209">
        <f t="shared" si="1328"/>
        <v>0</v>
      </c>
    </row>
    <row r="705" spans="1:42">
      <c r="A705" s="37" t="s">
        <v>103</v>
      </c>
      <c r="B705" s="164">
        <f>SUM(B702:B704)</f>
        <v>150000</v>
      </c>
      <c r="C705" s="164">
        <f>SUM(C702:C704)</f>
        <v>150000</v>
      </c>
      <c r="D705" s="164">
        <f t="shared" ref="D705:AP705" si="1329">SUM(D702:D704)</f>
        <v>150000</v>
      </c>
      <c r="E705" s="164">
        <f t="shared" si="1329"/>
        <v>150000</v>
      </c>
      <c r="F705" s="164">
        <f t="shared" si="1329"/>
        <v>150000</v>
      </c>
      <c r="G705" s="164">
        <f t="shared" si="1329"/>
        <v>150000</v>
      </c>
      <c r="H705" s="164">
        <f t="shared" si="1329"/>
        <v>150000</v>
      </c>
      <c r="I705" s="164">
        <f t="shared" si="1329"/>
        <v>150000</v>
      </c>
      <c r="J705" s="164">
        <f t="shared" si="1329"/>
        <v>150000</v>
      </c>
      <c r="K705" s="164">
        <f t="shared" si="1329"/>
        <v>150000</v>
      </c>
      <c r="L705" s="164">
        <f t="shared" si="1329"/>
        <v>150000</v>
      </c>
      <c r="M705" s="164">
        <f t="shared" si="1329"/>
        <v>150000</v>
      </c>
      <c r="N705" s="164">
        <f t="shared" si="1329"/>
        <v>150000</v>
      </c>
      <c r="O705" s="164">
        <f t="shared" si="1329"/>
        <v>150000</v>
      </c>
      <c r="P705" s="164">
        <f t="shared" si="1329"/>
        <v>150000</v>
      </c>
      <c r="Q705" s="164">
        <f t="shared" si="1329"/>
        <v>150000</v>
      </c>
      <c r="R705" s="164">
        <f t="shared" si="1329"/>
        <v>150000</v>
      </c>
      <c r="S705" s="164">
        <f t="shared" si="1329"/>
        <v>150000</v>
      </c>
      <c r="T705" s="164">
        <f t="shared" si="1329"/>
        <v>150000</v>
      </c>
      <c r="U705" s="164">
        <f t="shared" si="1329"/>
        <v>150000</v>
      </c>
      <c r="V705" s="164">
        <f t="shared" si="1329"/>
        <v>150000</v>
      </c>
      <c r="W705" s="164">
        <f t="shared" si="1329"/>
        <v>150000</v>
      </c>
      <c r="X705" s="164">
        <f t="shared" si="1329"/>
        <v>150000</v>
      </c>
      <c r="Y705" s="164">
        <f t="shared" si="1329"/>
        <v>150000</v>
      </c>
      <c r="Z705" s="164">
        <f t="shared" si="1329"/>
        <v>150000</v>
      </c>
      <c r="AA705" s="164">
        <f t="shared" si="1329"/>
        <v>150000</v>
      </c>
      <c r="AB705" s="164">
        <f t="shared" si="1329"/>
        <v>150000</v>
      </c>
      <c r="AC705" s="164">
        <f t="shared" si="1329"/>
        <v>150000</v>
      </c>
      <c r="AD705" s="164">
        <f t="shared" si="1329"/>
        <v>150000</v>
      </c>
      <c r="AE705" s="164">
        <f t="shared" si="1329"/>
        <v>150000</v>
      </c>
      <c r="AF705" s="164">
        <f t="shared" si="1329"/>
        <v>0</v>
      </c>
      <c r="AG705" s="164">
        <f t="shared" si="1329"/>
        <v>0</v>
      </c>
      <c r="AH705" s="164">
        <f t="shared" si="1329"/>
        <v>0</v>
      </c>
      <c r="AI705" s="164">
        <f t="shared" si="1329"/>
        <v>0</v>
      </c>
      <c r="AJ705" s="164">
        <f t="shared" si="1329"/>
        <v>0</v>
      </c>
      <c r="AK705" s="164">
        <f t="shared" si="1329"/>
        <v>0</v>
      </c>
      <c r="AL705" s="164">
        <f t="shared" si="1329"/>
        <v>0</v>
      </c>
      <c r="AM705" s="164">
        <f t="shared" si="1329"/>
        <v>0</v>
      </c>
      <c r="AN705" s="164">
        <f t="shared" si="1329"/>
        <v>0</v>
      </c>
      <c r="AO705" s="164">
        <f t="shared" si="1329"/>
        <v>0</v>
      </c>
      <c r="AP705" s="164">
        <f t="shared" si="1329"/>
        <v>0</v>
      </c>
    </row>
    <row r="706" spans="1:42">
      <c r="B706" s="164"/>
      <c r="C706" s="164"/>
      <c r="D706" s="164"/>
      <c r="E706" s="164"/>
      <c r="F706" s="164"/>
      <c r="G706" s="208"/>
      <c r="H706" s="208"/>
      <c r="I706" s="208"/>
      <c r="J706" s="208"/>
      <c r="K706" s="208"/>
      <c r="L706" s="208"/>
      <c r="M706" s="208"/>
      <c r="N706" s="208"/>
      <c r="O706" s="208"/>
      <c r="P706" s="208"/>
      <c r="Q706" s="208"/>
      <c r="R706" s="208"/>
      <c r="S706" s="208"/>
      <c r="T706" s="208"/>
      <c r="U706" s="208"/>
      <c r="V706" s="208"/>
      <c r="W706" s="208"/>
      <c r="X706" s="208"/>
      <c r="Y706" s="208"/>
      <c r="Z706" s="208"/>
      <c r="AA706" s="208"/>
      <c r="AB706" s="208"/>
      <c r="AC706" s="208"/>
      <c r="AD706" s="208"/>
      <c r="AE706" s="208"/>
      <c r="AF706" s="208"/>
      <c r="AG706" s="208"/>
      <c r="AH706" s="208"/>
      <c r="AI706" s="208"/>
      <c r="AJ706" s="208"/>
      <c r="AK706" s="208"/>
      <c r="AL706" s="208"/>
      <c r="AM706" s="208"/>
      <c r="AN706" s="208"/>
      <c r="AO706" s="208"/>
      <c r="AP706" s="208"/>
    </row>
    <row r="707" spans="1:42">
      <c r="A707" s="204" t="s">
        <v>375</v>
      </c>
      <c r="C707" s="164"/>
      <c r="D707" s="164"/>
      <c r="E707" s="164"/>
      <c r="F707" s="164"/>
      <c r="G707" s="164"/>
      <c r="H707" s="164"/>
      <c r="I707" s="164"/>
      <c r="J707" s="164"/>
      <c r="K707" s="164"/>
      <c r="L707" s="164"/>
      <c r="M707" s="164"/>
      <c r="N707" s="164"/>
      <c r="O707" s="164"/>
      <c r="P707" s="164"/>
      <c r="Q707" s="164"/>
      <c r="R707" s="164"/>
      <c r="S707" s="164"/>
      <c r="T707" s="164"/>
      <c r="U707" s="164"/>
      <c r="V707" s="164"/>
      <c r="W707" s="164"/>
      <c r="X707" s="164"/>
      <c r="Y707" s="164"/>
      <c r="Z707" s="164"/>
      <c r="AA707" s="164"/>
      <c r="AB707" s="164"/>
      <c r="AC707" s="164"/>
      <c r="AD707" s="164"/>
      <c r="AE707" s="164"/>
      <c r="AF707" s="164"/>
      <c r="AG707" s="164"/>
      <c r="AH707" s="164"/>
      <c r="AI707" s="164"/>
      <c r="AJ707" s="164"/>
      <c r="AK707" s="164"/>
      <c r="AL707" s="164"/>
      <c r="AM707" s="164"/>
      <c r="AN707" s="164"/>
      <c r="AO707" s="164"/>
      <c r="AP707" s="164"/>
    </row>
    <row r="708" spans="1:42">
      <c r="A708" s="37" t="s">
        <v>100</v>
      </c>
      <c r="B708" s="164">
        <v>0</v>
      </c>
      <c r="C708" s="164">
        <f>B711</f>
        <v>0</v>
      </c>
      <c r="D708" s="164">
        <f t="shared" ref="D708" si="1330">C711</f>
        <v>245406.02862510949</v>
      </c>
      <c r="E708" s="164">
        <f t="shared" ref="E708" si="1331">D711</f>
        <v>490812.05725021899</v>
      </c>
      <c r="F708" s="164">
        <f t="shared" ref="F708" si="1332">E711</f>
        <v>736218.08587532851</v>
      </c>
      <c r="G708" s="164">
        <f t="shared" ref="G708" si="1333">F711</f>
        <v>981624.11450043798</v>
      </c>
      <c r="H708" s="164">
        <f t="shared" ref="H708" si="1334">G711</f>
        <v>1227030.1431255476</v>
      </c>
      <c r="I708" s="164">
        <f t="shared" ref="I708" si="1335">H711</f>
        <v>1472436.171750657</v>
      </c>
      <c r="J708" s="164">
        <f t="shared" ref="J708" si="1336">I711</f>
        <v>1717842.2003757665</v>
      </c>
      <c r="K708" s="164">
        <f t="shared" ref="K708" si="1337">J711</f>
        <v>1963248.229000876</v>
      </c>
      <c r="L708" s="164">
        <f t="shared" ref="L708" si="1338">K711</f>
        <v>2208654.2576259854</v>
      </c>
      <c r="M708" s="164">
        <f t="shared" ref="M708" si="1339">L711</f>
        <v>2454060.2862510951</v>
      </c>
      <c r="N708" s="164">
        <f t="shared" ref="N708" si="1340">M711</f>
        <v>2699466.3148762048</v>
      </c>
      <c r="O708" s="164">
        <f t="shared" ref="O708" si="1341">N711</f>
        <v>0</v>
      </c>
      <c r="P708" s="164">
        <f t="shared" ref="P708" si="1342">O711</f>
        <v>293411.90721039008</v>
      </c>
      <c r="Q708" s="164">
        <f t="shared" ref="Q708" si="1343">P711</f>
        <v>586823.81442078017</v>
      </c>
      <c r="R708" s="164">
        <f t="shared" ref="R708" si="1344">Q711</f>
        <v>880235.72163117025</v>
      </c>
      <c r="S708" s="164">
        <f t="shared" ref="S708" si="1345">R711</f>
        <v>1173647.6288415603</v>
      </c>
      <c r="T708" s="164">
        <f t="shared" ref="T708" si="1346">S711</f>
        <v>1467059.5360519504</v>
      </c>
      <c r="U708" s="164">
        <f t="shared" ref="U708" si="1347">T711</f>
        <v>1760471.4432623405</v>
      </c>
      <c r="V708" s="164">
        <f t="shared" ref="V708" si="1348">U711</f>
        <v>2053883.3504727306</v>
      </c>
      <c r="W708" s="164">
        <f t="shared" ref="W708" si="1349">V711</f>
        <v>2347295.2576831207</v>
      </c>
      <c r="X708" s="164">
        <f t="shared" ref="X708" si="1350">W711</f>
        <v>2640707.1648935108</v>
      </c>
      <c r="Y708" s="164">
        <f t="shared" ref="Y708" si="1351">X711</f>
        <v>2934119.0721039008</v>
      </c>
      <c r="Z708" s="164">
        <f t="shared" ref="Z708" si="1352">Y711</f>
        <v>3227530.9793142909</v>
      </c>
      <c r="AA708" s="164">
        <f t="shared" ref="AA708" si="1353">Z711</f>
        <v>0</v>
      </c>
      <c r="AB708" s="164">
        <f t="shared" ref="AB708" si="1354">AA711</f>
        <v>0</v>
      </c>
      <c r="AC708" s="164">
        <f t="shared" ref="AC708" si="1355">AB711</f>
        <v>0</v>
      </c>
      <c r="AD708" s="164">
        <f t="shared" ref="AD708" si="1356">AC711</f>
        <v>0</v>
      </c>
      <c r="AE708" s="164">
        <f t="shared" ref="AE708" si="1357">AD711</f>
        <v>0</v>
      </c>
      <c r="AF708" s="164">
        <f t="shared" ref="AF708" si="1358">AE711</f>
        <v>0</v>
      </c>
      <c r="AG708" s="164">
        <f t="shared" ref="AG708" si="1359">AF711</f>
        <v>0</v>
      </c>
      <c r="AH708" s="164">
        <f t="shared" ref="AH708" si="1360">AG711</f>
        <v>0</v>
      </c>
      <c r="AI708" s="164">
        <f t="shared" ref="AI708" si="1361">AH711</f>
        <v>0</v>
      </c>
      <c r="AJ708" s="164">
        <f t="shared" ref="AJ708" si="1362">AI711</f>
        <v>0</v>
      </c>
      <c r="AK708" s="164">
        <f t="shared" ref="AK708" si="1363">AJ711</f>
        <v>0</v>
      </c>
      <c r="AL708" s="164">
        <f t="shared" ref="AL708" si="1364">AK711</f>
        <v>0</v>
      </c>
      <c r="AM708" s="164">
        <f t="shared" ref="AM708" si="1365">AL711</f>
        <v>0</v>
      </c>
      <c r="AN708" s="164">
        <f t="shared" ref="AN708" si="1366">AM711</f>
        <v>0</v>
      </c>
      <c r="AO708" s="164">
        <f t="shared" ref="AO708" si="1367">AN711</f>
        <v>0</v>
      </c>
      <c r="AP708" s="164">
        <f t="shared" ref="AP708" si="1368">AO711</f>
        <v>0</v>
      </c>
    </row>
    <row r="709" spans="1:42">
      <c r="A709" s="37" t="s">
        <v>208</v>
      </c>
      <c r="B709" s="164">
        <v>0</v>
      </c>
      <c r="C709" s="164">
        <f>C737</f>
        <v>245406.02862510949</v>
      </c>
      <c r="D709" s="164">
        <f t="shared" ref="D709:K709" si="1369">D737</f>
        <v>245406.02862510949</v>
      </c>
      <c r="E709" s="164">
        <f t="shared" si="1369"/>
        <v>245406.02862510949</v>
      </c>
      <c r="F709" s="164">
        <f t="shared" si="1369"/>
        <v>245406.02862510949</v>
      </c>
      <c r="G709" s="164">
        <f t="shared" si="1369"/>
        <v>245406.02862510949</v>
      </c>
      <c r="H709" s="164">
        <f t="shared" si="1369"/>
        <v>245406.02862510949</v>
      </c>
      <c r="I709" s="164">
        <f t="shared" si="1369"/>
        <v>245406.02862510949</v>
      </c>
      <c r="J709" s="164">
        <f t="shared" si="1369"/>
        <v>245406.02862510949</v>
      </c>
      <c r="K709" s="164">
        <f t="shared" si="1369"/>
        <v>245406.02862510949</v>
      </c>
      <c r="L709" s="164">
        <f t="shared" ref="L709:AP709" si="1370">L737</f>
        <v>245406.02862510949</v>
      </c>
      <c r="M709" s="164">
        <f t="shared" si="1370"/>
        <v>245406.02862510949</v>
      </c>
      <c r="N709" s="164">
        <f t="shared" si="1370"/>
        <v>245406.02862510949</v>
      </c>
      <c r="O709" s="164">
        <f t="shared" si="1370"/>
        <v>293411.90721039008</v>
      </c>
      <c r="P709" s="164">
        <f t="shared" si="1370"/>
        <v>293411.90721039008</v>
      </c>
      <c r="Q709" s="164">
        <f t="shared" si="1370"/>
        <v>293411.90721039008</v>
      </c>
      <c r="R709" s="164">
        <f t="shared" si="1370"/>
        <v>293411.90721039008</v>
      </c>
      <c r="S709" s="164">
        <f t="shared" si="1370"/>
        <v>293411.90721039008</v>
      </c>
      <c r="T709" s="164">
        <f t="shared" si="1370"/>
        <v>293411.90721039008</v>
      </c>
      <c r="U709" s="164">
        <f t="shared" si="1370"/>
        <v>293411.90721039008</v>
      </c>
      <c r="V709" s="164">
        <f t="shared" si="1370"/>
        <v>293411.90721039008</v>
      </c>
      <c r="W709" s="164">
        <f t="shared" si="1370"/>
        <v>293411.90721039008</v>
      </c>
      <c r="X709" s="164">
        <f t="shared" si="1370"/>
        <v>293411.90721039008</v>
      </c>
      <c r="Y709" s="164">
        <f t="shared" si="1370"/>
        <v>293411.90721039008</v>
      </c>
      <c r="Z709" s="164">
        <f t="shared" si="1370"/>
        <v>293411.90721039008</v>
      </c>
      <c r="AA709" s="164">
        <f t="shared" si="1370"/>
        <v>0</v>
      </c>
      <c r="AB709" s="164">
        <f t="shared" si="1370"/>
        <v>0</v>
      </c>
      <c r="AC709" s="164">
        <f t="shared" si="1370"/>
        <v>0</v>
      </c>
      <c r="AD709" s="164">
        <f t="shared" si="1370"/>
        <v>0</v>
      </c>
      <c r="AE709" s="164">
        <f t="shared" si="1370"/>
        <v>0</v>
      </c>
      <c r="AF709" s="164">
        <f t="shared" si="1370"/>
        <v>0</v>
      </c>
      <c r="AG709" s="164">
        <f t="shared" si="1370"/>
        <v>0</v>
      </c>
      <c r="AH709" s="164">
        <f t="shared" si="1370"/>
        <v>0</v>
      </c>
      <c r="AI709" s="164">
        <f t="shared" si="1370"/>
        <v>0</v>
      </c>
      <c r="AJ709" s="164">
        <f t="shared" si="1370"/>
        <v>0</v>
      </c>
      <c r="AK709" s="164">
        <f t="shared" si="1370"/>
        <v>0</v>
      </c>
      <c r="AL709" s="164">
        <f t="shared" si="1370"/>
        <v>0</v>
      </c>
      <c r="AM709" s="164">
        <f t="shared" si="1370"/>
        <v>0</v>
      </c>
      <c r="AN709" s="164">
        <f t="shared" si="1370"/>
        <v>0</v>
      </c>
      <c r="AO709" s="164">
        <f t="shared" si="1370"/>
        <v>0</v>
      </c>
      <c r="AP709" s="164">
        <f t="shared" si="1370"/>
        <v>0</v>
      </c>
    </row>
    <row r="710" spans="1:42">
      <c r="A710" s="37" t="s">
        <v>107</v>
      </c>
      <c r="B710" s="209">
        <v>0</v>
      </c>
      <c r="C710" s="209">
        <f>-C725</f>
        <v>0</v>
      </c>
      <c r="D710" s="209">
        <f t="shared" ref="D710:K710" si="1371">-D725</f>
        <v>0</v>
      </c>
      <c r="E710" s="209">
        <f t="shared" si="1371"/>
        <v>0</v>
      </c>
      <c r="F710" s="209">
        <f t="shared" si="1371"/>
        <v>0</v>
      </c>
      <c r="G710" s="209">
        <f t="shared" si="1371"/>
        <v>0</v>
      </c>
      <c r="H710" s="209">
        <f t="shared" si="1371"/>
        <v>0</v>
      </c>
      <c r="I710" s="209">
        <f t="shared" si="1371"/>
        <v>0</v>
      </c>
      <c r="J710" s="209">
        <f t="shared" si="1371"/>
        <v>0</v>
      </c>
      <c r="K710" s="209">
        <f t="shared" si="1371"/>
        <v>0</v>
      </c>
      <c r="L710" s="209">
        <f t="shared" ref="L710:AP710" si="1372">-L725</f>
        <v>0</v>
      </c>
      <c r="M710" s="209">
        <f t="shared" si="1372"/>
        <v>0</v>
      </c>
      <c r="N710" s="209">
        <f t="shared" si="1372"/>
        <v>-2944872.3435013141</v>
      </c>
      <c r="O710" s="209">
        <f t="shared" si="1372"/>
        <v>0</v>
      </c>
      <c r="P710" s="209">
        <f t="shared" si="1372"/>
        <v>0</v>
      </c>
      <c r="Q710" s="209">
        <f t="shared" si="1372"/>
        <v>0</v>
      </c>
      <c r="R710" s="209">
        <f t="shared" si="1372"/>
        <v>0</v>
      </c>
      <c r="S710" s="209">
        <f t="shared" si="1372"/>
        <v>0</v>
      </c>
      <c r="T710" s="209">
        <f t="shared" si="1372"/>
        <v>0</v>
      </c>
      <c r="U710" s="209">
        <f t="shared" si="1372"/>
        <v>0</v>
      </c>
      <c r="V710" s="209">
        <f t="shared" si="1372"/>
        <v>0</v>
      </c>
      <c r="W710" s="209">
        <f t="shared" si="1372"/>
        <v>0</v>
      </c>
      <c r="X710" s="209">
        <f t="shared" si="1372"/>
        <v>0</v>
      </c>
      <c r="Y710" s="209">
        <f t="shared" si="1372"/>
        <v>0</v>
      </c>
      <c r="Z710" s="209">
        <f t="shared" si="1372"/>
        <v>-3520942.886524681</v>
      </c>
      <c r="AA710" s="209">
        <f t="shared" si="1372"/>
        <v>0</v>
      </c>
      <c r="AB710" s="209">
        <f t="shared" si="1372"/>
        <v>0</v>
      </c>
      <c r="AC710" s="209">
        <f t="shared" si="1372"/>
        <v>0</v>
      </c>
      <c r="AD710" s="209">
        <f t="shared" si="1372"/>
        <v>0</v>
      </c>
      <c r="AE710" s="209">
        <f t="shared" si="1372"/>
        <v>0</v>
      </c>
      <c r="AF710" s="209">
        <f t="shared" si="1372"/>
        <v>0</v>
      </c>
      <c r="AG710" s="209">
        <f t="shared" si="1372"/>
        <v>0</v>
      </c>
      <c r="AH710" s="209">
        <f t="shared" si="1372"/>
        <v>0</v>
      </c>
      <c r="AI710" s="209">
        <f t="shared" si="1372"/>
        <v>0</v>
      </c>
      <c r="AJ710" s="209">
        <f t="shared" si="1372"/>
        <v>0</v>
      </c>
      <c r="AK710" s="209">
        <f t="shared" si="1372"/>
        <v>0</v>
      </c>
      <c r="AL710" s="209">
        <f t="shared" si="1372"/>
        <v>0</v>
      </c>
      <c r="AM710" s="209">
        <f t="shared" si="1372"/>
        <v>0</v>
      </c>
      <c r="AN710" s="209">
        <f t="shared" si="1372"/>
        <v>0</v>
      </c>
      <c r="AO710" s="209">
        <f t="shared" si="1372"/>
        <v>0</v>
      </c>
      <c r="AP710" s="209">
        <f t="shared" si="1372"/>
        <v>0</v>
      </c>
    </row>
    <row r="711" spans="1:42">
      <c r="A711" s="37" t="s">
        <v>103</v>
      </c>
      <c r="B711" s="164">
        <f>SUM(B708:B710)</f>
        <v>0</v>
      </c>
      <c r="C711" s="164">
        <f>SUM(C708:C710)</f>
        <v>245406.02862510949</v>
      </c>
      <c r="D711" s="164">
        <f t="shared" ref="D711:AP711" si="1373">SUM(D708:D710)</f>
        <v>490812.05725021899</v>
      </c>
      <c r="E711" s="164">
        <f t="shared" si="1373"/>
        <v>736218.08587532851</v>
      </c>
      <c r="F711" s="164">
        <f t="shared" si="1373"/>
        <v>981624.11450043798</v>
      </c>
      <c r="G711" s="164">
        <f t="shared" si="1373"/>
        <v>1227030.1431255476</v>
      </c>
      <c r="H711" s="164">
        <f t="shared" si="1373"/>
        <v>1472436.171750657</v>
      </c>
      <c r="I711" s="164">
        <f t="shared" si="1373"/>
        <v>1717842.2003757665</v>
      </c>
      <c r="J711" s="164">
        <f t="shared" si="1373"/>
        <v>1963248.229000876</v>
      </c>
      <c r="K711" s="164">
        <f t="shared" si="1373"/>
        <v>2208654.2576259854</v>
      </c>
      <c r="L711" s="164">
        <f t="shared" si="1373"/>
        <v>2454060.2862510951</v>
      </c>
      <c r="M711" s="164">
        <f t="shared" si="1373"/>
        <v>2699466.3148762048</v>
      </c>
      <c r="N711" s="164">
        <f t="shared" si="1373"/>
        <v>0</v>
      </c>
      <c r="O711" s="164">
        <f t="shared" si="1373"/>
        <v>293411.90721039008</v>
      </c>
      <c r="P711" s="164">
        <f t="shared" si="1373"/>
        <v>586823.81442078017</v>
      </c>
      <c r="Q711" s="164">
        <f t="shared" si="1373"/>
        <v>880235.72163117025</v>
      </c>
      <c r="R711" s="164">
        <f t="shared" si="1373"/>
        <v>1173647.6288415603</v>
      </c>
      <c r="S711" s="164">
        <f t="shared" si="1373"/>
        <v>1467059.5360519504</v>
      </c>
      <c r="T711" s="164">
        <f t="shared" si="1373"/>
        <v>1760471.4432623405</v>
      </c>
      <c r="U711" s="164">
        <f t="shared" si="1373"/>
        <v>2053883.3504727306</v>
      </c>
      <c r="V711" s="164">
        <f t="shared" si="1373"/>
        <v>2347295.2576831207</v>
      </c>
      <c r="W711" s="164">
        <f t="shared" si="1373"/>
        <v>2640707.1648935108</v>
      </c>
      <c r="X711" s="164">
        <f t="shared" si="1373"/>
        <v>2934119.0721039008</v>
      </c>
      <c r="Y711" s="164">
        <f t="shared" si="1373"/>
        <v>3227530.9793142909</v>
      </c>
      <c r="Z711" s="164">
        <f t="shared" si="1373"/>
        <v>0</v>
      </c>
      <c r="AA711" s="164">
        <f t="shared" si="1373"/>
        <v>0</v>
      </c>
      <c r="AB711" s="164">
        <f t="shared" si="1373"/>
        <v>0</v>
      </c>
      <c r="AC711" s="164">
        <f t="shared" si="1373"/>
        <v>0</v>
      </c>
      <c r="AD711" s="164">
        <f t="shared" si="1373"/>
        <v>0</v>
      </c>
      <c r="AE711" s="164">
        <f t="shared" si="1373"/>
        <v>0</v>
      </c>
      <c r="AF711" s="164">
        <f t="shared" si="1373"/>
        <v>0</v>
      </c>
      <c r="AG711" s="164">
        <f t="shared" si="1373"/>
        <v>0</v>
      </c>
      <c r="AH711" s="164">
        <f t="shared" si="1373"/>
        <v>0</v>
      </c>
      <c r="AI711" s="164">
        <f t="shared" si="1373"/>
        <v>0</v>
      </c>
      <c r="AJ711" s="164">
        <f t="shared" si="1373"/>
        <v>0</v>
      </c>
      <c r="AK711" s="164">
        <f t="shared" si="1373"/>
        <v>0</v>
      </c>
      <c r="AL711" s="164">
        <f t="shared" si="1373"/>
        <v>0</v>
      </c>
      <c r="AM711" s="164">
        <f t="shared" si="1373"/>
        <v>0</v>
      </c>
      <c r="AN711" s="164">
        <f t="shared" si="1373"/>
        <v>0</v>
      </c>
      <c r="AO711" s="164">
        <f t="shared" si="1373"/>
        <v>0</v>
      </c>
      <c r="AP711" s="164">
        <f t="shared" si="1373"/>
        <v>0</v>
      </c>
    </row>
    <row r="712" spans="1:42">
      <c r="B712" s="164"/>
      <c r="C712" s="164"/>
      <c r="D712" s="164"/>
      <c r="E712" s="164"/>
      <c r="F712" s="164"/>
      <c r="G712" s="208"/>
      <c r="H712" s="208"/>
      <c r="I712" s="208"/>
      <c r="J712" s="208"/>
      <c r="K712" s="208"/>
      <c r="L712" s="208"/>
      <c r="M712" s="208"/>
      <c r="N712" s="208"/>
      <c r="O712" s="208"/>
      <c r="P712" s="208"/>
      <c r="Q712" s="208"/>
      <c r="R712" s="208"/>
      <c r="S712" s="208"/>
      <c r="T712" s="208"/>
      <c r="U712" s="208"/>
      <c r="V712" s="208"/>
      <c r="W712" s="208"/>
      <c r="X712" s="208"/>
      <c r="Y712" s="208"/>
      <c r="Z712" s="208"/>
      <c r="AA712" s="208"/>
      <c r="AB712" s="208"/>
      <c r="AC712" s="208"/>
      <c r="AD712" s="208"/>
      <c r="AE712" s="208"/>
      <c r="AF712" s="208"/>
      <c r="AG712" s="208"/>
      <c r="AH712" s="208"/>
      <c r="AI712" s="208"/>
      <c r="AJ712" s="208"/>
      <c r="AK712" s="208"/>
      <c r="AL712" s="208"/>
      <c r="AM712" s="208"/>
      <c r="AN712" s="208"/>
      <c r="AO712" s="208"/>
      <c r="AP712" s="208"/>
    </row>
    <row r="713" spans="1:42">
      <c r="A713" s="37" t="s">
        <v>206</v>
      </c>
      <c r="B713" s="164"/>
      <c r="C713" s="164"/>
      <c r="D713" s="164"/>
      <c r="E713" s="164"/>
      <c r="F713" s="164"/>
      <c r="G713" s="208"/>
      <c r="H713" s="208"/>
      <c r="I713" s="208"/>
      <c r="J713" s="208"/>
      <c r="K713" s="208"/>
      <c r="L713" s="208"/>
      <c r="M713" s="208"/>
      <c r="N713" s="208"/>
      <c r="O713" s="208"/>
      <c r="P713" s="208"/>
      <c r="Q713" s="208"/>
      <c r="R713" s="208"/>
      <c r="S713" s="208"/>
      <c r="T713" s="208"/>
      <c r="U713" s="208"/>
      <c r="V713" s="208"/>
      <c r="W713" s="208"/>
      <c r="X713" s="208"/>
      <c r="Y713" s="208"/>
      <c r="Z713" s="208"/>
      <c r="AA713" s="208"/>
      <c r="AB713" s="208"/>
      <c r="AC713" s="208"/>
      <c r="AD713" s="208"/>
      <c r="AE713" s="208"/>
      <c r="AF713" s="208"/>
      <c r="AG713" s="208"/>
      <c r="AH713" s="208"/>
      <c r="AI713" s="208"/>
      <c r="AJ713" s="208"/>
      <c r="AK713" s="208"/>
      <c r="AL713" s="208"/>
      <c r="AM713" s="208"/>
      <c r="AN713" s="208"/>
      <c r="AO713" s="208"/>
      <c r="AP713" s="208"/>
    </row>
    <row r="714" spans="1:42">
      <c r="A714" s="37" t="s">
        <v>207</v>
      </c>
      <c r="B714" s="164"/>
      <c r="C714" s="164"/>
      <c r="D714" s="164"/>
      <c r="E714" s="164"/>
      <c r="F714" s="164"/>
      <c r="G714" s="208"/>
      <c r="H714" s="208"/>
      <c r="I714" s="208"/>
      <c r="J714" s="208"/>
      <c r="K714" s="208"/>
      <c r="L714" s="208"/>
      <c r="M714" s="208"/>
      <c r="N714" s="208"/>
      <c r="O714" s="208"/>
      <c r="P714" s="208"/>
      <c r="Q714" s="208"/>
      <c r="R714" s="208"/>
      <c r="S714" s="208"/>
      <c r="T714" s="208"/>
      <c r="U714" s="208"/>
      <c r="V714" s="208"/>
      <c r="W714" s="208"/>
      <c r="X714" s="208"/>
      <c r="Y714" s="208"/>
      <c r="Z714" s="208"/>
      <c r="AA714" s="208"/>
      <c r="AB714" s="208"/>
      <c r="AC714" s="208"/>
      <c r="AD714" s="208"/>
      <c r="AE714" s="208"/>
      <c r="AF714" s="208"/>
      <c r="AG714" s="208"/>
      <c r="AH714" s="208"/>
      <c r="AI714" s="208"/>
      <c r="AJ714" s="208"/>
      <c r="AK714" s="208"/>
      <c r="AL714" s="208"/>
      <c r="AM714" s="208"/>
      <c r="AN714" s="208"/>
      <c r="AO714" s="208"/>
      <c r="AP714" s="208"/>
    </row>
    <row r="715" spans="1:42">
      <c r="A715" s="37">
        <v>1</v>
      </c>
      <c r="B715" s="218">
        <f t="shared" ref="B715:B724" si="1374">SUM(C715:AP715)</f>
        <v>2944872.3435013141</v>
      </c>
      <c r="C715" s="208">
        <f t="shared" ref="C715:AP715" si="1375">IF(C$2&gt;AnalysisPeriod,0,IF(C$2=MMFrequency*$A715,MMCost*CapacityDC*1000*(1+Inflation)^B$2,0))</f>
        <v>0</v>
      </c>
      <c r="D715" s="208">
        <f t="shared" si="1375"/>
        <v>0</v>
      </c>
      <c r="E715" s="208">
        <f t="shared" si="1375"/>
        <v>0</v>
      </c>
      <c r="F715" s="208">
        <f t="shared" si="1375"/>
        <v>0</v>
      </c>
      <c r="G715" s="208">
        <f t="shared" si="1375"/>
        <v>0</v>
      </c>
      <c r="H715" s="208">
        <f t="shared" si="1375"/>
        <v>0</v>
      </c>
      <c r="I715" s="208">
        <f t="shared" si="1375"/>
        <v>0</v>
      </c>
      <c r="J715" s="208">
        <f t="shared" si="1375"/>
        <v>0</v>
      </c>
      <c r="K715" s="208">
        <f t="shared" si="1375"/>
        <v>0</v>
      </c>
      <c r="L715" s="208">
        <f t="shared" si="1375"/>
        <v>0</v>
      </c>
      <c r="M715" s="208">
        <f t="shared" si="1375"/>
        <v>0</v>
      </c>
      <c r="N715" s="208">
        <f t="shared" si="1375"/>
        <v>2944872.3435013141</v>
      </c>
      <c r="O715" s="208">
        <f t="shared" si="1375"/>
        <v>0</v>
      </c>
      <c r="P715" s="208">
        <f t="shared" si="1375"/>
        <v>0</v>
      </c>
      <c r="Q715" s="208">
        <f t="shared" si="1375"/>
        <v>0</v>
      </c>
      <c r="R715" s="208">
        <f t="shared" si="1375"/>
        <v>0</v>
      </c>
      <c r="S715" s="208">
        <f t="shared" si="1375"/>
        <v>0</v>
      </c>
      <c r="T715" s="208">
        <f t="shared" si="1375"/>
        <v>0</v>
      </c>
      <c r="U715" s="208">
        <f t="shared" si="1375"/>
        <v>0</v>
      </c>
      <c r="V715" s="208">
        <f t="shared" si="1375"/>
        <v>0</v>
      </c>
      <c r="W715" s="208">
        <f t="shared" si="1375"/>
        <v>0</v>
      </c>
      <c r="X715" s="208">
        <f t="shared" si="1375"/>
        <v>0</v>
      </c>
      <c r="Y715" s="208">
        <f t="shared" si="1375"/>
        <v>0</v>
      </c>
      <c r="Z715" s="208">
        <f t="shared" si="1375"/>
        <v>0</v>
      </c>
      <c r="AA715" s="208">
        <f t="shared" si="1375"/>
        <v>0</v>
      </c>
      <c r="AB715" s="208">
        <f t="shared" si="1375"/>
        <v>0</v>
      </c>
      <c r="AC715" s="208">
        <f t="shared" si="1375"/>
        <v>0</v>
      </c>
      <c r="AD715" s="208">
        <f t="shared" si="1375"/>
        <v>0</v>
      </c>
      <c r="AE715" s="208">
        <f t="shared" si="1375"/>
        <v>0</v>
      </c>
      <c r="AF715" s="208">
        <f t="shared" si="1375"/>
        <v>0</v>
      </c>
      <c r="AG715" s="208">
        <f t="shared" si="1375"/>
        <v>0</v>
      </c>
      <c r="AH715" s="208">
        <f t="shared" si="1375"/>
        <v>0</v>
      </c>
      <c r="AI715" s="208">
        <f t="shared" si="1375"/>
        <v>0</v>
      </c>
      <c r="AJ715" s="208">
        <f t="shared" si="1375"/>
        <v>0</v>
      </c>
      <c r="AK715" s="208">
        <f t="shared" si="1375"/>
        <v>0</v>
      </c>
      <c r="AL715" s="208">
        <f t="shared" si="1375"/>
        <v>0</v>
      </c>
      <c r="AM715" s="208">
        <f t="shared" si="1375"/>
        <v>0</v>
      </c>
      <c r="AN715" s="208">
        <f t="shared" si="1375"/>
        <v>0</v>
      </c>
      <c r="AO715" s="208">
        <f t="shared" si="1375"/>
        <v>0</v>
      </c>
      <c r="AP715" s="208">
        <f t="shared" si="1375"/>
        <v>0</v>
      </c>
    </row>
    <row r="716" spans="1:42">
      <c r="A716" s="37">
        <f>A715+1</f>
        <v>2</v>
      </c>
      <c r="B716" s="218">
        <f t="shared" si="1374"/>
        <v>3520942.886524681</v>
      </c>
      <c r="C716" s="208">
        <f t="shared" ref="C716:AP716" si="1376">IF(C$2&gt;AnalysisPeriod,0,IF(C$2=MMFrequency*$A716,MMCost*CapacityDC*1000*(1+Inflation)^B$2,0))</f>
        <v>0</v>
      </c>
      <c r="D716" s="208">
        <f t="shared" si="1376"/>
        <v>0</v>
      </c>
      <c r="E716" s="208">
        <f t="shared" si="1376"/>
        <v>0</v>
      </c>
      <c r="F716" s="208">
        <f t="shared" si="1376"/>
        <v>0</v>
      </c>
      <c r="G716" s="208">
        <f t="shared" si="1376"/>
        <v>0</v>
      </c>
      <c r="H716" s="208">
        <f t="shared" si="1376"/>
        <v>0</v>
      </c>
      <c r="I716" s="208">
        <f t="shared" si="1376"/>
        <v>0</v>
      </c>
      <c r="J716" s="208">
        <f t="shared" si="1376"/>
        <v>0</v>
      </c>
      <c r="K716" s="208">
        <f t="shared" si="1376"/>
        <v>0</v>
      </c>
      <c r="L716" s="208">
        <f t="shared" si="1376"/>
        <v>0</v>
      </c>
      <c r="M716" s="208">
        <f t="shared" si="1376"/>
        <v>0</v>
      </c>
      <c r="N716" s="208">
        <f t="shared" si="1376"/>
        <v>0</v>
      </c>
      <c r="O716" s="208">
        <f t="shared" si="1376"/>
        <v>0</v>
      </c>
      <c r="P716" s="208">
        <f t="shared" si="1376"/>
        <v>0</v>
      </c>
      <c r="Q716" s="208">
        <f t="shared" si="1376"/>
        <v>0</v>
      </c>
      <c r="R716" s="208">
        <f t="shared" si="1376"/>
        <v>0</v>
      </c>
      <c r="S716" s="208">
        <f t="shared" si="1376"/>
        <v>0</v>
      </c>
      <c r="T716" s="208">
        <f t="shared" si="1376"/>
        <v>0</v>
      </c>
      <c r="U716" s="208">
        <f t="shared" si="1376"/>
        <v>0</v>
      </c>
      <c r="V716" s="208">
        <f t="shared" si="1376"/>
        <v>0</v>
      </c>
      <c r="W716" s="208">
        <f t="shared" si="1376"/>
        <v>0</v>
      </c>
      <c r="X716" s="208">
        <f t="shared" si="1376"/>
        <v>0</v>
      </c>
      <c r="Y716" s="208">
        <f t="shared" si="1376"/>
        <v>0</v>
      </c>
      <c r="Z716" s="208">
        <f t="shared" si="1376"/>
        <v>3520942.886524681</v>
      </c>
      <c r="AA716" s="208">
        <f t="shared" si="1376"/>
        <v>0</v>
      </c>
      <c r="AB716" s="208">
        <f t="shared" si="1376"/>
        <v>0</v>
      </c>
      <c r="AC716" s="208">
        <f t="shared" si="1376"/>
        <v>0</v>
      </c>
      <c r="AD716" s="208">
        <f t="shared" si="1376"/>
        <v>0</v>
      </c>
      <c r="AE716" s="208">
        <f t="shared" si="1376"/>
        <v>0</v>
      </c>
      <c r="AF716" s="208">
        <f t="shared" si="1376"/>
        <v>0</v>
      </c>
      <c r="AG716" s="208">
        <f t="shared" si="1376"/>
        <v>0</v>
      </c>
      <c r="AH716" s="208">
        <f t="shared" si="1376"/>
        <v>0</v>
      </c>
      <c r="AI716" s="208">
        <f t="shared" si="1376"/>
        <v>0</v>
      </c>
      <c r="AJ716" s="208">
        <f t="shared" si="1376"/>
        <v>0</v>
      </c>
      <c r="AK716" s="208">
        <f t="shared" si="1376"/>
        <v>0</v>
      </c>
      <c r="AL716" s="208">
        <f t="shared" si="1376"/>
        <v>0</v>
      </c>
      <c r="AM716" s="208">
        <f t="shared" si="1376"/>
        <v>0</v>
      </c>
      <c r="AN716" s="208">
        <f t="shared" si="1376"/>
        <v>0</v>
      </c>
      <c r="AO716" s="208">
        <f t="shared" si="1376"/>
        <v>0</v>
      </c>
      <c r="AP716" s="208">
        <f t="shared" si="1376"/>
        <v>0</v>
      </c>
    </row>
    <row r="717" spans="1:42">
      <c r="A717" s="37">
        <f t="shared" ref="A717:A724" si="1377">A716+1</f>
        <v>3</v>
      </c>
      <c r="B717" s="218">
        <f t="shared" si="1374"/>
        <v>0</v>
      </c>
      <c r="C717" s="208">
        <f t="shared" ref="C717:AP717" si="1378">IF(C$2&gt;AnalysisPeriod,0,IF(C$2=MMFrequency*$A717,MMCost*CapacityDC*1000*(1+Inflation)^B$2,0))</f>
        <v>0</v>
      </c>
      <c r="D717" s="208">
        <f t="shared" si="1378"/>
        <v>0</v>
      </c>
      <c r="E717" s="208">
        <f t="shared" si="1378"/>
        <v>0</v>
      </c>
      <c r="F717" s="208">
        <f t="shared" si="1378"/>
        <v>0</v>
      </c>
      <c r="G717" s="208">
        <f t="shared" si="1378"/>
        <v>0</v>
      </c>
      <c r="H717" s="208">
        <f t="shared" si="1378"/>
        <v>0</v>
      </c>
      <c r="I717" s="208">
        <f t="shared" si="1378"/>
        <v>0</v>
      </c>
      <c r="J717" s="208">
        <f t="shared" si="1378"/>
        <v>0</v>
      </c>
      <c r="K717" s="208">
        <f t="shared" si="1378"/>
        <v>0</v>
      </c>
      <c r="L717" s="208">
        <f t="shared" si="1378"/>
        <v>0</v>
      </c>
      <c r="M717" s="208">
        <f t="shared" si="1378"/>
        <v>0</v>
      </c>
      <c r="N717" s="208">
        <f t="shared" si="1378"/>
        <v>0</v>
      </c>
      <c r="O717" s="208">
        <f t="shared" si="1378"/>
        <v>0</v>
      </c>
      <c r="P717" s="208">
        <f t="shared" si="1378"/>
        <v>0</v>
      </c>
      <c r="Q717" s="208">
        <f t="shared" si="1378"/>
        <v>0</v>
      </c>
      <c r="R717" s="208">
        <f t="shared" si="1378"/>
        <v>0</v>
      </c>
      <c r="S717" s="208">
        <f t="shared" si="1378"/>
        <v>0</v>
      </c>
      <c r="T717" s="208">
        <f t="shared" si="1378"/>
        <v>0</v>
      </c>
      <c r="U717" s="208">
        <f t="shared" si="1378"/>
        <v>0</v>
      </c>
      <c r="V717" s="208">
        <f t="shared" si="1378"/>
        <v>0</v>
      </c>
      <c r="W717" s="208">
        <f t="shared" si="1378"/>
        <v>0</v>
      </c>
      <c r="X717" s="208">
        <f t="shared" si="1378"/>
        <v>0</v>
      </c>
      <c r="Y717" s="208">
        <f t="shared" si="1378"/>
        <v>0</v>
      </c>
      <c r="Z717" s="208">
        <f t="shared" si="1378"/>
        <v>0</v>
      </c>
      <c r="AA717" s="208">
        <f t="shared" si="1378"/>
        <v>0</v>
      </c>
      <c r="AB717" s="208">
        <f t="shared" si="1378"/>
        <v>0</v>
      </c>
      <c r="AC717" s="208">
        <f t="shared" si="1378"/>
        <v>0</v>
      </c>
      <c r="AD717" s="208">
        <f t="shared" si="1378"/>
        <v>0</v>
      </c>
      <c r="AE717" s="208">
        <f t="shared" si="1378"/>
        <v>0</v>
      </c>
      <c r="AF717" s="208">
        <f t="shared" si="1378"/>
        <v>0</v>
      </c>
      <c r="AG717" s="208">
        <f t="shared" si="1378"/>
        <v>0</v>
      </c>
      <c r="AH717" s="208">
        <f t="shared" si="1378"/>
        <v>0</v>
      </c>
      <c r="AI717" s="208">
        <f t="shared" si="1378"/>
        <v>0</v>
      </c>
      <c r="AJ717" s="208">
        <f t="shared" si="1378"/>
        <v>0</v>
      </c>
      <c r="AK717" s="208">
        <f t="shared" si="1378"/>
        <v>0</v>
      </c>
      <c r="AL717" s="208">
        <f t="shared" si="1378"/>
        <v>0</v>
      </c>
      <c r="AM717" s="208">
        <f t="shared" si="1378"/>
        <v>0</v>
      </c>
      <c r="AN717" s="208">
        <f t="shared" si="1378"/>
        <v>0</v>
      </c>
      <c r="AO717" s="208">
        <f t="shared" si="1378"/>
        <v>0</v>
      </c>
      <c r="AP717" s="208">
        <f t="shared" si="1378"/>
        <v>0</v>
      </c>
    </row>
    <row r="718" spans="1:42">
      <c r="A718" s="37">
        <f t="shared" si="1377"/>
        <v>4</v>
      </c>
      <c r="B718" s="218">
        <f t="shared" si="1374"/>
        <v>0</v>
      </c>
      <c r="C718" s="208">
        <f t="shared" ref="C718:AP718" si="1379">IF(C$2&gt;AnalysisPeriod,0,IF(C$2=MMFrequency*$A718,MMCost*CapacityDC*1000*(1+Inflation)^B$2,0))</f>
        <v>0</v>
      </c>
      <c r="D718" s="208">
        <f t="shared" si="1379"/>
        <v>0</v>
      </c>
      <c r="E718" s="208">
        <f t="shared" si="1379"/>
        <v>0</v>
      </c>
      <c r="F718" s="208">
        <f t="shared" si="1379"/>
        <v>0</v>
      </c>
      <c r="G718" s="208">
        <f t="shared" si="1379"/>
        <v>0</v>
      </c>
      <c r="H718" s="208">
        <f t="shared" si="1379"/>
        <v>0</v>
      </c>
      <c r="I718" s="208">
        <f t="shared" si="1379"/>
        <v>0</v>
      </c>
      <c r="J718" s="208">
        <f t="shared" si="1379"/>
        <v>0</v>
      </c>
      <c r="K718" s="208">
        <f t="shared" si="1379"/>
        <v>0</v>
      </c>
      <c r="L718" s="208">
        <f t="shared" si="1379"/>
        <v>0</v>
      </c>
      <c r="M718" s="208">
        <f t="shared" si="1379"/>
        <v>0</v>
      </c>
      <c r="N718" s="208">
        <f t="shared" si="1379"/>
        <v>0</v>
      </c>
      <c r="O718" s="208">
        <f t="shared" si="1379"/>
        <v>0</v>
      </c>
      <c r="P718" s="208">
        <f t="shared" si="1379"/>
        <v>0</v>
      </c>
      <c r="Q718" s="208">
        <f t="shared" si="1379"/>
        <v>0</v>
      </c>
      <c r="R718" s="208">
        <f t="shared" si="1379"/>
        <v>0</v>
      </c>
      <c r="S718" s="208">
        <f t="shared" si="1379"/>
        <v>0</v>
      </c>
      <c r="T718" s="208">
        <f t="shared" si="1379"/>
        <v>0</v>
      </c>
      <c r="U718" s="208">
        <f t="shared" si="1379"/>
        <v>0</v>
      </c>
      <c r="V718" s="208">
        <f t="shared" si="1379"/>
        <v>0</v>
      </c>
      <c r="W718" s="208">
        <f t="shared" si="1379"/>
        <v>0</v>
      </c>
      <c r="X718" s="208">
        <f t="shared" si="1379"/>
        <v>0</v>
      </c>
      <c r="Y718" s="208">
        <f t="shared" si="1379"/>
        <v>0</v>
      </c>
      <c r="Z718" s="208">
        <f t="shared" si="1379"/>
        <v>0</v>
      </c>
      <c r="AA718" s="208">
        <f t="shared" si="1379"/>
        <v>0</v>
      </c>
      <c r="AB718" s="208">
        <f t="shared" si="1379"/>
        <v>0</v>
      </c>
      <c r="AC718" s="208">
        <f t="shared" si="1379"/>
        <v>0</v>
      </c>
      <c r="AD718" s="208">
        <f t="shared" si="1379"/>
        <v>0</v>
      </c>
      <c r="AE718" s="208">
        <f t="shared" si="1379"/>
        <v>0</v>
      </c>
      <c r="AF718" s="208">
        <f t="shared" si="1379"/>
        <v>0</v>
      </c>
      <c r="AG718" s="208">
        <f t="shared" si="1379"/>
        <v>0</v>
      </c>
      <c r="AH718" s="208">
        <f t="shared" si="1379"/>
        <v>0</v>
      </c>
      <c r="AI718" s="208">
        <f t="shared" si="1379"/>
        <v>0</v>
      </c>
      <c r="AJ718" s="208">
        <f t="shared" si="1379"/>
        <v>0</v>
      </c>
      <c r="AK718" s="208">
        <f t="shared" si="1379"/>
        <v>0</v>
      </c>
      <c r="AL718" s="208">
        <f t="shared" si="1379"/>
        <v>0</v>
      </c>
      <c r="AM718" s="208">
        <f t="shared" si="1379"/>
        <v>0</v>
      </c>
      <c r="AN718" s="208">
        <f t="shared" si="1379"/>
        <v>0</v>
      </c>
      <c r="AO718" s="208">
        <f t="shared" si="1379"/>
        <v>0</v>
      </c>
      <c r="AP718" s="208">
        <f t="shared" si="1379"/>
        <v>0</v>
      </c>
    </row>
    <row r="719" spans="1:42">
      <c r="A719" s="37">
        <f t="shared" si="1377"/>
        <v>5</v>
      </c>
      <c r="B719" s="218">
        <f t="shared" si="1374"/>
        <v>0</v>
      </c>
      <c r="C719" s="208">
        <f t="shared" ref="C719:AP719" si="1380">IF(C$2&gt;AnalysisPeriod,0,IF(C$2=MMFrequency*$A719,MMCost*CapacityDC*1000*(1+Inflation)^B$2,0))</f>
        <v>0</v>
      </c>
      <c r="D719" s="208">
        <f t="shared" si="1380"/>
        <v>0</v>
      </c>
      <c r="E719" s="208">
        <f t="shared" si="1380"/>
        <v>0</v>
      </c>
      <c r="F719" s="208">
        <f t="shared" si="1380"/>
        <v>0</v>
      </c>
      <c r="G719" s="208">
        <f t="shared" si="1380"/>
        <v>0</v>
      </c>
      <c r="H719" s="208">
        <f t="shared" si="1380"/>
        <v>0</v>
      </c>
      <c r="I719" s="208">
        <f t="shared" si="1380"/>
        <v>0</v>
      </c>
      <c r="J719" s="208">
        <f t="shared" si="1380"/>
        <v>0</v>
      </c>
      <c r="K719" s="208">
        <f t="shared" si="1380"/>
        <v>0</v>
      </c>
      <c r="L719" s="208">
        <f t="shared" si="1380"/>
        <v>0</v>
      </c>
      <c r="M719" s="208">
        <f t="shared" si="1380"/>
        <v>0</v>
      </c>
      <c r="N719" s="208">
        <f t="shared" si="1380"/>
        <v>0</v>
      </c>
      <c r="O719" s="208">
        <f t="shared" si="1380"/>
        <v>0</v>
      </c>
      <c r="P719" s="208">
        <f t="shared" si="1380"/>
        <v>0</v>
      </c>
      <c r="Q719" s="208">
        <f t="shared" si="1380"/>
        <v>0</v>
      </c>
      <c r="R719" s="208">
        <f t="shared" si="1380"/>
        <v>0</v>
      </c>
      <c r="S719" s="208">
        <f t="shared" si="1380"/>
        <v>0</v>
      </c>
      <c r="T719" s="208">
        <f t="shared" si="1380"/>
        <v>0</v>
      </c>
      <c r="U719" s="208">
        <f t="shared" si="1380"/>
        <v>0</v>
      </c>
      <c r="V719" s="208">
        <f t="shared" si="1380"/>
        <v>0</v>
      </c>
      <c r="W719" s="208">
        <f t="shared" si="1380"/>
        <v>0</v>
      </c>
      <c r="X719" s="208">
        <f t="shared" si="1380"/>
        <v>0</v>
      </c>
      <c r="Y719" s="208">
        <f t="shared" si="1380"/>
        <v>0</v>
      </c>
      <c r="Z719" s="208">
        <f t="shared" si="1380"/>
        <v>0</v>
      </c>
      <c r="AA719" s="208">
        <f t="shared" si="1380"/>
        <v>0</v>
      </c>
      <c r="AB719" s="208">
        <f t="shared" si="1380"/>
        <v>0</v>
      </c>
      <c r="AC719" s="208">
        <f t="shared" si="1380"/>
        <v>0</v>
      </c>
      <c r="AD719" s="208">
        <f t="shared" si="1380"/>
        <v>0</v>
      </c>
      <c r="AE719" s="208">
        <f t="shared" si="1380"/>
        <v>0</v>
      </c>
      <c r="AF719" s="208">
        <f t="shared" si="1380"/>
        <v>0</v>
      </c>
      <c r="AG719" s="208">
        <f t="shared" si="1380"/>
        <v>0</v>
      </c>
      <c r="AH719" s="208">
        <f t="shared" si="1380"/>
        <v>0</v>
      </c>
      <c r="AI719" s="208">
        <f t="shared" si="1380"/>
        <v>0</v>
      </c>
      <c r="AJ719" s="208">
        <f t="shared" si="1380"/>
        <v>0</v>
      </c>
      <c r="AK719" s="208">
        <f t="shared" si="1380"/>
        <v>0</v>
      </c>
      <c r="AL719" s="208">
        <f t="shared" si="1380"/>
        <v>0</v>
      </c>
      <c r="AM719" s="208">
        <f t="shared" si="1380"/>
        <v>0</v>
      </c>
      <c r="AN719" s="208">
        <f t="shared" si="1380"/>
        <v>0</v>
      </c>
      <c r="AO719" s="208">
        <f t="shared" si="1380"/>
        <v>0</v>
      </c>
      <c r="AP719" s="208">
        <f t="shared" si="1380"/>
        <v>0</v>
      </c>
    </row>
    <row r="720" spans="1:42">
      <c r="A720" s="37">
        <f t="shared" si="1377"/>
        <v>6</v>
      </c>
      <c r="B720" s="218">
        <f t="shared" si="1374"/>
        <v>0</v>
      </c>
      <c r="C720" s="208">
        <f t="shared" ref="C720:AP720" si="1381">IF(C$2&gt;AnalysisPeriod,0,IF(C$2=MMFrequency*$A720,MMCost*CapacityDC*1000*(1+Inflation)^B$2,0))</f>
        <v>0</v>
      </c>
      <c r="D720" s="208">
        <f t="shared" si="1381"/>
        <v>0</v>
      </c>
      <c r="E720" s="208">
        <f t="shared" si="1381"/>
        <v>0</v>
      </c>
      <c r="F720" s="208">
        <f t="shared" si="1381"/>
        <v>0</v>
      </c>
      <c r="G720" s="208">
        <f t="shared" si="1381"/>
        <v>0</v>
      </c>
      <c r="H720" s="208">
        <f t="shared" si="1381"/>
        <v>0</v>
      </c>
      <c r="I720" s="208">
        <f t="shared" si="1381"/>
        <v>0</v>
      </c>
      <c r="J720" s="208">
        <f t="shared" si="1381"/>
        <v>0</v>
      </c>
      <c r="K720" s="208">
        <f t="shared" si="1381"/>
        <v>0</v>
      </c>
      <c r="L720" s="208">
        <f t="shared" si="1381"/>
        <v>0</v>
      </c>
      <c r="M720" s="208">
        <f t="shared" si="1381"/>
        <v>0</v>
      </c>
      <c r="N720" s="208">
        <f t="shared" si="1381"/>
        <v>0</v>
      </c>
      <c r="O720" s="208">
        <f t="shared" si="1381"/>
        <v>0</v>
      </c>
      <c r="P720" s="208">
        <f t="shared" si="1381"/>
        <v>0</v>
      </c>
      <c r="Q720" s="208">
        <f t="shared" si="1381"/>
        <v>0</v>
      </c>
      <c r="R720" s="208">
        <f t="shared" si="1381"/>
        <v>0</v>
      </c>
      <c r="S720" s="208">
        <f t="shared" si="1381"/>
        <v>0</v>
      </c>
      <c r="T720" s="208">
        <f t="shared" si="1381"/>
        <v>0</v>
      </c>
      <c r="U720" s="208">
        <f t="shared" si="1381"/>
        <v>0</v>
      </c>
      <c r="V720" s="208">
        <f t="shared" si="1381"/>
        <v>0</v>
      </c>
      <c r="W720" s="208">
        <f t="shared" si="1381"/>
        <v>0</v>
      </c>
      <c r="X720" s="208">
        <f t="shared" si="1381"/>
        <v>0</v>
      </c>
      <c r="Y720" s="208">
        <f t="shared" si="1381"/>
        <v>0</v>
      </c>
      <c r="Z720" s="208">
        <f t="shared" si="1381"/>
        <v>0</v>
      </c>
      <c r="AA720" s="208">
        <f t="shared" si="1381"/>
        <v>0</v>
      </c>
      <c r="AB720" s="208">
        <f t="shared" si="1381"/>
        <v>0</v>
      </c>
      <c r="AC720" s="208">
        <f t="shared" si="1381"/>
        <v>0</v>
      </c>
      <c r="AD720" s="208">
        <f t="shared" si="1381"/>
        <v>0</v>
      </c>
      <c r="AE720" s="208">
        <f t="shared" si="1381"/>
        <v>0</v>
      </c>
      <c r="AF720" s="208">
        <f t="shared" si="1381"/>
        <v>0</v>
      </c>
      <c r="AG720" s="208">
        <f t="shared" si="1381"/>
        <v>0</v>
      </c>
      <c r="AH720" s="208">
        <f t="shared" si="1381"/>
        <v>0</v>
      </c>
      <c r="AI720" s="208">
        <f t="shared" si="1381"/>
        <v>0</v>
      </c>
      <c r="AJ720" s="208">
        <f t="shared" si="1381"/>
        <v>0</v>
      </c>
      <c r="AK720" s="208">
        <f t="shared" si="1381"/>
        <v>0</v>
      </c>
      <c r="AL720" s="208">
        <f t="shared" si="1381"/>
        <v>0</v>
      </c>
      <c r="AM720" s="208">
        <f t="shared" si="1381"/>
        <v>0</v>
      </c>
      <c r="AN720" s="208">
        <f t="shared" si="1381"/>
        <v>0</v>
      </c>
      <c r="AO720" s="208">
        <f t="shared" si="1381"/>
        <v>0</v>
      </c>
      <c r="AP720" s="208">
        <f t="shared" si="1381"/>
        <v>0</v>
      </c>
    </row>
    <row r="721" spans="1:42">
      <c r="A721" s="37">
        <f t="shared" si="1377"/>
        <v>7</v>
      </c>
      <c r="B721" s="218">
        <f t="shared" si="1374"/>
        <v>0</v>
      </c>
      <c r="C721" s="208">
        <f t="shared" ref="C721:AP721" si="1382">IF(C$2&gt;AnalysisPeriod,0,IF(C$2=MMFrequency*$A721,MMCost*CapacityDC*1000*(1+Inflation)^B$2,0))</f>
        <v>0</v>
      </c>
      <c r="D721" s="208">
        <f t="shared" si="1382"/>
        <v>0</v>
      </c>
      <c r="E721" s="208">
        <f t="shared" si="1382"/>
        <v>0</v>
      </c>
      <c r="F721" s="208">
        <f t="shared" si="1382"/>
        <v>0</v>
      </c>
      <c r="G721" s="208">
        <f t="shared" si="1382"/>
        <v>0</v>
      </c>
      <c r="H721" s="208">
        <f t="shared" si="1382"/>
        <v>0</v>
      </c>
      <c r="I721" s="208">
        <f t="shared" si="1382"/>
        <v>0</v>
      </c>
      <c r="J721" s="208">
        <f t="shared" si="1382"/>
        <v>0</v>
      </c>
      <c r="K721" s="208">
        <f t="shared" si="1382"/>
        <v>0</v>
      </c>
      <c r="L721" s="208">
        <f t="shared" si="1382"/>
        <v>0</v>
      </c>
      <c r="M721" s="208">
        <f t="shared" si="1382"/>
        <v>0</v>
      </c>
      <c r="N721" s="208">
        <f t="shared" si="1382"/>
        <v>0</v>
      </c>
      <c r="O721" s="208">
        <f t="shared" si="1382"/>
        <v>0</v>
      </c>
      <c r="P721" s="208">
        <f t="shared" si="1382"/>
        <v>0</v>
      </c>
      <c r="Q721" s="208">
        <f t="shared" si="1382"/>
        <v>0</v>
      </c>
      <c r="R721" s="208">
        <f t="shared" si="1382"/>
        <v>0</v>
      </c>
      <c r="S721" s="208">
        <f t="shared" si="1382"/>
        <v>0</v>
      </c>
      <c r="T721" s="208">
        <f t="shared" si="1382"/>
        <v>0</v>
      </c>
      <c r="U721" s="208">
        <f t="shared" si="1382"/>
        <v>0</v>
      </c>
      <c r="V721" s="208">
        <f t="shared" si="1382"/>
        <v>0</v>
      </c>
      <c r="W721" s="208">
        <f t="shared" si="1382"/>
        <v>0</v>
      </c>
      <c r="X721" s="208">
        <f t="shared" si="1382"/>
        <v>0</v>
      </c>
      <c r="Y721" s="208">
        <f t="shared" si="1382"/>
        <v>0</v>
      </c>
      <c r="Z721" s="208">
        <f t="shared" si="1382"/>
        <v>0</v>
      </c>
      <c r="AA721" s="208">
        <f t="shared" si="1382"/>
        <v>0</v>
      </c>
      <c r="AB721" s="208">
        <f t="shared" si="1382"/>
        <v>0</v>
      </c>
      <c r="AC721" s="208">
        <f t="shared" si="1382"/>
        <v>0</v>
      </c>
      <c r="AD721" s="208">
        <f t="shared" si="1382"/>
        <v>0</v>
      </c>
      <c r="AE721" s="208">
        <f t="shared" si="1382"/>
        <v>0</v>
      </c>
      <c r="AF721" s="208">
        <f t="shared" si="1382"/>
        <v>0</v>
      </c>
      <c r="AG721" s="208">
        <f t="shared" si="1382"/>
        <v>0</v>
      </c>
      <c r="AH721" s="208">
        <f t="shared" si="1382"/>
        <v>0</v>
      </c>
      <c r="AI721" s="208">
        <f t="shared" si="1382"/>
        <v>0</v>
      </c>
      <c r="AJ721" s="208">
        <f t="shared" si="1382"/>
        <v>0</v>
      </c>
      <c r="AK721" s="208">
        <f t="shared" si="1382"/>
        <v>0</v>
      </c>
      <c r="AL721" s="208">
        <f t="shared" si="1382"/>
        <v>0</v>
      </c>
      <c r="AM721" s="208">
        <f t="shared" si="1382"/>
        <v>0</v>
      </c>
      <c r="AN721" s="208">
        <f t="shared" si="1382"/>
        <v>0</v>
      </c>
      <c r="AO721" s="208">
        <f t="shared" si="1382"/>
        <v>0</v>
      </c>
      <c r="AP721" s="208">
        <f t="shared" si="1382"/>
        <v>0</v>
      </c>
    </row>
    <row r="722" spans="1:42">
      <c r="A722" s="37">
        <f t="shared" si="1377"/>
        <v>8</v>
      </c>
      <c r="B722" s="218">
        <f t="shared" si="1374"/>
        <v>0</v>
      </c>
      <c r="C722" s="208">
        <f t="shared" ref="C722:AP722" si="1383">IF(C$2&gt;AnalysisPeriod,0,IF(C$2=MMFrequency*$A722,MMCost*CapacityDC*1000*(1+Inflation)^B$2,0))</f>
        <v>0</v>
      </c>
      <c r="D722" s="208">
        <f t="shared" si="1383"/>
        <v>0</v>
      </c>
      <c r="E722" s="208">
        <f t="shared" si="1383"/>
        <v>0</v>
      </c>
      <c r="F722" s="208">
        <f t="shared" si="1383"/>
        <v>0</v>
      </c>
      <c r="G722" s="208">
        <f t="shared" si="1383"/>
        <v>0</v>
      </c>
      <c r="H722" s="208">
        <f t="shared" si="1383"/>
        <v>0</v>
      </c>
      <c r="I722" s="208">
        <f t="shared" si="1383"/>
        <v>0</v>
      </c>
      <c r="J722" s="208">
        <f t="shared" si="1383"/>
        <v>0</v>
      </c>
      <c r="K722" s="208">
        <f t="shared" si="1383"/>
        <v>0</v>
      </c>
      <c r="L722" s="208">
        <f t="shared" si="1383"/>
        <v>0</v>
      </c>
      <c r="M722" s="208">
        <f t="shared" si="1383"/>
        <v>0</v>
      </c>
      <c r="N722" s="208">
        <f t="shared" si="1383"/>
        <v>0</v>
      </c>
      <c r="O722" s="208">
        <f t="shared" si="1383"/>
        <v>0</v>
      </c>
      <c r="P722" s="208">
        <f t="shared" si="1383"/>
        <v>0</v>
      </c>
      <c r="Q722" s="208">
        <f t="shared" si="1383"/>
        <v>0</v>
      </c>
      <c r="R722" s="208">
        <f t="shared" si="1383"/>
        <v>0</v>
      </c>
      <c r="S722" s="208">
        <f t="shared" si="1383"/>
        <v>0</v>
      </c>
      <c r="T722" s="208">
        <f t="shared" si="1383"/>
        <v>0</v>
      </c>
      <c r="U722" s="208">
        <f t="shared" si="1383"/>
        <v>0</v>
      </c>
      <c r="V722" s="208">
        <f t="shared" si="1383"/>
        <v>0</v>
      </c>
      <c r="W722" s="208">
        <f t="shared" si="1383"/>
        <v>0</v>
      </c>
      <c r="X722" s="208">
        <f t="shared" si="1383"/>
        <v>0</v>
      </c>
      <c r="Y722" s="208">
        <f t="shared" si="1383"/>
        <v>0</v>
      </c>
      <c r="Z722" s="208">
        <f t="shared" si="1383"/>
        <v>0</v>
      </c>
      <c r="AA722" s="208">
        <f t="shared" si="1383"/>
        <v>0</v>
      </c>
      <c r="AB722" s="208">
        <f t="shared" si="1383"/>
        <v>0</v>
      </c>
      <c r="AC722" s="208">
        <f t="shared" si="1383"/>
        <v>0</v>
      </c>
      <c r="AD722" s="208">
        <f t="shared" si="1383"/>
        <v>0</v>
      </c>
      <c r="AE722" s="208">
        <f t="shared" si="1383"/>
        <v>0</v>
      </c>
      <c r="AF722" s="208">
        <f t="shared" si="1383"/>
        <v>0</v>
      </c>
      <c r="AG722" s="208">
        <f t="shared" si="1383"/>
        <v>0</v>
      </c>
      <c r="AH722" s="208">
        <f t="shared" si="1383"/>
        <v>0</v>
      </c>
      <c r="AI722" s="208">
        <f t="shared" si="1383"/>
        <v>0</v>
      </c>
      <c r="AJ722" s="208">
        <f t="shared" si="1383"/>
        <v>0</v>
      </c>
      <c r="AK722" s="208">
        <f t="shared" si="1383"/>
        <v>0</v>
      </c>
      <c r="AL722" s="208">
        <f t="shared" si="1383"/>
        <v>0</v>
      </c>
      <c r="AM722" s="208">
        <f t="shared" si="1383"/>
        <v>0</v>
      </c>
      <c r="AN722" s="208">
        <f t="shared" si="1383"/>
        <v>0</v>
      </c>
      <c r="AO722" s="208">
        <f t="shared" si="1383"/>
        <v>0</v>
      </c>
      <c r="AP722" s="208">
        <f t="shared" si="1383"/>
        <v>0</v>
      </c>
    </row>
    <row r="723" spans="1:42">
      <c r="A723" s="37">
        <f>A722+1</f>
        <v>9</v>
      </c>
      <c r="B723" s="218">
        <f t="shared" si="1374"/>
        <v>0</v>
      </c>
      <c r="C723" s="208">
        <f t="shared" ref="C723:AP723" si="1384">IF(C$2&gt;AnalysisPeriod,0,IF(C$2=MMFrequency*$A723,MMCost*CapacityDC*1000*(1+Inflation)^B$2,0))</f>
        <v>0</v>
      </c>
      <c r="D723" s="208">
        <f t="shared" si="1384"/>
        <v>0</v>
      </c>
      <c r="E723" s="208">
        <f t="shared" si="1384"/>
        <v>0</v>
      </c>
      <c r="F723" s="208">
        <f t="shared" si="1384"/>
        <v>0</v>
      </c>
      <c r="G723" s="208">
        <f t="shared" si="1384"/>
        <v>0</v>
      </c>
      <c r="H723" s="208">
        <f t="shared" si="1384"/>
        <v>0</v>
      </c>
      <c r="I723" s="208">
        <f t="shared" si="1384"/>
        <v>0</v>
      </c>
      <c r="J723" s="208">
        <f t="shared" si="1384"/>
        <v>0</v>
      </c>
      <c r="K723" s="208">
        <f t="shared" si="1384"/>
        <v>0</v>
      </c>
      <c r="L723" s="208">
        <f t="shared" si="1384"/>
        <v>0</v>
      </c>
      <c r="M723" s="208">
        <f t="shared" si="1384"/>
        <v>0</v>
      </c>
      <c r="N723" s="208">
        <f t="shared" si="1384"/>
        <v>0</v>
      </c>
      <c r="O723" s="208">
        <f t="shared" si="1384"/>
        <v>0</v>
      </c>
      <c r="P723" s="208">
        <f t="shared" si="1384"/>
        <v>0</v>
      </c>
      <c r="Q723" s="208">
        <f t="shared" si="1384"/>
        <v>0</v>
      </c>
      <c r="R723" s="208">
        <f t="shared" si="1384"/>
        <v>0</v>
      </c>
      <c r="S723" s="208">
        <f t="shared" si="1384"/>
        <v>0</v>
      </c>
      <c r="T723" s="208">
        <f t="shared" si="1384"/>
        <v>0</v>
      </c>
      <c r="U723" s="208">
        <f t="shared" si="1384"/>
        <v>0</v>
      </c>
      <c r="V723" s="208">
        <f t="shared" si="1384"/>
        <v>0</v>
      </c>
      <c r="W723" s="208">
        <f t="shared" si="1384"/>
        <v>0</v>
      </c>
      <c r="X723" s="208">
        <f t="shared" si="1384"/>
        <v>0</v>
      </c>
      <c r="Y723" s="208">
        <f t="shared" si="1384"/>
        <v>0</v>
      </c>
      <c r="Z723" s="208">
        <f t="shared" si="1384"/>
        <v>0</v>
      </c>
      <c r="AA723" s="208">
        <f t="shared" si="1384"/>
        <v>0</v>
      </c>
      <c r="AB723" s="208">
        <f t="shared" si="1384"/>
        <v>0</v>
      </c>
      <c r="AC723" s="208">
        <f t="shared" si="1384"/>
        <v>0</v>
      </c>
      <c r="AD723" s="208">
        <f t="shared" si="1384"/>
        <v>0</v>
      </c>
      <c r="AE723" s="208">
        <f t="shared" si="1384"/>
        <v>0</v>
      </c>
      <c r="AF723" s="208">
        <f t="shared" si="1384"/>
        <v>0</v>
      </c>
      <c r="AG723" s="208">
        <f t="shared" si="1384"/>
        <v>0</v>
      </c>
      <c r="AH723" s="208">
        <f t="shared" si="1384"/>
        <v>0</v>
      </c>
      <c r="AI723" s="208">
        <f t="shared" si="1384"/>
        <v>0</v>
      </c>
      <c r="AJ723" s="208">
        <f t="shared" si="1384"/>
        <v>0</v>
      </c>
      <c r="AK723" s="208">
        <f t="shared" si="1384"/>
        <v>0</v>
      </c>
      <c r="AL723" s="208">
        <f t="shared" si="1384"/>
        <v>0</v>
      </c>
      <c r="AM723" s="208">
        <f t="shared" si="1384"/>
        <v>0</v>
      </c>
      <c r="AN723" s="208">
        <f t="shared" si="1384"/>
        <v>0</v>
      </c>
      <c r="AO723" s="208">
        <f t="shared" si="1384"/>
        <v>0</v>
      </c>
      <c r="AP723" s="208">
        <f t="shared" si="1384"/>
        <v>0</v>
      </c>
    </row>
    <row r="724" spans="1:42">
      <c r="A724" s="37">
        <f t="shared" si="1377"/>
        <v>10</v>
      </c>
      <c r="B724" s="218">
        <f t="shared" si="1374"/>
        <v>0</v>
      </c>
      <c r="C724" s="209">
        <f t="shared" ref="C724:AP724" si="1385">IF(C$2&gt;AnalysisPeriod,0,IF(C$2=MMFrequency*$A724,MMCost*CapacityDC*1000*(1+Inflation)^B$2,0))</f>
        <v>0</v>
      </c>
      <c r="D724" s="209">
        <f t="shared" si="1385"/>
        <v>0</v>
      </c>
      <c r="E724" s="209">
        <f t="shared" si="1385"/>
        <v>0</v>
      </c>
      <c r="F724" s="209">
        <f t="shared" si="1385"/>
        <v>0</v>
      </c>
      <c r="G724" s="209">
        <f t="shared" si="1385"/>
        <v>0</v>
      </c>
      <c r="H724" s="209">
        <f t="shared" si="1385"/>
        <v>0</v>
      </c>
      <c r="I724" s="209">
        <f t="shared" si="1385"/>
        <v>0</v>
      </c>
      <c r="J724" s="209">
        <f t="shared" si="1385"/>
        <v>0</v>
      </c>
      <c r="K724" s="209">
        <f t="shared" si="1385"/>
        <v>0</v>
      </c>
      <c r="L724" s="209">
        <f t="shared" si="1385"/>
        <v>0</v>
      </c>
      <c r="M724" s="209">
        <f t="shared" si="1385"/>
        <v>0</v>
      </c>
      <c r="N724" s="209">
        <f t="shared" si="1385"/>
        <v>0</v>
      </c>
      <c r="O724" s="209">
        <f t="shared" si="1385"/>
        <v>0</v>
      </c>
      <c r="P724" s="209">
        <f t="shared" si="1385"/>
        <v>0</v>
      </c>
      <c r="Q724" s="209">
        <f t="shared" si="1385"/>
        <v>0</v>
      </c>
      <c r="R724" s="209">
        <f t="shared" si="1385"/>
        <v>0</v>
      </c>
      <c r="S724" s="209">
        <f t="shared" si="1385"/>
        <v>0</v>
      </c>
      <c r="T724" s="209">
        <f t="shared" si="1385"/>
        <v>0</v>
      </c>
      <c r="U724" s="209">
        <f t="shared" si="1385"/>
        <v>0</v>
      </c>
      <c r="V724" s="209">
        <f t="shared" si="1385"/>
        <v>0</v>
      </c>
      <c r="W724" s="209">
        <f t="shared" si="1385"/>
        <v>0</v>
      </c>
      <c r="X724" s="209">
        <f t="shared" si="1385"/>
        <v>0</v>
      </c>
      <c r="Y724" s="209">
        <f t="shared" si="1385"/>
        <v>0</v>
      </c>
      <c r="Z724" s="209">
        <f t="shared" si="1385"/>
        <v>0</v>
      </c>
      <c r="AA724" s="209">
        <f t="shared" si="1385"/>
        <v>0</v>
      </c>
      <c r="AB724" s="209">
        <f t="shared" si="1385"/>
        <v>0</v>
      </c>
      <c r="AC724" s="209">
        <f t="shared" si="1385"/>
        <v>0</v>
      </c>
      <c r="AD724" s="209">
        <f t="shared" si="1385"/>
        <v>0</v>
      </c>
      <c r="AE724" s="209">
        <f t="shared" si="1385"/>
        <v>0</v>
      </c>
      <c r="AF724" s="209">
        <f t="shared" si="1385"/>
        <v>0</v>
      </c>
      <c r="AG724" s="209">
        <f t="shared" si="1385"/>
        <v>0</v>
      </c>
      <c r="AH724" s="209">
        <f t="shared" si="1385"/>
        <v>0</v>
      </c>
      <c r="AI724" s="209">
        <f t="shared" si="1385"/>
        <v>0</v>
      </c>
      <c r="AJ724" s="209">
        <f t="shared" si="1385"/>
        <v>0</v>
      </c>
      <c r="AK724" s="209">
        <f t="shared" si="1385"/>
        <v>0</v>
      </c>
      <c r="AL724" s="209">
        <f t="shared" si="1385"/>
        <v>0</v>
      </c>
      <c r="AM724" s="209">
        <f t="shared" si="1385"/>
        <v>0</v>
      </c>
      <c r="AN724" s="209">
        <f t="shared" si="1385"/>
        <v>0</v>
      </c>
      <c r="AO724" s="209">
        <f t="shared" si="1385"/>
        <v>0</v>
      </c>
      <c r="AP724" s="209">
        <f t="shared" si="1385"/>
        <v>0</v>
      </c>
    </row>
    <row r="725" spans="1:42">
      <c r="A725" s="244" t="s">
        <v>53</v>
      </c>
      <c r="B725" s="208"/>
      <c r="C725" s="164">
        <f>SUM(C715:C724)</f>
        <v>0</v>
      </c>
      <c r="D725" s="164">
        <f t="shared" ref="D725" si="1386">SUM(D715:D724)</f>
        <v>0</v>
      </c>
      <c r="E725" s="164">
        <f t="shared" ref="E725" si="1387">SUM(E715:E724)</f>
        <v>0</v>
      </c>
      <c r="F725" s="164">
        <f t="shared" ref="F725" si="1388">SUM(F715:F724)</f>
        <v>0</v>
      </c>
      <c r="G725" s="164">
        <f t="shared" ref="G725" si="1389">SUM(G715:G724)</f>
        <v>0</v>
      </c>
      <c r="H725" s="164">
        <f t="shared" ref="H725" si="1390">SUM(H715:H724)</f>
        <v>0</v>
      </c>
      <c r="I725" s="164">
        <f t="shared" ref="I725" si="1391">SUM(I715:I724)</f>
        <v>0</v>
      </c>
      <c r="J725" s="164">
        <f t="shared" ref="J725" si="1392">SUM(J715:J724)</f>
        <v>0</v>
      </c>
      <c r="K725" s="164">
        <f t="shared" ref="K725" si="1393">SUM(K715:K724)</f>
        <v>0</v>
      </c>
      <c r="L725" s="164">
        <f t="shared" ref="L725" si="1394">SUM(L715:L724)</f>
        <v>0</v>
      </c>
      <c r="M725" s="164">
        <f t="shared" ref="M725" si="1395">SUM(M715:M724)</f>
        <v>0</v>
      </c>
      <c r="N725" s="164">
        <f t="shared" ref="N725" si="1396">SUM(N715:N724)</f>
        <v>2944872.3435013141</v>
      </c>
      <c r="O725" s="164">
        <f t="shared" ref="O725" si="1397">SUM(O715:O724)</f>
        <v>0</v>
      </c>
      <c r="P725" s="164">
        <f t="shared" ref="P725" si="1398">SUM(P715:P724)</f>
        <v>0</v>
      </c>
      <c r="Q725" s="164">
        <f t="shared" ref="Q725" si="1399">SUM(Q715:Q724)</f>
        <v>0</v>
      </c>
      <c r="R725" s="164">
        <f t="shared" ref="R725" si="1400">SUM(R715:R724)</f>
        <v>0</v>
      </c>
      <c r="S725" s="164">
        <f t="shared" ref="S725" si="1401">SUM(S715:S724)</f>
        <v>0</v>
      </c>
      <c r="T725" s="164">
        <f t="shared" ref="T725" si="1402">SUM(T715:T724)</f>
        <v>0</v>
      </c>
      <c r="U725" s="164">
        <f t="shared" ref="U725" si="1403">SUM(U715:U724)</f>
        <v>0</v>
      </c>
      <c r="V725" s="164">
        <f t="shared" ref="V725" si="1404">SUM(V715:V724)</f>
        <v>0</v>
      </c>
      <c r="W725" s="164">
        <f t="shared" ref="W725" si="1405">SUM(W715:W724)</f>
        <v>0</v>
      </c>
      <c r="X725" s="164">
        <f t="shared" ref="X725" si="1406">SUM(X715:X724)</f>
        <v>0</v>
      </c>
      <c r="Y725" s="164">
        <f t="shared" ref="Y725" si="1407">SUM(Y715:Y724)</f>
        <v>0</v>
      </c>
      <c r="Z725" s="164">
        <f t="shared" ref="Z725" si="1408">SUM(Z715:Z724)</f>
        <v>3520942.886524681</v>
      </c>
      <c r="AA725" s="164">
        <f t="shared" ref="AA725" si="1409">SUM(AA715:AA724)</f>
        <v>0</v>
      </c>
      <c r="AB725" s="164">
        <f t="shared" ref="AB725" si="1410">SUM(AB715:AB724)</f>
        <v>0</v>
      </c>
      <c r="AC725" s="164">
        <f t="shared" ref="AC725" si="1411">SUM(AC715:AC724)</f>
        <v>0</v>
      </c>
      <c r="AD725" s="164">
        <f t="shared" ref="AD725" si="1412">SUM(AD715:AD724)</f>
        <v>0</v>
      </c>
      <c r="AE725" s="164">
        <f t="shared" ref="AE725" si="1413">SUM(AE715:AE724)</f>
        <v>0</v>
      </c>
      <c r="AF725" s="164">
        <f t="shared" ref="AF725" si="1414">SUM(AF715:AF724)</f>
        <v>0</v>
      </c>
      <c r="AG725" s="164">
        <f t="shared" ref="AG725" si="1415">SUM(AG715:AG724)</f>
        <v>0</v>
      </c>
      <c r="AH725" s="164">
        <f t="shared" ref="AH725" si="1416">SUM(AH715:AH724)</f>
        <v>0</v>
      </c>
      <c r="AI725" s="164">
        <f t="shared" ref="AI725" si="1417">SUM(AI715:AI724)</f>
        <v>0</v>
      </c>
      <c r="AJ725" s="164">
        <f t="shared" ref="AJ725" si="1418">SUM(AJ715:AJ724)</f>
        <v>0</v>
      </c>
      <c r="AK725" s="164">
        <f t="shared" ref="AK725" si="1419">SUM(AK715:AK724)</f>
        <v>0</v>
      </c>
      <c r="AL725" s="164">
        <f t="shared" ref="AL725" si="1420">SUM(AL715:AL724)</f>
        <v>0</v>
      </c>
      <c r="AM725" s="164">
        <f t="shared" ref="AM725" si="1421">SUM(AM715:AM724)</f>
        <v>0</v>
      </c>
      <c r="AN725" s="164">
        <f t="shared" ref="AN725" si="1422">SUM(AN715:AN724)</f>
        <v>0</v>
      </c>
      <c r="AO725" s="164">
        <f t="shared" ref="AO725" si="1423">SUM(AO715:AO724)</f>
        <v>0</v>
      </c>
      <c r="AP725" s="164">
        <f t="shared" ref="AP725" si="1424">SUM(AP715:AP724)</f>
        <v>0</v>
      </c>
    </row>
    <row r="726" spans="1:42">
      <c r="A726" s="37" t="s">
        <v>209</v>
      </c>
      <c r="B726" s="164"/>
      <c r="C726" s="164"/>
      <c r="D726" s="164"/>
      <c r="E726" s="164"/>
      <c r="F726" s="164"/>
      <c r="G726" s="208"/>
      <c r="H726" s="208"/>
      <c r="I726" s="208"/>
      <c r="J726" s="208"/>
      <c r="K726" s="208"/>
      <c r="L726" s="208"/>
      <c r="M726" s="208"/>
      <c r="N726" s="208"/>
      <c r="O726" s="208"/>
      <c r="P726" s="208"/>
      <c r="Q726" s="208"/>
      <c r="R726" s="208"/>
      <c r="S726" s="208"/>
      <c r="T726" s="208"/>
      <c r="U726" s="208"/>
      <c r="V726" s="208"/>
      <c r="W726" s="208"/>
      <c r="X726" s="208"/>
      <c r="Y726" s="208"/>
      <c r="Z726" s="208"/>
      <c r="AA726" s="208"/>
      <c r="AB726" s="208"/>
      <c r="AC726" s="208"/>
      <c r="AD726" s="208"/>
      <c r="AE726" s="208"/>
      <c r="AF726" s="208"/>
      <c r="AG726" s="208"/>
      <c r="AH726" s="208"/>
      <c r="AI726" s="208"/>
      <c r="AJ726" s="208"/>
      <c r="AK726" s="208"/>
      <c r="AL726" s="208"/>
      <c r="AM726" s="208"/>
      <c r="AN726" s="208"/>
      <c r="AO726" s="208"/>
      <c r="AP726" s="208"/>
    </row>
    <row r="727" spans="1:42">
      <c r="A727" s="37">
        <v>1</v>
      </c>
      <c r="B727" s="218">
        <f t="shared" ref="B727:B736" si="1425">SUM(C727:AP727)</f>
        <v>2944872.3435013145</v>
      </c>
      <c r="C727" s="164">
        <f t="shared" ref="C727:AP727" si="1426">IF(C$2&lt;=MMFrequency*$A$715,$B$715/(MMFrequency),0)</f>
        <v>245406.02862510949</v>
      </c>
      <c r="D727" s="164">
        <f t="shared" si="1426"/>
        <v>245406.02862510949</v>
      </c>
      <c r="E727" s="164">
        <f t="shared" si="1426"/>
        <v>245406.02862510949</v>
      </c>
      <c r="F727" s="164">
        <f t="shared" si="1426"/>
        <v>245406.02862510949</v>
      </c>
      <c r="G727" s="164">
        <f t="shared" si="1426"/>
        <v>245406.02862510949</v>
      </c>
      <c r="H727" s="164">
        <f t="shared" si="1426"/>
        <v>245406.02862510949</v>
      </c>
      <c r="I727" s="164">
        <f t="shared" si="1426"/>
        <v>245406.02862510949</v>
      </c>
      <c r="J727" s="164">
        <f t="shared" si="1426"/>
        <v>245406.02862510949</v>
      </c>
      <c r="K727" s="164">
        <f t="shared" si="1426"/>
        <v>245406.02862510949</v>
      </c>
      <c r="L727" s="164">
        <f t="shared" si="1426"/>
        <v>245406.02862510949</v>
      </c>
      <c r="M727" s="164">
        <f t="shared" si="1426"/>
        <v>245406.02862510949</v>
      </c>
      <c r="N727" s="164">
        <f t="shared" si="1426"/>
        <v>245406.02862510949</v>
      </c>
      <c r="O727" s="164">
        <f t="shared" si="1426"/>
        <v>0</v>
      </c>
      <c r="P727" s="164">
        <f t="shared" si="1426"/>
        <v>0</v>
      </c>
      <c r="Q727" s="164">
        <f t="shared" si="1426"/>
        <v>0</v>
      </c>
      <c r="R727" s="164">
        <f t="shared" si="1426"/>
        <v>0</v>
      </c>
      <c r="S727" s="164">
        <f t="shared" si="1426"/>
        <v>0</v>
      </c>
      <c r="T727" s="164">
        <f t="shared" si="1426"/>
        <v>0</v>
      </c>
      <c r="U727" s="164">
        <f t="shared" si="1426"/>
        <v>0</v>
      </c>
      <c r="V727" s="164">
        <f t="shared" si="1426"/>
        <v>0</v>
      </c>
      <c r="W727" s="164">
        <f t="shared" si="1426"/>
        <v>0</v>
      </c>
      <c r="X727" s="164">
        <f t="shared" si="1426"/>
        <v>0</v>
      </c>
      <c r="Y727" s="164">
        <f t="shared" si="1426"/>
        <v>0</v>
      </c>
      <c r="Z727" s="164">
        <f t="shared" si="1426"/>
        <v>0</v>
      </c>
      <c r="AA727" s="164">
        <f t="shared" si="1426"/>
        <v>0</v>
      </c>
      <c r="AB727" s="164">
        <f t="shared" si="1426"/>
        <v>0</v>
      </c>
      <c r="AC727" s="164">
        <f t="shared" si="1426"/>
        <v>0</v>
      </c>
      <c r="AD727" s="164">
        <f t="shared" si="1426"/>
        <v>0</v>
      </c>
      <c r="AE727" s="164">
        <f t="shared" si="1426"/>
        <v>0</v>
      </c>
      <c r="AF727" s="164">
        <f t="shared" si="1426"/>
        <v>0</v>
      </c>
      <c r="AG727" s="164">
        <f t="shared" si="1426"/>
        <v>0</v>
      </c>
      <c r="AH727" s="164">
        <f t="shared" si="1426"/>
        <v>0</v>
      </c>
      <c r="AI727" s="164">
        <f t="shared" si="1426"/>
        <v>0</v>
      </c>
      <c r="AJ727" s="164">
        <f t="shared" si="1426"/>
        <v>0</v>
      </c>
      <c r="AK727" s="164">
        <f t="shared" si="1426"/>
        <v>0</v>
      </c>
      <c r="AL727" s="164">
        <f t="shared" si="1426"/>
        <v>0</v>
      </c>
      <c r="AM727" s="164">
        <f t="shared" si="1426"/>
        <v>0</v>
      </c>
      <c r="AN727" s="164">
        <f t="shared" si="1426"/>
        <v>0</v>
      </c>
      <c r="AO727" s="164">
        <f t="shared" si="1426"/>
        <v>0</v>
      </c>
      <c r="AP727" s="164">
        <f t="shared" si="1426"/>
        <v>0</v>
      </c>
    </row>
    <row r="728" spans="1:42">
      <c r="A728" s="37">
        <f>A727+1</f>
        <v>2</v>
      </c>
      <c r="B728" s="218">
        <f t="shared" si="1425"/>
        <v>3520942.886524681</v>
      </c>
      <c r="C728" s="250">
        <f t="shared" ref="C728:AP728" si="1427">IF(AND(C$2&gt;MMFrequency*$A715,C$2&lt;=MMFrequency*$A716),$B716/(MMFrequency),0)</f>
        <v>0</v>
      </c>
      <c r="D728" s="208">
        <f t="shared" si="1427"/>
        <v>0</v>
      </c>
      <c r="E728" s="208">
        <f t="shared" si="1427"/>
        <v>0</v>
      </c>
      <c r="F728" s="208">
        <f t="shared" si="1427"/>
        <v>0</v>
      </c>
      <c r="G728" s="208">
        <f t="shared" si="1427"/>
        <v>0</v>
      </c>
      <c r="H728" s="208">
        <f t="shared" si="1427"/>
        <v>0</v>
      </c>
      <c r="I728" s="208">
        <f t="shared" si="1427"/>
        <v>0</v>
      </c>
      <c r="J728" s="208">
        <f t="shared" si="1427"/>
        <v>0</v>
      </c>
      <c r="K728" s="208">
        <f t="shared" si="1427"/>
        <v>0</v>
      </c>
      <c r="L728" s="208">
        <f t="shared" si="1427"/>
        <v>0</v>
      </c>
      <c r="M728" s="208">
        <f t="shared" si="1427"/>
        <v>0</v>
      </c>
      <c r="N728" s="208">
        <f t="shared" si="1427"/>
        <v>0</v>
      </c>
      <c r="O728" s="208">
        <f t="shared" si="1427"/>
        <v>293411.90721039008</v>
      </c>
      <c r="P728" s="208">
        <f t="shared" si="1427"/>
        <v>293411.90721039008</v>
      </c>
      <c r="Q728" s="208">
        <f t="shared" si="1427"/>
        <v>293411.90721039008</v>
      </c>
      <c r="R728" s="208">
        <f t="shared" si="1427"/>
        <v>293411.90721039008</v>
      </c>
      <c r="S728" s="208">
        <f t="shared" si="1427"/>
        <v>293411.90721039008</v>
      </c>
      <c r="T728" s="208">
        <f t="shared" si="1427"/>
        <v>293411.90721039008</v>
      </c>
      <c r="U728" s="208">
        <f t="shared" si="1427"/>
        <v>293411.90721039008</v>
      </c>
      <c r="V728" s="208">
        <f t="shared" si="1427"/>
        <v>293411.90721039008</v>
      </c>
      <c r="W728" s="208">
        <f t="shared" si="1427"/>
        <v>293411.90721039008</v>
      </c>
      <c r="X728" s="208">
        <f t="shared" si="1427"/>
        <v>293411.90721039008</v>
      </c>
      <c r="Y728" s="208">
        <f t="shared" si="1427"/>
        <v>293411.90721039008</v>
      </c>
      <c r="Z728" s="208">
        <f t="shared" si="1427"/>
        <v>293411.90721039008</v>
      </c>
      <c r="AA728" s="208">
        <f t="shared" si="1427"/>
        <v>0</v>
      </c>
      <c r="AB728" s="208">
        <f t="shared" si="1427"/>
        <v>0</v>
      </c>
      <c r="AC728" s="208">
        <f t="shared" si="1427"/>
        <v>0</v>
      </c>
      <c r="AD728" s="208">
        <f t="shared" si="1427"/>
        <v>0</v>
      </c>
      <c r="AE728" s="208">
        <f t="shared" si="1427"/>
        <v>0</v>
      </c>
      <c r="AF728" s="208">
        <f t="shared" si="1427"/>
        <v>0</v>
      </c>
      <c r="AG728" s="208">
        <f t="shared" si="1427"/>
        <v>0</v>
      </c>
      <c r="AH728" s="208">
        <f t="shared" si="1427"/>
        <v>0</v>
      </c>
      <c r="AI728" s="208">
        <f t="shared" si="1427"/>
        <v>0</v>
      </c>
      <c r="AJ728" s="208">
        <f t="shared" si="1427"/>
        <v>0</v>
      </c>
      <c r="AK728" s="208">
        <f t="shared" si="1427"/>
        <v>0</v>
      </c>
      <c r="AL728" s="208">
        <f t="shared" si="1427"/>
        <v>0</v>
      </c>
      <c r="AM728" s="208">
        <f t="shared" si="1427"/>
        <v>0</v>
      </c>
      <c r="AN728" s="208">
        <f t="shared" si="1427"/>
        <v>0</v>
      </c>
      <c r="AO728" s="208">
        <f t="shared" si="1427"/>
        <v>0</v>
      </c>
      <c r="AP728" s="208">
        <f t="shared" si="1427"/>
        <v>0</v>
      </c>
    </row>
    <row r="729" spans="1:42">
      <c r="A729" s="37">
        <f t="shared" ref="A729:A734" si="1428">A728+1</f>
        <v>3</v>
      </c>
      <c r="B729" s="218">
        <f t="shared" si="1425"/>
        <v>0</v>
      </c>
      <c r="C729" s="250">
        <f t="shared" ref="C729:AP729" si="1429">IF(AND(C$2&gt;MMFrequency*$A716,C$2&lt;=MMFrequency*$A717),$B717/(MMFrequency),0)</f>
        <v>0</v>
      </c>
      <c r="D729" s="208">
        <f t="shared" si="1429"/>
        <v>0</v>
      </c>
      <c r="E729" s="208">
        <f t="shared" si="1429"/>
        <v>0</v>
      </c>
      <c r="F729" s="208">
        <f t="shared" si="1429"/>
        <v>0</v>
      </c>
      <c r="G729" s="208">
        <f t="shared" si="1429"/>
        <v>0</v>
      </c>
      <c r="H729" s="208">
        <f t="shared" si="1429"/>
        <v>0</v>
      </c>
      <c r="I729" s="208">
        <f t="shared" si="1429"/>
        <v>0</v>
      </c>
      <c r="J729" s="208">
        <f t="shared" si="1429"/>
        <v>0</v>
      </c>
      <c r="K729" s="208">
        <f t="shared" si="1429"/>
        <v>0</v>
      </c>
      <c r="L729" s="208">
        <f t="shared" si="1429"/>
        <v>0</v>
      </c>
      <c r="M729" s="208">
        <f t="shared" si="1429"/>
        <v>0</v>
      </c>
      <c r="N729" s="208">
        <f t="shared" si="1429"/>
        <v>0</v>
      </c>
      <c r="O729" s="208">
        <f t="shared" si="1429"/>
        <v>0</v>
      </c>
      <c r="P729" s="208">
        <f t="shared" si="1429"/>
        <v>0</v>
      </c>
      <c r="Q729" s="208">
        <f t="shared" si="1429"/>
        <v>0</v>
      </c>
      <c r="R729" s="208">
        <f t="shared" si="1429"/>
        <v>0</v>
      </c>
      <c r="S729" s="208">
        <f t="shared" si="1429"/>
        <v>0</v>
      </c>
      <c r="T729" s="208">
        <f t="shared" si="1429"/>
        <v>0</v>
      </c>
      <c r="U729" s="208">
        <f t="shared" si="1429"/>
        <v>0</v>
      </c>
      <c r="V729" s="208">
        <f t="shared" si="1429"/>
        <v>0</v>
      </c>
      <c r="W729" s="208">
        <f t="shared" si="1429"/>
        <v>0</v>
      </c>
      <c r="X729" s="208">
        <f t="shared" si="1429"/>
        <v>0</v>
      </c>
      <c r="Y729" s="208">
        <f t="shared" si="1429"/>
        <v>0</v>
      </c>
      <c r="Z729" s="208">
        <f t="shared" si="1429"/>
        <v>0</v>
      </c>
      <c r="AA729" s="208">
        <f t="shared" si="1429"/>
        <v>0</v>
      </c>
      <c r="AB729" s="208">
        <f t="shared" si="1429"/>
        <v>0</v>
      </c>
      <c r="AC729" s="208">
        <f t="shared" si="1429"/>
        <v>0</v>
      </c>
      <c r="AD729" s="208">
        <f t="shared" si="1429"/>
        <v>0</v>
      </c>
      <c r="AE729" s="208">
        <f t="shared" si="1429"/>
        <v>0</v>
      </c>
      <c r="AF729" s="208">
        <f t="shared" si="1429"/>
        <v>0</v>
      </c>
      <c r="AG729" s="208">
        <f t="shared" si="1429"/>
        <v>0</v>
      </c>
      <c r="AH729" s="208">
        <f t="shared" si="1429"/>
        <v>0</v>
      </c>
      <c r="AI729" s="208">
        <f t="shared" si="1429"/>
        <v>0</v>
      </c>
      <c r="AJ729" s="208">
        <f t="shared" si="1429"/>
        <v>0</v>
      </c>
      <c r="AK729" s="208">
        <f t="shared" si="1429"/>
        <v>0</v>
      </c>
      <c r="AL729" s="208">
        <f t="shared" si="1429"/>
        <v>0</v>
      </c>
      <c r="AM729" s="208">
        <f t="shared" si="1429"/>
        <v>0</v>
      </c>
      <c r="AN729" s="208">
        <f t="shared" si="1429"/>
        <v>0</v>
      </c>
      <c r="AO729" s="208">
        <f t="shared" si="1429"/>
        <v>0</v>
      </c>
      <c r="AP729" s="208">
        <f t="shared" si="1429"/>
        <v>0</v>
      </c>
    </row>
    <row r="730" spans="1:42">
      <c r="A730" s="37">
        <f t="shared" si="1428"/>
        <v>4</v>
      </c>
      <c r="B730" s="218">
        <f t="shared" si="1425"/>
        <v>0</v>
      </c>
      <c r="C730" s="250">
        <f t="shared" ref="C730:AP730" si="1430">IF(AND(C$2&gt;MMFrequency*$A717,C$2&lt;=MMFrequency*$A718),$B718/(MMFrequency),0)</f>
        <v>0</v>
      </c>
      <c r="D730" s="208">
        <f t="shared" si="1430"/>
        <v>0</v>
      </c>
      <c r="E730" s="208">
        <f t="shared" si="1430"/>
        <v>0</v>
      </c>
      <c r="F730" s="208">
        <f t="shared" si="1430"/>
        <v>0</v>
      </c>
      <c r="G730" s="208">
        <f t="shared" si="1430"/>
        <v>0</v>
      </c>
      <c r="H730" s="208">
        <f t="shared" si="1430"/>
        <v>0</v>
      </c>
      <c r="I730" s="208">
        <f t="shared" si="1430"/>
        <v>0</v>
      </c>
      <c r="J730" s="208">
        <f t="shared" si="1430"/>
        <v>0</v>
      </c>
      <c r="K730" s="208">
        <f t="shared" si="1430"/>
        <v>0</v>
      </c>
      <c r="L730" s="208">
        <f t="shared" si="1430"/>
        <v>0</v>
      </c>
      <c r="M730" s="208">
        <f t="shared" si="1430"/>
        <v>0</v>
      </c>
      <c r="N730" s="208">
        <f t="shared" si="1430"/>
        <v>0</v>
      </c>
      <c r="O730" s="208">
        <f t="shared" si="1430"/>
        <v>0</v>
      </c>
      <c r="P730" s="208">
        <f t="shared" si="1430"/>
        <v>0</v>
      </c>
      <c r="Q730" s="208">
        <f t="shared" si="1430"/>
        <v>0</v>
      </c>
      <c r="R730" s="208">
        <f t="shared" si="1430"/>
        <v>0</v>
      </c>
      <c r="S730" s="208">
        <f t="shared" si="1430"/>
        <v>0</v>
      </c>
      <c r="T730" s="208">
        <f t="shared" si="1430"/>
        <v>0</v>
      </c>
      <c r="U730" s="208">
        <f t="shared" si="1430"/>
        <v>0</v>
      </c>
      <c r="V730" s="208">
        <f t="shared" si="1430"/>
        <v>0</v>
      </c>
      <c r="W730" s="208">
        <f t="shared" si="1430"/>
        <v>0</v>
      </c>
      <c r="X730" s="208">
        <f t="shared" si="1430"/>
        <v>0</v>
      </c>
      <c r="Y730" s="208">
        <f t="shared" si="1430"/>
        <v>0</v>
      </c>
      <c r="Z730" s="208">
        <f t="shared" si="1430"/>
        <v>0</v>
      </c>
      <c r="AA730" s="208">
        <f t="shared" si="1430"/>
        <v>0</v>
      </c>
      <c r="AB730" s="208">
        <f t="shared" si="1430"/>
        <v>0</v>
      </c>
      <c r="AC730" s="208">
        <f t="shared" si="1430"/>
        <v>0</v>
      </c>
      <c r="AD730" s="208">
        <f t="shared" si="1430"/>
        <v>0</v>
      </c>
      <c r="AE730" s="208">
        <f t="shared" si="1430"/>
        <v>0</v>
      </c>
      <c r="AF730" s="208">
        <f t="shared" si="1430"/>
        <v>0</v>
      </c>
      <c r="AG730" s="208">
        <f t="shared" si="1430"/>
        <v>0</v>
      </c>
      <c r="AH730" s="208">
        <f t="shared" si="1430"/>
        <v>0</v>
      </c>
      <c r="AI730" s="208">
        <f t="shared" si="1430"/>
        <v>0</v>
      </c>
      <c r="AJ730" s="208">
        <f t="shared" si="1430"/>
        <v>0</v>
      </c>
      <c r="AK730" s="208">
        <f t="shared" si="1430"/>
        <v>0</v>
      </c>
      <c r="AL730" s="208">
        <f t="shared" si="1430"/>
        <v>0</v>
      </c>
      <c r="AM730" s="208">
        <f t="shared" si="1430"/>
        <v>0</v>
      </c>
      <c r="AN730" s="208">
        <f t="shared" si="1430"/>
        <v>0</v>
      </c>
      <c r="AO730" s="208">
        <f t="shared" si="1430"/>
        <v>0</v>
      </c>
      <c r="AP730" s="208">
        <f t="shared" si="1430"/>
        <v>0</v>
      </c>
    </row>
    <row r="731" spans="1:42">
      <c r="A731" s="37">
        <f t="shared" si="1428"/>
        <v>5</v>
      </c>
      <c r="B731" s="218">
        <f t="shared" si="1425"/>
        <v>0</v>
      </c>
      <c r="C731" s="250">
        <f t="shared" ref="C731:AP731" si="1431">IF(AND(C$2&gt;MMFrequency*$A718,C$2&lt;=MMFrequency*$A719),$B719/(MMFrequency),0)</f>
        <v>0</v>
      </c>
      <c r="D731" s="208">
        <f t="shared" si="1431"/>
        <v>0</v>
      </c>
      <c r="E731" s="208">
        <f t="shared" si="1431"/>
        <v>0</v>
      </c>
      <c r="F731" s="208">
        <f t="shared" si="1431"/>
        <v>0</v>
      </c>
      <c r="G731" s="208">
        <f t="shared" si="1431"/>
        <v>0</v>
      </c>
      <c r="H731" s="208">
        <f t="shared" si="1431"/>
        <v>0</v>
      </c>
      <c r="I731" s="208">
        <f t="shared" si="1431"/>
        <v>0</v>
      </c>
      <c r="J731" s="208">
        <f t="shared" si="1431"/>
        <v>0</v>
      </c>
      <c r="K731" s="208">
        <f t="shared" si="1431"/>
        <v>0</v>
      </c>
      <c r="L731" s="208">
        <f t="shared" si="1431"/>
        <v>0</v>
      </c>
      <c r="M731" s="208">
        <f t="shared" si="1431"/>
        <v>0</v>
      </c>
      <c r="N731" s="208">
        <f t="shared" si="1431"/>
        <v>0</v>
      </c>
      <c r="O731" s="208">
        <f t="shared" si="1431"/>
        <v>0</v>
      </c>
      <c r="P731" s="208">
        <f t="shared" si="1431"/>
        <v>0</v>
      </c>
      <c r="Q731" s="208">
        <f t="shared" si="1431"/>
        <v>0</v>
      </c>
      <c r="R731" s="208">
        <f t="shared" si="1431"/>
        <v>0</v>
      </c>
      <c r="S731" s="208">
        <f t="shared" si="1431"/>
        <v>0</v>
      </c>
      <c r="T731" s="208">
        <f t="shared" si="1431"/>
        <v>0</v>
      </c>
      <c r="U731" s="208">
        <f t="shared" si="1431"/>
        <v>0</v>
      </c>
      <c r="V731" s="208">
        <f t="shared" si="1431"/>
        <v>0</v>
      </c>
      <c r="W731" s="208">
        <f t="shared" si="1431"/>
        <v>0</v>
      </c>
      <c r="X731" s="208">
        <f t="shared" si="1431"/>
        <v>0</v>
      </c>
      <c r="Y731" s="208">
        <f t="shared" si="1431"/>
        <v>0</v>
      </c>
      <c r="Z731" s="208">
        <f t="shared" si="1431"/>
        <v>0</v>
      </c>
      <c r="AA731" s="208">
        <f t="shared" si="1431"/>
        <v>0</v>
      </c>
      <c r="AB731" s="208">
        <f t="shared" si="1431"/>
        <v>0</v>
      </c>
      <c r="AC731" s="208">
        <f t="shared" si="1431"/>
        <v>0</v>
      </c>
      <c r="AD731" s="208">
        <f t="shared" si="1431"/>
        <v>0</v>
      </c>
      <c r="AE731" s="208">
        <f t="shared" si="1431"/>
        <v>0</v>
      </c>
      <c r="AF731" s="208">
        <f t="shared" si="1431"/>
        <v>0</v>
      </c>
      <c r="AG731" s="208">
        <f t="shared" si="1431"/>
        <v>0</v>
      </c>
      <c r="AH731" s="208">
        <f t="shared" si="1431"/>
        <v>0</v>
      </c>
      <c r="AI731" s="208">
        <f t="shared" si="1431"/>
        <v>0</v>
      </c>
      <c r="AJ731" s="208">
        <f t="shared" si="1431"/>
        <v>0</v>
      </c>
      <c r="AK731" s="208">
        <f t="shared" si="1431"/>
        <v>0</v>
      </c>
      <c r="AL731" s="208">
        <f t="shared" si="1431"/>
        <v>0</v>
      </c>
      <c r="AM731" s="208">
        <f t="shared" si="1431"/>
        <v>0</v>
      </c>
      <c r="AN731" s="208">
        <f t="shared" si="1431"/>
        <v>0</v>
      </c>
      <c r="AO731" s="208">
        <f t="shared" si="1431"/>
        <v>0</v>
      </c>
      <c r="AP731" s="208">
        <f t="shared" si="1431"/>
        <v>0</v>
      </c>
    </row>
    <row r="732" spans="1:42">
      <c r="A732" s="37">
        <f t="shared" si="1428"/>
        <v>6</v>
      </c>
      <c r="B732" s="218">
        <f t="shared" si="1425"/>
        <v>0</v>
      </c>
      <c r="C732" s="250">
        <f t="shared" ref="C732:AP732" si="1432">IF(AND(C$2&gt;MMFrequency*$A719,C$2&lt;=MMFrequency*$A720),$B720/(MMFrequency),0)</f>
        <v>0</v>
      </c>
      <c r="D732" s="208">
        <f t="shared" si="1432"/>
        <v>0</v>
      </c>
      <c r="E732" s="208">
        <f t="shared" si="1432"/>
        <v>0</v>
      </c>
      <c r="F732" s="208">
        <f t="shared" si="1432"/>
        <v>0</v>
      </c>
      <c r="G732" s="208">
        <f t="shared" si="1432"/>
        <v>0</v>
      </c>
      <c r="H732" s="208">
        <f t="shared" si="1432"/>
        <v>0</v>
      </c>
      <c r="I732" s="208">
        <f t="shared" si="1432"/>
        <v>0</v>
      </c>
      <c r="J732" s="208">
        <f t="shared" si="1432"/>
        <v>0</v>
      </c>
      <c r="K732" s="208">
        <f t="shared" si="1432"/>
        <v>0</v>
      </c>
      <c r="L732" s="208">
        <f t="shared" si="1432"/>
        <v>0</v>
      </c>
      <c r="M732" s="208">
        <f t="shared" si="1432"/>
        <v>0</v>
      </c>
      <c r="N732" s="208">
        <f t="shared" si="1432"/>
        <v>0</v>
      </c>
      <c r="O732" s="208">
        <f t="shared" si="1432"/>
        <v>0</v>
      </c>
      <c r="P732" s="208">
        <f t="shared" si="1432"/>
        <v>0</v>
      </c>
      <c r="Q732" s="208">
        <f t="shared" si="1432"/>
        <v>0</v>
      </c>
      <c r="R732" s="208">
        <f t="shared" si="1432"/>
        <v>0</v>
      </c>
      <c r="S732" s="208">
        <f t="shared" si="1432"/>
        <v>0</v>
      </c>
      <c r="T732" s="208">
        <f t="shared" si="1432"/>
        <v>0</v>
      </c>
      <c r="U732" s="208">
        <f t="shared" si="1432"/>
        <v>0</v>
      </c>
      <c r="V732" s="208">
        <f t="shared" si="1432"/>
        <v>0</v>
      </c>
      <c r="W732" s="208">
        <f t="shared" si="1432"/>
        <v>0</v>
      </c>
      <c r="X732" s="208">
        <f t="shared" si="1432"/>
        <v>0</v>
      </c>
      <c r="Y732" s="208">
        <f t="shared" si="1432"/>
        <v>0</v>
      </c>
      <c r="Z732" s="208">
        <f t="shared" si="1432"/>
        <v>0</v>
      </c>
      <c r="AA732" s="208">
        <f t="shared" si="1432"/>
        <v>0</v>
      </c>
      <c r="AB732" s="208">
        <f t="shared" si="1432"/>
        <v>0</v>
      </c>
      <c r="AC732" s="208">
        <f t="shared" si="1432"/>
        <v>0</v>
      </c>
      <c r="AD732" s="208">
        <f t="shared" si="1432"/>
        <v>0</v>
      </c>
      <c r="AE732" s="208">
        <f t="shared" si="1432"/>
        <v>0</v>
      </c>
      <c r="AF732" s="208">
        <f t="shared" si="1432"/>
        <v>0</v>
      </c>
      <c r="AG732" s="208">
        <f t="shared" si="1432"/>
        <v>0</v>
      </c>
      <c r="AH732" s="208">
        <f t="shared" si="1432"/>
        <v>0</v>
      </c>
      <c r="AI732" s="208">
        <f t="shared" si="1432"/>
        <v>0</v>
      </c>
      <c r="AJ732" s="208">
        <f t="shared" si="1432"/>
        <v>0</v>
      </c>
      <c r="AK732" s="208">
        <f t="shared" si="1432"/>
        <v>0</v>
      </c>
      <c r="AL732" s="208">
        <f t="shared" si="1432"/>
        <v>0</v>
      </c>
      <c r="AM732" s="208">
        <f t="shared" si="1432"/>
        <v>0</v>
      </c>
      <c r="AN732" s="208">
        <f t="shared" si="1432"/>
        <v>0</v>
      </c>
      <c r="AO732" s="208">
        <f t="shared" si="1432"/>
        <v>0</v>
      </c>
      <c r="AP732" s="208">
        <f t="shared" si="1432"/>
        <v>0</v>
      </c>
    </row>
    <row r="733" spans="1:42">
      <c r="A733" s="37">
        <f t="shared" si="1428"/>
        <v>7</v>
      </c>
      <c r="B733" s="218">
        <f t="shared" si="1425"/>
        <v>0</v>
      </c>
      <c r="C733" s="250">
        <f t="shared" ref="C733:AP733" si="1433">IF(AND(C$2&gt;MMFrequency*$A720,C$2&lt;=MMFrequency*$A721),$B721/(MMFrequency),0)</f>
        <v>0</v>
      </c>
      <c r="D733" s="208">
        <f t="shared" si="1433"/>
        <v>0</v>
      </c>
      <c r="E733" s="208">
        <f t="shared" si="1433"/>
        <v>0</v>
      </c>
      <c r="F733" s="208">
        <f t="shared" si="1433"/>
        <v>0</v>
      </c>
      <c r="G733" s="208">
        <f t="shared" si="1433"/>
        <v>0</v>
      </c>
      <c r="H733" s="208">
        <f t="shared" si="1433"/>
        <v>0</v>
      </c>
      <c r="I733" s="208">
        <f t="shared" si="1433"/>
        <v>0</v>
      </c>
      <c r="J733" s="208">
        <f t="shared" si="1433"/>
        <v>0</v>
      </c>
      <c r="K733" s="208">
        <f t="shared" si="1433"/>
        <v>0</v>
      </c>
      <c r="L733" s="208">
        <f t="shared" si="1433"/>
        <v>0</v>
      </c>
      <c r="M733" s="208">
        <f t="shared" si="1433"/>
        <v>0</v>
      </c>
      <c r="N733" s="208">
        <f t="shared" si="1433"/>
        <v>0</v>
      </c>
      <c r="O733" s="208">
        <f t="shared" si="1433"/>
        <v>0</v>
      </c>
      <c r="P733" s="208">
        <f t="shared" si="1433"/>
        <v>0</v>
      </c>
      <c r="Q733" s="208">
        <f t="shared" si="1433"/>
        <v>0</v>
      </c>
      <c r="R733" s="208">
        <f t="shared" si="1433"/>
        <v>0</v>
      </c>
      <c r="S733" s="208">
        <f t="shared" si="1433"/>
        <v>0</v>
      </c>
      <c r="T733" s="208">
        <f t="shared" si="1433"/>
        <v>0</v>
      </c>
      <c r="U733" s="208">
        <f t="shared" si="1433"/>
        <v>0</v>
      </c>
      <c r="V733" s="208">
        <f t="shared" si="1433"/>
        <v>0</v>
      </c>
      <c r="W733" s="208">
        <f t="shared" si="1433"/>
        <v>0</v>
      </c>
      <c r="X733" s="208">
        <f t="shared" si="1433"/>
        <v>0</v>
      </c>
      <c r="Y733" s="208">
        <f t="shared" si="1433"/>
        <v>0</v>
      </c>
      <c r="Z733" s="208">
        <f t="shared" si="1433"/>
        <v>0</v>
      </c>
      <c r="AA733" s="208">
        <f t="shared" si="1433"/>
        <v>0</v>
      </c>
      <c r="AB733" s="208">
        <f t="shared" si="1433"/>
        <v>0</v>
      </c>
      <c r="AC733" s="208">
        <f t="shared" si="1433"/>
        <v>0</v>
      </c>
      <c r="AD733" s="208">
        <f t="shared" si="1433"/>
        <v>0</v>
      </c>
      <c r="AE733" s="208">
        <f t="shared" si="1433"/>
        <v>0</v>
      </c>
      <c r="AF733" s="208">
        <f t="shared" si="1433"/>
        <v>0</v>
      </c>
      <c r="AG733" s="208">
        <f t="shared" si="1433"/>
        <v>0</v>
      </c>
      <c r="AH733" s="208">
        <f t="shared" si="1433"/>
        <v>0</v>
      </c>
      <c r="AI733" s="208">
        <f t="shared" si="1433"/>
        <v>0</v>
      </c>
      <c r="AJ733" s="208">
        <f t="shared" si="1433"/>
        <v>0</v>
      </c>
      <c r="AK733" s="208">
        <f t="shared" si="1433"/>
        <v>0</v>
      </c>
      <c r="AL733" s="208">
        <f t="shared" si="1433"/>
        <v>0</v>
      </c>
      <c r="AM733" s="208">
        <f t="shared" si="1433"/>
        <v>0</v>
      </c>
      <c r="AN733" s="208">
        <f t="shared" si="1433"/>
        <v>0</v>
      </c>
      <c r="AO733" s="208">
        <f t="shared" si="1433"/>
        <v>0</v>
      </c>
      <c r="AP733" s="208">
        <f t="shared" si="1433"/>
        <v>0</v>
      </c>
    </row>
    <row r="734" spans="1:42">
      <c r="A734" s="37">
        <f t="shared" si="1428"/>
        <v>8</v>
      </c>
      <c r="B734" s="218">
        <f t="shared" si="1425"/>
        <v>0</v>
      </c>
      <c r="C734" s="250">
        <f t="shared" ref="C734:AP734" si="1434">IF(AND(C$2&gt;MMFrequency*$A721,C$2&lt;=MMFrequency*$A722),$B722/(MMFrequency),0)</f>
        <v>0</v>
      </c>
      <c r="D734" s="208">
        <f t="shared" si="1434"/>
        <v>0</v>
      </c>
      <c r="E734" s="208">
        <f t="shared" si="1434"/>
        <v>0</v>
      </c>
      <c r="F734" s="208">
        <f t="shared" si="1434"/>
        <v>0</v>
      </c>
      <c r="G734" s="208">
        <f t="shared" si="1434"/>
        <v>0</v>
      </c>
      <c r="H734" s="208">
        <f t="shared" si="1434"/>
        <v>0</v>
      </c>
      <c r="I734" s="208">
        <f t="shared" si="1434"/>
        <v>0</v>
      </c>
      <c r="J734" s="208">
        <f t="shared" si="1434"/>
        <v>0</v>
      </c>
      <c r="K734" s="208">
        <f t="shared" si="1434"/>
        <v>0</v>
      </c>
      <c r="L734" s="208">
        <f t="shared" si="1434"/>
        <v>0</v>
      </c>
      <c r="M734" s="208">
        <f t="shared" si="1434"/>
        <v>0</v>
      </c>
      <c r="N734" s="208">
        <f t="shared" si="1434"/>
        <v>0</v>
      </c>
      <c r="O734" s="208">
        <f t="shared" si="1434"/>
        <v>0</v>
      </c>
      <c r="P734" s="208">
        <f t="shared" si="1434"/>
        <v>0</v>
      </c>
      <c r="Q734" s="208">
        <f t="shared" si="1434"/>
        <v>0</v>
      </c>
      <c r="R734" s="208">
        <f t="shared" si="1434"/>
        <v>0</v>
      </c>
      <c r="S734" s="208">
        <f t="shared" si="1434"/>
        <v>0</v>
      </c>
      <c r="T734" s="208">
        <f t="shared" si="1434"/>
        <v>0</v>
      </c>
      <c r="U734" s="208">
        <f t="shared" si="1434"/>
        <v>0</v>
      </c>
      <c r="V734" s="208">
        <f t="shared" si="1434"/>
        <v>0</v>
      </c>
      <c r="W734" s="208">
        <f t="shared" si="1434"/>
        <v>0</v>
      </c>
      <c r="X734" s="208">
        <f t="shared" si="1434"/>
        <v>0</v>
      </c>
      <c r="Y734" s="208">
        <f t="shared" si="1434"/>
        <v>0</v>
      </c>
      <c r="Z734" s="208">
        <f t="shared" si="1434"/>
        <v>0</v>
      </c>
      <c r="AA734" s="208">
        <f t="shared" si="1434"/>
        <v>0</v>
      </c>
      <c r="AB734" s="208">
        <f t="shared" si="1434"/>
        <v>0</v>
      </c>
      <c r="AC734" s="208">
        <f t="shared" si="1434"/>
        <v>0</v>
      </c>
      <c r="AD734" s="208">
        <f t="shared" si="1434"/>
        <v>0</v>
      </c>
      <c r="AE734" s="208">
        <f t="shared" si="1434"/>
        <v>0</v>
      </c>
      <c r="AF734" s="208">
        <f t="shared" si="1434"/>
        <v>0</v>
      </c>
      <c r="AG734" s="208">
        <f t="shared" si="1434"/>
        <v>0</v>
      </c>
      <c r="AH734" s="208">
        <f t="shared" si="1434"/>
        <v>0</v>
      </c>
      <c r="AI734" s="208">
        <f t="shared" si="1434"/>
        <v>0</v>
      </c>
      <c r="AJ734" s="208">
        <f t="shared" si="1434"/>
        <v>0</v>
      </c>
      <c r="AK734" s="208">
        <f t="shared" si="1434"/>
        <v>0</v>
      </c>
      <c r="AL734" s="208">
        <f t="shared" si="1434"/>
        <v>0</v>
      </c>
      <c r="AM734" s="208">
        <f t="shared" si="1434"/>
        <v>0</v>
      </c>
      <c r="AN734" s="208">
        <f t="shared" si="1434"/>
        <v>0</v>
      </c>
      <c r="AO734" s="208">
        <f t="shared" si="1434"/>
        <v>0</v>
      </c>
      <c r="AP734" s="208">
        <f t="shared" si="1434"/>
        <v>0</v>
      </c>
    </row>
    <row r="735" spans="1:42">
      <c r="A735" s="37">
        <f>A734+1</f>
        <v>9</v>
      </c>
      <c r="B735" s="218">
        <f t="shared" si="1425"/>
        <v>0</v>
      </c>
      <c r="C735" s="250">
        <f t="shared" ref="C735:AP735" si="1435">IF(AND(C$2&gt;MMFrequency*$A722,C$2&lt;=MMFrequency*$A723),$B723/(MMFrequency),0)</f>
        <v>0</v>
      </c>
      <c r="D735" s="208">
        <f t="shared" si="1435"/>
        <v>0</v>
      </c>
      <c r="E735" s="208">
        <f t="shared" si="1435"/>
        <v>0</v>
      </c>
      <c r="F735" s="208">
        <f t="shared" si="1435"/>
        <v>0</v>
      </c>
      <c r="G735" s="208">
        <f t="shared" si="1435"/>
        <v>0</v>
      </c>
      <c r="H735" s="208">
        <f t="shared" si="1435"/>
        <v>0</v>
      </c>
      <c r="I735" s="208">
        <f t="shared" si="1435"/>
        <v>0</v>
      </c>
      <c r="J735" s="208">
        <f t="shared" si="1435"/>
        <v>0</v>
      </c>
      <c r="K735" s="208">
        <f t="shared" si="1435"/>
        <v>0</v>
      </c>
      <c r="L735" s="208">
        <f t="shared" si="1435"/>
        <v>0</v>
      </c>
      <c r="M735" s="208">
        <f t="shared" si="1435"/>
        <v>0</v>
      </c>
      <c r="N735" s="208">
        <f t="shared" si="1435"/>
        <v>0</v>
      </c>
      <c r="O735" s="208">
        <f t="shared" si="1435"/>
        <v>0</v>
      </c>
      <c r="P735" s="208">
        <f t="shared" si="1435"/>
        <v>0</v>
      </c>
      <c r="Q735" s="208">
        <f t="shared" si="1435"/>
        <v>0</v>
      </c>
      <c r="R735" s="208">
        <f t="shared" si="1435"/>
        <v>0</v>
      </c>
      <c r="S735" s="208">
        <f t="shared" si="1435"/>
        <v>0</v>
      </c>
      <c r="T735" s="208">
        <f t="shared" si="1435"/>
        <v>0</v>
      </c>
      <c r="U735" s="208">
        <f t="shared" si="1435"/>
        <v>0</v>
      </c>
      <c r="V735" s="208">
        <f t="shared" si="1435"/>
        <v>0</v>
      </c>
      <c r="W735" s="208">
        <f t="shared" si="1435"/>
        <v>0</v>
      </c>
      <c r="X735" s="208">
        <f t="shared" si="1435"/>
        <v>0</v>
      </c>
      <c r="Y735" s="208">
        <f t="shared" si="1435"/>
        <v>0</v>
      </c>
      <c r="Z735" s="208">
        <f t="shared" si="1435"/>
        <v>0</v>
      </c>
      <c r="AA735" s="208">
        <f t="shared" si="1435"/>
        <v>0</v>
      </c>
      <c r="AB735" s="208">
        <f t="shared" si="1435"/>
        <v>0</v>
      </c>
      <c r="AC735" s="208">
        <f t="shared" si="1435"/>
        <v>0</v>
      </c>
      <c r="AD735" s="208">
        <f t="shared" si="1435"/>
        <v>0</v>
      </c>
      <c r="AE735" s="208">
        <f t="shared" si="1435"/>
        <v>0</v>
      </c>
      <c r="AF735" s="208">
        <f t="shared" si="1435"/>
        <v>0</v>
      </c>
      <c r="AG735" s="208">
        <f t="shared" si="1435"/>
        <v>0</v>
      </c>
      <c r="AH735" s="208">
        <f t="shared" si="1435"/>
        <v>0</v>
      </c>
      <c r="AI735" s="208">
        <f t="shared" si="1435"/>
        <v>0</v>
      </c>
      <c r="AJ735" s="208">
        <f t="shared" si="1435"/>
        <v>0</v>
      </c>
      <c r="AK735" s="208">
        <f t="shared" si="1435"/>
        <v>0</v>
      </c>
      <c r="AL735" s="208">
        <f t="shared" si="1435"/>
        <v>0</v>
      </c>
      <c r="AM735" s="208">
        <f t="shared" si="1435"/>
        <v>0</v>
      </c>
      <c r="AN735" s="208">
        <f t="shared" si="1435"/>
        <v>0</v>
      </c>
      <c r="AO735" s="208">
        <f t="shared" si="1435"/>
        <v>0</v>
      </c>
      <c r="AP735" s="208">
        <f t="shared" si="1435"/>
        <v>0</v>
      </c>
    </row>
    <row r="736" spans="1:42">
      <c r="A736" s="37">
        <f t="shared" ref="A736" si="1436">A735+1</f>
        <v>10</v>
      </c>
      <c r="B736" s="218">
        <f t="shared" si="1425"/>
        <v>0</v>
      </c>
      <c r="C736" s="246">
        <f t="shared" ref="C736:AP736" si="1437">IF(AND(C$2&gt;MMFrequency*$A723,C$2&lt;=MMFrequency*$A724),$B724/(MMFrequency),0)</f>
        <v>0</v>
      </c>
      <c r="D736" s="209">
        <f t="shared" si="1437"/>
        <v>0</v>
      </c>
      <c r="E736" s="209">
        <f t="shared" si="1437"/>
        <v>0</v>
      </c>
      <c r="F736" s="209">
        <f t="shared" si="1437"/>
        <v>0</v>
      </c>
      <c r="G736" s="209">
        <f t="shared" si="1437"/>
        <v>0</v>
      </c>
      <c r="H736" s="209">
        <f t="shared" si="1437"/>
        <v>0</v>
      </c>
      <c r="I736" s="209">
        <f t="shared" si="1437"/>
        <v>0</v>
      </c>
      <c r="J736" s="209">
        <f t="shared" si="1437"/>
        <v>0</v>
      </c>
      <c r="K736" s="209">
        <f t="shared" si="1437"/>
        <v>0</v>
      </c>
      <c r="L736" s="209">
        <f t="shared" si="1437"/>
        <v>0</v>
      </c>
      <c r="M736" s="209">
        <f t="shared" si="1437"/>
        <v>0</v>
      </c>
      <c r="N736" s="209">
        <f t="shared" si="1437"/>
        <v>0</v>
      </c>
      <c r="O736" s="209">
        <f t="shared" si="1437"/>
        <v>0</v>
      </c>
      <c r="P736" s="209">
        <f t="shared" si="1437"/>
        <v>0</v>
      </c>
      <c r="Q736" s="209">
        <f t="shared" si="1437"/>
        <v>0</v>
      </c>
      <c r="R736" s="209">
        <f t="shared" si="1437"/>
        <v>0</v>
      </c>
      <c r="S736" s="209">
        <f t="shared" si="1437"/>
        <v>0</v>
      </c>
      <c r="T736" s="209">
        <f t="shared" si="1437"/>
        <v>0</v>
      </c>
      <c r="U736" s="209">
        <f t="shared" si="1437"/>
        <v>0</v>
      </c>
      <c r="V736" s="209">
        <f t="shared" si="1437"/>
        <v>0</v>
      </c>
      <c r="W736" s="209">
        <f t="shared" si="1437"/>
        <v>0</v>
      </c>
      <c r="X736" s="209">
        <f t="shared" si="1437"/>
        <v>0</v>
      </c>
      <c r="Y736" s="209">
        <f t="shared" si="1437"/>
        <v>0</v>
      </c>
      <c r="Z736" s="209">
        <f t="shared" si="1437"/>
        <v>0</v>
      </c>
      <c r="AA736" s="209">
        <f t="shared" si="1437"/>
        <v>0</v>
      </c>
      <c r="AB736" s="209">
        <f t="shared" si="1437"/>
        <v>0</v>
      </c>
      <c r="AC736" s="209">
        <f t="shared" si="1437"/>
        <v>0</v>
      </c>
      <c r="AD736" s="209">
        <f t="shared" si="1437"/>
        <v>0</v>
      </c>
      <c r="AE736" s="209">
        <f t="shared" si="1437"/>
        <v>0</v>
      </c>
      <c r="AF736" s="209">
        <f t="shared" si="1437"/>
        <v>0</v>
      </c>
      <c r="AG736" s="209">
        <f t="shared" si="1437"/>
        <v>0</v>
      </c>
      <c r="AH736" s="209">
        <f t="shared" si="1437"/>
        <v>0</v>
      </c>
      <c r="AI736" s="209">
        <f t="shared" si="1437"/>
        <v>0</v>
      </c>
      <c r="AJ736" s="209">
        <f t="shared" si="1437"/>
        <v>0</v>
      </c>
      <c r="AK736" s="209">
        <f t="shared" si="1437"/>
        <v>0</v>
      </c>
      <c r="AL736" s="209">
        <f t="shared" si="1437"/>
        <v>0</v>
      </c>
      <c r="AM736" s="209">
        <f t="shared" si="1437"/>
        <v>0</v>
      </c>
      <c r="AN736" s="209">
        <f t="shared" si="1437"/>
        <v>0</v>
      </c>
      <c r="AO736" s="209">
        <f t="shared" si="1437"/>
        <v>0</v>
      </c>
      <c r="AP736" s="209">
        <f t="shared" si="1437"/>
        <v>0</v>
      </c>
    </row>
    <row r="737" spans="1:42">
      <c r="A737" s="244" t="s">
        <v>53</v>
      </c>
      <c r="B737" s="208"/>
      <c r="C737" s="164">
        <f>SUM(C727:C736)</f>
        <v>245406.02862510949</v>
      </c>
      <c r="D737" s="164">
        <f t="shared" ref="D737:AP737" si="1438">SUM(D727:D736)</f>
        <v>245406.02862510949</v>
      </c>
      <c r="E737" s="164">
        <f t="shared" si="1438"/>
        <v>245406.02862510949</v>
      </c>
      <c r="F737" s="164">
        <f t="shared" si="1438"/>
        <v>245406.02862510949</v>
      </c>
      <c r="G737" s="164">
        <f t="shared" si="1438"/>
        <v>245406.02862510949</v>
      </c>
      <c r="H737" s="164">
        <f t="shared" si="1438"/>
        <v>245406.02862510949</v>
      </c>
      <c r="I737" s="164">
        <f t="shared" si="1438"/>
        <v>245406.02862510949</v>
      </c>
      <c r="J737" s="164">
        <f t="shared" si="1438"/>
        <v>245406.02862510949</v>
      </c>
      <c r="K737" s="164">
        <f t="shared" si="1438"/>
        <v>245406.02862510949</v>
      </c>
      <c r="L737" s="164">
        <f t="shared" si="1438"/>
        <v>245406.02862510949</v>
      </c>
      <c r="M737" s="164">
        <f t="shared" si="1438"/>
        <v>245406.02862510949</v>
      </c>
      <c r="N737" s="164">
        <f t="shared" si="1438"/>
        <v>245406.02862510949</v>
      </c>
      <c r="O737" s="164">
        <f t="shared" si="1438"/>
        <v>293411.90721039008</v>
      </c>
      <c r="P737" s="164">
        <f t="shared" si="1438"/>
        <v>293411.90721039008</v>
      </c>
      <c r="Q737" s="164">
        <f t="shared" si="1438"/>
        <v>293411.90721039008</v>
      </c>
      <c r="R737" s="164">
        <f t="shared" si="1438"/>
        <v>293411.90721039008</v>
      </c>
      <c r="S737" s="164">
        <f t="shared" si="1438"/>
        <v>293411.90721039008</v>
      </c>
      <c r="T737" s="164">
        <f t="shared" si="1438"/>
        <v>293411.90721039008</v>
      </c>
      <c r="U737" s="164">
        <f t="shared" si="1438"/>
        <v>293411.90721039008</v>
      </c>
      <c r="V737" s="164">
        <f t="shared" si="1438"/>
        <v>293411.90721039008</v>
      </c>
      <c r="W737" s="164">
        <f t="shared" si="1438"/>
        <v>293411.90721039008</v>
      </c>
      <c r="X737" s="164">
        <f t="shared" si="1438"/>
        <v>293411.90721039008</v>
      </c>
      <c r="Y737" s="164">
        <f t="shared" si="1438"/>
        <v>293411.90721039008</v>
      </c>
      <c r="Z737" s="164">
        <f t="shared" si="1438"/>
        <v>293411.90721039008</v>
      </c>
      <c r="AA737" s="164">
        <f t="shared" si="1438"/>
        <v>0</v>
      </c>
      <c r="AB737" s="164">
        <f t="shared" si="1438"/>
        <v>0</v>
      </c>
      <c r="AC737" s="164">
        <f t="shared" si="1438"/>
        <v>0</v>
      </c>
      <c r="AD737" s="164">
        <f t="shared" si="1438"/>
        <v>0</v>
      </c>
      <c r="AE737" s="164">
        <f t="shared" si="1438"/>
        <v>0</v>
      </c>
      <c r="AF737" s="164">
        <f t="shared" si="1438"/>
        <v>0</v>
      </c>
      <c r="AG737" s="164">
        <f t="shared" si="1438"/>
        <v>0</v>
      </c>
      <c r="AH737" s="164">
        <f t="shared" si="1438"/>
        <v>0</v>
      </c>
      <c r="AI737" s="164">
        <f t="shared" si="1438"/>
        <v>0</v>
      </c>
      <c r="AJ737" s="164">
        <f t="shared" si="1438"/>
        <v>0</v>
      </c>
      <c r="AK737" s="164">
        <f t="shared" si="1438"/>
        <v>0</v>
      </c>
      <c r="AL737" s="164">
        <f t="shared" si="1438"/>
        <v>0</v>
      </c>
      <c r="AM737" s="164">
        <f t="shared" si="1438"/>
        <v>0</v>
      </c>
      <c r="AN737" s="164">
        <f t="shared" si="1438"/>
        <v>0</v>
      </c>
      <c r="AO737" s="164">
        <f t="shared" si="1438"/>
        <v>0</v>
      </c>
      <c r="AP737" s="164">
        <f t="shared" si="1438"/>
        <v>0</v>
      </c>
    </row>
    <row r="738" spans="1:42">
      <c r="B738" s="208"/>
      <c r="C738" s="164"/>
      <c r="D738" s="164"/>
      <c r="E738" s="164"/>
      <c r="F738" s="164"/>
      <c r="G738" s="164"/>
      <c r="H738" s="164"/>
      <c r="I738" s="164"/>
      <c r="J738" s="164"/>
      <c r="K738" s="164"/>
      <c r="L738" s="164"/>
      <c r="M738" s="164"/>
      <c r="N738" s="164"/>
      <c r="O738" s="164"/>
      <c r="P738" s="164"/>
      <c r="Q738" s="164"/>
      <c r="R738" s="164"/>
      <c r="S738" s="164"/>
      <c r="T738" s="164"/>
      <c r="U738" s="164"/>
      <c r="V738" s="164"/>
      <c r="W738" s="164"/>
      <c r="X738" s="164"/>
      <c r="Y738" s="164"/>
      <c r="Z738" s="164"/>
      <c r="AA738" s="164"/>
      <c r="AB738" s="164"/>
      <c r="AC738" s="164"/>
      <c r="AD738" s="164"/>
      <c r="AE738" s="164"/>
      <c r="AF738" s="164"/>
      <c r="AG738" s="164"/>
      <c r="AH738" s="164"/>
      <c r="AI738" s="164"/>
      <c r="AJ738" s="164"/>
      <c r="AK738" s="164"/>
      <c r="AL738" s="164"/>
      <c r="AM738" s="164"/>
      <c r="AN738" s="164"/>
      <c r="AO738" s="164"/>
      <c r="AP738" s="164"/>
    </row>
    <row r="739" spans="1:42">
      <c r="A739" s="204" t="s">
        <v>376</v>
      </c>
      <c r="C739" s="164"/>
      <c r="D739" s="164"/>
      <c r="E739" s="164"/>
      <c r="F739" s="164"/>
      <c r="G739" s="164"/>
      <c r="H739" s="164"/>
      <c r="I739" s="164"/>
      <c r="J739" s="164"/>
      <c r="K739" s="164"/>
      <c r="L739" s="164"/>
      <c r="M739" s="164"/>
      <c r="N739" s="164"/>
      <c r="O739" s="164"/>
      <c r="P739" s="164"/>
      <c r="Q739" s="164"/>
      <c r="R739" s="164"/>
      <c r="S739" s="164"/>
      <c r="T739" s="164"/>
      <c r="U739" s="164"/>
      <c r="V739" s="164"/>
      <c r="W739" s="164"/>
      <c r="X739" s="164"/>
      <c r="Y739" s="164"/>
      <c r="Z739" s="164"/>
      <c r="AA739" s="164"/>
      <c r="AB739" s="164"/>
      <c r="AC739" s="164"/>
      <c r="AD739" s="164"/>
      <c r="AE739" s="164"/>
      <c r="AF739" s="164"/>
      <c r="AG739" s="164"/>
      <c r="AH739" s="164"/>
      <c r="AI739" s="164"/>
      <c r="AJ739" s="164"/>
      <c r="AK739" s="164"/>
      <c r="AL739" s="164"/>
      <c r="AM739" s="164"/>
      <c r="AN739" s="164"/>
      <c r="AO739" s="164"/>
      <c r="AP739" s="164"/>
    </row>
    <row r="740" spans="1:42">
      <c r="A740" s="37" t="s">
        <v>100</v>
      </c>
      <c r="B740" s="164">
        <v>0</v>
      </c>
      <c r="C740" s="164">
        <f>B743</f>
        <v>0</v>
      </c>
      <c r="D740" s="164">
        <f t="shared" ref="D740" si="1439">C743</f>
        <v>410585.24356465257</v>
      </c>
      <c r="E740" s="164">
        <f t="shared" ref="E740" si="1440">D743</f>
        <v>821170.48712930514</v>
      </c>
      <c r="F740" s="164">
        <f t="shared" ref="F740" si="1441">E743</f>
        <v>1231755.7306939578</v>
      </c>
      <c r="G740" s="164">
        <f t="shared" ref="G740" si="1442">F743</f>
        <v>1642340.9742586103</v>
      </c>
      <c r="H740" s="164">
        <f t="shared" ref="H740" si="1443">G743</f>
        <v>2052926.2178232628</v>
      </c>
      <c r="I740" s="164">
        <f t="shared" ref="I740" si="1444">H743</f>
        <v>2463511.4613879155</v>
      </c>
      <c r="J740" s="164">
        <f t="shared" ref="J740" si="1445">I743</f>
        <v>2874096.7049525683</v>
      </c>
      <c r="K740" s="164">
        <f t="shared" ref="K740" si="1446">J743</f>
        <v>3284681.948517221</v>
      </c>
      <c r="L740" s="164">
        <f t="shared" ref="L740" si="1447">K743</f>
        <v>3695267.1920818738</v>
      </c>
      <c r="M740" s="164">
        <f t="shared" ref="M740" si="1448">L743</f>
        <v>4105852.4356465265</v>
      </c>
      <c r="N740" s="164">
        <f t="shared" ref="N740" si="1449">M743</f>
        <v>4516437.6792111788</v>
      </c>
      <c r="O740" s="164">
        <f t="shared" ref="O740" si="1450">N743</f>
        <v>4927022.9227758311</v>
      </c>
      <c r="P740" s="164">
        <f t="shared" ref="P740" si="1451">O743</f>
        <v>5337608.1663404834</v>
      </c>
      <c r="Q740" s="164">
        <f t="shared" ref="Q740" si="1452">P743</f>
        <v>5748193.4099051356</v>
      </c>
      <c r="R740" s="164">
        <f t="shared" ref="R740" si="1453">Q743</f>
        <v>0</v>
      </c>
      <c r="S740" s="164">
        <f t="shared" ref="S740" si="1454">R743</f>
        <v>513326.83759962226</v>
      </c>
      <c r="T740" s="164">
        <f t="shared" ref="T740" si="1455">S743</f>
        <v>1026653.6751992445</v>
      </c>
      <c r="U740" s="164">
        <f t="shared" ref="U740" si="1456">T743</f>
        <v>1539980.5127988667</v>
      </c>
      <c r="V740" s="164">
        <f t="shared" ref="V740" si="1457">U743</f>
        <v>2053307.350398489</v>
      </c>
      <c r="W740" s="164">
        <f t="shared" ref="W740" si="1458">V743</f>
        <v>2566634.1879981114</v>
      </c>
      <c r="X740" s="164">
        <f t="shared" ref="X740" si="1459">W743</f>
        <v>3079961.0255977334</v>
      </c>
      <c r="Y740" s="164">
        <f t="shared" ref="Y740" si="1460">X743</f>
        <v>3593287.8631973555</v>
      </c>
      <c r="Z740" s="164">
        <f t="shared" ref="Z740" si="1461">Y743</f>
        <v>4106614.7007969776</v>
      </c>
      <c r="AA740" s="164">
        <f t="shared" ref="AA740" si="1462">Z743</f>
        <v>4619941.5383965997</v>
      </c>
      <c r="AB740" s="164">
        <f t="shared" ref="AB740" si="1463">AA743</f>
        <v>5133268.3759962218</v>
      </c>
      <c r="AC740" s="164">
        <f t="shared" ref="AC740" si="1464">AB743</f>
        <v>5646595.2135958439</v>
      </c>
      <c r="AD740" s="164">
        <f t="shared" ref="AD740" si="1465">AC743</f>
        <v>6159922.051195466</v>
      </c>
      <c r="AE740" s="164">
        <f t="shared" ref="AE740" si="1466">AD743</f>
        <v>6673248.888795088</v>
      </c>
      <c r="AF740" s="164">
        <f t="shared" ref="AF740" si="1467">AE743</f>
        <v>7186575.7263947101</v>
      </c>
      <c r="AG740" s="164">
        <f t="shared" ref="AG740" si="1468">AF743</f>
        <v>0</v>
      </c>
      <c r="AH740" s="164">
        <f t="shared" ref="AH740" si="1469">AG743</f>
        <v>0</v>
      </c>
      <c r="AI740" s="164">
        <f t="shared" ref="AI740" si="1470">AH743</f>
        <v>0</v>
      </c>
      <c r="AJ740" s="164">
        <f t="shared" ref="AJ740" si="1471">AI743</f>
        <v>0</v>
      </c>
      <c r="AK740" s="164">
        <f t="shared" ref="AK740" si="1472">AJ743</f>
        <v>0</v>
      </c>
      <c r="AL740" s="164">
        <f t="shared" ref="AL740" si="1473">AK743</f>
        <v>0</v>
      </c>
      <c r="AM740" s="164">
        <f t="shared" ref="AM740" si="1474">AL743</f>
        <v>0</v>
      </c>
      <c r="AN740" s="164">
        <f t="shared" ref="AN740" si="1475">AM743</f>
        <v>0</v>
      </c>
      <c r="AO740" s="164">
        <f t="shared" ref="AO740" si="1476">AN743</f>
        <v>0</v>
      </c>
      <c r="AP740" s="164">
        <f t="shared" ref="AP740" si="1477">AO743</f>
        <v>0</v>
      </c>
    </row>
    <row r="741" spans="1:42">
      <c r="A741" s="37" t="s">
        <v>208</v>
      </c>
      <c r="B741" s="164">
        <v>0</v>
      </c>
      <c r="C741" s="164">
        <f>C769</f>
        <v>410585.24356465257</v>
      </c>
      <c r="D741" s="164">
        <f t="shared" ref="D741:AP741" si="1478">D769</f>
        <v>410585.24356465257</v>
      </c>
      <c r="E741" s="164">
        <f t="shared" si="1478"/>
        <v>410585.24356465257</v>
      </c>
      <c r="F741" s="164">
        <f t="shared" si="1478"/>
        <v>410585.24356465257</v>
      </c>
      <c r="G741" s="164">
        <f t="shared" si="1478"/>
        <v>410585.24356465257</v>
      </c>
      <c r="H741" s="164">
        <f t="shared" si="1478"/>
        <v>410585.24356465257</v>
      </c>
      <c r="I741" s="164">
        <f t="shared" si="1478"/>
        <v>410585.24356465257</v>
      </c>
      <c r="J741" s="164">
        <f t="shared" si="1478"/>
        <v>410585.24356465257</v>
      </c>
      <c r="K741" s="164">
        <f t="shared" si="1478"/>
        <v>410585.24356465257</v>
      </c>
      <c r="L741" s="164">
        <f t="shared" si="1478"/>
        <v>410585.24356465257</v>
      </c>
      <c r="M741" s="164">
        <f t="shared" si="1478"/>
        <v>410585.24356465257</v>
      </c>
      <c r="N741" s="164">
        <f t="shared" si="1478"/>
        <v>410585.24356465257</v>
      </c>
      <c r="O741" s="164">
        <f t="shared" si="1478"/>
        <v>410585.24356465257</v>
      </c>
      <c r="P741" s="164">
        <f t="shared" si="1478"/>
        <v>410585.24356465257</v>
      </c>
      <c r="Q741" s="164">
        <f t="shared" si="1478"/>
        <v>410585.24356465257</v>
      </c>
      <c r="R741" s="164">
        <f t="shared" si="1478"/>
        <v>513326.83759962226</v>
      </c>
      <c r="S741" s="164">
        <f t="shared" si="1478"/>
        <v>513326.83759962226</v>
      </c>
      <c r="T741" s="164">
        <f t="shared" si="1478"/>
        <v>513326.83759962226</v>
      </c>
      <c r="U741" s="164">
        <f t="shared" si="1478"/>
        <v>513326.83759962226</v>
      </c>
      <c r="V741" s="164">
        <f t="shared" si="1478"/>
        <v>513326.83759962226</v>
      </c>
      <c r="W741" s="164">
        <f t="shared" si="1478"/>
        <v>513326.83759962226</v>
      </c>
      <c r="X741" s="164">
        <f t="shared" si="1478"/>
        <v>513326.83759962226</v>
      </c>
      <c r="Y741" s="164">
        <f t="shared" si="1478"/>
        <v>513326.83759962226</v>
      </c>
      <c r="Z741" s="164">
        <f t="shared" si="1478"/>
        <v>513326.83759962226</v>
      </c>
      <c r="AA741" s="164">
        <f t="shared" si="1478"/>
        <v>513326.83759962226</v>
      </c>
      <c r="AB741" s="164">
        <f t="shared" si="1478"/>
        <v>513326.83759962226</v>
      </c>
      <c r="AC741" s="164">
        <f t="shared" si="1478"/>
        <v>513326.83759962226</v>
      </c>
      <c r="AD741" s="164">
        <f t="shared" si="1478"/>
        <v>513326.83759962226</v>
      </c>
      <c r="AE741" s="164">
        <f t="shared" si="1478"/>
        <v>513326.83759962226</v>
      </c>
      <c r="AF741" s="164">
        <f t="shared" si="1478"/>
        <v>513326.83759962226</v>
      </c>
      <c r="AG741" s="164">
        <f t="shared" si="1478"/>
        <v>0</v>
      </c>
      <c r="AH741" s="164">
        <f t="shared" si="1478"/>
        <v>0</v>
      </c>
      <c r="AI741" s="164">
        <f t="shared" si="1478"/>
        <v>0</v>
      </c>
      <c r="AJ741" s="164">
        <f t="shared" si="1478"/>
        <v>0</v>
      </c>
      <c r="AK741" s="164">
        <f t="shared" si="1478"/>
        <v>0</v>
      </c>
      <c r="AL741" s="164">
        <f t="shared" si="1478"/>
        <v>0</v>
      </c>
      <c r="AM741" s="164">
        <f t="shared" si="1478"/>
        <v>0</v>
      </c>
      <c r="AN741" s="164">
        <f t="shared" si="1478"/>
        <v>0</v>
      </c>
      <c r="AO741" s="164">
        <f t="shared" si="1478"/>
        <v>0</v>
      </c>
      <c r="AP741" s="164">
        <f t="shared" si="1478"/>
        <v>0</v>
      </c>
    </row>
    <row r="742" spans="1:42">
      <c r="A742" s="37" t="s">
        <v>107</v>
      </c>
      <c r="B742" s="209">
        <v>0</v>
      </c>
      <c r="C742" s="209">
        <f>-C757</f>
        <v>0</v>
      </c>
      <c r="D742" s="209">
        <f t="shared" ref="D742:AP742" si="1479">-D757</f>
        <v>0</v>
      </c>
      <c r="E742" s="209">
        <f t="shared" si="1479"/>
        <v>0</v>
      </c>
      <c r="F742" s="209">
        <f t="shared" si="1479"/>
        <v>0</v>
      </c>
      <c r="G742" s="209">
        <f t="shared" si="1479"/>
        <v>0</v>
      </c>
      <c r="H742" s="209">
        <f t="shared" si="1479"/>
        <v>0</v>
      </c>
      <c r="I742" s="209">
        <f t="shared" si="1479"/>
        <v>0</v>
      </c>
      <c r="J742" s="209">
        <f t="shared" si="1479"/>
        <v>0</v>
      </c>
      <c r="K742" s="209">
        <f t="shared" si="1479"/>
        <v>0</v>
      </c>
      <c r="L742" s="209">
        <f t="shared" si="1479"/>
        <v>0</v>
      </c>
      <c r="M742" s="209">
        <f t="shared" si="1479"/>
        <v>0</v>
      </c>
      <c r="N742" s="209">
        <f t="shared" si="1479"/>
        <v>0</v>
      </c>
      <c r="O742" s="209">
        <f t="shared" si="1479"/>
        <v>0</v>
      </c>
      <c r="P742" s="209">
        <f t="shared" si="1479"/>
        <v>0</v>
      </c>
      <c r="Q742" s="209">
        <f t="shared" si="1479"/>
        <v>-6158778.6534697888</v>
      </c>
      <c r="R742" s="209">
        <f t="shared" si="1479"/>
        <v>0</v>
      </c>
      <c r="S742" s="209">
        <f t="shared" si="1479"/>
        <v>0</v>
      </c>
      <c r="T742" s="209">
        <f t="shared" si="1479"/>
        <v>0</v>
      </c>
      <c r="U742" s="209">
        <f t="shared" si="1479"/>
        <v>0</v>
      </c>
      <c r="V742" s="209">
        <f t="shared" si="1479"/>
        <v>0</v>
      </c>
      <c r="W742" s="209">
        <f t="shared" si="1479"/>
        <v>0</v>
      </c>
      <c r="X742" s="209">
        <f t="shared" si="1479"/>
        <v>0</v>
      </c>
      <c r="Y742" s="209">
        <f t="shared" si="1479"/>
        <v>0</v>
      </c>
      <c r="Z742" s="209">
        <f t="shared" si="1479"/>
        <v>0</v>
      </c>
      <c r="AA742" s="209">
        <f t="shared" si="1479"/>
        <v>0</v>
      </c>
      <c r="AB742" s="209">
        <f t="shared" si="1479"/>
        <v>0</v>
      </c>
      <c r="AC742" s="209">
        <f t="shared" si="1479"/>
        <v>0</v>
      </c>
      <c r="AD742" s="209">
        <f t="shared" si="1479"/>
        <v>0</v>
      </c>
      <c r="AE742" s="209">
        <f t="shared" si="1479"/>
        <v>0</v>
      </c>
      <c r="AF742" s="209">
        <f t="shared" si="1479"/>
        <v>-7699902.5639943341</v>
      </c>
      <c r="AG742" s="209">
        <f t="shared" si="1479"/>
        <v>0</v>
      </c>
      <c r="AH742" s="209">
        <f t="shared" si="1479"/>
        <v>0</v>
      </c>
      <c r="AI742" s="209">
        <f t="shared" si="1479"/>
        <v>0</v>
      </c>
      <c r="AJ742" s="209">
        <f t="shared" si="1479"/>
        <v>0</v>
      </c>
      <c r="AK742" s="209">
        <f t="shared" si="1479"/>
        <v>0</v>
      </c>
      <c r="AL742" s="209">
        <f t="shared" si="1479"/>
        <v>0</v>
      </c>
      <c r="AM742" s="209">
        <f t="shared" si="1479"/>
        <v>0</v>
      </c>
      <c r="AN742" s="209">
        <f t="shared" si="1479"/>
        <v>0</v>
      </c>
      <c r="AO742" s="209">
        <f t="shared" si="1479"/>
        <v>0</v>
      </c>
      <c r="AP742" s="209">
        <f t="shared" si="1479"/>
        <v>0</v>
      </c>
    </row>
    <row r="743" spans="1:42">
      <c r="A743" s="37" t="s">
        <v>103</v>
      </c>
      <c r="B743" s="164">
        <f>SUM(B740:B742)</f>
        <v>0</v>
      </c>
      <c r="C743" s="164">
        <f>SUM(C740:C742)</f>
        <v>410585.24356465257</v>
      </c>
      <c r="D743" s="164">
        <f t="shared" ref="D743:AP743" si="1480">SUM(D740:D742)</f>
        <v>821170.48712930514</v>
      </c>
      <c r="E743" s="164">
        <f t="shared" si="1480"/>
        <v>1231755.7306939578</v>
      </c>
      <c r="F743" s="164">
        <f t="shared" si="1480"/>
        <v>1642340.9742586103</v>
      </c>
      <c r="G743" s="164">
        <f t="shared" si="1480"/>
        <v>2052926.2178232628</v>
      </c>
      <c r="H743" s="164">
        <f t="shared" si="1480"/>
        <v>2463511.4613879155</v>
      </c>
      <c r="I743" s="164">
        <f t="shared" si="1480"/>
        <v>2874096.7049525683</v>
      </c>
      <c r="J743" s="164">
        <f t="shared" si="1480"/>
        <v>3284681.948517221</v>
      </c>
      <c r="K743" s="164">
        <f t="shared" si="1480"/>
        <v>3695267.1920818738</v>
      </c>
      <c r="L743" s="164">
        <f t="shared" si="1480"/>
        <v>4105852.4356465265</v>
      </c>
      <c r="M743" s="164">
        <f t="shared" si="1480"/>
        <v>4516437.6792111788</v>
      </c>
      <c r="N743" s="164">
        <f t="shared" si="1480"/>
        <v>4927022.9227758311</v>
      </c>
      <c r="O743" s="164">
        <f t="shared" si="1480"/>
        <v>5337608.1663404834</v>
      </c>
      <c r="P743" s="164">
        <f t="shared" si="1480"/>
        <v>5748193.4099051356</v>
      </c>
      <c r="Q743" s="164">
        <f t="shared" si="1480"/>
        <v>0</v>
      </c>
      <c r="R743" s="164">
        <f t="shared" si="1480"/>
        <v>513326.83759962226</v>
      </c>
      <c r="S743" s="164">
        <f t="shared" si="1480"/>
        <v>1026653.6751992445</v>
      </c>
      <c r="T743" s="164">
        <f t="shared" si="1480"/>
        <v>1539980.5127988667</v>
      </c>
      <c r="U743" s="164">
        <f t="shared" si="1480"/>
        <v>2053307.350398489</v>
      </c>
      <c r="V743" s="164">
        <f t="shared" si="1480"/>
        <v>2566634.1879981114</v>
      </c>
      <c r="W743" s="164">
        <f t="shared" si="1480"/>
        <v>3079961.0255977334</v>
      </c>
      <c r="X743" s="164">
        <f t="shared" si="1480"/>
        <v>3593287.8631973555</v>
      </c>
      <c r="Y743" s="164">
        <f t="shared" si="1480"/>
        <v>4106614.7007969776</v>
      </c>
      <c r="Z743" s="164">
        <f t="shared" si="1480"/>
        <v>4619941.5383965997</v>
      </c>
      <c r="AA743" s="164">
        <f t="shared" si="1480"/>
        <v>5133268.3759962218</v>
      </c>
      <c r="AB743" s="164">
        <f t="shared" si="1480"/>
        <v>5646595.2135958439</v>
      </c>
      <c r="AC743" s="164">
        <f t="shared" si="1480"/>
        <v>6159922.051195466</v>
      </c>
      <c r="AD743" s="164">
        <f t="shared" si="1480"/>
        <v>6673248.888795088</v>
      </c>
      <c r="AE743" s="164">
        <f t="shared" si="1480"/>
        <v>7186575.7263947101</v>
      </c>
      <c r="AF743" s="164">
        <f t="shared" si="1480"/>
        <v>0</v>
      </c>
      <c r="AG743" s="164">
        <f t="shared" si="1480"/>
        <v>0</v>
      </c>
      <c r="AH743" s="164">
        <f t="shared" si="1480"/>
        <v>0</v>
      </c>
      <c r="AI743" s="164">
        <f t="shared" si="1480"/>
        <v>0</v>
      </c>
      <c r="AJ743" s="164">
        <f t="shared" si="1480"/>
        <v>0</v>
      </c>
      <c r="AK743" s="164">
        <f t="shared" si="1480"/>
        <v>0</v>
      </c>
      <c r="AL743" s="164">
        <f t="shared" si="1480"/>
        <v>0</v>
      </c>
      <c r="AM743" s="164">
        <f t="shared" si="1480"/>
        <v>0</v>
      </c>
      <c r="AN743" s="164">
        <f t="shared" si="1480"/>
        <v>0</v>
      </c>
      <c r="AO743" s="164">
        <f t="shared" si="1480"/>
        <v>0</v>
      </c>
      <c r="AP743" s="164">
        <f t="shared" si="1480"/>
        <v>0</v>
      </c>
    </row>
    <row r="744" spans="1:42">
      <c r="B744" s="164"/>
      <c r="C744" s="164"/>
      <c r="D744" s="164"/>
      <c r="E744" s="164"/>
      <c r="F744" s="164"/>
      <c r="G744" s="208"/>
      <c r="H744" s="208"/>
      <c r="I744" s="208"/>
      <c r="J744" s="208"/>
      <c r="K744" s="208"/>
      <c r="L744" s="208"/>
      <c r="M744" s="208"/>
      <c r="N744" s="208"/>
      <c r="O744" s="208"/>
      <c r="P744" s="208"/>
      <c r="Q744" s="208"/>
      <c r="R744" s="208"/>
      <c r="S744" s="208"/>
      <c r="T744" s="208"/>
      <c r="U744" s="208"/>
      <c r="V744" s="208"/>
      <c r="W744" s="208"/>
      <c r="X744" s="208"/>
      <c r="Y744" s="208"/>
      <c r="Z744" s="208"/>
      <c r="AA744" s="208"/>
      <c r="AB744" s="208"/>
      <c r="AC744" s="208"/>
      <c r="AD744" s="208"/>
      <c r="AE744" s="208"/>
      <c r="AF744" s="208"/>
      <c r="AG744" s="208"/>
      <c r="AH744" s="208"/>
      <c r="AI744" s="208"/>
      <c r="AJ744" s="208"/>
      <c r="AK744" s="208"/>
      <c r="AL744" s="208"/>
      <c r="AM744" s="208"/>
      <c r="AN744" s="208"/>
      <c r="AO744" s="208"/>
      <c r="AP744" s="208"/>
    </row>
    <row r="745" spans="1:42">
      <c r="A745" s="37" t="s">
        <v>206</v>
      </c>
      <c r="B745" s="164"/>
      <c r="C745" s="164"/>
      <c r="D745" s="164"/>
      <c r="E745" s="164"/>
      <c r="F745" s="164"/>
      <c r="G745" s="208"/>
      <c r="H745" s="208"/>
      <c r="I745" s="208"/>
      <c r="J745" s="208"/>
      <c r="K745" s="208"/>
      <c r="L745" s="208"/>
      <c r="M745" s="208"/>
      <c r="N745" s="208"/>
      <c r="O745" s="208"/>
      <c r="P745" s="208"/>
      <c r="Q745" s="208"/>
      <c r="R745" s="208"/>
      <c r="S745" s="208"/>
      <c r="T745" s="208"/>
      <c r="U745" s="208"/>
      <c r="V745" s="208"/>
      <c r="W745" s="208"/>
      <c r="X745" s="208"/>
      <c r="Y745" s="208"/>
      <c r="Z745" s="208"/>
      <c r="AA745" s="208"/>
      <c r="AB745" s="208"/>
      <c r="AC745" s="208"/>
      <c r="AD745" s="208"/>
      <c r="AE745" s="208"/>
      <c r="AF745" s="208"/>
      <c r="AG745" s="208"/>
      <c r="AH745" s="208"/>
      <c r="AI745" s="208"/>
      <c r="AJ745" s="208"/>
      <c r="AK745" s="208"/>
      <c r="AL745" s="208"/>
      <c r="AM745" s="208"/>
      <c r="AN745" s="208"/>
      <c r="AO745" s="208"/>
      <c r="AP745" s="208"/>
    </row>
    <row r="746" spans="1:42">
      <c r="A746" s="37" t="s">
        <v>207</v>
      </c>
      <c r="B746" s="164"/>
      <c r="C746" s="164"/>
      <c r="D746" s="164"/>
      <c r="E746" s="164"/>
      <c r="F746" s="164"/>
      <c r="G746" s="208"/>
      <c r="H746" s="208"/>
      <c r="I746" s="208"/>
      <c r="J746" s="208"/>
      <c r="K746" s="208"/>
      <c r="L746" s="208"/>
      <c r="M746" s="208"/>
      <c r="N746" s="208"/>
      <c r="O746" s="208"/>
      <c r="P746" s="208"/>
      <c r="Q746" s="208"/>
      <c r="R746" s="208"/>
      <c r="S746" s="208"/>
      <c r="T746" s="208"/>
      <c r="U746" s="208"/>
      <c r="V746" s="208"/>
      <c r="W746" s="208"/>
      <c r="X746" s="208"/>
      <c r="Y746" s="208"/>
      <c r="Z746" s="208"/>
      <c r="AA746" s="208"/>
      <c r="AB746" s="208"/>
      <c r="AC746" s="208"/>
      <c r="AD746" s="208"/>
      <c r="AE746" s="208"/>
      <c r="AF746" s="208"/>
      <c r="AG746" s="208"/>
      <c r="AH746" s="208"/>
      <c r="AI746" s="208"/>
      <c r="AJ746" s="208"/>
      <c r="AK746" s="208"/>
      <c r="AL746" s="208"/>
      <c r="AM746" s="208"/>
      <c r="AN746" s="208"/>
      <c r="AO746" s="208"/>
      <c r="AP746" s="208"/>
    </row>
    <row r="747" spans="1:42">
      <c r="A747" s="37">
        <v>1</v>
      </c>
      <c r="B747" s="218">
        <f t="shared" ref="B747:B756" si="1481">SUM(C747:AP747)</f>
        <v>6158778.6534697888</v>
      </c>
      <c r="C747" s="208">
        <f t="shared" ref="C747:AP747" si="1482">IF(C$2&gt;AnalysisPeriod,0,IF(C$2=MMFrequency2*$A747,MMCost2*CapacityDC*1000*(1+Inflation)^B$2,0))</f>
        <v>0</v>
      </c>
      <c r="D747" s="208">
        <f t="shared" si="1482"/>
        <v>0</v>
      </c>
      <c r="E747" s="208">
        <f t="shared" si="1482"/>
        <v>0</v>
      </c>
      <c r="F747" s="208">
        <f t="shared" si="1482"/>
        <v>0</v>
      </c>
      <c r="G747" s="208">
        <f t="shared" si="1482"/>
        <v>0</v>
      </c>
      <c r="H747" s="208">
        <f t="shared" si="1482"/>
        <v>0</v>
      </c>
      <c r="I747" s="208">
        <f t="shared" si="1482"/>
        <v>0</v>
      </c>
      <c r="J747" s="208">
        <f t="shared" si="1482"/>
        <v>0</v>
      </c>
      <c r="K747" s="208">
        <f t="shared" si="1482"/>
        <v>0</v>
      </c>
      <c r="L747" s="208">
        <f t="shared" si="1482"/>
        <v>0</v>
      </c>
      <c r="M747" s="208">
        <f t="shared" si="1482"/>
        <v>0</v>
      </c>
      <c r="N747" s="208">
        <f t="shared" si="1482"/>
        <v>0</v>
      </c>
      <c r="O747" s="208">
        <f t="shared" si="1482"/>
        <v>0</v>
      </c>
      <c r="P747" s="208">
        <f t="shared" si="1482"/>
        <v>0</v>
      </c>
      <c r="Q747" s="208">
        <f t="shared" si="1482"/>
        <v>6158778.6534697888</v>
      </c>
      <c r="R747" s="208">
        <f t="shared" si="1482"/>
        <v>0</v>
      </c>
      <c r="S747" s="208">
        <f t="shared" si="1482"/>
        <v>0</v>
      </c>
      <c r="T747" s="208">
        <f t="shared" si="1482"/>
        <v>0</v>
      </c>
      <c r="U747" s="208">
        <f t="shared" si="1482"/>
        <v>0</v>
      </c>
      <c r="V747" s="208">
        <f t="shared" si="1482"/>
        <v>0</v>
      </c>
      <c r="W747" s="208">
        <f t="shared" si="1482"/>
        <v>0</v>
      </c>
      <c r="X747" s="208">
        <f t="shared" si="1482"/>
        <v>0</v>
      </c>
      <c r="Y747" s="208">
        <f t="shared" si="1482"/>
        <v>0</v>
      </c>
      <c r="Z747" s="208">
        <f t="shared" si="1482"/>
        <v>0</v>
      </c>
      <c r="AA747" s="208">
        <f t="shared" si="1482"/>
        <v>0</v>
      </c>
      <c r="AB747" s="208">
        <f t="shared" si="1482"/>
        <v>0</v>
      </c>
      <c r="AC747" s="208">
        <f t="shared" si="1482"/>
        <v>0</v>
      </c>
      <c r="AD747" s="208">
        <f t="shared" si="1482"/>
        <v>0</v>
      </c>
      <c r="AE747" s="208">
        <f t="shared" si="1482"/>
        <v>0</v>
      </c>
      <c r="AF747" s="208">
        <f t="shared" si="1482"/>
        <v>0</v>
      </c>
      <c r="AG747" s="208">
        <f t="shared" si="1482"/>
        <v>0</v>
      </c>
      <c r="AH747" s="208">
        <f t="shared" si="1482"/>
        <v>0</v>
      </c>
      <c r="AI747" s="208">
        <f t="shared" si="1482"/>
        <v>0</v>
      </c>
      <c r="AJ747" s="208">
        <f t="shared" si="1482"/>
        <v>0</v>
      </c>
      <c r="AK747" s="208">
        <f t="shared" si="1482"/>
        <v>0</v>
      </c>
      <c r="AL747" s="208">
        <f t="shared" si="1482"/>
        <v>0</v>
      </c>
      <c r="AM747" s="208">
        <f t="shared" si="1482"/>
        <v>0</v>
      </c>
      <c r="AN747" s="208">
        <f t="shared" si="1482"/>
        <v>0</v>
      </c>
      <c r="AO747" s="208">
        <f t="shared" si="1482"/>
        <v>0</v>
      </c>
      <c r="AP747" s="208">
        <f t="shared" si="1482"/>
        <v>0</v>
      </c>
    </row>
    <row r="748" spans="1:42">
      <c r="A748" s="37">
        <f>A747+1</f>
        <v>2</v>
      </c>
      <c r="B748" s="218">
        <f t="shared" si="1481"/>
        <v>7699902.5639943341</v>
      </c>
      <c r="C748" s="208">
        <f t="shared" ref="C748:AP748" si="1483">IF(C$2&gt;AnalysisPeriod,0,IF(C$2=MMFrequency2*$A748,MMCost2*CapacityDC*1000*(1+Inflation)^B$2,0))</f>
        <v>0</v>
      </c>
      <c r="D748" s="208">
        <f t="shared" si="1483"/>
        <v>0</v>
      </c>
      <c r="E748" s="208">
        <f t="shared" si="1483"/>
        <v>0</v>
      </c>
      <c r="F748" s="208">
        <f t="shared" si="1483"/>
        <v>0</v>
      </c>
      <c r="G748" s="208">
        <f t="shared" si="1483"/>
        <v>0</v>
      </c>
      <c r="H748" s="208">
        <f t="shared" si="1483"/>
        <v>0</v>
      </c>
      <c r="I748" s="208">
        <f t="shared" si="1483"/>
        <v>0</v>
      </c>
      <c r="J748" s="208">
        <f t="shared" si="1483"/>
        <v>0</v>
      </c>
      <c r="K748" s="208">
        <f t="shared" si="1483"/>
        <v>0</v>
      </c>
      <c r="L748" s="208">
        <f t="shared" si="1483"/>
        <v>0</v>
      </c>
      <c r="M748" s="208">
        <f t="shared" si="1483"/>
        <v>0</v>
      </c>
      <c r="N748" s="208">
        <f t="shared" si="1483"/>
        <v>0</v>
      </c>
      <c r="O748" s="208">
        <f t="shared" si="1483"/>
        <v>0</v>
      </c>
      <c r="P748" s="208">
        <f t="shared" si="1483"/>
        <v>0</v>
      </c>
      <c r="Q748" s="208">
        <f t="shared" si="1483"/>
        <v>0</v>
      </c>
      <c r="R748" s="208">
        <f t="shared" si="1483"/>
        <v>0</v>
      </c>
      <c r="S748" s="208">
        <f t="shared" si="1483"/>
        <v>0</v>
      </c>
      <c r="T748" s="208">
        <f t="shared" si="1483"/>
        <v>0</v>
      </c>
      <c r="U748" s="208">
        <f t="shared" si="1483"/>
        <v>0</v>
      </c>
      <c r="V748" s="208">
        <f t="shared" si="1483"/>
        <v>0</v>
      </c>
      <c r="W748" s="208">
        <f t="shared" si="1483"/>
        <v>0</v>
      </c>
      <c r="X748" s="208">
        <f t="shared" si="1483"/>
        <v>0</v>
      </c>
      <c r="Y748" s="208">
        <f t="shared" si="1483"/>
        <v>0</v>
      </c>
      <c r="Z748" s="208">
        <f t="shared" si="1483"/>
        <v>0</v>
      </c>
      <c r="AA748" s="208">
        <f t="shared" si="1483"/>
        <v>0</v>
      </c>
      <c r="AB748" s="208">
        <f t="shared" si="1483"/>
        <v>0</v>
      </c>
      <c r="AC748" s="208">
        <f t="shared" si="1483"/>
        <v>0</v>
      </c>
      <c r="AD748" s="208">
        <f t="shared" si="1483"/>
        <v>0</v>
      </c>
      <c r="AE748" s="208">
        <f t="shared" si="1483"/>
        <v>0</v>
      </c>
      <c r="AF748" s="208">
        <f t="shared" si="1483"/>
        <v>7699902.5639943341</v>
      </c>
      <c r="AG748" s="208">
        <f t="shared" si="1483"/>
        <v>0</v>
      </c>
      <c r="AH748" s="208">
        <f t="shared" si="1483"/>
        <v>0</v>
      </c>
      <c r="AI748" s="208">
        <f t="shared" si="1483"/>
        <v>0</v>
      </c>
      <c r="AJ748" s="208">
        <f t="shared" si="1483"/>
        <v>0</v>
      </c>
      <c r="AK748" s="208">
        <f t="shared" si="1483"/>
        <v>0</v>
      </c>
      <c r="AL748" s="208">
        <f t="shared" si="1483"/>
        <v>0</v>
      </c>
      <c r="AM748" s="208">
        <f t="shared" si="1483"/>
        <v>0</v>
      </c>
      <c r="AN748" s="208">
        <f t="shared" si="1483"/>
        <v>0</v>
      </c>
      <c r="AO748" s="208">
        <f t="shared" si="1483"/>
        <v>0</v>
      </c>
      <c r="AP748" s="208">
        <f t="shared" si="1483"/>
        <v>0</v>
      </c>
    </row>
    <row r="749" spans="1:42">
      <c r="A749" s="37">
        <f t="shared" ref="A749:A756" si="1484">A748+1</f>
        <v>3</v>
      </c>
      <c r="B749" s="218">
        <f t="shared" si="1481"/>
        <v>0</v>
      </c>
      <c r="C749" s="208">
        <f t="shared" ref="C749:AP749" si="1485">IF(C$2&gt;AnalysisPeriod,0,IF(C$2=MMFrequency2*$A749,MMCost2*CapacityDC*1000*(1+Inflation)^B$2,0))</f>
        <v>0</v>
      </c>
      <c r="D749" s="208">
        <f t="shared" si="1485"/>
        <v>0</v>
      </c>
      <c r="E749" s="208">
        <f t="shared" si="1485"/>
        <v>0</v>
      </c>
      <c r="F749" s="208">
        <f t="shared" si="1485"/>
        <v>0</v>
      </c>
      <c r="G749" s="208">
        <f t="shared" si="1485"/>
        <v>0</v>
      </c>
      <c r="H749" s="208">
        <f t="shared" si="1485"/>
        <v>0</v>
      </c>
      <c r="I749" s="208">
        <f t="shared" si="1485"/>
        <v>0</v>
      </c>
      <c r="J749" s="208">
        <f t="shared" si="1485"/>
        <v>0</v>
      </c>
      <c r="K749" s="208">
        <f t="shared" si="1485"/>
        <v>0</v>
      </c>
      <c r="L749" s="208">
        <f t="shared" si="1485"/>
        <v>0</v>
      </c>
      <c r="M749" s="208">
        <f t="shared" si="1485"/>
        <v>0</v>
      </c>
      <c r="N749" s="208">
        <f t="shared" si="1485"/>
        <v>0</v>
      </c>
      <c r="O749" s="208">
        <f t="shared" si="1485"/>
        <v>0</v>
      </c>
      <c r="P749" s="208">
        <f t="shared" si="1485"/>
        <v>0</v>
      </c>
      <c r="Q749" s="208">
        <f t="shared" si="1485"/>
        <v>0</v>
      </c>
      <c r="R749" s="208">
        <f t="shared" si="1485"/>
        <v>0</v>
      </c>
      <c r="S749" s="208">
        <f t="shared" si="1485"/>
        <v>0</v>
      </c>
      <c r="T749" s="208">
        <f t="shared" si="1485"/>
        <v>0</v>
      </c>
      <c r="U749" s="208">
        <f t="shared" si="1485"/>
        <v>0</v>
      </c>
      <c r="V749" s="208">
        <f t="shared" si="1485"/>
        <v>0</v>
      </c>
      <c r="W749" s="208">
        <f t="shared" si="1485"/>
        <v>0</v>
      </c>
      <c r="X749" s="208">
        <f t="shared" si="1485"/>
        <v>0</v>
      </c>
      <c r="Y749" s="208">
        <f t="shared" si="1485"/>
        <v>0</v>
      </c>
      <c r="Z749" s="208">
        <f t="shared" si="1485"/>
        <v>0</v>
      </c>
      <c r="AA749" s="208">
        <f t="shared" si="1485"/>
        <v>0</v>
      </c>
      <c r="AB749" s="208">
        <f t="shared" si="1485"/>
        <v>0</v>
      </c>
      <c r="AC749" s="208">
        <f t="shared" si="1485"/>
        <v>0</v>
      </c>
      <c r="AD749" s="208">
        <f t="shared" si="1485"/>
        <v>0</v>
      </c>
      <c r="AE749" s="208">
        <f t="shared" si="1485"/>
        <v>0</v>
      </c>
      <c r="AF749" s="208">
        <f t="shared" si="1485"/>
        <v>0</v>
      </c>
      <c r="AG749" s="208">
        <f t="shared" si="1485"/>
        <v>0</v>
      </c>
      <c r="AH749" s="208">
        <f t="shared" si="1485"/>
        <v>0</v>
      </c>
      <c r="AI749" s="208">
        <f t="shared" si="1485"/>
        <v>0</v>
      </c>
      <c r="AJ749" s="208">
        <f t="shared" si="1485"/>
        <v>0</v>
      </c>
      <c r="AK749" s="208">
        <f t="shared" si="1485"/>
        <v>0</v>
      </c>
      <c r="AL749" s="208">
        <f t="shared" si="1485"/>
        <v>0</v>
      </c>
      <c r="AM749" s="208">
        <f t="shared" si="1485"/>
        <v>0</v>
      </c>
      <c r="AN749" s="208">
        <f t="shared" si="1485"/>
        <v>0</v>
      </c>
      <c r="AO749" s="208">
        <f t="shared" si="1485"/>
        <v>0</v>
      </c>
      <c r="AP749" s="208">
        <f t="shared" si="1485"/>
        <v>0</v>
      </c>
    </row>
    <row r="750" spans="1:42">
      <c r="A750" s="37">
        <f t="shared" si="1484"/>
        <v>4</v>
      </c>
      <c r="B750" s="218">
        <f t="shared" si="1481"/>
        <v>0</v>
      </c>
      <c r="C750" s="208">
        <f t="shared" ref="C750:AP750" si="1486">IF(C$2&gt;AnalysisPeriod,0,IF(C$2=MMFrequency2*$A750,MMCost2*CapacityDC*1000*(1+Inflation)^B$2,0))</f>
        <v>0</v>
      </c>
      <c r="D750" s="208">
        <f t="shared" si="1486"/>
        <v>0</v>
      </c>
      <c r="E750" s="208">
        <f t="shared" si="1486"/>
        <v>0</v>
      </c>
      <c r="F750" s="208">
        <f t="shared" si="1486"/>
        <v>0</v>
      </c>
      <c r="G750" s="208">
        <f t="shared" si="1486"/>
        <v>0</v>
      </c>
      <c r="H750" s="208">
        <f t="shared" si="1486"/>
        <v>0</v>
      </c>
      <c r="I750" s="208">
        <f t="shared" si="1486"/>
        <v>0</v>
      </c>
      <c r="J750" s="208">
        <f t="shared" si="1486"/>
        <v>0</v>
      </c>
      <c r="K750" s="208">
        <f t="shared" si="1486"/>
        <v>0</v>
      </c>
      <c r="L750" s="208">
        <f t="shared" si="1486"/>
        <v>0</v>
      </c>
      <c r="M750" s="208">
        <f t="shared" si="1486"/>
        <v>0</v>
      </c>
      <c r="N750" s="208">
        <f t="shared" si="1486"/>
        <v>0</v>
      </c>
      <c r="O750" s="208">
        <f t="shared" si="1486"/>
        <v>0</v>
      </c>
      <c r="P750" s="208">
        <f t="shared" si="1486"/>
        <v>0</v>
      </c>
      <c r="Q750" s="208">
        <f t="shared" si="1486"/>
        <v>0</v>
      </c>
      <c r="R750" s="208">
        <f t="shared" si="1486"/>
        <v>0</v>
      </c>
      <c r="S750" s="208">
        <f t="shared" si="1486"/>
        <v>0</v>
      </c>
      <c r="T750" s="208">
        <f t="shared" si="1486"/>
        <v>0</v>
      </c>
      <c r="U750" s="208">
        <f t="shared" si="1486"/>
        <v>0</v>
      </c>
      <c r="V750" s="208">
        <f t="shared" si="1486"/>
        <v>0</v>
      </c>
      <c r="W750" s="208">
        <f t="shared" si="1486"/>
        <v>0</v>
      </c>
      <c r="X750" s="208">
        <f t="shared" si="1486"/>
        <v>0</v>
      </c>
      <c r="Y750" s="208">
        <f t="shared" si="1486"/>
        <v>0</v>
      </c>
      <c r="Z750" s="208">
        <f t="shared" si="1486"/>
        <v>0</v>
      </c>
      <c r="AA750" s="208">
        <f t="shared" si="1486"/>
        <v>0</v>
      </c>
      <c r="AB750" s="208">
        <f t="shared" si="1486"/>
        <v>0</v>
      </c>
      <c r="AC750" s="208">
        <f t="shared" si="1486"/>
        <v>0</v>
      </c>
      <c r="AD750" s="208">
        <f t="shared" si="1486"/>
        <v>0</v>
      </c>
      <c r="AE750" s="208">
        <f t="shared" si="1486"/>
        <v>0</v>
      </c>
      <c r="AF750" s="208">
        <f t="shared" si="1486"/>
        <v>0</v>
      </c>
      <c r="AG750" s="208">
        <f t="shared" si="1486"/>
        <v>0</v>
      </c>
      <c r="AH750" s="208">
        <f t="shared" si="1486"/>
        <v>0</v>
      </c>
      <c r="AI750" s="208">
        <f t="shared" si="1486"/>
        <v>0</v>
      </c>
      <c r="AJ750" s="208">
        <f t="shared" si="1486"/>
        <v>0</v>
      </c>
      <c r="AK750" s="208">
        <f t="shared" si="1486"/>
        <v>0</v>
      </c>
      <c r="AL750" s="208">
        <f t="shared" si="1486"/>
        <v>0</v>
      </c>
      <c r="AM750" s="208">
        <f t="shared" si="1486"/>
        <v>0</v>
      </c>
      <c r="AN750" s="208">
        <f t="shared" si="1486"/>
        <v>0</v>
      </c>
      <c r="AO750" s="208">
        <f t="shared" si="1486"/>
        <v>0</v>
      </c>
      <c r="AP750" s="208">
        <f t="shared" si="1486"/>
        <v>0</v>
      </c>
    </row>
    <row r="751" spans="1:42">
      <c r="A751" s="37">
        <f t="shared" si="1484"/>
        <v>5</v>
      </c>
      <c r="B751" s="218">
        <f t="shared" si="1481"/>
        <v>0</v>
      </c>
      <c r="C751" s="208">
        <f t="shared" ref="C751:AP751" si="1487">IF(C$2&gt;AnalysisPeriod,0,IF(C$2=MMFrequency2*$A751,MMCost2*CapacityDC*1000*(1+Inflation)^B$2,0))</f>
        <v>0</v>
      </c>
      <c r="D751" s="208">
        <f t="shared" si="1487"/>
        <v>0</v>
      </c>
      <c r="E751" s="208">
        <f t="shared" si="1487"/>
        <v>0</v>
      </c>
      <c r="F751" s="208">
        <f t="shared" si="1487"/>
        <v>0</v>
      </c>
      <c r="G751" s="208">
        <f t="shared" si="1487"/>
        <v>0</v>
      </c>
      <c r="H751" s="208">
        <f t="shared" si="1487"/>
        <v>0</v>
      </c>
      <c r="I751" s="208">
        <f t="shared" si="1487"/>
        <v>0</v>
      </c>
      <c r="J751" s="208">
        <f t="shared" si="1487"/>
        <v>0</v>
      </c>
      <c r="K751" s="208">
        <f t="shared" si="1487"/>
        <v>0</v>
      </c>
      <c r="L751" s="208">
        <f t="shared" si="1487"/>
        <v>0</v>
      </c>
      <c r="M751" s="208">
        <f t="shared" si="1487"/>
        <v>0</v>
      </c>
      <c r="N751" s="208">
        <f t="shared" si="1487"/>
        <v>0</v>
      </c>
      <c r="O751" s="208">
        <f t="shared" si="1487"/>
        <v>0</v>
      </c>
      <c r="P751" s="208">
        <f t="shared" si="1487"/>
        <v>0</v>
      </c>
      <c r="Q751" s="208">
        <f t="shared" si="1487"/>
        <v>0</v>
      </c>
      <c r="R751" s="208">
        <f t="shared" si="1487"/>
        <v>0</v>
      </c>
      <c r="S751" s="208">
        <f t="shared" si="1487"/>
        <v>0</v>
      </c>
      <c r="T751" s="208">
        <f t="shared" si="1487"/>
        <v>0</v>
      </c>
      <c r="U751" s="208">
        <f t="shared" si="1487"/>
        <v>0</v>
      </c>
      <c r="V751" s="208">
        <f t="shared" si="1487"/>
        <v>0</v>
      </c>
      <c r="W751" s="208">
        <f t="shared" si="1487"/>
        <v>0</v>
      </c>
      <c r="X751" s="208">
        <f t="shared" si="1487"/>
        <v>0</v>
      </c>
      <c r="Y751" s="208">
        <f t="shared" si="1487"/>
        <v>0</v>
      </c>
      <c r="Z751" s="208">
        <f t="shared" si="1487"/>
        <v>0</v>
      </c>
      <c r="AA751" s="208">
        <f t="shared" si="1487"/>
        <v>0</v>
      </c>
      <c r="AB751" s="208">
        <f t="shared" si="1487"/>
        <v>0</v>
      </c>
      <c r="AC751" s="208">
        <f t="shared" si="1487"/>
        <v>0</v>
      </c>
      <c r="AD751" s="208">
        <f t="shared" si="1487"/>
        <v>0</v>
      </c>
      <c r="AE751" s="208">
        <f t="shared" si="1487"/>
        <v>0</v>
      </c>
      <c r="AF751" s="208">
        <f t="shared" si="1487"/>
        <v>0</v>
      </c>
      <c r="AG751" s="208">
        <f t="shared" si="1487"/>
        <v>0</v>
      </c>
      <c r="AH751" s="208">
        <f t="shared" si="1487"/>
        <v>0</v>
      </c>
      <c r="AI751" s="208">
        <f t="shared" si="1487"/>
        <v>0</v>
      </c>
      <c r="AJ751" s="208">
        <f t="shared" si="1487"/>
        <v>0</v>
      </c>
      <c r="AK751" s="208">
        <f t="shared" si="1487"/>
        <v>0</v>
      </c>
      <c r="AL751" s="208">
        <f t="shared" si="1487"/>
        <v>0</v>
      </c>
      <c r="AM751" s="208">
        <f t="shared" si="1487"/>
        <v>0</v>
      </c>
      <c r="AN751" s="208">
        <f t="shared" si="1487"/>
        <v>0</v>
      </c>
      <c r="AO751" s="208">
        <f t="shared" si="1487"/>
        <v>0</v>
      </c>
      <c r="AP751" s="208">
        <f t="shared" si="1487"/>
        <v>0</v>
      </c>
    </row>
    <row r="752" spans="1:42">
      <c r="A752" s="37">
        <f t="shared" si="1484"/>
        <v>6</v>
      </c>
      <c r="B752" s="218">
        <f t="shared" si="1481"/>
        <v>0</v>
      </c>
      <c r="C752" s="208">
        <f t="shared" ref="C752:AP752" si="1488">IF(C$2&gt;AnalysisPeriod,0,IF(C$2=MMFrequency2*$A752,MMCost2*CapacityDC*1000*(1+Inflation)^B$2,0))</f>
        <v>0</v>
      </c>
      <c r="D752" s="208">
        <f t="shared" si="1488"/>
        <v>0</v>
      </c>
      <c r="E752" s="208">
        <f t="shared" si="1488"/>
        <v>0</v>
      </c>
      <c r="F752" s="208">
        <f t="shared" si="1488"/>
        <v>0</v>
      </c>
      <c r="G752" s="208">
        <f t="shared" si="1488"/>
        <v>0</v>
      </c>
      <c r="H752" s="208">
        <f t="shared" si="1488"/>
        <v>0</v>
      </c>
      <c r="I752" s="208">
        <f t="shared" si="1488"/>
        <v>0</v>
      </c>
      <c r="J752" s="208">
        <f t="shared" si="1488"/>
        <v>0</v>
      </c>
      <c r="K752" s="208">
        <f t="shared" si="1488"/>
        <v>0</v>
      </c>
      <c r="L752" s="208">
        <f t="shared" si="1488"/>
        <v>0</v>
      </c>
      <c r="M752" s="208">
        <f t="shared" si="1488"/>
        <v>0</v>
      </c>
      <c r="N752" s="208">
        <f t="shared" si="1488"/>
        <v>0</v>
      </c>
      <c r="O752" s="208">
        <f t="shared" si="1488"/>
        <v>0</v>
      </c>
      <c r="P752" s="208">
        <f t="shared" si="1488"/>
        <v>0</v>
      </c>
      <c r="Q752" s="208">
        <f t="shared" si="1488"/>
        <v>0</v>
      </c>
      <c r="R752" s="208">
        <f t="shared" si="1488"/>
        <v>0</v>
      </c>
      <c r="S752" s="208">
        <f t="shared" si="1488"/>
        <v>0</v>
      </c>
      <c r="T752" s="208">
        <f t="shared" si="1488"/>
        <v>0</v>
      </c>
      <c r="U752" s="208">
        <f t="shared" si="1488"/>
        <v>0</v>
      </c>
      <c r="V752" s="208">
        <f t="shared" si="1488"/>
        <v>0</v>
      </c>
      <c r="W752" s="208">
        <f t="shared" si="1488"/>
        <v>0</v>
      </c>
      <c r="X752" s="208">
        <f t="shared" si="1488"/>
        <v>0</v>
      </c>
      <c r="Y752" s="208">
        <f t="shared" si="1488"/>
        <v>0</v>
      </c>
      <c r="Z752" s="208">
        <f t="shared" si="1488"/>
        <v>0</v>
      </c>
      <c r="AA752" s="208">
        <f t="shared" si="1488"/>
        <v>0</v>
      </c>
      <c r="AB752" s="208">
        <f t="shared" si="1488"/>
        <v>0</v>
      </c>
      <c r="AC752" s="208">
        <f t="shared" si="1488"/>
        <v>0</v>
      </c>
      <c r="AD752" s="208">
        <f t="shared" si="1488"/>
        <v>0</v>
      </c>
      <c r="AE752" s="208">
        <f t="shared" si="1488"/>
        <v>0</v>
      </c>
      <c r="AF752" s="208">
        <f t="shared" si="1488"/>
        <v>0</v>
      </c>
      <c r="AG752" s="208">
        <f t="shared" si="1488"/>
        <v>0</v>
      </c>
      <c r="AH752" s="208">
        <f t="shared" si="1488"/>
        <v>0</v>
      </c>
      <c r="AI752" s="208">
        <f t="shared" si="1488"/>
        <v>0</v>
      </c>
      <c r="AJ752" s="208">
        <f t="shared" si="1488"/>
        <v>0</v>
      </c>
      <c r="AK752" s="208">
        <f t="shared" si="1488"/>
        <v>0</v>
      </c>
      <c r="AL752" s="208">
        <f t="shared" si="1488"/>
        <v>0</v>
      </c>
      <c r="AM752" s="208">
        <f t="shared" si="1488"/>
        <v>0</v>
      </c>
      <c r="AN752" s="208">
        <f t="shared" si="1488"/>
        <v>0</v>
      </c>
      <c r="AO752" s="208">
        <f t="shared" si="1488"/>
        <v>0</v>
      </c>
      <c r="AP752" s="208">
        <f t="shared" si="1488"/>
        <v>0</v>
      </c>
    </row>
    <row r="753" spans="1:42">
      <c r="A753" s="37">
        <f t="shared" si="1484"/>
        <v>7</v>
      </c>
      <c r="B753" s="218">
        <f t="shared" si="1481"/>
        <v>0</v>
      </c>
      <c r="C753" s="208">
        <f t="shared" ref="C753:AP753" si="1489">IF(C$2&gt;AnalysisPeriod,0,IF(C$2=MMFrequency2*$A753,MMCost2*CapacityDC*1000*(1+Inflation)^B$2,0))</f>
        <v>0</v>
      </c>
      <c r="D753" s="208">
        <f t="shared" si="1489"/>
        <v>0</v>
      </c>
      <c r="E753" s="208">
        <f t="shared" si="1489"/>
        <v>0</v>
      </c>
      <c r="F753" s="208">
        <f t="shared" si="1489"/>
        <v>0</v>
      </c>
      <c r="G753" s="208">
        <f t="shared" si="1489"/>
        <v>0</v>
      </c>
      <c r="H753" s="208">
        <f t="shared" si="1489"/>
        <v>0</v>
      </c>
      <c r="I753" s="208">
        <f t="shared" si="1489"/>
        <v>0</v>
      </c>
      <c r="J753" s="208">
        <f t="shared" si="1489"/>
        <v>0</v>
      </c>
      <c r="K753" s="208">
        <f t="shared" si="1489"/>
        <v>0</v>
      </c>
      <c r="L753" s="208">
        <f t="shared" si="1489"/>
        <v>0</v>
      </c>
      <c r="M753" s="208">
        <f t="shared" si="1489"/>
        <v>0</v>
      </c>
      <c r="N753" s="208">
        <f t="shared" si="1489"/>
        <v>0</v>
      </c>
      <c r="O753" s="208">
        <f t="shared" si="1489"/>
        <v>0</v>
      </c>
      <c r="P753" s="208">
        <f t="shared" si="1489"/>
        <v>0</v>
      </c>
      <c r="Q753" s="208">
        <f t="shared" si="1489"/>
        <v>0</v>
      </c>
      <c r="R753" s="208">
        <f t="shared" si="1489"/>
        <v>0</v>
      </c>
      <c r="S753" s="208">
        <f t="shared" si="1489"/>
        <v>0</v>
      </c>
      <c r="T753" s="208">
        <f t="shared" si="1489"/>
        <v>0</v>
      </c>
      <c r="U753" s="208">
        <f t="shared" si="1489"/>
        <v>0</v>
      </c>
      <c r="V753" s="208">
        <f t="shared" si="1489"/>
        <v>0</v>
      </c>
      <c r="W753" s="208">
        <f t="shared" si="1489"/>
        <v>0</v>
      </c>
      <c r="X753" s="208">
        <f t="shared" si="1489"/>
        <v>0</v>
      </c>
      <c r="Y753" s="208">
        <f t="shared" si="1489"/>
        <v>0</v>
      </c>
      <c r="Z753" s="208">
        <f t="shared" si="1489"/>
        <v>0</v>
      </c>
      <c r="AA753" s="208">
        <f t="shared" si="1489"/>
        <v>0</v>
      </c>
      <c r="AB753" s="208">
        <f t="shared" si="1489"/>
        <v>0</v>
      </c>
      <c r="AC753" s="208">
        <f t="shared" si="1489"/>
        <v>0</v>
      </c>
      <c r="AD753" s="208">
        <f t="shared" si="1489"/>
        <v>0</v>
      </c>
      <c r="AE753" s="208">
        <f t="shared" si="1489"/>
        <v>0</v>
      </c>
      <c r="AF753" s="208">
        <f t="shared" si="1489"/>
        <v>0</v>
      </c>
      <c r="AG753" s="208">
        <f t="shared" si="1489"/>
        <v>0</v>
      </c>
      <c r="AH753" s="208">
        <f t="shared" si="1489"/>
        <v>0</v>
      </c>
      <c r="AI753" s="208">
        <f t="shared" si="1489"/>
        <v>0</v>
      </c>
      <c r="AJ753" s="208">
        <f t="shared" si="1489"/>
        <v>0</v>
      </c>
      <c r="AK753" s="208">
        <f t="shared" si="1489"/>
        <v>0</v>
      </c>
      <c r="AL753" s="208">
        <f t="shared" si="1489"/>
        <v>0</v>
      </c>
      <c r="AM753" s="208">
        <f t="shared" si="1489"/>
        <v>0</v>
      </c>
      <c r="AN753" s="208">
        <f t="shared" si="1489"/>
        <v>0</v>
      </c>
      <c r="AO753" s="208">
        <f t="shared" si="1489"/>
        <v>0</v>
      </c>
      <c r="AP753" s="208">
        <f t="shared" si="1489"/>
        <v>0</v>
      </c>
    </row>
    <row r="754" spans="1:42">
      <c r="A754" s="37">
        <f t="shared" si="1484"/>
        <v>8</v>
      </c>
      <c r="B754" s="218">
        <f t="shared" si="1481"/>
        <v>0</v>
      </c>
      <c r="C754" s="208">
        <f t="shared" ref="C754:AP754" si="1490">IF(C$2&gt;AnalysisPeriod,0,IF(C$2=MMFrequency2*$A754,MMCost2*CapacityDC*1000*(1+Inflation)^B$2,0))</f>
        <v>0</v>
      </c>
      <c r="D754" s="208">
        <f t="shared" si="1490"/>
        <v>0</v>
      </c>
      <c r="E754" s="208">
        <f t="shared" si="1490"/>
        <v>0</v>
      </c>
      <c r="F754" s="208">
        <f t="shared" si="1490"/>
        <v>0</v>
      </c>
      <c r="G754" s="208">
        <f t="shared" si="1490"/>
        <v>0</v>
      </c>
      <c r="H754" s="208">
        <f t="shared" si="1490"/>
        <v>0</v>
      </c>
      <c r="I754" s="208">
        <f t="shared" si="1490"/>
        <v>0</v>
      </c>
      <c r="J754" s="208">
        <f t="shared" si="1490"/>
        <v>0</v>
      </c>
      <c r="K754" s="208">
        <f t="shared" si="1490"/>
        <v>0</v>
      </c>
      <c r="L754" s="208">
        <f t="shared" si="1490"/>
        <v>0</v>
      </c>
      <c r="M754" s="208">
        <f t="shared" si="1490"/>
        <v>0</v>
      </c>
      <c r="N754" s="208">
        <f t="shared" si="1490"/>
        <v>0</v>
      </c>
      <c r="O754" s="208">
        <f t="shared" si="1490"/>
        <v>0</v>
      </c>
      <c r="P754" s="208">
        <f t="shared" si="1490"/>
        <v>0</v>
      </c>
      <c r="Q754" s="208">
        <f t="shared" si="1490"/>
        <v>0</v>
      </c>
      <c r="R754" s="208">
        <f t="shared" si="1490"/>
        <v>0</v>
      </c>
      <c r="S754" s="208">
        <f t="shared" si="1490"/>
        <v>0</v>
      </c>
      <c r="T754" s="208">
        <f t="shared" si="1490"/>
        <v>0</v>
      </c>
      <c r="U754" s="208">
        <f t="shared" si="1490"/>
        <v>0</v>
      </c>
      <c r="V754" s="208">
        <f t="shared" si="1490"/>
        <v>0</v>
      </c>
      <c r="W754" s="208">
        <f t="shared" si="1490"/>
        <v>0</v>
      </c>
      <c r="X754" s="208">
        <f t="shared" si="1490"/>
        <v>0</v>
      </c>
      <c r="Y754" s="208">
        <f t="shared" si="1490"/>
        <v>0</v>
      </c>
      <c r="Z754" s="208">
        <f t="shared" si="1490"/>
        <v>0</v>
      </c>
      <c r="AA754" s="208">
        <f t="shared" si="1490"/>
        <v>0</v>
      </c>
      <c r="AB754" s="208">
        <f t="shared" si="1490"/>
        <v>0</v>
      </c>
      <c r="AC754" s="208">
        <f t="shared" si="1490"/>
        <v>0</v>
      </c>
      <c r="AD754" s="208">
        <f t="shared" si="1490"/>
        <v>0</v>
      </c>
      <c r="AE754" s="208">
        <f t="shared" si="1490"/>
        <v>0</v>
      </c>
      <c r="AF754" s="208">
        <f t="shared" si="1490"/>
        <v>0</v>
      </c>
      <c r="AG754" s="208">
        <f t="shared" si="1490"/>
        <v>0</v>
      </c>
      <c r="AH754" s="208">
        <f t="shared" si="1490"/>
        <v>0</v>
      </c>
      <c r="AI754" s="208">
        <f t="shared" si="1490"/>
        <v>0</v>
      </c>
      <c r="AJ754" s="208">
        <f t="shared" si="1490"/>
        <v>0</v>
      </c>
      <c r="AK754" s="208">
        <f t="shared" si="1490"/>
        <v>0</v>
      </c>
      <c r="AL754" s="208">
        <f t="shared" si="1490"/>
        <v>0</v>
      </c>
      <c r="AM754" s="208">
        <f t="shared" si="1490"/>
        <v>0</v>
      </c>
      <c r="AN754" s="208">
        <f t="shared" si="1490"/>
        <v>0</v>
      </c>
      <c r="AO754" s="208">
        <f t="shared" si="1490"/>
        <v>0</v>
      </c>
      <c r="AP754" s="208">
        <f t="shared" si="1490"/>
        <v>0</v>
      </c>
    </row>
    <row r="755" spans="1:42">
      <c r="A755" s="37">
        <f>A754+1</f>
        <v>9</v>
      </c>
      <c r="B755" s="218">
        <f t="shared" si="1481"/>
        <v>0</v>
      </c>
      <c r="C755" s="208">
        <f t="shared" ref="C755:AP755" si="1491">IF(C$2&gt;AnalysisPeriod,0,IF(C$2=MMFrequency2*$A755,MMCost2*CapacityDC*1000*(1+Inflation)^B$2,0))</f>
        <v>0</v>
      </c>
      <c r="D755" s="208">
        <f t="shared" si="1491"/>
        <v>0</v>
      </c>
      <c r="E755" s="208">
        <f t="shared" si="1491"/>
        <v>0</v>
      </c>
      <c r="F755" s="208">
        <f t="shared" si="1491"/>
        <v>0</v>
      </c>
      <c r="G755" s="208">
        <f t="shared" si="1491"/>
        <v>0</v>
      </c>
      <c r="H755" s="208">
        <f t="shared" si="1491"/>
        <v>0</v>
      </c>
      <c r="I755" s="208">
        <f t="shared" si="1491"/>
        <v>0</v>
      </c>
      <c r="J755" s="208">
        <f t="shared" si="1491"/>
        <v>0</v>
      </c>
      <c r="K755" s="208">
        <f t="shared" si="1491"/>
        <v>0</v>
      </c>
      <c r="L755" s="208">
        <f t="shared" si="1491"/>
        <v>0</v>
      </c>
      <c r="M755" s="208">
        <f t="shared" si="1491"/>
        <v>0</v>
      </c>
      <c r="N755" s="208">
        <f t="shared" si="1491"/>
        <v>0</v>
      </c>
      <c r="O755" s="208">
        <f t="shared" si="1491"/>
        <v>0</v>
      </c>
      <c r="P755" s="208">
        <f t="shared" si="1491"/>
        <v>0</v>
      </c>
      <c r="Q755" s="208">
        <f t="shared" si="1491"/>
        <v>0</v>
      </c>
      <c r="R755" s="208">
        <f t="shared" si="1491"/>
        <v>0</v>
      </c>
      <c r="S755" s="208">
        <f t="shared" si="1491"/>
        <v>0</v>
      </c>
      <c r="T755" s="208">
        <f t="shared" si="1491"/>
        <v>0</v>
      </c>
      <c r="U755" s="208">
        <f t="shared" si="1491"/>
        <v>0</v>
      </c>
      <c r="V755" s="208">
        <f t="shared" si="1491"/>
        <v>0</v>
      </c>
      <c r="W755" s="208">
        <f t="shared" si="1491"/>
        <v>0</v>
      </c>
      <c r="X755" s="208">
        <f t="shared" si="1491"/>
        <v>0</v>
      </c>
      <c r="Y755" s="208">
        <f t="shared" si="1491"/>
        <v>0</v>
      </c>
      <c r="Z755" s="208">
        <f t="shared" si="1491"/>
        <v>0</v>
      </c>
      <c r="AA755" s="208">
        <f t="shared" si="1491"/>
        <v>0</v>
      </c>
      <c r="AB755" s="208">
        <f t="shared" si="1491"/>
        <v>0</v>
      </c>
      <c r="AC755" s="208">
        <f t="shared" si="1491"/>
        <v>0</v>
      </c>
      <c r="AD755" s="208">
        <f t="shared" si="1491"/>
        <v>0</v>
      </c>
      <c r="AE755" s="208">
        <f t="shared" si="1491"/>
        <v>0</v>
      </c>
      <c r="AF755" s="208">
        <f t="shared" si="1491"/>
        <v>0</v>
      </c>
      <c r="AG755" s="208">
        <f t="shared" si="1491"/>
        <v>0</v>
      </c>
      <c r="AH755" s="208">
        <f t="shared" si="1491"/>
        <v>0</v>
      </c>
      <c r="AI755" s="208">
        <f t="shared" si="1491"/>
        <v>0</v>
      </c>
      <c r="AJ755" s="208">
        <f t="shared" si="1491"/>
        <v>0</v>
      </c>
      <c r="AK755" s="208">
        <f t="shared" si="1491"/>
        <v>0</v>
      </c>
      <c r="AL755" s="208">
        <f t="shared" si="1491"/>
        <v>0</v>
      </c>
      <c r="AM755" s="208">
        <f t="shared" si="1491"/>
        <v>0</v>
      </c>
      <c r="AN755" s="208">
        <f t="shared" si="1491"/>
        <v>0</v>
      </c>
      <c r="AO755" s="208">
        <f t="shared" si="1491"/>
        <v>0</v>
      </c>
      <c r="AP755" s="208">
        <f t="shared" si="1491"/>
        <v>0</v>
      </c>
    </row>
    <row r="756" spans="1:42">
      <c r="A756" s="37">
        <f t="shared" si="1484"/>
        <v>10</v>
      </c>
      <c r="B756" s="218">
        <f t="shared" si="1481"/>
        <v>0</v>
      </c>
      <c r="C756" s="209">
        <f t="shared" ref="C756:AP756" si="1492">IF(C$2&gt;AnalysisPeriod,0,IF(C$2=MMFrequency2*$A756,MMCost2*CapacityDC*1000*(1+Inflation)^B$2,0))</f>
        <v>0</v>
      </c>
      <c r="D756" s="209">
        <f t="shared" si="1492"/>
        <v>0</v>
      </c>
      <c r="E756" s="209">
        <f t="shared" si="1492"/>
        <v>0</v>
      </c>
      <c r="F756" s="209">
        <f t="shared" si="1492"/>
        <v>0</v>
      </c>
      <c r="G756" s="209">
        <f t="shared" si="1492"/>
        <v>0</v>
      </c>
      <c r="H756" s="209">
        <f t="shared" si="1492"/>
        <v>0</v>
      </c>
      <c r="I756" s="209">
        <f t="shared" si="1492"/>
        <v>0</v>
      </c>
      <c r="J756" s="209">
        <f t="shared" si="1492"/>
        <v>0</v>
      </c>
      <c r="K756" s="209">
        <f t="shared" si="1492"/>
        <v>0</v>
      </c>
      <c r="L756" s="209">
        <f t="shared" si="1492"/>
        <v>0</v>
      </c>
      <c r="M756" s="209">
        <f t="shared" si="1492"/>
        <v>0</v>
      </c>
      <c r="N756" s="209">
        <f t="shared" si="1492"/>
        <v>0</v>
      </c>
      <c r="O756" s="209">
        <f t="shared" si="1492"/>
        <v>0</v>
      </c>
      <c r="P756" s="209">
        <f t="shared" si="1492"/>
        <v>0</v>
      </c>
      <c r="Q756" s="209">
        <f t="shared" si="1492"/>
        <v>0</v>
      </c>
      <c r="R756" s="209">
        <f t="shared" si="1492"/>
        <v>0</v>
      </c>
      <c r="S756" s="209">
        <f t="shared" si="1492"/>
        <v>0</v>
      </c>
      <c r="T756" s="209">
        <f t="shared" si="1492"/>
        <v>0</v>
      </c>
      <c r="U756" s="209">
        <f t="shared" si="1492"/>
        <v>0</v>
      </c>
      <c r="V756" s="209">
        <f t="shared" si="1492"/>
        <v>0</v>
      </c>
      <c r="W756" s="209">
        <f t="shared" si="1492"/>
        <v>0</v>
      </c>
      <c r="X756" s="209">
        <f t="shared" si="1492"/>
        <v>0</v>
      </c>
      <c r="Y756" s="209">
        <f t="shared" si="1492"/>
        <v>0</v>
      </c>
      <c r="Z756" s="209">
        <f t="shared" si="1492"/>
        <v>0</v>
      </c>
      <c r="AA756" s="209">
        <f t="shared" si="1492"/>
        <v>0</v>
      </c>
      <c r="AB756" s="209">
        <f t="shared" si="1492"/>
        <v>0</v>
      </c>
      <c r="AC756" s="209">
        <f t="shared" si="1492"/>
        <v>0</v>
      </c>
      <c r="AD756" s="209">
        <f t="shared" si="1492"/>
        <v>0</v>
      </c>
      <c r="AE756" s="209">
        <f t="shared" si="1492"/>
        <v>0</v>
      </c>
      <c r="AF756" s="209">
        <f t="shared" si="1492"/>
        <v>0</v>
      </c>
      <c r="AG756" s="209">
        <f t="shared" si="1492"/>
        <v>0</v>
      </c>
      <c r="AH756" s="209">
        <f t="shared" si="1492"/>
        <v>0</v>
      </c>
      <c r="AI756" s="209">
        <f t="shared" si="1492"/>
        <v>0</v>
      </c>
      <c r="AJ756" s="209">
        <f t="shared" si="1492"/>
        <v>0</v>
      </c>
      <c r="AK756" s="209">
        <f t="shared" si="1492"/>
        <v>0</v>
      </c>
      <c r="AL756" s="209">
        <f t="shared" si="1492"/>
        <v>0</v>
      </c>
      <c r="AM756" s="209">
        <f t="shared" si="1492"/>
        <v>0</v>
      </c>
      <c r="AN756" s="209">
        <f t="shared" si="1492"/>
        <v>0</v>
      </c>
      <c r="AO756" s="209">
        <f t="shared" si="1492"/>
        <v>0</v>
      </c>
      <c r="AP756" s="209">
        <f t="shared" si="1492"/>
        <v>0</v>
      </c>
    </row>
    <row r="757" spans="1:42">
      <c r="A757" s="244" t="s">
        <v>53</v>
      </c>
      <c r="B757" s="208"/>
      <c r="C757" s="164">
        <f>SUM(C747:C756)</f>
        <v>0</v>
      </c>
      <c r="D757" s="164">
        <f t="shared" ref="D757:AP757" si="1493">SUM(D747:D756)</f>
        <v>0</v>
      </c>
      <c r="E757" s="164">
        <f t="shared" si="1493"/>
        <v>0</v>
      </c>
      <c r="F757" s="164">
        <f t="shared" si="1493"/>
        <v>0</v>
      </c>
      <c r="G757" s="164">
        <f t="shared" si="1493"/>
        <v>0</v>
      </c>
      <c r="H757" s="164">
        <f t="shared" si="1493"/>
        <v>0</v>
      </c>
      <c r="I757" s="164">
        <f t="shared" si="1493"/>
        <v>0</v>
      </c>
      <c r="J757" s="164">
        <f t="shared" si="1493"/>
        <v>0</v>
      </c>
      <c r="K757" s="164">
        <f t="shared" si="1493"/>
        <v>0</v>
      </c>
      <c r="L757" s="164">
        <f t="shared" si="1493"/>
        <v>0</v>
      </c>
      <c r="M757" s="164">
        <f t="shared" si="1493"/>
        <v>0</v>
      </c>
      <c r="N757" s="164">
        <f t="shared" si="1493"/>
        <v>0</v>
      </c>
      <c r="O757" s="164">
        <f t="shared" si="1493"/>
        <v>0</v>
      </c>
      <c r="P757" s="164">
        <f t="shared" si="1493"/>
        <v>0</v>
      </c>
      <c r="Q757" s="164">
        <f t="shared" si="1493"/>
        <v>6158778.6534697888</v>
      </c>
      <c r="R757" s="164">
        <f t="shared" si="1493"/>
        <v>0</v>
      </c>
      <c r="S757" s="164">
        <f t="shared" si="1493"/>
        <v>0</v>
      </c>
      <c r="T757" s="164">
        <f t="shared" si="1493"/>
        <v>0</v>
      </c>
      <c r="U757" s="164">
        <f t="shared" si="1493"/>
        <v>0</v>
      </c>
      <c r="V757" s="164">
        <f t="shared" si="1493"/>
        <v>0</v>
      </c>
      <c r="W757" s="164">
        <f t="shared" si="1493"/>
        <v>0</v>
      </c>
      <c r="X757" s="164">
        <f t="shared" si="1493"/>
        <v>0</v>
      </c>
      <c r="Y757" s="164">
        <f t="shared" si="1493"/>
        <v>0</v>
      </c>
      <c r="Z757" s="164">
        <f t="shared" si="1493"/>
        <v>0</v>
      </c>
      <c r="AA757" s="164">
        <f t="shared" si="1493"/>
        <v>0</v>
      </c>
      <c r="AB757" s="164">
        <f t="shared" si="1493"/>
        <v>0</v>
      </c>
      <c r="AC757" s="164">
        <f t="shared" si="1493"/>
        <v>0</v>
      </c>
      <c r="AD757" s="164">
        <f t="shared" si="1493"/>
        <v>0</v>
      </c>
      <c r="AE757" s="164">
        <f t="shared" si="1493"/>
        <v>0</v>
      </c>
      <c r="AF757" s="164">
        <f t="shared" si="1493"/>
        <v>7699902.5639943341</v>
      </c>
      <c r="AG757" s="164">
        <f t="shared" si="1493"/>
        <v>0</v>
      </c>
      <c r="AH757" s="164">
        <f t="shared" si="1493"/>
        <v>0</v>
      </c>
      <c r="AI757" s="164">
        <f t="shared" si="1493"/>
        <v>0</v>
      </c>
      <c r="AJ757" s="164">
        <f t="shared" si="1493"/>
        <v>0</v>
      </c>
      <c r="AK757" s="164">
        <f t="shared" si="1493"/>
        <v>0</v>
      </c>
      <c r="AL757" s="164">
        <f t="shared" si="1493"/>
        <v>0</v>
      </c>
      <c r="AM757" s="164">
        <f t="shared" si="1493"/>
        <v>0</v>
      </c>
      <c r="AN757" s="164">
        <f t="shared" si="1493"/>
        <v>0</v>
      </c>
      <c r="AO757" s="164">
        <f t="shared" si="1493"/>
        <v>0</v>
      </c>
      <c r="AP757" s="164">
        <f t="shared" si="1493"/>
        <v>0</v>
      </c>
    </row>
    <row r="758" spans="1:42">
      <c r="A758" s="37" t="s">
        <v>209</v>
      </c>
      <c r="B758" s="164"/>
      <c r="C758" s="164"/>
      <c r="D758" s="164"/>
      <c r="E758" s="164"/>
      <c r="F758" s="164"/>
      <c r="G758" s="208"/>
      <c r="H758" s="208"/>
      <c r="I758" s="208"/>
      <c r="J758" s="208"/>
      <c r="K758" s="208"/>
      <c r="L758" s="208"/>
      <c r="M758" s="208"/>
      <c r="N758" s="208"/>
      <c r="O758" s="208"/>
      <c r="P758" s="208"/>
      <c r="Q758" s="208"/>
      <c r="R758" s="208"/>
      <c r="S758" s="208"/>
      <c r="T758" s="208"/>
      <c r="U758" s="208"/>
      <c r="V758" s="208"/>
      <c r="W758" s="208"/>
      <c r="X758" s="208"/>
      <c r="Y758" s="208"/>
      <c r="Z758" s="208"/>
      <c r="AA758" s="208"/>
      <c r="AB758" s="208"/>
      <c r="AC758" s="208"/>
      <c r="AD758" s="208"/>
      <c r="AE758" s="208"/>
      <c r="AF758" s="208"/>
      <c r="AG758" s="208"/>
      <c r="AH758" s="208"/>
      <c r="AI758" s="208"/>
      <c r="AJ758" s="208"/>
      <c r="AK758" s="208"/>
      <c r="AL758" s="208"/>
      <c r="AM758" s="208"/>
      <c r="AN758" s="208"/>
      <c r="AO758" s="208"/>
      <c r="AP758" s="208"/>
    </row>
    <row r="759" spans="1:42">
      <c r="A759" s="37">
        <v>1</v>
      </c>
      <c r="B759" s="295">
        <f t="shared" ref="B759:B768" si="1494">SUM(C759:AP759)</f>
        <v>6158778.6534697879</v>
      </c>
      <c r="C759" s="208">
        <f t="shared" ref="C759:AP759" si="1495">IF(C$2&lt;=MMFrequency2*$A$747,$B$747/(MMFrequency2),0)</f>
        <v>410585.24356465257</v>
      </c>
      <c r="D759" s="208">
        <f t="shared" si="1495"/>
        <v>410585.24356465257</v>
      </c>
      <c r="E759" s="208">
        <f t="shared" si="1495"/>
        <v>410585.24356465257</v>
      </c>
      <c r="F759" s="208">
        <f t="shared" si="1495"/>
        <v>410585.24356465257</v>
      </c>
      <c r="G759" s="208">
        <f t="shared" si="1495"/>
        <v>410585.24356465257</v>
      </c>
      <c r="H759" s="208">
        <f t="shared" si="1495"/>
        <v>410585.24356465257</v>
      </c>
      <c r="I759" s="208">
        <f t="shared" si="1495"/>
        <v>410585.24356465257</v>
      </c>
      <c r="J759" s="208">
        <f t="shared" si="1495"/>
        <v>410585.24356465257</v>
      </c>
      <c r="K759" s="208">
        <f t="shared" si="1495"/>
        <v>410585.24356465257</v>
      </c>
      <c r="L759" s="208">
        <f t="shared" si="1495"/>
        <v>410585.24356465257</v>
      </c>
      <c r="M759" s="208">
        <f t="shared" si="1495"/>
        <v>410585.24356465257</v>
      </c>
      <c r="N759" s="208">
        <f t="shared" si="1495"/>
        <v>410585.24356465257</v>
      </c>
      <c r="O759" s="208">
        <f t="shared" si="1495"/>
        <v>410585.24356465257</v>
      </c>
      <c r="P759" s="208">
        <f t="shared" si="1495"/>
        <v>410585.24356465257</v>
      </c>
      <c r="Q759" s="208">
        <f t="shared" si="1495"/>
        <v>410585.24356465257</v>
      </c>
      <c r="R759" s="208">
        <f t="shared" si="1495"/>
        <v>0</v>
      </c>
      <c r="S759" s="208">
        <f t="shared" si="1495"/>
        <v>0</v>
      </c>
      <c r="T759" s="208">
        <f t="shared" si="1495"/>
        <v>0</v>
      </c>
      <c r="U759" s="208">
        <f t="shared" si="1495"/>
        <v>0</v>
      </c>
      <c r="V759" s="208">
        <f t="shared" si="1495"/>
        <v>0</v>
      </c>
      <c r="W759" s="208">
        <f t="shared" si="1495"/>
        <v>0</v>
      </c>
      <c r="X759" s="208">
        <f t="shared" si="1495"/>
        <v>0</v>
      </c>
      <c r="Y759" s="208">
        <f t="shared" si="1495"/>
        <v>0</v>
      </c>
      <c r="Z759" s="208">
        <f t="shared" si="1495"/>
        <v>0</v>
      </c>
      <c r="AA759" s="208">
        <f t="shared" si="1495"/>
        <v>0</v>
      </c>
      <c r="AB759" s="208">
        <f t="shared" si="1495"/>
        <v>0</v>
      </c>
      <c r="AC759" s="208">
        <f t="shared" si="1495"/>
        <v>0</v>
      </c>
      <c r="AD759" s="208">
        <f t="shared" si="1495"/>
        <v>0</v>
      </c>
      <c r="AE759" s="208">
        <f t="shared" si="1495"/>
        <v>0</v>
      </c>
      <c r="AF759" s="208">
        <f t="shared" si="1495"/>
        <v>0</v>
      </c>
      <c r="AG759" s="208">
        <f t="shared" si="1495"/>
        <v>0</v>
      </c>
      <c r="AH759" s="208">
        <f t="shared" si="1495"/>
        <v>0</v>
      </c>
      <c r="AI759" s="208">
        <f t="shared" si="1495"/>
        <v>0</v>
      </c>
      <c r="AJ759" s="208">
        <f t="shared" si="1495"/>
        <v>0</v>
      </c>
      <c r="AK759" s="208">
        <f t="shared" si="1495"/>
        <v>0</v>
      </c>
      <c r="AL759" s="208">
        <f t="shared" si="1495"/>
        <v>0</v>
      </c>
      <c r="AM759" s="208">
        <f t="shared" si="1495"/>
        <v>0</v>
      </c>
      <c r="AN759" s="208">
        <f t="shared" si="1495"/>
        <v>0</v>
      </c>
      <c r="AO759" s="208">
        <f t="shared" si="1495"/>
        <v>0</v>
      </c>
      <c r="AP759" s="208">
        <f t="shared" si="1495"/>
        <v>0</v>
      </c>
    </row>
    <row r="760" spans="1:42">
      <c r="A760" s="37">
        <f>A759+1</f>
        <v>2</v>
      </c>
      <c r="B760" s="295">
        <f t="shared" si="1494"/>
        <v>7699902.5639943322</v>
      </c>
      <c r="C760" s="208">
        <f t="shared" ref="C760:AP760" si="1496">IF(AND(C$2&gt;MMFrequency2*$A747,C$2&lt;=MMFrequency2*$A748),$B748/(MMFrequency2),0)</f>
        <v>0</v>
      </c>
      <c r="D760" s="208">
        <f t="shared" si="1496"/>
        <v>0</v>
      </c>
      <c r="E760" s="208">
        <f t="shared" si="1496"/>
        <v>0</v>
      </c>
      <c r="F760" s="208">
        <f t="shared" si="1496"/>
        <v>0</v>
      </c>
      <c r="G760" s="208">
        <f t="shared" si="1496"/>
        <v>0</v>
      </c>
      <c r="H760" s="208">
        <f t="shared" si="1496"/>
        <v>0</v>
      </c>
      <c r="I760" s="208">
        <f t="shared" si="1496"/>
        <v>0</v>
      </c>
      <c r="J760" s="208">
        <f t="shared" si="1496"/>
        <v>0</v>
      </c>
      <c r="K760" s="208">
        <f t="shared" si="1496"/>
        <v>0</v>
      </c>
      <c r="L760" s="208">
        <f t="shared" si="1496"/>
        <v>0</v>
      </c>
      <c r="M760" s="208">
        <f t="shared" si="1496"/>
        <v>0</v>
      </c>
      <c r="N760" s="208">
        <f t="shared" si="1496"/>
        <v>0</v>
      </c>
      <c r="O760" s="208">
        <f t="shared" si="1496"/>
        <v>0</v>
      </c>
      <c r="P760" s="208">
        <f t="shared" si="1496"/>
        <v>0</v>
      </c>
      <c r="Q760" s="208">
        <f t="shared" si="1496"/>
        <v>0</v>
      </c>
      <c r="R760" s="208">
        <f t="shared" si="1496"/>
        <v>513326.83759962226</v>
      </c>
      <c r="S760" s="208">
        <f t="shared" si="1496"/>
        <v>513326.83759962226</v>
      </c>
      <c r="T760" s="208">
        <f t="shared" si="1496"/>
        <v>513326.83759962226</v>
      </c>
      <c r="U760" s="208">
        <f t="shared" si="1496"/>
        <v>513326.83759962226</v>
      </c>
      <c r="V760" s="208">
        <f t="shared" si="1496"/>
        <v>513326.83759962226</v>
      </c>
      <c r="W760" s="208">
        <f t="shared" si="1496"/>
        <v>513326.83759962226</v>
      </c>
      <c r="X760" s="208">
        <f t="shared" si="1496"/>
        <v>513326.83759962226</v>
      </c>
      <c r="Y760" s="208">
        <f t="shared" si="1496"/>
        <v>513326.83759962226</v>
      </c>
      <c r="Z760" s="208">
        <f t="shared" si="1496"/>
        <v>513326.83759962226</v>
      </c>
      <c r="AA760" s="208">
        <f t="shared" si="1496"/>
        <v>513326.83759962226</v>
      </c>
      <c r="AB760" s="208">
        <f t="shared" si="1496"/>
        <v>513326.83759962226</v>
      </c>
      <c r="AC760" s="208">
        <f t="shared" si="1496"/>
        <v>513326.83759962226</v>
      </c>
      <c r="AD760" s="208">
        <f t="shared" si="1496"/>
        <v>513326.83759962226</v>
      </c>
      <c r="AE760" s="208">
        <f t="shared" si="1496"/>
        <v>513326.83759962226</v>
      </c>
      <c r="AF760" s="208">
        <f t="shared" si="1496"/>
        <v>513326.83759962226</v>
      </c>
      <c r="AG760" s="208">
        <f t="shared" si="1496"/>
        <v>0</v>
      </c>
      <c r="AH760" s="208">
        <f t="shared" si="1496"/>
        <v>0</v>
      </c>
      <c r="AI760" s="208">
        <f t="shared" si="1496"/>
        <v>0</v>
      </c>
      <c r="AJ760" s="208">
        <f t="shared" si="1496"/>
        <v>0</v>
      </c>
      <c r="AK760" s="208">
        <f t="shared" si="1496"/>
        <v>0</v>
      </c>
      <c r="AL760" s="208">
        <f t="shared" si="1496"/>
        <v>0</v>
      </c>
      <c r="AM760" s="208">
        <f t="shared" si="1496"/>
        <v>0</v>
      </c>
      <c r="AN760" s="208">
        <f t="shared" si="1496"/>
        <v>0</v>
      </c>
      <c r="AO760" s="208">
        <f t="shared" si="1496"/>
        <v>0</v>
      </c>
      <c r="AP760" s="208">
        <f t="shared" si="1496"/>
        <v>0</v>
      </c>
    </row>
    <row r="761" spans="1:42">
      <c r="A761" s="37">
        <f t="shared" ref="A761:A766" si="1497">A760+1</f>
        <v>3</v>
      </c>
      <c r="B761" s="295">
        <f t="shared" si="1494"/>
        <v>0</v>
      </c>
      <c r="C761" s="208">
        <f t="shared" ref="C761:AP761" si="1498">IF(AND(C$2&gt;MMFrequency2*$A748,C$2&lt;=MMFrequency2*$A749),$B749/(MMFrequency2),0)</f>
        <v>0</v>
      </c>
      <c r="D761" s="208">
        <f t="shared" si="1498"/>
        <v>0</v>
      </c>
      <c r="E761" s="208">
        <f t="shared" si="1498"/>
        <v>0</v>
      </c>
      <c r="F761" s="208">
        <f t="shared" si="1498"/>
        <v>0</v>
      </c>
      <c r="G761" s="208">
        <f t="shared" si="1498"/>
        <v>0</v>
      </c>
      <c r="H761" s="208">
        <f t="shared" si="1498"/>
        <v>0</v>
      </c>
      <c r="I761" s="208">
        <f t="shared" si="1498"/>
        <v>0</v>
      </c>
      <c r="J761" s="208">
        <f t="shared" si="1498"/>
        <v>0</v>
      </c>
      <c r="K761" s="208">
        <f t="shared" si="1498"/>
        <v>0</v>
      </c>
      <c r="L761" s="208">
        <f t="shared" si="1498"/>
        <v>0</v>
      </c>
      <c r="M761" s="208">
        <f t="shared" si="1498"/>
        <v>0</v>
      </c>
      <c r="N761" s="208">
        <f t="shared" si="1498"/>
        <v>0</v>
      </c>
      <c r="O761" s="208">
        <f t="shared" si="1498"/>
        <v>0</v>
      </c>
      <c r="P761" s="208">
        <f t="shared" si="1498"/>
        <v>0</v>
      </c>
      <c r="Q761" s="208">
        <f t="shared" si="1498"/>
        <v>0</v>
      </c>
      <c r="R761" s="208">
        <f t="shared" si="1498"/>
        <v>0</v>
      </c>
      <c r="S761" s="208">
        <f t="shared" si="1498"/>
        <v>0</v>
      </c>
      <c r="T761" s="208">
        <f t="shared" si="1498"/>
        <v>0</v>
      </c>
      <c r="U761" s="208">
        <f t="shared" si="1498"/>
        <v>0</v>
      </c>
      <c r="V761" s="208">
        <f t="shared" si="1498"/>
        <v>0</v>
      </c>
      <c r="W761" s="208">
        <f t="shared" si="1498"/>
        <v>0</v>
      </c>
      <c r="X761" s="208">
        <f t="shared" si="1498"/>
        <v>0</v>
      </c>
      <c r="Y761" s="208">
        <f t="shared" si="1498"/>
        <v>0</v>
      </c>
      <c r="Z761" s="208">
        <f t="shared" si="1498"/>
        <v>0</v>
      </c>
      <c r="AA761" s="208">
        <f t="shared" si="1498"/>
        <v>0</v>
      </c>
      <c r="AB761" s="208">
        <f t="shared" si="1498"/>
        <v>0</v>
      </c>
      <c r="AC761" s="208">
        <f t="shared" si="1498"/>
        <v>0</v>
      </c>
      <c r="AD761" s="208">
        <f t="shared" si="1498"/>
        <v>0</v>
      </c>
      <c r="AE761" s="208">
        <f t="shared" si="1498"/>
        <v>0</v>
      </c>
      <c r="AF761" s="208">
        <f t="shared" si="1498"/>
        <v>0</v>
      </c>
      <c r="AG761" s="208">
        <f t="shared" si="1498"/>
        <v>0</v>
      </c>
      <c r="AH761" s="208">
        <f t="shared" si="1498"/>
        <v>0</v>
      </c>
      <c r="AI761" s="208">
        <f t="shared" si="1498"/>
        <v>0</v>
      </c>
      <c r="AJ761" s="208">
        <f t="shared" si="1498"/>
        <v>0</v>
      </c>
      <c r="AK761" s="208">
        <f t="shared" si="1498"/>
        <v>0</v>
      </c>
      <c r="AL761" s="208">
        <f t="shared" si="1498"/>
        <v>0</v>
      </c>
      <c r="AM761" s="208">
        <f t="shared" si="1498"/>
        <v>0</v>
      </c>
      <c r="AN761" s="208">
        <f t="shared" si="1498"/>
        <v>0</v>
      </c>
      <c r="AO761" s="208">
        <f t="shared" si="1498"/>
        <v>0</v>
      </c>
      <c r="AP761" s="208">
        <f t="shared" si="1498"/>
        <v>0</v>
      </c>
    </row>
    <row r="762" spans="1:42">
      <c r="A762" s="37">
        <f t="shared" si="1497"/>
        <v>4</v>
      </c>
      <c r="B762" s="295">
        <f t="shared" si="1494"/>
        <v>0</v>
      </c>
      <c r="C762" s="208">
        <f t="shared" ref="C762:AP762" si="1499">IF(AND(C$2&gt;MMFrequency2*$A749,C$2&lt;=MMFrequency2*$A750),$B750/(MMFrequency2),0)</f>
        <v>0</v>
      </c>
      <c r="D762" s="208">
        <f t="shared" si="1499"/>
        <v>0</v>
      </c>
      <c r="E762" s="208">
        <f t="shared" si="1499"/>
        <v>0</v>
      </c>
      <c r="F762" s="208">
        <f t="shared" si="1499"/>
        <v>0</v>
      </c>
      <c r="G762" s="208">
        <f t="shared" si="1499"/>
        <v>0</v>
      </c>
      <c r="H762" s="208">
        <f t="shared" si="1499"/>
        <v>0</v>
      </c>
      <c r="I762" s="208">
        <f t="shared" si="1499"/>
        <v>0</v>
      </c>
      <c r="J762" s="208">
        <f t="shared" si="1499"/>
        <v>0</v>
      </c>
      <c r="K762" s="208">
        <f t="shared" si="1499"/>
        <v>0</v>
      </c>
      <c r="L762" s="208">
        <f t="shared" si="1499"/>
        <v>0</v>
      </c>
      <c r="M762" s="208">
        <f t="shared" si="1499"/>
        <v>0</v>
      </c>
      <c r="N762" s="208">
        <f t="shared" si="1499"/>
        <v>0</v>
      </c>
      <c r="O762" s="208">
        <f t="shared" si="1499"/>
        <v>0</v>
      </c>
      <c r="P762" s="208">
        <f t="shared" si="1499"/>
        <v>0</v>
      </c>
      <c r="Q762" s="208">
        <f t="shared" si="1499"/>
        <v>0</v>
      </c>
      <c r="R762" s="208">
        <f t="shared" si="1499"/>
        <v>0</v>
      </c>
      <c r="S762" s="208">
        <f t="shared" si="1499"/>
        <v>0</v>
      </c>
      <c r="T762" s="208">
        <f t="shared" si="1499"/>
        <v>0</v>
      </c>
      <c r="U762" s="208">
        <f t="shared" si="1499"/>
        <v>0</v>
      </c>
      <c r="V762" s="208">
        <f t="shared" si="1499"/>
        <v>0</v>
      </c>
      <c r="W762" s="208">
        <f t="shared" si="1499"/>
        <v>0</v>
      </c>
      <c r="X762" s="208">
        <f t="shared" si="1499"/>
        <v>0</v>
      </c>
      <c r="Y762" s="208">
        <f t="shared" si="1499"/>
        <v>0</v>
      </c>
      <c r="Z762" s="208">
        <f t="shared" si="1499"/>
        <v>0</v>
      </c>
      <c r="AA762" s="208">
        <f t="shared" si="1499"/>
        <v>0</v>
      </c>
      <c r="AB762" s="208">
        <f t="shared" si="1499"/>
        <v>0</v>
      </c>
      <c r="AC762" s="208">
        <f t="shared" si="1499"/>
        <v>0</v>
      </c>
      <c r="AD762" s="208">
        <f t="shared" si="1499"/>
        <v>0</v>
      </c>
      <c r="AE762" s="208">
        <f t="shared" si="1499"/>
        <v>0</v>
      </c>
      <c r="AF762" s="208">
        <f t="shared" si="1499"/>
        <v>0</v>
      </c>
      <c r="AG762" s="208">
        <f t="shared" si="1499"/>
        <v>0</v>
      </c>
      <c r="AH762" s="208">
        <f t="shared" si="1499"/>
        <v>0</v>
      </c>
      <c r="AI762" s="208">
        <f t="shared" si="1499"/>
        <v>0</v>
      </c>
      <c r="AJ762" s="208">
        <f t="shared" si="1499"/>
        <v>0</v>
      </c>
      <c r="AK762" s="208">
        <f t="shared" si="1499"/>
        <v>0</v>
      </c>
      <c r="AL762" s="208">
        <f t="shared" si="1499"/>
        <v>0</v>
      </c>
      <c r="AM762" s="208">
        <f t="shared" si="1499"/>
        <v>0</v>
      </c>
      <c r="AN762" s="208">
        <f t="shared" si="1499"/>
        <v>0</v>
      </c>
      <c r="AO762" s="208">
        <f t="shared" si="1499"/>
        <v>0</v>
      </c>
      <c r="AP762" s="208">
        <f t="shared" si="1499"/>
        <v>0</v>
      </c>
    </row>
    <row r="763" spans="1:42">
      <c r="A763" s="37">
        <f t="shared" si="1497"/>
        <v>5</v>
      </c>
      <c r="B763" s="295">
        <f t="shared" si="1494"/>
        <v>0</v>
      </c>
      <c r="C763" s="208">
        <f t="shared" ref="C763:AP763" si="1500">IF(AND(C$2&gt;MMFrequency2*$A750,C$2&lt;=MMFrequency2*$A751),$B751/(MMFrequency2),0)</f>
        <v>0</v>
      </c>
      <c r="D763" s="208">
        <f t="shared" si="1500"/>
        <v>0</v>
      </c>
      <c r="E763" s="208">
        <f t="shared" si="1500"/>
        <v>0</v>
      </c>
      <c r="F763" s="208">
        <f t="shared" si="1500"/>
        <v>0</v>
      </c>
      <c r="G763" s="208">
        <f t="shared" si="1500"/>
        <v>0</v>
      </c>
      <c r="H763" s="208">
        <f t="shared" si="1500"/>
        <v>0</v>
      </c>
      <c r="I763" s="208">
        <f t="shared" si="1500"/>
        <v>0</v>
      </c>
      <c r="J763" s="208">
        <f t="shared" si="1500"/>
        <v>0</v>
      </c>
      <c r="K763" s="208">
        <f t="shared" si="1500"/>
        <v>0</v>
      </c>
      <c r="L763" s="208">
        <f t="shared" si="1500"/>
        <v>0</v>
      </c>
      <c r="M763" s="208">
        <f t="shared" si="1500"/>
        <v>0</v>
      </c>
      <c r="N763" s="208">
        <f t="shared" si="1500"/>
        <v>0</v>
      </c>
      <c r="O763" s="208">
        <f t="shared" si="1500"/>
        <v>0</v>
      </c>
      <c r="P763" s="208">
        <f t="shared" si="1500"/>
        <v>0</v>
      </c>
      <c r="Q763" s="208">
        <f t="shared" si="1500"/>
        <v>0</v>
      </c>
      <c r="R763" s="208">
        <f t="shared" si="1500"/>
        <v>0</v>
      </c>
      <c r="S763" s="208">
        <f t="shared" si="1500"/>
        <v>0</v>
      </c>
      <c r="T763" s="208">
        <f t="shared" si="1500"/>
        <v>0</v>
      </c>
      <c r="U763" s="208">
        <f t="shared" si="1500"/>
        <v>0</v>
      </c>
      <c r="V763" s="208">
        <f t="shared" si="1500"/>
        <v>0</v>
      </c>
      <c r="W763" s="208">
        <f t="shared" si="1500"/>
        <v>0</v>
      </c>
      <c r="X763" s="208">
        <f t="shared" si="1500"/>
        <v>0</v>
      </c>
      <c r="Y763" s="208">
        <f t="shared" si="1500"/>
        <v>0</v>
      </c>
      <c r="Z763" s="208">
        <f t="shared" si="1500"/>
        <v>0</v>
      </c>
      <c r="AA763" s="208">
        <f t="shared" si="1500"/>
        <v>0</v>
      </c>
      <c r="AB763" s="208">
        <f t="shared" si="1500"/>
        <v>0</v>
      </c>
      <c r="AC763" s="208">
        <f t="shared" si="1500"/>
        <v>0</v>
      </c>
      <c r="AD763" s="208">
        <f t="shared" si="1500"/>
        <v>0</v>
      </c>
      <c r="AE763" s="208">
        <f t="shared" si="1500"/>
        <v>0</v>
      </c>
      <c r="AF763" s="208">
        <f t="shared" si="1500"/>
        <v>0</v>
      </c>
      <c r="AG763" s="208">
        <f t="shared" si="1500"/>
        <v>0</v>
      </c>
      <c r="AH763" s="208">
        <f t="shared" si="1500"/>
        <v>0</v>
      </c>
      <c r="AI763" s="208">
        <f t="shared" si="1500"/>
        <v>0</v>
      </c>
      <c r="AJ763" s="208">
        <f t="shared" si="1500"/>
        <v>0</v>
      </c>
      <c r="AK763" s="208">
        <f t="shared" si="1500"/>
        <v>0</v>
      </c>
      <c r="AL763" s="208">
        <f t="shared" si="1500"/>
        <v>0</v>
      </c>
      <c r="AM763" s="208">
        <f t="shared" si="1500"/>
        <v>0</v>
      </c>
      <c r="AN763" s="208">
        <f t="shared" si="1500"/>
        <v>0</v>
      </c>
      <c r="AO763" s="208">
        <f t="shared" si="1500"/>
        <v>0</v>
      </c>
      <c r="AP763" s="208">
        <f t="shared" si="1500"/>
        <v>0</v>
      </c>
    </row>
    <row r="764" spans="1:42">
      <c r="A764" s="37">
        <f t="shared" si="1497"/>
        <v>6</v>
      </c>
      <c r="B764" s="295">
        <f t="shared" si="1494"/>
        <v>0</v>
      </c>
      <c r="C764" s="208">
        <f t="shared" ref="C764:AP764" si="1501">IF(AND(C$2&gt;MMFrequency2*$A751,C$2&lt;=MMFrequency2*$A752),$B752/(MMFrequency2),0)</f>
        <v>0</v>
      </c>
      <c r="D764" s="208">
        <f t="shared" si="1501"/>
        <v>0</v>
      </c>
      <c r="E764" s="208">
        <f t="shared" si="1501"/>
        <v>0</v>
      </c>
      <c r="F764" s="208">
        <f t="shared" si="1501"/>
        <v>0</v>
      </c>
      <c r="G764" s="208">
        <f t="shared" si="1501"/>
        <v>0</v>
      </c>
      <c r="H764" s="208">
        <f t="shared" si="1501"/>
        <v>0</v>
      </c>
      <c r="I764" s="208">
        <f t="shared" si="1501"/>
        <v>0</v>
      </c>
      <c r="J764" s="208">
        <f t="shared" si="1501"/>
        <v>0</v>
      </c>
      <c r="K764" s="208">
        <f t="shared" si="1501"/>
        <v>0</v>
      </c>
      <c r="L764" s="208">
        <f t="shared" si="1501"/>
        <v>0</v>
      </c>
      <c r="M764" s="208">
        <f t="shared" si="1501"/>
        <v>0</v>
      </c>
      <c r="N764" s="208">
        <f t="shared" si="1501"/>
        <v>0</v>
      </c>
      <c r="O764" s="208">
        <f t="shared" si="1501"/>
        <v>0</v>
      </c>
      <c r="P764" s="208">
        <f t="shared" si="1501"/>
        <v>0</v>
      </c>
      <c r="Q764" s="208">
        <f t="shared" si="1501"/>
        <v>0</v>
      </c>
      <c r="R764" s="208">
        <f t="shared" si="1501"/>
        <v>0</v>
      </c>
      <c r="S764" s="208">
        <f t="shared" si="1501"/>
        <v>0</v>
      </c>
      <c r="T764" s="208">
        <f t="shared" si="1501"/>
        <v>0</v>
      </c>
      <c r="U764" s="208">
        <f t="shared" si="1501"/>
        <v>0</v>
      </c>
      <c r="V764" s="208">
        <f t="shared" si="1501"/>
        <v>0</v>
      </c>
      <c r="W764" s="208">
        <f t="shared" si="1501"/>
        <v>0</v>
      </c>
      <c r="X764" s="208">
        <f t="shared" si="1501"/>
        <v>0</v>
      </c>
      <c r="Y764" s="208">
        <f t="shared" si="1501"/>
        <v>0</v>
      </c>
      <c r="Z764" s="208">
        <f t="shared" si="1501"/>
        <v>0</v>
      </c>
      <c r="AA764" s="208">
        <f t="shared" si="1501"/>
        <v>0</v>
      </c>
      <c r="AB764" s="208">
        <f t="shared" si="1501"/>
        <v>0</v>
      </c>
      <c r="AC764" s="208">
        <f t="shared" si="1501"/>
        <v>0</v>
      </c>
      <c r="AD764" s="208">
        <f t="shared" si="1501"/>
        <v>0</v>
      </c>
      <c r="AE764" s="208">
        <f t="shared" si="1501"/>
        <v>0</v>
      </c>
      <c r="AF764" s="208">
        <f t="shared" si="1501"/>
        <v>0</v>
      </c>
      <c r="AG764" s="208">
        <f t="shared" si="1501"/>
        <v>0</v>
      </c>
      <c r="AH764" s="208">
        <f t="shared" si="1501"/>
        <v>0</v>
      </c>
      <c r="AI764" s="208">
        <f t="shared" si="1501"/>
        <v>0</v>
      </c>
      <c r="AJ764" s="208">
        <f t="shared" si="1501"/>
        <v>0</v>
      </c>
      <c r="AK764" s="208">
        <f t="shared" si="1501"/>
        <v>0</v>
      </c>
      <c r="AL764" s="208">
        <f t="shared" si="1501"/>
        <v>0</v>
      </c>
      <c r="AM764" s="208">
        <f t="shared" si="1501"/>
        <v>0</v>
      </c>
      <c r="AN764" s="208">
        <f t="shared" si="1501"/>
        <v>0</v>
      </c>
      <c r="AO764" s="208">
        <f t="shared" si="1501"/>
        <v>0</v>
      </c>
      <c r="AP764" s="208">
        <f t="shared" si="1501"/>
        <v>0</v>
      </c>
    </row>
    <row r="765" spans="1:42">
      <c r="A765" s="37">
        <f t="shared" si="1497"/>
        <v>7</v>
      </c>
      <c r="B765" s="295">
        <f t="shared" si="1494"/>
        <v>0</v>
      </c>
      <c r="C765" s="208">
        <f t="shared" ref="C765:AP765" si="1502">IF(AND(C$2&gt;MMFrequency2*$A752,C$2&lt;=MMFrequency2*$A753),$B753/(MMFrequency2),0)</f>
        <v>0</v>
      </c>
      <c r="D765" s="208">
        <f t="shared" si="1502"/>
        <v>0</v>
      </c>
      <c r="E765" s="208">
        <f t="shared" si="1502"/>
        <v>0</v>
      </c>
      <c r="F765" s="208">
        <f t="shared" si="1502"/>
        <v>0</v>
      </c>
      <c r="G765" s="208">
        <f t="shared" si="1502"/>
        <v>0</v>
      </c>
      <c r="H765" s="208">
        <f t="shared" si="1502"/>
        <v>0</v>
      </c>
      <c r="I765" s="208">
        <f t="shared" si="1502"/>
        <v>0</v>
      </c>
      <c r="J765" s="208">
        <f t="shared" si="1502"/>
        <v>0</v>
      </c>
      <c r="K765" s="208">
        <f t="shared" si="1502"/>
        <v>0</v>
      </c>
      <c r="L765" s="208">
        <f t="shared" si="1502"/>
        <v>0</v>
      </c>
      <c r="M765" s="208">
        <f t="shared" si="1502"/>
        <v>0</v>
      </c>
      <c r="N765" s="208">
        <f t="shared" si="1502"/>
        <v>0</v>
      </c>
      <c r="O765" s="208">
        <f t="shared" si="1502"/>
        <v>0</v>
      </c>
      <c r="P765" s="208">
        <f t="shared" si="1502"/>
        <v>0</v>
      </c>
      <c r="Q765" s="208">
        <f t="shared" si="1502"/>
        <v>0</v>
      </c>
      <c r="R765" s="208">
        <f t="shared" si="1502"/>
        <v>0</v>
      </c>
      <c r="S765" s="208">
        <f t="shared" si="1502"/>
        <v>0</v>
      </c>
      <c r="T765" s="208">
        <f t="shared" si="1502"/>
        <v>0</v>
      </c>
      <c r="U765" s="208">
        <f t="shared" si="1502"/>
        <v>0</v>
      </c>
      <c r="V765" s="208">
        <f t="shared" si="1502"/>
        <v>0</v>
      </c>
      <c r="W765" s="208">
        <f t="shared" si="1502"/>
        <v>0</v>
      </c>
      <c r="X765" s="208">
        <f t="shared" si="1502"/>
        <v>0</v>
      </c>
      <c r="Y765" s="208">
        <f t="shared" si="1502"/>
        <v>0</v>
      </c>
      <c r="Z765" s="208">
        <f t="shared" si="1502"/>
        <v>0</v>
      </c>
      <c r="AA765" s="208">
        <f t="shared" si="1502"/>
        <v>0</v>
      </c>
      <c r="AB765" s="208">
        <f t="shared" si="1502"/>
        <v>0</v>
      </c>
      <c r="AC765" s="208">
        <f t="shared" si="1502"/>
        <v>0</v>
      </c>
      <c r="AD765" s="208">
        <f t="shared" si="1502"/>
        <v>0</v>
      </c>
      <c r="AE765" s="208">
        <f t="shared" si="1502"/>
        <v>0</v>
      </c>
      <c r="AF765" s="208">
        <f t="shared" si="1502"/>
        <v>0</v>
      </c>
      <c r="AG765" s="208">
        <f t="shared" si="1502"/>
        <v>0</v>
      </c>
      <c r="AH765" s="208">
        <f t="shared" si="1502"/>
        <v>0</v>
      </c>
      <c r="AI765" s="208">
        <f t="shared" si="1502"/>
        <v>0</v>
      </c>
      <c r="AJ765" s="208">
        <f t="shared" si="1502"/>
        <v>0</v>
      </c>
      <c r="AK765" s="208">
        <f t="shared" si="1502"/>
        <v>0</v>
      </c>
      <c r="AL765" s="208">
        <f t="shared" si="1502"/>
        <v>0</v>
      </c>
      <c r="AM765" s="208">
        <f t="shared" si="1502"/>
        <v>0</v>
      </c>
      <c r="AN765" s="208">
        <f t="shared" si="1502"/>
        <v>0</v>
      </c>
      <c r="AO765" s="208">
        <f t="shared" si="1502"/>
        <v>0</v>
      </c>
      <c r="AP765" s="208">
        <f t="shared" si="1502"/>
        <v>0</v>
      </c>
    </row>
    <row r="766" spans="1:42">
      <c r="A766" s="37">
        <f t="shared" si="1497"/>
        <v>8</v>
      </c>
      <c r="B766" s="295">
        <f t="shared" si="1494"/>
        <v>0</v>
      </c>
      <c r="C766" s="208">
        <f t="shared" ref="C766:AP766" si="1503">IF(AND(C$2&gt;MMFrequency2*$A753,C$2&lt;=MMFrequency2*$A754),$B754/(MMFrequency2),0)</f>
        <v>0</v>
      </c>
      <c r="D766" s="208">
        <f t="shared" si="1503"/>
        <v>0</v>
      </c>
      <c r="E766" s="208">
        <f t="shared" si="1503"/>
        <v>0</v>
      </c>
      <c r="F766" s="208">
        <f t="shared" si="1503"/>
        <v>0</v>
      </c>
      <c r="G766" s="208">
        <f t="shared" si="1503"/>
        <v>0</v>
      </c>
      <c r="H766" s="208">
        <f t="shared" si="1503"/>
        <v>0</v>
      </c>
      <c r="I766" s="208">
        <f t="shared" si="1503"/>
        <v>0</v>
      </c>
      <c r="J766" s="208">
        <f t="shared" si="1503"/>
        <v>0</v>
      </c>
      <c r="K766" s="208">
        <f t="shared" si="1503"/>
        <v>0</v>
      </c>
      <c r="L766" s="208">
        <f t="shared" si="1503"/>
        <v>0</v>
      </c>
      <c r="M766" s="208">
        <f t="shared" si="1503"/>
        <v>0</v>
      </c>
      <c r="N766" s="208">
        <f t="shared" si="1503"/>
        <v>0</v>
      </c>
      <c r="O766" s="208">
        <f t="shared" si="1503"/>
        <v>0</v>
      </c>
      <c r="P766" s="208">
        <f t="shared" si="1503"/>
        <v>0</v>
      </c>
      <c r="Q766" s="208">
        <f t="shared" si="1503"/>
        <v>0</v>
      </c>
      <c r="R766" s="208">
        <f t="shared" si="1503"/>
        <v>0</v>
      </c>
      <c r="S766" s="208">
        <f t="shared" si="1503"/>
        <v>0</v>
      </c>
      <c r="T766" s="208">
        <f t="shared" si="1503"/>
        <v>0</v>
      </c>
      <c r="U766" s="208">
        <f t="shared" si="1503"/>
        <v>0</v>
      </c>
      <c r="V766" s="208">
        <f t="shared" si="1503"/>
        <v>0</v>
      </c>
      <c r="W766" s="208">
        <f t="shared" si="1503"/>
        <v>0</v>
      </c>
      <c r="X766" s="208">
        <f t="shared" si="1503"/>
        <v>0</v>
      </c>
      <c r="Y766" s="208">
        <f t="shared" si="1503"/>
        <v>0</v>
      </c>
      <c r="Z766" s="208">
        <f t="shared" si="1503"/>
        <v>0</v>
      </c>
      <c r="AA766" s="208">
        <f t="shared" si="1503"/>
        <v>0</v>
      </c>
      <c r="AB766" s="208">
        <f t="shared" si="1503"/>
        <v>0</v>
      </c>
      <c r="AC766" s="208">
        <f t="shared" si="1503"/>
        <v>0</v>
      </c>
      <c r="AD766" s="208">
        <f t="shared" si="1503"/>
        <v>0</v>
      </c>
      <c r="AE766" s="208">
        <f t="shared" si="1503"/>
        <v>0</v>
      </c>
      <c r="AF766" s="208">
        <f t="shared" si="1503"/>
        <v>0</v>
      </c>
      <c r="AG766" s="208">
        <f t="shared" si="1503"/>
        <v>0</v>
      </c>
      <c r="AH766" s="208">
        <f t="shared" si="1503"/>
        <v>0</v>
      </c>
      <c r="AI766" s="208">
        <f t="shared" si="1503"/>
        <v>0</v>
      </c>
      <c r="AJ766" s="208">
        <f t="shared" si="1503"/>
        <v>0</v>
      </c>
      <c r="AK766" s="208">
        <f t="shared" si="1503"/>
        <v>0</v>
      </c>
      <c r="AL766" s="208">
        <f t="shared" si="1503"/>
        <v>0</v>
      </c>
      <c r="AM766" s="208">
        <f t="shared" si="1503"/>
        <v>0</v>
      </c>
      <c r="AN766" s="208">
        <f t="shared" si="1503"/>
        <v>0</v>
      </c>
      <c r="AO766" s="208">
        <f t="shared" si="1503"/>
        <v>0</v>
      </c>
      <c r="AP766" s="208">
        <f t="shared" si="1503"/>
        <v>0</v>
      </c>
    </row>
    <row r="767" spans="1:42">
      <c r="A767" s="37">
        <f>A766+1</f>
        <v>9</v>
      </c>
      <c r="B767" s="295">
        <f t="shared" si="1494"/>
        <v>0</v>
      </c>
      <c r="C767" s="208">
        <f t="shared" ref="C767:AP767" si="1504">IF(AND(C$2&gt;MMFrequency2*$A754,C$2&lt;=MMFrequency2*$A755),$B755/(MMFrequency2),0)</f>
        <v>0</v>
      </c>
      <c r="D767" s="208">
        <f t="shared" si="1504"/>
        <v>0</v>
      </c>
      <c r="E767" s="208">
        <f t="shared" si="1504"/>
        <v>0</v>
      </c>
      <c r="F767" s="208">
        <f t="shared" si="1504"/>
        <v>0</v>
      </c>
      <c r="G767" s="208">
        <f t="shared" si="1504"/>
        <v>0</v>
      </c>
      <c r="H767" s="208">
        <f t="shared" si="1504"/>
        <v>0</v>
      </c>
      <c r="I767" s="208">
        <f t="shared" si="1504"/>
        <v>0</v>
      </c>
      <c r="J767" s="208">
        <f t="shared" si="1504"/>
        <v>0</v>
      </c>
      <c r="K767" s="208">
        <f t="shared" si="1504"/>
        <v>0</v>
      </c>
      <c r="L767" s="208">
        <f t="shared" si="1504"/>
        <v>0</v>
      </c>
      <c r="M767" s="208">
        <f t="shared" si="1504"/>
        <v>0</v>
      </c>
      <c r="N767" s="208">
        <f t="shared" si="1504"/>
        <v>0</v>
      </c>
      <c r="O767" s="208">
        <f t="shared" si="1504"/>
        <v>0</v>
      </c>
      <c r="P767" s="208">
        <f t="shared" si="1504"/>
        <v>0</v>
      </c>
      <c r="Q767" s="208">
        <f t="shared" si="1504"/>
        <v>0</v>
      </c>
      <c r="R767" s="208">
        <f t="shared" si="1504"/>
        <v>0</v>
      </c>
      <c r="S767" s="208">
        <f t="shared" si="1504"/>
        <v>0</v>
      </c>
      <c r="T767" s="208">
        <f t="shared" si="1504"/>
        <v>0</v>
      </c>
      <c r="U767" s="208">
        <f t="shared" si="1504"/>
        <v>0</v>
      </c>
      <c r="V767" s="208">
        <f t="shared" si="1504"/>
        <v>0</v>
      </c>
      <c r="W767" s="208">
        <f t="shared" si="1504"/>
        <v>0</v>
      </c>
      <c r="X767" s="208">
        <f t="shared" si="1504"/>
        <v>0</v>
      </c>
      <c r="Y767" s="208">
        <f t="shared" si="1504"/>
        <v>0</v>
      </c>
      <c r="Z767" s="208">
        <f t="shared" si="1504"/>
        <v>0</v>
      </c>
      <c r="AA767" s="208">
        <f t="shared" si="1504"/>
        <v>0</v>
      </c>
      <c r="AB767" s="208">
        <f t="shared" si="1504"/>
        <v>0</v>
      </c>
      <c r="AC767" s="208">
        <f t="shared" si="1504"/>
        <v>0</v>
      </c>
      <c r="AD767" s="208">
        <f t="shared" si="1504"/>
        <v>0</v>
      </c>
      <c r="AE767" s="208">
        <f t="shared" si="1504"/>
        <v>0</v>
      </c>
      <c r="AF767" s="208">
        <f t="shared" si="1504"/>
        <v>0</v>
      </c>
      <c r="AG767" s="208">
        <f t="shared" si="1504"/>
        <v>0</v>
      </c>
      <c r="AH767" s="208">
        <f t="shared" si="1504"/>
        <v>0</v>
      </c>
      <c r="AI767" s="208">
        <f t="shared" si="1504"/>
        <v>0</v>
      </c>
      <c r="AJ767" s="208">
        <f t="shared" si="1504"/>
        <v>0</v>
      </c>
      <c r="AK767" s="208">
        <f t="shared" si="1504"/>
        <v>0</v>
      </c>
      <c r="AL767" s="208">
        <f t="shared" si="1504"/>
        <v>0</v>
      </c>
      <c r="AM767" s="208">
        <f t="shared" si="1504"/>
        <v>0</v>
      </c>
      <c r="AN767" s="208">
        <f t="shared" si="1504"/>
        <v>0</v>
      </c>
      <c r="AO767" s="208">
        <f t="shared" si="1504"/>
        <v>0</v>
      </c>
      <c r="AP767" s="208">
        <f t="shared" si="1504"/>
        <v>0</v>
      </c>
    </row>
    <row r="768" spans="1:42">
      <c r="A768" s="37">
        <f t="shared" ref="A768" si="1505">A767+1</f>
        <v>10</v>
      </c>
      <c r="B768" s="295">
        <f t="shared" si="1494"/>
        <v>0</v>
      </c>
      <c r="C768" s="209">
        <f t="shared" ref="C768:AP768" si="1506">IF(AND(C$2&gt;MMFrequency2*$A755,C$2&lt;=MMFrequency2*$A756),$B756/(MMFrequency2),0)</f>
        <v>0</v>
      </c>
      <c r="D768" s="209">
        <f t="shared" si="1506"/>
        <v>0</v>
      </c>
      <c r="E768" s="209">
        <f t="shared" si="1506"/>
        <v>0</v>
      </c>
      <c r="F768" s="209">
        <f t="shared" si="1506"/>
        <v>0</v>
      </c>
      <c r="G768" s="209">
        <f t="shared" si="1506"/>
        <v>0</v>
      </c>
      <c r="H768" s="209">
        <f t="shared" si="1506"/>
        <v>0</v>
      </c>
      <c r="I768" s="209">
        <f t="shared" si="1506"/>
        <v>0</v>
      </c>
      <c r="J768" s="209">
        <f t="shared" si="1506"/>
        <v>0</v>
      </c>
      <c r="K768" s="209">
        <f t="shared" si="1506"/>
        <v>0</v>
      </c>
      <c r="L768" s="209">
        <f t="shared" si="1506"/>
        <v>0</v>
      </c>
      <c r="M768" s="209">
        <f t="shared" si="1506"/>
        <v>0</v>
      </c>
      <c r="N768" s="209">
        <f t="shared" si="1506"/>
        <v>0</v>
      </c>
      <c r="O768" s="209">
        <f t="shared" si="1506"/>
        <v>0</v>
      </c>
      <c r="P768" s="209">
        <f t="shared" si="1506"/>
        <v>0</v>
      </c>
      <c r="Q768" s="209">
        <f t="shared" si="1506"/>
        <v>0</v>
      </c>
      <c r="R768" s="209">
        <f t="shared" si="1506"/>
        <v>0</v>
      </c>
      <c r="S768" s="209">
        <f t="shared" si="1506"/>
        <v>0</v>
      </c>
      <c r="T768" s="209">
        <f t="shared" si="1506"/>
        <v>0</v>
      </c>
      <c r="U768" s="209">
        <f t="shared" si="1506"/>
        <v>0</v>
      </c>
      <c r="V768" s="209">
        <f t="shared" si="1506"/>
        <v>0</v>
      </c>
      <c r="W768" s="209">
        <f t="shared" si="1506"/>
        <v>0</v>
      </c>
      <c r="X768" s="209">
        <f t="shared" si="1506"/>
        <v>0</v>
      </c>
      <c r="Y768" s="209">
        <f t="shared" si="1506"/>
        <v>0</v>
      </c>
      <c r="Z768" s="209">
        <f t="shared" si="1506"/>
        <v>0</v>
      </c>
      <c r="AA768" s="209">
        <f t="shared" si="1506"/>
        <v>0</v>
      </c>
      <c r="AB768" s="209">
        <f t="shared" si="1506"/>
        <v>0</v>
      </c>
      <c r="AC768" s="209">
        <f t="shared" si="1506"/>
        <v>0</v>
      </c>
      <c r="AD768" s="209">
        <f t="shared" si="1506"/>
        <v>0</v>
      </c>
      <c r="AE768" s="209">
        <f t="shared" si="1506"/>
        <v>0</v>
      </c>
      <c r="AF768" s="209">
        <f t="shared" si="1506"/>
        <v>0</v>
      </c>
      <c r="AG768" s="209">
        <f t="shared" si="1506"/>
        <v>0</v>
      </c>
      <c r="AH768" s="209">
        <f t="shared" si="1506"/>
        <v>0</v>
      </c>
      <c r="AI768" s="209">
        <f t="shared" si="1506"/>
        <v>0</v>
      </c>
      <c r="AJ768" s="209">
        <f t="shared" si="1506"/>
        <v>0</v>
      </c>
      <c r="AK768" s="209">
        <f t="shared" si="1506"/>
        <v>0</v>
      </c>
      <c r="AL768" s="209">
        <f t="shared" si="1506"/>
        <v>0</v>
      </c>
      <c r="AM768" s="209">
        <f t="shared" si="1506"/>
        <v>0</v>
      </c>
      <c r="AN768" s="209">
        <f t="shared" si="1506"/>
        <v>0</v>
      </c>
      <c r="AO768" s="209">
        <f t="shared" si="1506"/>
        <v>0</v>
      </c>
      <c r="AP768" s="209">
        <f t="shared" si="1506"/>
        <v>0</v>
      </c>
    </row>
    <row r="769" spans="1:42">
      <c r="A769" s="244" t="s">
        <v>53</v>
      </c>
      <c r="B769" s="208"/>
      <c r="C769" s="164">
        <f>SUM(C759:C768)</f>
        <v>410585.24356465257</v>
      </c>
      <c r="D769" s="164">
        <f t="shared" ref="D769:AP769" si="1507">SUM(D759:D768)</f>
        <v>410585.24356465257</v>
      </c>
      <c r="E769" s="164">
        <f t="shared" si="1507"/>
        <v>410585.24356465257</v>
      </c>
      <c r="F769" s="164">
        <f t="shared" si="1507"/>
        <v>410585.24356465257</v>
      </c>
      <c r="G769" s="164">
        <f t="shared" si="1507"/>
        <v>410585.24356465257</v>
      </c>
      <c r="H769" s="164">
        <f t="shared" si="1507"/>
        <v>410585.24356465257</v>
      </c>
      <c r="I769" s="164">
        <f t="shared" si="1507"/>
        <v>410585.24356465257</v>
      </c>
      <c r="J769" s="164">
        <f t="shared" si="1507"/>
        <v>410585.24356465257</v>
      </c>
      <c r="K769" s="164">
        <f t="shared" si="1507"/>
        <v>410585.24356465257</v>
      </c>
      <c r="L769" s="164">
        <f t="shared" si="1507"/>
        <v>410585.24356465257</v>
      </c>
      <c r="M769" s="164">
        <f t="shared" si="1507"/>
        <v>410585.24356465257</v>
      </c>
      <c r="N769" s="164">
        <f t="shared" si="1507"/>
        <v>410585.24356465257</v>
      </c>
      <c r="O769" s="164">
        <f t="shared" si="1507"/>
        <v>410585.24356465257</v>
      </c>
      <c r="P769" s="164">
        <f t="shared" si="1507"/>
        <v>410585.24356465257</v>
      </c>
      <c r="Q769" s="164">
        <f t="shared" si="1507"/>
        <v>410585.24356465257</v>
      </c>
      <c r="R769" s="164">
        <f t="shared" si="1507"/>
        <v>513326.83759962226</v>
      </c>
      <c r="S769" s="164">
        <f t="shared" si="1507"/>
        <v>513326.83759962226</v>
      </c>
      <c r="T769" s="164">
        <f t="shared" si="1507"/>
        <v>513326.83759962226</v>
      </c>
      <c r="U769" s="164">
        <f t="shared" si="1507"/>
        <v>513326.83759962226</v>
      </c>
      <c r="V769" s="164">
        <f t="shared" si="1507"/>
        <v>513326.83759962226</v>
      </c>
      <c r="W769" s="164">
        <f t="shared" si="1507"/>
        <v>513326.83759962226</v>
      </c>
      <c r="X769" s="164">
        <f t="shared" si="1507"/>
        <v>513326.83759962226</v>
      </c>
      <c r="Y769" s="164">
        <f t="shared" si="1507"/>
        <v>513326.83759962226</v>
      </c>
      <c r="Z769" s="164">
        <f t="shared" si="1507"/>
        <v>513326.83759962226</v>
      </c>
      <c r="AA769" s="164">
        <f t="shared" si="1507"/>
        <v>513326.83759962226</v>
      </c>
      <c r="AB769" s="164">
        <f t="shared" si="1507"/>
        <v>513326.83759962226</v>
      </c>
      <c r="AC769" s="164">
        <f t="shared" si="1507"/>
        <v>513326.83759962226</v>
      </c>
      <c r="AD769" s="164">
        <f t="shared" si="1507"/>
        <v>513326.83759962226</v>
      </c>
      <c r="AE769" s="164">
        <f t="shared" si="1507"/>
        <v>513326.83759962226</v>
      </c>
      <c r="AF769" s="164">
        <f t="shared" si="1507"/>
        <v>513326.83759962226</v>
      </c>
      <c r="AG769" s="164">
        <f t="shared" si="1507"/>
        <v>0</v>
      </c>
      <c r="AH769" s="164">
        <f t="shared" si="1507"/>
        <v>0</v>
      </c>
      <c r="AI769" s="164">
        <f t="shared" si="1507"/>
        <v>0</v>
      </c>
      <c r="AJ769" s="164">
        <f t="shared" si="1507"/>
        <v>0</v>
      </c>
      <c r="AK769" s="164">
        <f t="shared" si="1507"/>
        <v>0</v>
      </c>
      <c r="AL769" s="164">
        <f t="shared" si="1507"/>
        <v>0</v>
      </c>
      <c r="AM769" s="164">
        <f t="shared" si="1507"/>
        <v>0</v>
      </c>
      <c r="AN769" s="164">
        <f t="shared" si="1507"/>
        <v>0</v>
      </c>
      <c r="AO769" s="164">
        <f t="shared" si="1507"/>
        <v>0</v>
      </c>
      <c r="AP769" s="164">
        <f t="shared" si="1507"/>
        <v>0</v>
      </c>
    </row>
    <row r="770" spans="1:42">
      <c r="B770" s="208"/>
      <c r="C770" s="164"/>
      <c r="D770" s="164"/>
      <c r="E770" s="164"/>
      <c r="F770" s="164"/>
      <c r="G770" s="164"/>
      <c r="H770" s="164"/>
      <c r="I770" s="164"/>
      <c r="J770" s="164"/>
      <c r="K770" s="164"/>
      <c r="L770" s="164"/>
      <c r="M770" s="164"/>
      <c r="N770" s="164"/>
      <c r="O770" s="164"/>
      <c r="P770" s="164"/>
      <c r="Q770" s="164"/>
      <c r="R770" s="164"/>
      <c r="S770" s="164"/>
      <c r="T770" s="164"/>
      <c r="U770" s="164"/>
      <c r="V770" s="164"/>
      <c r="W770" s="164"/>
      <c r="X770" s="164"/>
      <c r="Y770" s="164"/>
      <c r="Z770" s="164"/>
      <c r="AA770" s="164"/>
      <c r="AB770" s="164"/>
      <c r="AC770" s="164"/>
      <c r="AD770" s="164"/>
      <c r="AE770" s="164"/>
      <c r="AF770" s="164"/>
      <c r="AG770" s="164"/>
      <c r="AH770" s="164"/>
      <c r="AI770" s="164"/>
      <c r="AJ770" s="164"/>
      <c r="AK770" s="164"/>
      <c r="AL770" s="164"/>
      <c r="AM770" s="164"/>
      <c r="AN770" s="164"/>
      <c r="AO770" s="164"/>
      <c r="AP770" s="164"/>
    </row>
    <row r="771" spans="1:42">
      <c r="A771" s="204" t="s">
        <v>379</v>
      </c>
      <c r="C771" s="164"/>
      <c r="D771" s="164"/>
      <c r="E771" s="164"/>
      <c r="F771" s="164"/>
      <c r="G771" s="164"/>
      <c r="H771" s="164"/>
      <c r="I771" s="164"/>
      <c r="J771" s="164"/>
      <c r="K771" s="164"/>
      <c r="L771" s="164"/>
      <c r="M771" s="164"/>
      <c r="N771" s="164"/>
      <c r="O771" s="164"/>
      <c r="P771" s="164"/>
      <c r="Q771" s="164"/>
      <c r="R771" s="164"/>
      <c r="S771" s="164"/>
      <c r="T771" s="164"/>
      <c r="U771" s="164"/>
      <c r="V771" s="164"/>
      <c r="W771" s="164"/>
      <c r="X771" s="164"/>
      <c r="Y771" s="164"/>
      <c r="Z771" s="164"/>
      <c r="AA771" s="164"/>
      <c r="AB771" s="164"/>
      <c r="AC771" s="164"/>
      <c r="AD771" s="164"/>
      <c r="AE771" s="164"/>
      <c r="AF771" s="164"/>
      <c r="AG771" s="164"/>
      <c r="AH771" s="164"/>
      <c r="AI771" s="164"/>
      <c r="AJ771" s="164"/>
      <c r="AK771" s="164"/>
      <c r="AL771" s="164"/>
      <c r="AM771" s="164"/>
      <c r="AN771" s="164"/>
      <c r="AO771" s="164"/>
      <c r="AP771" s="164"/>
    </row>
    <row r="772" spans="1:42">
      <c r="A772" s="37" t="s">
        <v>100</v>
      </c>
      <c r="B772" s="164">
        <v>0</v>
      </c>
      <c r="C772" s="164">
        <f>B775</f>
        <v>0</v>
      </c>
      <c r="D772" s="164">
        <f t="shared" ref="D772" si="1508">C775</f>
        <v>34340.833333333321</v>
      </c>
      <c r="E772" s="164">
        <f t="shared" ref="E772" si="1509">D775</f>
        <v>68681.666666666642</v>
      </c>
      <c r="F772" s="164">
        <f t="shared" ref="F772" si="1510">E775</f>
        <v>0</v>
      </c>
      <c r="G772" s="164">
        <f t="shared" ref="G772" si="1511">F775</f>
        <v>35909.466796145811</v>
      </c>
      <c r="H772" s="164">
        <f t="shared" ref="H772" si="1512">G775</f>
        <v>71818.933592291622</v>
      </c>
      <c r="I772" s="164">
        <f t="shared" ref="I772" si="1513">H775</f>
        <v>0</v>
      </c>
      <c r="J772" s="164">
        <f t="shared" ref="J772" si="1514">I775</f>
        <v>37549.752886510192</v>
      </c>
      <c r="K772" s="164">
        <f t="shared" ref="K772" si="1515">J775</f>
        <v>75099.505773020384</v>
      </c>
      <c r="L772" s="164">
        <f t="shared" ref="L772" si="1516">K775</f>
        <v>0</v>
      </c>
      <c r="M772" s="164">
        <f t="shared" ref="M772" si="1517">L775</f>
        <v>39264.96458001752</v>
      </c>
      <c r="N772" s="164">
        <f t="shared" ref="N772" si="1518">M775</f>
        <v>78529.929160035041</v>
      </c>
      <c r="O772" s="164">
        <f t="shared" ref="O772" si="1519">N775</f>
        <v>0</v>
      </c>
      <c r="P772" s="164">
        <f t="shared" ref="P772" si="1520">O775</f>
        <v>41058.524356465256</v>
      </c>
      <c r="Q772" s="164">
        <f t="shared" ref="Q772" si="1521">P775</f>
        <v>82117.048712930511</v>
      </c>
      <c r="R772" s="164">
        <f t="shared" ref="R772" si="1522">Q775</f>
        <v>0</v>
      </c>
      <c r="S772" s="164">
        <f t="shared" ref="S772" si="1523">R775</f>
        <v>42934.011028966495</v>
      </c>
      <c r="T772" s="164">
        <f t="shared" ref="T772" si="1524">S775</f>
        <v>85868.022057932991</v>
      </c>
      <c r="U772" s="164">
        <f t="shared" ref="U772" si="1525">T775</f>
        <v>0</v>
      </c>
      <c r="V772" s="164">
        <f t="shared" ref="V772" si="1526">U775</f>
        <v>44895.166885001738</v>
      </c>
      <c r="W772" s="164">
        <f t="shared" ref="W772" si="1527">V775</f>
        <v>89790.333770003475</v>
      </c>
      <c r="X772" s="164">
        <f t="shared" ref="X772" si="1528">W775</f>
        <v>0</v>
      </c>
      <c r="Y772" s="164">
        <f t="shared" ref="Y772" si="1529">X775</f>
        <v>46945.90515366241</v>
      </c>
      <c r="Z772" s="164">
        <f t="shared" ref="Z772" si="1530">Y775</f>
        <v>93891.81030732482</v>
      </c>
      <c r="AA772" s="164">
        <f t="shared" ref="AA772" si="1531">Z775</f>
        <v>0</v>
      </c>
      <c r="AB772" s="164">
        <f t="shared" ref="AB772" si="1532">AA775</f>
        <v>49090.317813985828</v>
      </c>
      <c r="AC772" s="164">
        <f t="shared" ref="AC772" si="1533">AB775</f>
        <v>98180.635627971657</v>
      </c>
      <c r="AD772" s="164">
        <f t="shared" ref="AD772" si="1534">AC775</f>
        <v>0</v>
      </c>
      <c r="AE772" s="164">
        <f t="shared" ref="AE772" si="1535">AD775</f>
        <v>51332.68375996223</v>
      </c>
      <c r="AF772" s="164">
        <f t="shared" ref="AF772" si="1536">AE775</f>
        <v>102665.36751992446</v>
      </c>
      <c r="AG772" s="164">
        <f t="shared" ref="AG772" si="1537">AF775</f>
        <v>0</v>
      </c>
      <c r="AH772" s="164">
        <f t="shared" ref="AH772" si="1538">AG775</f>
        <v>0</v>
      </c>
      <c r="AI772" s="164">
        <f t="shared" ref="AI772" si="1539">AH775</f>
        <v>0</v>
      </c>
      <c r="AJ772" s="164">
        <f t="shared" ref="AJ772" si="1540">AI775</f>
        <v>0</v>
      </c>
      <c r="AK772" s="164">
        <f t="shared" ref="AK772" si="1541">AJ775</f>
        <v>0</v>
      </c>
      <c r="AL772" s="164">
        <f t="shared" ref="AL772" si="1542">AK775</f>
        <v>0</v>
      </c>
      <c r="AM772" s="164">
        <f t="shared" ref="AM772" si="1543">AL775</f>
        <v>0</v>
      </c>
      <c r="AN772" s="164">
        <f t="shared" ref="AN772" si="1544">AM775</f>
        <v>0</v>
      </c>
      <c r="AO772" s="164">
        <f t="shared" ref="AO772" si="1545">AN775</f>
        <v>0</v>
      </c>
      <c r="AP772" s="164">
        <f t="shared" ref="AP772" si="1546">AO775</f>
        <v>0</v>
      </c>
    </row>
    <row r="773" spans="1:42">
      <c r="A773" s="37" t="s">
        <v>208</v>
      </c>
      <c r="B773" s="164">
        <v>0</v>
      </c>
      <c r="C773" s="164">
        <f>C801</f>
        <v>34340.833333333321</v>
      </c>
      <c r="D773" s="164">
        <f t="shared" ref="D773:AP773" si="1547">D801</f>
        <v>34340.833333333321</v>
      </c>
      <c r="E773" s="164">
        <f t="shared" si="1547"/>
        <v>34340.833333333321</v>
      </c>
      <c r="F773" s="164">
        <f t="shared" si="1547"/>
        <v>35909.466796145811</v>
      </c>
      <c r="G773" s="164">
        <f t="shared" si="1547"/>
        <v>35909.466796145811</v>
      </c>
      <c r="H773" s="164">
        <f t="shared" si="1547"/>
        <v>35909.466796145811</v>
      </c>
      <c r="I773" s="164">
        <f t="shared" si="1547"/>
        <v>37549.752886510192</v>
      </c>
      <c r="J773" s="164">
        <f t="shared" si="1547"/>
        <v>37549.752886510192</v>
      </c>
      <c r="K773" s="164">
        <f t="shared" si="1547"/>
        <v>37549.752886510192</v>
      </c>
      <c r="L773" s="164">
        <f t="shared" si="1547"/>
        <v>39264.96458001752</v>
      </c>
      <c r="M773" s="164">
        <f t="shared" si="1547"/>
        <v>39264.96458001752</v>
      </c>
      <c r="N773" s="164">
        <f t="shared" si="1547"/>
        <v>39264.96458001752</v>
      </c>
      <c r="O773" s="164">
        <f t="shared" si="1547"/>
        <v>41058.524356465256</v>
      </c>
      <c r="P773" s="164">
        <f t="shared" si="1547"/>
        <v>41058.524356465256</v>
      </c>
      <c r="Q773" s="164">
        <f t="shared" si="1547"/>
        <v>41058.524356465256</v>
      </c>
      <c r="R773" s="164">
        <f t="shared" si="1547"/>
        <v>42934.011028966495</v>
      </c>
      <c r="S773" s="164">
        <f t="shared" si="1547"/>
        <v>42934.011028966495</v>
      </c>
      <c r="T773" s="164">
        <f t="shared" si="1547"/>
        <v>42934.011028966495</v>
      </c>
      <c r="U773" s="164">
        <f t="shared" si="1547"/>
        <v>44895.166885001738</v>
      </c>
      <c r="V773" s="164">
        <f t="shared" si="1547"/>
        <v>44895.166885001738</v>
      </c>
      <c r="W773" s="164">
        <f t="shared" si="1547"/>
        <v>44895.166885001738</v>
      </c>
      <c r="X773" s="164">
        <f t="shared" si="1547"/>
        <v>46945.90515366241</v>
      </c>
      <c r="Y773" s="164">
        <f t="shared" si="1547"/>
        <v>46945.90515366241</v>
      </c>
      <c r="Z773" s="164">
        <f t="shared" si="1547"/>
        <v>46945.90515366241</v>
      </c>
      <c r="AA773" s="164">
        <f t="shared" si="1547"/>
        <v>49090.317813985828</v>
      </c>
      <c r="AB773" s="164">
        <f t="shared" si="1547"/>
        <v>49090.317813985828</v>
      </c>
      <c r="AC773" s="164">
        <f t="shared" si="1547"/>
        <v>49090.317813985828</v>
      </c>
      <c r="AD773" s="164">
        <f t="shared" si="1547"/>
        <v>51332.68375996223</v>
      </c>
      <c r="AE773" s="164">
        <f t="shared" si="1547"/>
        <v>51332.68375996223</v>
      </c>
      <c r="AF773" s="164">
        <f t="shared" si="1547"/>
        <v>51332.68375996223</v>
      </c>
      <c r="AG773" s="164">
        <f t="shared" si="1547"/>
        <v>0</v>
      </c>
      <c r="AH773" s="164">
        <f t="shared" si="1547"/>
        <v>0</v>
      </c>
      <c r="AI773" s="164">
        <f t="shared" si="1547"/>
        <v>0</v>
      </c>
      <c r="AJ773" s="164">
        <f t="shared" si="1547"/>
        <v>0</v>
      </c>
      <c r="AK773" s="164">
        <f t="shared" si="1547"/>
        <v>0</v>
      </c>
      <c r="AL773" s="164">
        <f t="shared" si="1547"/>
        <v>0</v>
      </c>
      <c r="AM773" s="164">
        <f t="shared" si="1547"/>
        <v>0</v>
      </c>
      <c r="AN773" s="164">
        <f t="shared" si="1547"/>
        <v>0</v>
      </c>
      <c r="AO773" s="164">
        <f t="shared" si="1547"/>
        <v>0</v>
      </c>
      <c r="AP773" s="164">
        <f t="shared" si="1547"/>
        <v>0</v>
      </c>
    </row>
    <row r="774" spans="1:42">
      <c r="A774" s="37" t="s">
        <v>107</v>
      </c>
      <c r="B774" s="209">
        <v>0</v>
      </c>
      <c r="C774" s="209">
        <f>-C789</f>
        <v>0</v>
      </c>
      <c r="D774" s="209">
        <f t="shared" ref="D774:AP774" si="1548">-D789</f>
        <v>0</v>
      </c>
      <c r="E774" s="209">
        <f t="shared" si="1548"/>
        <v>-103022.49999999997</v>
      </c>
      <c r="F774" s="209">
        <f t="shared" si="1548"/>
        <v>0</v>
      </c>
      <c r="G774" s="209">
        <f t="shared" si="1548"/>
        <v>0</v>
      </c>
      <c r="H774" s="209">
        <f t="shared" si="1548"/>
        <v>-107728.40038843743</v>
      </c>
      <c r="I774" s="209">
        <f t="shared" si="1548"/>
        <v>0</v>
      </c>
      <c r="J774" s="209">
        <f t="shared" si="1548"/>
        <v>0</v>
      </c>
      <c r="K774" s="209">
        <f t="shared" si="1548"/>
        <v>-112649.25865953058</v>
      </c>
      <c r="L774" s="209">
        <f t="shared" si="1548"/>
        <v>0</v>
      </c>
      <c r="M774" s="209">
        <f t="shared" si="1548"/>
        <v>0</v>
      </c>
      <c r="N774" s="209">
        <f t="shared" si="1548"/>
        <v>-117794.89374005256</v>
      </c>
      <c r="O774" s="209">
        <f t="shared" si="1548"/>
        <v>0</v>
      </c>
      <c r="P774" s="209">
        <f t="shared" si="1548"/>
        <v>0</v>
      </c>
      <c r="Q774" s="209">
        <f t="shared" si="1548"/>
        <v>-123175.57306939577</v>
      </c>
      <c r="R774" s="209">
        <f t="shared" si="1548"/>
        <v>0</v>
      </c>
      <c r="S774" s="209">
        <f t="shared" si="1548"/>
        <v>0</v>
      </c>
      <c r="T774" s="209">
        <f t="shared" si="1548"/>
        <v>-128802.03308689948</v>
      </c>
      <c r="U774" s="209">
        <f t="shared" si="1548"/>
        <v>0</v>
      </c>
      <c r="V774" s="209">
        <f t="shared" si="1548"/>
        <v>0</v>
      </c>
      <c r="W774" s="209">
        <f t="shared" si="1548"/>
        <v>-134685.50065500522</v>
      </c>
      <c r="X774" s="209">
        <f t="shared" si="1548"/>
        <v>0</v>
      </c>
      <c r="Y774" s="209">
        <f t="shared" si="1548"/>
        <v>0</v>
      </c>
      <c r="Z774" s="209">
        <f t="shared" si="1548"/>
        <v>-140837.71546098724</v>
      </c>
      <c r="AA774" s="209">
        <f t="shared" si="1548"/>
        <v>0</v>
      </c>
      <c r="AB774" s="209">
        <f t="shared" si="1548"/>
        <v>0</v>
      </c>
      <c r="AC774" s="209">
        <f t="shared" si="1548"/>
        <v>-147270.95344195748</v>
      </c>
      <c r="AD774" s="209">
        <f t="shared" si="1548"/>
        <v>0</v>
      </c>
      <c r="AE774" s="209">
        <f t="shared" si="1548"/>
        <v>0</v>
      </c>
      <c r="AF774" s="209">
        <f t="shared" si="1548"/>
        <v>-153998.05127988668</v>
      </c>
      <c r="AG774" s="209">
        <f t="shared" si="1548"/>
        <v>0</v>
      </c>
      <c r="AH774" s="209">
        <f t="shared" si="1548"/>
        <v>0</v>
      </c>
      <c r="AI774" s="209">
        <f t="shared" si="1548"/>
        <v>0</v>
      </c>
      <c r="AJ774" s="209">
        <f t="shared" si="1548"/>
        <v>0</v>
      </c>
      <c r="AK774" s="209">
        <f t="shared" si="1548"/>
        <v>0</v>
      </c>
      <c r="AL774" s="209">
        <f t="shared" si="1548"/>
        <v>0</v>
      </c>
      <c r="AM774" s="209">
        <f t="shared" si="1548"/>
        <v>0</v>
      </c>
      <c r="AN774" s="209">
        <f t="shared" si="1548"/>
        <v>0</v>
      </c>
      <c r="AO774" s="209">
        <f t="shared" si="1548"/>
        <v>0</v>
      </c>
      <c r="AP774" s="209">
        <f t="shared" si="1548"/>
        <v>0</v>
      </c>
    </row>
    <row r="775" spans="1:42">
      <c r="A775" s="37" t="s">
        <v>103</v>
      </c>
      <c r="B775" s="164">
        <f>SUM(B772:B774)</f>
        <v>0</v>
      </c>
      <c r="C775" s="164">
        <f>SUM(C772:C774)</f>
        <v>34340.833333333321</v>
      </c>
      <c r="D775" s="164">
        <f t="shared" ref="D775:AP775" si="1549">SUM(D772:D774)</f>
        <v>68681.666666666642</v>
      </c>
      <c r="E775" s="164">
        <f t="shared" si="1549"/>
        <v>0</v>
      </c>
      <c r="F775" s="164">
        <f t="shared" si="1549"/>
        <v>35909.466796145811</v>
      </c>
      <c r="G775" s="164">
        <f t="shared" si="1549"/>
        <v>71818.933592291622</v>
      </c>
      <c r="H775" s="164">
        <f t="shared" si="1549"/>
        <v>0</v>
      </c>
      <c r="I775" s="164">
        <f t="shared" si="1549"/>
        <v>37549.752886510192</v>
      </c>
      <c r="J775" s="164">
        <f t="shared" si="1549"/>
        <v>75099.505773020384</v>
      </c>
      <c r="K775" s="164">
        <f t="shared" si="1549"/>
        <v>0</v>
      </c>
      <c r="L775" s="164">
        <f t="shared" si="1549"/>
        <v>39264.96458001752</v>
      </c>
      <c r="M775" s="164">
        <f t="shared" si="1549"/>
        <v>78529.929160035041</v>
      </c>
      <c r="N775" s="164">
        <f t="shared" si="1549"/>
        <v>0</v>
      </c>
      <c r="O775" s="164">
        <f t="shared" si="1549"/>
        <v>41058.524356465256</v>
      </c>
      <c r="P775" s="164">
        <f t="shared" si="1549"/>
        <v>82117.048712930511</v>
      </c>
      <c r="Q775" s="164">
        <f t="shared" si="1549"/>
        <v>0</v>
      </c>
      <c r="R775" s="164">
        <f t="shared" si="1549"/>
        <v>42934.011028966495</v>
      </c>
      <c r="S775" s="164">
        <f t="shared" si="1549"/>
        <v>85868.022057932991</v>
      </c>
      <c r="T775" s="164">
        <f t="shared" si="1549"/>
        <v>0</v>
      </c>
      <c r="U775" s="164">
        <f t="shared" si="1549"/>
        <v>44895.166885001738</v>
      </c>
      <c r="V775" s="164">
        <f t="shared" si="1549"/>
        <v>89790.333770003475</v>
      </c>
      <c r="W775" s="164">
        <f t="shared" si="1549"/>
        <v>0</v>
      </c>
      <c r="X775" s="164">
        <f t="shared" si="1549"/>
        <v>46945.90515366241</v>
      </c>
      <c r="Y775" s="164">
        <f t="shared" si="1549"/>
        <v>93891.81030732482</v>
      </c>
      <c r="Z775" s="164">
        <f t="shared" si="1549"/>
        <v>0</v>
      </c>
      <c r="AA775" s="164">
        <f t="shared" si="1549"/>
        <v>49090.317813985828</v>
      </c>
      <c r="AB775" s="164">
        <f t="shared" si="1549"/>
        <v>98180.635627971657</v>
      </c>
      <c r="AC775" s="164">
        <f t="shared" si="1549"/>
        <v>0</v>
      </c>
      <c r="AD775" s="164">
        <f t="shared" si="1549"/>
        <v>51332.68375996223</v>
      </c>
      <c r="AE775" s="164">
        <f t="shared" si="1549"/>
        <v>102665.36751992446</v>
      </c>
      <c r="AF775" s="164">
        <f t="shared" si="1549"/>
        <v>0</v>
      </c>
      <c r="AG775" s="164">
        <f t="shared" si="1549"/>
        <v>0</v>
      </c>
      <c r="AH775" s="164">
        <f t="shared" si="1549"/>
        <v>0</v>
      </c>
      <c r="AI775" s="164">
        <f t="shared" si="1549"/>
        <v>0</v>
      </c>
      <c r="AJ775" s="164">
        <f t="shared" si="1549"/>
        <v>0</v>
      </c>
      <c r="AK775" s="164">
        <f t="shared" si="1549"/>
        <v>0</v>
      </c>
      <c r="AL775" s="164">
        <f t="shared" si="1549"/>
        <v>0</v>
      </c>
      <c r="AM775" s="164">
        <f t="shared" si="1549"/>
        <v>0</v>
      </c>
      <c r="AN775" s="164">
        <f t="shared" si="1549"/>
        <v>0</v>
      </c>
      <c r="AO775" s="164">
        <f t="shared" si="1549"/>
        <v>0</v>
      </c>
      <c r="AP775" s="164">
        <f t="shared" si="1549"/>
        <v>0</v>
      </c>
    </row>
    <row r="776" spans="1:42">
      <c r="B776" s="164"/>
      <c r="C776" s="164"/>
      <c r="D776" s="164"/>
      <c r="E776" s="164"/>
      <c r="F776" s="164"/>
      <c r="G776" s="208"/>
      <c r="H776" s="208"/>
      <c r="I776" s="208"/>
      <c r="J776" s="208"/>
      <c r="K776" s="208"/>
      <c r="L776" s="208"/>
      <c r="M776" s="208"/>
      <c r="N776" s="208"/>
      <c r="O776" s="208"/>
      <c r="P776" s="208"/>
      <c r="Q776" s="208"/>
      <c r="R776" s="208"/>
      <c r="S776" s="208"/>
      <c r="T776" s="208"/>
      <c r="U776" s="208"/>
      <c r="V776" s="208"/>
      <c r="W776" s="208"/>
      <c r="X776" s="208"/>
      <c r="Y776" s="208"/>
      <c r="Z776" s="208"/>
      <c r="AA776" s="208"/>
      <c r="AB776" s="208"/>
      <c r="AC776" s="208"/>
      <c r="AD776" s="208"/>
      <c r="AE776" s="208"/>
      <c r="AF776" s="208"/>
      <c r="AG776" s="208"/>
      <c r="AH776" s="208"/>
      <c r="AI776" s="208"/>
      <c r="AJ776" s="208"/>
      <c r="AK776" s="208"/>
      <c r="AL776" s="208"/>
      <c r="AM776" s="208"/>
      <c r="AN776" s="208"/>
      <c r="AO776" s="208"/>
      <c r="AP776" s="208"/>
    </row>
    <row r="777" spans="1:42">
      <c r="A777" s="37" t="s">
        <v>206</v>
      </c>
      <c r="B777" s="164"/>
      <c r="C777" s="164"/>
      <c r="D777" s="164"/>
      <c r="E777" s="164"/>
      <c r="F777" s="164"/>
      <c r="G777" s="208"/>
      <c r="H777" s="208"/>
      <c r="I777" s="208"/>
      <c r="J777" s="208"/>
      <c r="K777" s="208"/>
      <c r="L777" s="208"/>
      <c r="M777" s="208"/>
      <c r="N777" s="208"/>
      <c r="O777" s="208"/>
      <c r="P777" s="208"/>
      <c r="Q777" s="208"/>
      <c r="R777" s="208"/>
      <c r="S777" s="208"/>
      <c r="T777" s="208"/>
      <c r="U777" s="208"/>
      <c r="V777" s="208"/>
      <c r="W777" s="208"/>
      <c r="X777" s="208"/>
      <c r="Y777" s="208"/>
      <c r="Z777" s="208"/>
      <c r="AA777" s="208"/>
      <c r="AB777" s="208"/>
      <c r="AC777" s="208"/>
      <c r="AD777" s="208"/>
      <c r="AE777" s="208"/>
      <c r="AF777" s="208"/>
      <c r="AG777" s="208"/>
      <c r="AH777" s="208"/>
      <c r="AI777" s="208"/>
      <c r="AJ777" s="208"/>
      <c r="AK777" s="208"/>
      <c r="AL777" s="208"/>
      <c r="AM777" s="208"/>
      <c r="AN777" s="208"/>
      <c r="AO777" s="208"/>
      <c r="AP777" s="208"/>
    </row>
    <row r="778" spans="1:42">
      <c r="A778" s="37" t="s">
        <v>207</v>
      </c>
      <c r="B778" s="164"/>
      <c r="C778" s="164"/>
      <c r="D778" s="164"/>
      <c r="E778" s="164"/>
      <c r="F778" s="164"/>
      <c r="G778" s="208"/>
      <c r="H778" s="208"/>
      <c r="I778" s="208"/>
      <c r="J778" s="208"/>
      <c r="K778" s="208"/>
      <c r="L778" s="208"/>
      <c r="M778" s="208"/>
      <c r="N778" s="208"/>
      <c r="O778" s="208"/>
      <c r="P778" s="208"/>
      <c r="Q778" s="208"/>
      <c r="R778" s="208"/>
      <c r="S778" s="208"/>
      <c r="T778" s="208"/>
      <c r="U778" s="208"/>
      <c r="V778" s="208"/>
      <c r="W778" s="208"/>
      <c r="X778" s="208"/>
      <c r="Y778" s="208"/>
      <c r="Z778" s="208"/>
      <c r="AA778" s="208"/>
      <c r="AB778" s="208"/>
      <c r="AC778" s="208"/>
      <c r="AD778" s="208"/>
      <c r="AE778" s="208"/>
      <c r="AF778" s="208"/>
      <c r="AG778" s="208"/>
      <c r="AH778" s="208"/>
      <c r="AI778" s="208"/>
      <c r="AJ778" s="208"/>
      <c r="AK778" s="208"/>
      <c r="AL778" s="208"/>
      <c r="AM778" s="208"/>
      <c r="AN778" s="208"/>
      <c r="AO778" s="208"/>
      <c r="AP778" s="208"/>
    </row>
    <row r="779" spans="1:42">
      <c r="A779" s="37">
        <v>1</v>
      </c>
      <c r="B779" s="295">
        <f t="shared" ref="B779:B788" si="1550">SUM(C779:AP779)</f>
        <v>103022.49999999997</v>
      </c>
      <c r="C779" s="208">
        <f t="shared" ref="C779:AP779" si="1551">IF(C$2&gt;AnalysisPeriod,0,IF(C$2=MMFrequency3*$A779,MMCost3*CapacityDC*1000*(1+Inflation)^B$2,0))</f>
        <v>0</v>
      </c>
      <c r="D779" s="208">
        <f t="shared" si="1551"/>
        <v>0</v>
      </c>
      <c r="E779" s="208">
        <f t="shared" si="1551"/>
        <v>103022.49999999997</v>
      </c>
      <c r="F779" s="208">
        <f t="shared" si="1551"/>
        <v>0</v>
      </c>
      <c r="G779" s="208">
        <f t="shared" si="1551"/>
        <v>0</v>
      </c>
      <c r="H779" s="208">
        <f t="shared" si="1551"/>
        <v>0</v>
      </c>
      <c r="I779" s="208">
        <f t="shared" si="1551"/>
        <v>0</v>
      </c>
      <c r="J779" s="208">
        <f t="shared" si="1551"/>
        <v>0</v>
      </c>
      <c r="K779" s="208">
        <f t="shared" si="1551"/>
        <v>0</v>
      </c>
      <c r="L779" s="208">
        <f t="shared" si="1551"/>
        <v>0</v>
      </c>
      <c r="M779" s="208">
        <f t="shared" si="1551"/>
        <v>0</v>
      </c>
      <c r="N779" s="208">
        <f t="shared" si="1551"/>
        <v>0</v>
      </c>
      <c r="O779" s="208">
        <f t="shared" si="1551"/>
        <v>0</v>
      </c>
      <c r="P779" s="208">
        <f t="shared" si="1551"/>
        <v>0</v>
      </c>
      <c r="Q779" s="208">
        <f t="shared" si="1551"/>
        <v>0</v>
      </c>
      <c r="R779" s="208">
        <f t="shared" si="1551"/>
        <v>0</v>
      </c>
      <c r="S779" s="208">
        <f t="shared" si="1551"/>
        <v>0</v>
      </c>
      <c r="T779" s="208">
        <f t="shared" si="1551"/>
        <v>0</v>
      </c>
      <c r="U779" s="208">
        <f t="shared" si="1551"/>
        <v>0</v>
      </c>
      <c r="V779" s="208">
        <f t="shared" si="1551"/>
        <v>0</v>
      </c>
      <c r="W779" s="208">
        <f t="shared" si="1551"/>
        <v>0</v>
      </c>
      <c r="X779" s="208">
        <f t="shared" si="1551"/>
        <v>0</v>
      </c>
      <c r="Y779" s="208">
        <f t="shared" si="1551"/>
        <v>0</v>
      </c>
      <c r="Z779" s="208">
        <f t="shared" si="1551"/>
        <v>0</v>
      </c>
      <c r="AA779" s="208">
        <f t="shared" si="1551"/>
        <v>0</v>
      </c>
      <c r="AB779" s="208">
        <f t="shared" si="1551"/>
        <v>0</v>
      </c>
      <c r="AC779" s="208">
        <f t="shared" si="1551"/>
        <v>0</v>
      </c>
      <c r="AD779" s="208">
        <f t="shared" si="1551"/>
        <v>0</v>
      </c>
      <c r="AE779" s="208">
        <f t="shared" si="1551"/>
        <v>0</v>
      </c>
      <c r="AF779" s="208">
        <f t="shared" si="1551"/>
        <v>0</v>
      </c>
      <c r="AG779" s="208">
        <f t="shared" si="1551"/>
        <v>0</v>
      </c>
      <c r="AH779" s="208">
        <f t="shared" si="1551"/>
        <v>0</v>
      </c>
      <c r="AI779" s="208">
        <f t="shared" si="1551"/>
        <v>0</v>
      </c>
      <c r="AJ779" s="208">
        <f t="shared" si="1551"/>
        <v>0</v>
      </c>
      <c r="AK779" s="208">
        <f t="shared" si="1551"/>
        <v>0</v>
      </c>
      <c r="AL779" s="208">
        <f t="shared" si="1551"/>
        <v>0</v>
      </c>
      <c r="AM779" s="208">
        <f t="shared" si="1551"/>
        <v>0</v>
      </c>
      <c r="AN779" s="208">
        <f t="shared" si="1551"/>
        <v>0</v>
      </c>
      <c r="AO779" s="208">
        <f t="shared" si="1551"/>
        <v>0</v>
      </c>
      <c r="AP779" s="208">
        <f t="shared" si="1551"/>
        <v>0</v>
      </c>
    </row>
    <row r="780" spans="1:42">
      <c r="A780" s="37">
        <f>A779+1</f>
        <v>2</v>
      </c>
      <c r="B780" s="295">
        <f t="shared" si="1550"/>
        <v>107728.40038843743</v>
      </c>
      <c r="C780" s="208">
        <f t="shared" ref="C780:AP780" si="1552">IF(C$2&gt;AnalysisPeriod,0,IF(C$2=MMFrequency3*$A780,MMCost3*CapacityDC*1000*(1+Inflation)^B$2,0))</f>
        <v>0</v>
      </c>
      <c r="D780" s="208">
        <f t="shared" si="1552"/>
        <v>0</v>
      </c>
      <c r="E780" s="208">
        <f t="shared" si="1552"/>
        <v>0</v>
      </c>
      <c r="F780" s="208">
        <f t="shared" si="1552"/>
        <v>0</v>
      </c>
      <c r="G780" s="208">
        <f t="shared" si="1552"/>
        <v>0</v>
      </c>
      <c r="H780" s="208">
        <f t="shared" si="1552"/>
        <v>107728.40038843743</v>
      </c>
      <c r="I780" s="208">
        <f t="shared" si="1552"/>
        <v>0</v>
      </c>
      <c r="J780" s="208">
        <f t="shared" si="1552"/>
        <v>0</v>
      </c>
      <c r="K780" s="208">
        <f t="shared" si="1552"/>
        <v>0</v>
      </c>
      <c r="L780" s="208">
        <f t="shared" si="1552"/>
        <v>0</v>
      </c>
      <c r="M780" s="208">
        <f t="shared" si="1552"/>
        <v>0</v>
      </c>
      <c r="N780" s="208">
        <f t="shared" si="1552"/>
        <v>0</v>
      </c>
      <c r="O780" s="208">
        <f t="shared" si="1552"/>
        <v>0</v>
      </c>
      <c r="P780" s="208">
        <f t="shared" si="1552"/>
        <v>0</v>
      </c>
      <c r="Q780" s="208">
        <f t="shared" si="1552"/>
        <v>0</v>
      </c>
      <c r="R780" s="208">
        <f t="shared" si="1552"/>
        <v>0</v>
      </c>
      <c r="S780" s="208">
        <f t="shared" si="1552"/>
        <v>0</v>
      </c>
      <c r="T780" s="208">
        <f t="shared" si="1552"/>
        <v>0</v>
      </c>
      <c r="U780" s="208">
        <f t="shared" si="1552"/>
        <v>0</v>
      </c>
      <c r="V780" s="208">
        <f t="shared" si="1552"/>
        <v>0</v>
      </c>
      <c r="W780" s="208">
        <f t="shared" si="1552"/>
        <v>0</v>
      </c>
      <c r="X780" s="208">
        <f t="shared" si="1552"/>
        <v>0</v>
      </c>
      <c r="Y780" s="208">
        <f t="shared" si="1552"/>
        <v>0</v>
      </c>
      <c r="Z780" s="208">
        <f t="shared" si="1552"/>
        <v>0</v>
      </c>
      <c r="AA780" s="208">
        <f t="shared" si="1552"/>
        <v>0</v>
      </c>
      <c r="AB780" s="208">
        <f t="shared" si="1552"/>
        <v>0</v>
      </c>
      <c r="AC780" s="208">
        <f t="shared" si="1552"/>
        <v>0</v>
      </c>
      <c r="AD780" s="208">
        <f t="shared" si="1552"/>
        <v>0</v>
      </c>
      <c r="AE780" s="208">
        <f t="shared" si="1552"/>
        <v>0</v>
      </c>
      <c r="AF780" s="208">
        <f t="shared" si="1552"/>
        <v>0</v>
      </c>
      <c r="AG780" s="208">
        <f t="shared" si="1552"/>
        <v>0</v>
      </c>
      <c r="AH780" s="208">
        <f t="shared" si="1552"/>
        <v>0</v>
      </c>
      <c r="AI780" s="208">
        <f t="shared" si="1552"/>
        <v>0</v>
      </c>
      <c r="AJ780" s="208">
        <f t="shared" si="1552"/>
        <v>0</v>
      </c>
      <c r="AK780" s="208">
        <f t="shared" si="1552"/>
        <v>0</v>
      </c>
      <c r="AL780" s="208">
        <f t="shared" si="1552"/>
        <v>0</v>
      </c>
      <c r="AM780" s="208">
        <f t="shared" si="1552"/>
        <v>0</v>
      </c>
      <c r="AN780" s="208">
        <f t="shared" si="1552"/>
        <v>0</v>
      </c>
      <c r="AO780" s="208">
        <f t="shared" si="1552"/>
        <v>0</v>
      </c>
      <c r="AP780" s="208">
        <f t="shared" si="1552"/>
        <v>0</v>
      </c>
    </row>
    <row r="781" spans="1:42">
      <c r="A781" s="37">
        <f t="shared" ref="A781:A788" si="1553">A780+1</f>
        <v>3</v>
      </c>
      <c r="B781" s="295">
        <f t="shared" si="1550"/>
        <v>112649.25865953058</v>
      </c>
      <c r="C781" s="208">
        <f t="shared" ref="C781:AP781" si="1554">IF(C$2&gt;AnalysisPeriod,0,IF(C$2=MMFrequency3*$A781,MMCost3*CapacityDC*1000*(1+Inflation)^B$2,0))</f>
        <v>0</v>
      </c>
      <c r="D781" s="208">
        <f t="shared" si="1554"/>
        <v>0</v>
      </c>
      <c r="E781" s="208">
        <f t="shared" si="1554"/>
        <v>0</v>
      </c>
      <c r="F781" s="208">
        <f t="shared" si="1554"/>
        <v>0</v>
      </c>
      <c r="G781" s="208">
        <f t="shared" si="1554"/>
        <v>0</v>
      </c>
      <c r="H781" s="208">
        <f t="shared" si="1554"/>
        <v>0</v>
      </c>
      <c r="I781" s="208">
        <f t="shared" si="1554"/>
        <v>0</v>
      </c>
      <c r="J781" s="208">
        <f t="shared" si="1554"/>
        <v>0</v>
      </c>
      <c r="K781" s="208">
        <f t="shared" si="1554"/>
        <v>112649.25865953058</v>
      </c>
      <c r="L781" s="208">
        <f t="shared" si="1554"/>
        <v>0</v>
      </c>
      <c r="M781" s="208">
        <f t="shared" si="1554"/>
        <v>0</v>
      </c>
      <c r="N781" s="208">
        <f t="shared" si="1554"/>
        <v>0</v>
      </c>
      <c r="O781" s="208">
        <f t="shared" si="1554"/>
        <v>0</v>
      </c>
      <c r="P781" s="208">
        <f t="shared" si="1554"/>
        <v>0</v>
      </c>
      <c r="Q781" s="208">
        <f t="shared" si="1554"/>
        <v>0</v>
      </c>
      <c r="R781" s="208">
        <f t="shared" si="1554"/>
        <v>0</v>
      </c>
      <c r="S781" s="208">
        <f t="shared" si="1554"/>
        <v>0</v>
      </c>
      <c r="T781" s="208">
        <f t="shared" si="1554"/>
        <v>0</v>
      </c>
      <c r="U781" s="208">
        <f t="shared" si="1554"/>
        <v>0</v>
      </c>
      <c r="V781" s="208">
        <f t="shared" si="1554"/>
        <v>0</v>
      </c>
      <c r="W781" s="208">
        <f t="shared" si="1554"/>
        <v>0</v>
      </c>
      <c r="X781" s="208">
        <f t="shared" si="1554"/>
        <v>0</v>
      </c>
      <c r="Y781" s="208">
        <f t="shared" si="1554"/>
        <v>0</v>
      </c>
      <c r="Z781" s="208">
        <f t="shared" si="1554"/>
        <v>0</v>
      </c>
      <c r="AA781" s="208">
        <f t="shared" si="1554"/>
        <v>0</v>
      </c>
      <c r="AB781" s="208">
        <f t="shared" si="1554"/>
        <v>0</v>
      </c>
      <c r="AC781" s="208">
        <f t="shared" si="1554"/>
        <v>0</v>
      </c>
      <c r="AD781" s="208">
        <f t="shared" si="1554"/>
        <v>0</v>
      </c>
      <c r="AE781" s="208">
        <f t="shared" si="1554"/>
        <v>0</v>
      </c>
      <c r="AF781" s="208">
        <f t="shared" si="1554"/>
        <v>0</v>
      </c>
      <c r="AG781" s="208">
        <f t="shared" si="1554"/>
        <v>0</v>
      </c>
      <c r="AH781" s="208">
        <f t="shared" si="1554"/>
        <v>0</v>
      </c>
      <c r="AI781" s="208">
        <f t="shared" si="1554"/>
        <v>0</v>
      </c>
      <c r="AJ781" s="208">
        <f t="shared" si="1554"/>
        <v>0</v>
      </c>
      <c r="AK781" s="208">
        <f t="shared" si="1554"/>
        <v>0</v>
      </c>
      <c r="AL781" s="208">
        <f t="shared" si="1554"/>
        <v>0</v>
      </c>
      <c r="AM781" s="208">
        <f t="shared" si="1554"/>
        <v>0</v>
      </c>
      <c r="AN781" s="208">
        <f t="shared" si="1554"/>
        <v>0</v>
      </c>
      <c r="AO781" s="208">
        <f t="shared" si="1554"/>
        <v>0</v>
      </c>
      <c r="AP781" s="208">
        <f t="shared" si="1554"/>
        <v>0</v>
      </c>
    </row>
    <row r="782" spans="1:42">
      <c r="A782" s="37">
        <f t="shared" si="1553"/>
        <v>4</v>
      </c>
      <c r="B782" s="295">
        <f t="shared" si="1550"/>
        <v>117794.89374005256</v>
      </c>
      <c r="C782" s="208">
        <f t="shared" ref="C782:AP782" si="1555">IF(C$2&gt;AnalysisPeriod,0,IF(C$2=MMFrequency3*$A782,MMCost3*CapacityDC*1000*(1+Inflation)^B$2,0))</f>
        <v>0</v>
      </c>
      <c r="D782" s="208">
        <f t="shared" si="1555"/>
        <v>0</v>
      </c>
      <c r="E782" s="208">
        <f t="shared" si="1555"/>
        <v>0</v>
      </c>
      <c r="F782" s="208">
        <f t="shared" si="1555"/>
        <v>0</v>
      </c>
      <c r="G782" s="208">
        <f t="shared" si="1555"/>
        <v>0</v>
      </c>
      <c r="H782" s="208">
        <f t="shared" si="1555"/>
        <v>0</v>
      </c>
      <c r="I782" s="208">
        <f t="shared" si="1555"/>
        <v>0</v>
      </c>
      <c r="J782" s="208">
        <f t="shared" si="1555"/>
        <v>0</v>
      </c>
      <c r="K782" s="208">
        <f t="shared" si="1555"/>
        <v>0</v>
      </c>
      <c r="L782" s="208">
        <f t="shared" si="1555"/>
        <v>0</v>
      </c>
      <c r="M782" s="208">
        <f t="shared" si="1555"/>
        <v>0</v>
      </c>
      <c r="N782" s="208">
        <f t="shared" si="1555"/>
        <v>117794.89374005256</v>
      </c>
      <c r="O782" s="208">
        <f t="shared" si="1555"/>
        <v>0</v>
      </c>
      <c r="P782" s="208">
        <f t="shared" si="1555"/>
        <v>0</v>
      </c>
      <c r="Q782" s="208">
        <f t="shared" si="1555"/>
        <v>0</v>
      </c>
      <c r="R782" s="208">
        <f t="shared" si="1555"/>
        <v>0</v>
      </c>
      <c r="S782" s="208">
        <f t="shared" si="1555"/>
        <v>0</v>
      </c>
      <c r="T782" s="208">
        <f t="shared" si="1555"/>
        <v>0</v>
      </c>
      <c r="U782" s="208">
        <f t="shared" si="1555"/>
        <v>0</v>
      </c>
      <c r="V782" s="208">
        <f t="shared" si="1555"/>
        <v>0</v>
      </c>
      <c r="W782" s="208">
        <f t="shared" si="1555"/>
        <v>0</v>
      </c>
      <c r="X782" s="208">
        <f t="shared" si="1555"/>
        <v>0</v>
      </c>
      <c r="Y782" s="208">
        <f t="shared" si="1555"/>
        <v>0</v>
      </c>
      <c r="Z782" s="208">
        <f t="shared" si="1555"/>
        <v>0</v>
      </c>
      <c r="AA782" s="208">
        <f t="shared" si="1555"/>
        <v>0</v>
      </c>
      <c r="AB782" s="208">
        <f t="shared" si="1555"/>
        <v>0</v>
      </c>
      <c r="AC782" s="208">
        <f t="shared" si="1555"/>
        <v>0</v>
      </c>
      <c r="AD782" s="208">
        <f t="shared" si="1555"/>
        <v>0</v>
      </c>
      <c r="AE782" s="208">
        <f t="shared" si="1555"/>
        <v>0</v>
      </c>
      <c r="AF782" s="208">
        <f t="shared" si="1555"/>
        <v>0</v>
      </c>
      <c r="AG782" s="208">
        <f t="shared" si="1555"/>
        <v>0</v>
      </c>
      <c r="AH782" s="208">
        <f t="shared" si="1555"/>
        <v>0</v>
      </c>
      <c r="AI782" s="208">
        <f t="shared" si="1555"/>
        <v>0</v>
      </c>
      <c r="AJ782" s="208">
        <f t="shared" si="1555"/>
        <v>0</v>
      </c>
      <c r="AK782" s="208">
        <f t="shared" si="1555"/>
        <v>0</v>
      </c>
      <c r="AL782" s="208">
        <f t="shared" si="1555"/>
        <v>0</v>
      </c>
      <c r="AM782" s="208">
        <f t="shared" si="1555"/>
        <v>0</v>
      </c>
      <c r="AN782" s="208">
        <f t="shared" si="1555"/>
        <v>0</v>
      </c>
      <c r="AO782" s="208">
        <f t="shared" si="1555"/>
        <v>0</v>
      </c>
      <c r="AP782" s="208">
        <f t="shared" si="1555"/>
        <v>0</v>
      </c>
    </row>
    <row r="783" spans="1:42">
      <c r="A783" s="37">
        <f t="shared" si="1553"/>
        <v>5</v>
      </c>
      <c r="B783" s="295">
        <f t="shared" si="1550"/>
        <v>123175.57306939577</v>
      </c>
      <c r="C783" s="208">
        <f t="shared" ref="C783:AP783" si="1556">IF(C$2&gt;AnalysisPeriod,0,IF(C$2=MMFrequency3*$A783,MMCost3*CapacityDC*1000*(1+Inflation)^B$2,0))</f>
        <v>0</v>
      </c>
      <c r="D783" s="208">
        <f t="shared" si="1556"/>
        <v>0</v>
      </c>
      <c r="E783" s="208">
        <f t="shared" si="1556"/>
        <v>0</v>
      </c>
      <c r="F783" s="208">
        <f t="shared" si="1556"/>
        <v>0</v>
      </c>
      <c r="G783" s="208">
        <f t="shared" si="1556"/>
        <v>0</v>
      </c>
      <c r="H783" s="208">
        <f t="shared" si="1556"/>
        <v>0</v>
      </c>
      <c r="I783" s="208">
        <f t="shared" si="1556"/>
        <v>0</v>
      </c>
      <c r="J783" s="208">
        <f t="shared" si="1556"/>
        <v>0</v>
      </c>
      <c r="K783" s="208">
        <f t="shared" si="1556"/>
        <v>0</v>
      </c>
      <c r="L783" s="208">
        <f t="shared" si="1556"/>
        <v>0</v>
      </c>
      <c r="M783" s="208">
        <f t="shared" si="1556"/>
        <v>0</v>
      </c>
      <c r="N783" s="208">
        <f t="shared" si="1556"/>
        <v>0</v>
      </c>
      <c r="O783" s="208">
        <f t="shared" si="1556"/>
        <v>0</v>
      </c>
      <c r="P783" s="208">
        <f t="shared" si="1556"/>
        <v>0</v>
      </c>
      <c r="Q783" s="208">
        <f t="shared" si="1556"/>
        <v>123175.57306939577</v>
      </c>
      <c r="R783" s="208">
        <f t="shared" si="1556"/>
        <v>0</v>
      </c>
      <c r="S783" s="208">
        <f t="shared" si="1556"/>
        <v>0</v>
      </c>
      <c r="T783" s="208">
        <f t="shared" si="1556"/>
        <v>0</v>
      </c>
      <c r="U783" s="208">
        <f t="shared" si="1556"/>
        <v>0</v>
      </c>
      <c r="V783" s="208">
        <f t="shared" si="1556"/>
        <v>0</v>
      </c>
      <c r="W783" s="208">
        <f t="shared" si="1556"/>
        <v>0</v>
      </c>
      <c r="X783" s="208">
        <f t="shared" si="1556"/>
        <v>0</v>
      </c>
      <c r="Y783" s="208">
        <f t="shared" si="1556"/>
        <v>0</v>
      </c>
      <c r="Z783" s="208">
        <f t="shared" si="1556"/>
        <v>0</v>
      </c>
      <c r="AA783" s="208">
        <f t="shared" si="1556"/>
        <v>0</v>
      </c>
      <c r="AB783" s="208">
        <f t="shared" si="1556"/>
        <v>0</v>
      </c>
      <c r="AC783" s="208">
        <f t="shared" si="1556"/>
        <v>0</v>
      </c>
      <c r="AD783" s="208">
        <f t="shared" si="1556"/>
        <v>0</v>
      </c>
      <c r="AE783" s="208">
        <f t="shared" si="1556"/>
        <v>0</v>
      </c>
      <c r="AF783" s="208">
        <f t="shared" si="1556"/>
        <v>0</v>
      </c>
      <c r="AG783" s="208">
        <f t="shared" si="1556"/>
        <v>0</v>
      </c>
      <c r="AH783" s="208">
        <f t="shared" si="1556"/>
        <v>0</v>
      </c>
      <c r="AI783" s="208">
        <f t="shared" si="1556"/>
        <v>0</v>
      </c>
      <c r="AJ783" s="208">
        <f t="shared" si="1556"/>
        <v>0</v>
      </c>
      <c r="AK783" s="208">
        <f t="shared" si="1556"/>
        <v>0</v>
      </c>
      <c r="AL783" s="208">
        <f t="shared" si="1556"/>
        <v>0</v>
      </c>
      <c r="AM783" s="208">
        <f t="shared" si="1556"/>
        <v>0</v>
      </c>
      <c r="AN783" s="208">
        <f t="shared" si="1556"/>
        <v>0</v>
      </c>
      <c r="AO783" s="208">
        <f t="shared" si="1556"/>
        <v>0</v>
      </c>
      <c r="AP783" s="208">
        <f t="shared" si="1556"/>
        <v>0</v>
      </c>
    </row>
    <row r="784" spans="1:42">
      <c r="A784" s="37">
        <f t="shared" si="1553"/>
        <v>6</v>
      </c>
      <c r="B784" s="295">
        <f t="shared" si="1550"/>
        <v>128802.03308689948</v>
      </c>
      <c r="C784" s="208">
        <f t="shared" ref="C784:AP784" si="1557">IF(C$2&gt;AnalysisPeriod,0,IF(C$2=MMFrequency3*$A784,MMCost3*CapacityDC*1000*(1+Inflation)^B$2,0))</f>
        <v>0</v>
      </c>
      <c r="D784" s="208">
        <f t="shared" si="1557"/>
        <v>0</v>
      </c>
      <c r="E784" s="208">
        <f t="shared" si="1557"/>
        <v>0</v>
      </c>
      <c r="F784" s="208">
        <f t="shared" si="1557"/>
        <v>0</v>
      </c>
      <c r="G784" s="208">
        <f t="shared" si="1557"/>
        <v>0</v>
      </c>
      <c r="H784" s="208">
        <f t="shared" si="1557"/>
        <v>0</v>
      </c>
      <c r="I784" s="208">
        <f t="shared" si="1557"/>
        <v>0</v>
      </c>
      <c r="J784" s="208">
        <f t="shared" si="1557"/>
        <v>0</v>
      </c>
      <c r="K784" s="208">
        <f t="shared" si="1557"/>
        <v>0</v>
      </c>
      <c r="L784" s="208">
        <f t="shared" si="1557"/>
        <v>0</v>
      </c>
      <c r="M784" s="208">
        <f t="shared" si="1557"/>
        <v>0</v>
      </c>
      <c r="N784" s="208">
        <f t="shared" si="1557"/>
        <v>0</v>
      </c>
      <c r="O784" s="208">
        <f t="shared" si="1557"/>
        <v>0</v>
      </c>
      <c r="P784" s="208">
        <f t="shared" si="1557"/>
        <v>0</v>
      </c>
      <c r="Q784" s="208">
        <f t="shared" si="1557"/>
        <v>0</v>
      </c>
      <c r="R784" s="208">
        <f t="shared" si="1557"/>
        <v>0</v>
      </c>
      <c r="S784" s="208">
        <f t="shared" si="1557"/>
        <v>0</v>
      </c>
      <c r="T784" s="208">
        <f t="shared" si="1557"/>
        <v>128802.03308689948</v>
      </c>
      <c r="U784" s="208">
        <f t="shared" si="1557"/>
        <v>0</v>
      </c>
      <c r="V784" s="208">
        <f t="shared" si="1557"/>
        <v>0</v>
      </c>
      <c r="W784" s="208">
        <f t="shared" si="1557"/>
        <v>0</v>
      </c>
      <c r="X784" s="208">
        <f t="shared" si="1557"/>
        <v>0</v>
      </c>
      <c r="Y784" s="208">
        <f t="shared" si="1557"/>
        <v>0</v>
      </c>
      <c r="Z784" s="208">
        <f t="shared" si="1557"/>
        <v>0</v>
      </c>
      <c r="AA784" s="208">
        <f t="shared" si="1557"/>
        <v>0</v>
      </c>
      <c r="AB784" s="208">
        <f t="shared" si="1557"/>
        <v>0</v>
      </c>
      <c r="AC784" s="208">
        <f t="shared" si="1557"/>
        <v>0</v>
      </c>
      <c r="AD784" s="208">
        <f t="shared" si="1557"/>
        <v>0</v>
      </c>
      <c r="AE784" s="208">
        <f t="shared" si="1557"/>
        <v>0</v>
      </c>
      <c r="AF784" s="208">
        <f t="shared" si="1557"/>
        <v>0</v>
      </c>
      <c r="AG784" s="208">
        <f t="shared" si="1557"/>
        <v>0</v>
      </c>
      <c r="AH784" s="208">
        <f t="shared" si="1557"/>
        <v>0</v>
      </c>
      <c r="AI784" s="208">
        <f t="shared" si="1557"/>
        <v>0</v>
      </c>
      <c r="AJ784" s="208">
        <f t="shared" si="1557"/>
        <v>0</v>
      </c>
      <c r="AK784" s="208">
        <f t="shared" si="1557"/>
        <v>0</v>
      </c>
      <c r="AL784" s="208">
        <f t="shared" si="1557"/>
        <v>0</v>
      </c>
      <c r="AM784" s="208">
        <f t="shared" si="1557"/>
        <v>0</v>
      </c>
      <c r="AN784" s="208">
        <f t="shared" si="1557"/>
        <v>0</v>
      </c>
      <c r="AO784" s="208">
        <f t="shared" si="1557"/>
        <v>0</v>
      </c>
      <c r="AP784" s="208">
        <f t="shared" si="1557"/>
        <v>0</v>
      </c>
    </row>
    <row r="785" spans="1:42">
      <c r="A785" s="37">
        <f t="shared" si="1553"/>
        <v>7</v>
      </c>
      <c r="B785" s="295">
        <f t="shared" si="1550"/>
        <v>134685.50065500522</v>
      </c>
      <c r="C785" s="208">
        <f t="shared" ref="C785:AP785" si="1558">IF(C$2&gt;AnalysisPeriod,0,IF(C$2=MMFrequency3*$A785,MMCost3*CapacityDC*1000*(1+Inflation)^B$2,0))</f>
        <v>0</v>
      </c>
      <c r="D785" s="208">
        <f t="shared" si="1558"/>
        <v>0</v>
      </c>
      <c r="E785" s="208">
        <f t="shared" si="1558"/>
        <v>0</v>
      </c>
      <c r="F785" s="208">
        <f t="shared" si="1558"/>
        <v>0</v>
      </c>
      <c r="G785" s="208">
        <f t="shared" si="1558"/>
        <v>0</v>
      </c>
      <c r="H785" s="208">
        <f t="shared" si="1558"/>
        <v>0</v>
      </c>
      <c r="I785" s="208">
        <f t="shared" si="1558"/>
        <v>0</v>
      </c>
      <c r="J785" s="208">
        <f t="shared" si="1558"/>
        <v>0</v>
      </c>
      <c r="K785" s="208">
        <f t="shared" si="1558"/>
        <v>0</v>
      </c>
      <c r="L785" s="208">
        <f t="shared" si="1558"/>
        <v>0</v>
      </c>
      <c r="M785" s="208">
        <f t="shared" si="1558"/>
        <v>0</v>
      </c>
      <c r="N785" s="208">
        <f t="shared" si="1558"/>
        <v>0</v>
      </c>
      <c r="O785" s="208">
        <f t="shared" si="1558"/>
        <v>0</v>
      </c>
      <c r="P785" s="208">
        <f t="shared" si="1558"/>
        <v>0</v>
      </c>
      <c r="Q785" s="208">
        <f t="shared" si="1558"/>
        <v>0</v>
      </c>
      <c r="R785" s="208">
        <f t="shared" si="1558"/>
        <v>0</v>
      </c>
      <c r="S785" s="208">
        <f t="shared" si="1558"/>
        <v>0</v>
      </c>
      <c r="T785" s="208">
        <f t="shared" si="1558"/>
        <v>0</v>
      </c>
      <c r="U785" s="208">
        <f t="shared" si="1558"/>
        <v>0</v>
      </c>
      <c r="V785" s="208">
        <f t="shared" si="1558"/>
        <v>0</v>
      </c>
      <c r="W785" s="208">
        <f t="shared" si="1558"/>
        <v>134685.50065500522</v>
      </c>
      <c r="X785" s="208">
        <f t="shared" si="1558"/>
        <v>0</v>
      </c>
      <c r="Y785" s="208">
        <f t="shared" si="1558"/>
        <v>0</v>
      </c>
      <c r="Z785" s="208">
        <f t="shared" si="1558"/>
        <v>0</v>
      </c>
      <c r="AA785" s="208">
        <f t="shared" si="1558"/>
        <v>0</v>
      </c>
      <c r="AB785" s="208">
        <f t="shared" si="1558"/>
        <v>0</v>
      </c>
      <c r="AC785" s="208">
        <f t="shared" si="1558"/>
        <v>0</v>
      </c>
      <c r="AD785" s="208">
        <f t="shared" si="1558"/>
        <v>0</v>
      </c>
      <c r="AE785" s="208">
        <f t="shared" si="1558"/>
        <v>0</v>
      </c>
      <c r="AF785" s="208">
        <f t="shared" si="1558"/>
        <v>0</v>
      </c>
      <c r="AG785" s="208">
        <f t="shared" si="1558"/>
        <v>0</v>
      </c>
      <c r="AH785" s="208">
        <f t="shared" si="1558"/>
        <v>0</v>
      </c>
      <c r="AI785" s="208">
        <f t="shared" si="1558"/>
        <v>0</v>
      </c>
      <c r="AJ785" s="208">
        <f t="shared" si="1558"/>
        <v>0</v>
      </c>
      <c r="AK785" s="208">
        <f t="shared" si="1558"/>
        <v>0</v>
      </c>
      <c r="AL785" s="208">
        <f t="shared" si="1558"/>
        <v>0</v>
      </c>
      <c r="AM785" s="208">
        <f t="shared" si="1558"/>
        <v>0</v>
      </c>
      <c r="AN785" s="208">
        <f t="shared" si="1558"/>
        <v>0</v>
      </c>
      <c r="AO785" s="208">
        <f t="shared" si="1558"/>
        <v>0</v>
      </c>
      <c r="AP785" s="208">
        <f t="shared" si="1558"/>
        <v>0</v>
      </c>
    </row>
    <row r="786" spans="1:42">
      <c r="A786" s="37">
        <f t="shared" si="1553"/>
        <v>8</v>
      </c>
      <c r="B786" s="295">
        <f t="shared" si="1550"/>
        <v>140837.71546098724</v>
      </c>
      <c r="C786" s="208">
        <f t="shared" ref="C786:AP786" si="1559">IF(C$2&gt;AnalysisPeriod,0,IF(C$2=MMFrequency3*$A786,MMCost3*CapacityDC*1000*(1+Inflation)^B$2,0))</f>
        <v>0</v>
      </c>
      <c r="D786" s="208">
        <f t="shared" si="1559"/>
        <v>0</v>
      </c>
      <c r="E786" s="208">
        <f t="shared" si="1559"/>
        <v>0</v>
      </c>
      <c r="F786" s="208">
        <f t="shared" si="1559"/>
        <v>0</v>
      </c>
      <c r="G786" s="208">
        <f t="shared" si="1559"/>
        <v>0</v>
      </c>
      <c r="H786" s="208">
        <f t="shared" si="1559"/>
        <v>0</v>
      </c>
      <c r="I786" s="208">
        <f t="shared" si="1559"/>
        <v>0</v>
      </c>
      <c r="J786" s="208">
        <f t="shared" si="1559"/>
        <v>0</v>
      </c>
      <c r="K786" s="208">
        <f t="shared" si="1559"/>
        <v>0</v>
      </c>
      <c r="L786" s="208">
        <f t="shared" si="1559"/>
        <v>0</v>
      </c>
      <c r="M786" s="208">
        <f t="shared" si="1559"/>
        <v>0</v>
      </c>
      <c r="N786" s="208">
        <f t="shared" si="1559"/>
        <v>0</v>
      </c>
      <c r="O786" s="208">
        <f t="shared" si="1559"/>
        <v>0</v>
      </c>
      <c r="P786" s="208">
        <f t="shared" si="1559"/>
        <v>0</v>
      </c>
      <c r="Q786" s="208">
        <f t="shared" si="1559"/>
        <v>0</v>
      </c>
      <c r="R786" s="208">
        <f t="shared" si="1559"/>
        <v>0</v>
      </c>
      <c r="S786" s="208">
        <f t="shared" si="1559"/>
        <v>0</v>
      </c>
      <c r="T786" s="208">
        <f t="shared" si="1559"/>
        <v>0</v>
      </c>
      <c r="U786" s="208">
        <f t="shared" si="1559"/>
        <v>0</v>
      </c>
      <c r="V786" s="208">
        <f t="shared" si="1559"/>
        <v>0</v>
      </c>
      <c r="W786" s="208">
        <f t="shared" si="1559"/>
        <v>0</v>
      </c>
      <c r="X786" s="208">
        <f t="shared" si="1559"/>
        <v>0</v>
      </c>
      <c r="Y786" s="208">
        <f t="shared" si="1559"/>
        <v>0</v>
      </c>
      <c r="Z786" s="208">
        <f t="shared" si="1559"/>
        <v>140837.71546098724</v>
      </c>
      <c r="AA786" s="208">
        <f t="shared" si="1559"/>
        <v>0</v>
      </c>
      <c r="AB786" s="208">
        <f t="shared" si="1559"/>
        <v>0</v>
      </c>
      <c r="AC786" s="208">
        <f t="shared" si="1559"/>
        <v>0</v>
      </c>
      <c r="AD786" s="208">
        <f t="shared" si="1559"/>
        <v>0</v>
      </c>
      <c r="AE786" s="208">
        <f t="shared" si="1559"/>
        <v>0</v>
      </c>
      <c r="AF786" s="208">
        <f t="shared" si="1559"/>
        <v>0</v>
      </c>
      <c r="AG786" s="208">
        <f t="shared" si="1559"/>
        <v>0</v>
      </c>
      <c r="AH786" s="208">
        <f t="shared" si="1559"/>
        <v>0</v>
      </c>
      <c r="AI786" s="208">
        <f t="shared" si="1559"/>
        <v>0</v>
      </c>
      <c r="AJ786" s="208">
        <f t="shared" si="1559"/>
        <v>0</v>
      </c>
      <c r="AK786" s="208">
        <f t="shared" si="1559"/>
        <v>0</v>
      </c>
      <c r="AL786" s="208">
        <f t="shared" si="1559"/>
        <v>0</v>
      </c>
      <c r="AM786" s="208">
        <f t="shared" si="1559"/>
        <v>0</v>
      </c>
      <c r="AN786" s="208">
        <f t="shared" si="1559"/>
        <v>0</v>
      </c>
      <c r="AO786" s="208">
        <f t="shared" si="1559"/>
        <v>0</v>
      </c>
      <c r="AP786" s="208">
        <f t="shared" si="1559"/>
        <v>0</v>
      </c>
    </row>
    <row r="787" spans="1:42">
      <c r="A787" s="37">
        <f>A786+1</f>
        <v>9</v>
      </c>
      <c r="B787" s="295">
        <f t="shared" si="1550"/>
        <v>147270.95344195748</v>
      </c>
      <c r="C787" s="208">
        <f t="shared" ref="C787:AP787" si="1560">IF(C$2&gt;AnalysisPeriod,0,IF(C$2=MMFrequency3*$A787,MMCost3*CapacityDC*1000*(1+Inflation)^B$2,0))</f>
        <v>0</v>
      </c>
      <c r="D787" s="208">
        <f t="shared" si="1560"/>
        <v>0</v>
      </c>
      <c r="E787" s="208">
        <f t="shared" si="1560"/>
        <v>0</v>
      </c>
      <c r="F787" s="208">
        <f t="shared" si="1560"/>
        <v>0</v>
      </c>
      <c r="G787" s="208">
        <f t="shared" si="1560"/>
        <v>0</v>
      </c>
      <c r="H787" s="208">
        <f t="shared" si="1560"/>
        <v>0</v>
      </c>
      <c r="I787" s="208">
        <f t="shared" si="1560"/>
        <v>0</v>
      </c>
      <c r="J787" s="208">
        <f t="shared" si="1560"/>
        <v>0</v>
      </c>
      <c r="K787" s="208">
        <f t="shared" si="1560"/>
        <v>0</v>
      </c>
      <c r="L787" s="208">
        <f t="shared" si="1560"/>
        <v>0</v>
      </c>
      <c r="M787" s="208">
        <f t="shared" si="1560"/>
        <v>0</v>
      </c>
      <c r="N787" s="208">
        <f t="shared" si="1560"/>
        <v>0</v>
      </c>
      <c r="O787" s="208">
        <f t="shared" si="1560"/>
        <v>0</v>
      </c>
      <c r="P787" s="208">
        <f t="shared" si="1560"/>
        <v>0</v>
      </c>
      <c r="Q787" s="208">
        <f t="shared" si="1560"/>
        <v>0</v>
      </c>
      <c r="R787" s="208">
        <f t="shared" si="1560"/>
        <v>0</v>
      </c>
      <c r="S787" s="208">
        <f t="shared" si="1560"/>
        <v>0</v>
      </c>
      <c r="T787" s="208">
        <f t="shared" si="1560"/>
        <v>0</v>
      </c>
      <c r="U787" s="208">
        <f t="shared" si="1560"/>
        <v>0</v>
      </c>
      <c r="V787" s="208">
        <f t="shared" si="1560"/>
        <v>0</v>
      </c>
      <c r="W787" s="208">
        <f t="shared" si="1560"/>
        <v>0</v>
      </c>
      <c r="X787" s="208">
        <f t="shared" si="1560"/>
        <v>0</v>
      </c>
      <c r="Y787" s="208">
        <f t="shared" si="1560"/>
        <v>0</v>
      </c>
      <c r="Z787" s="208">
        <f t="shared" si="1560"/>
        <v>0</v>
      </c>
      <c r="AA787" s="208">
        <f t="shared" si="1560"/>
        <v>0</v>
      </c>
      <c r="AB787" s="208">
        <f t="shared" si="1560"/>
        <v>0</v>
      </c>
      <c r="AC787" s="208">
        <f t="shared" si="1560"/>
        <v>147270.95344195748</v>
      </c>
      <c r="AD787" s="208">
        <f t="shared" si="1560"/>
        <v>0</v>
      </c>
      <c r="AE787" s="208">
        <f t="shared" si="1560"/>
        <v>0</v>
      </c>
      <c r="AF787" s="208">
        <f t="shared" si="1560"/>
        <v>0</v>
      </c>
      <c r="AG787" s="208">
        <f t="shared" si="1560"/>
        <v>0</v>
      </c>
      <c r="AH787" s="208">
        <f t="shared" si="1560"/>
        <v>0</v>
      </c>
      <c r="AI787" s="208">
        <f t="shared" si="1560"/>
        <v>0</v>
      </c>
      <c r="AJ787" s="208">
        <f t="shared" si="1560"/>
        <v>0</v>
      </c>
      <c r="AK787" s="208">
        <f t="shared" si="1560"/>
        <v>0</v>
      </c>
      <c r="AL787" s="208">
        <f t="shared" si="1560"/>
        <v>0</v>
      </c>
      <c r="AM787" s="208">
        <f t="shared" si="1560"/>
        <v>0</v>
      </c>
      <c r="AN787" s="208">
        <f t="shared" si="1560"/>
        <v>0</v>
      </c>
      <c r="AO787" s="208">
        <f t="shared" si="1560"/>
        <v>0</v>
      </c>
      <c r="AP787" s="208">
        <f t="shared" si="1560"/>
        <v>0</v>
      </c>
    </row>
    <row r="788" spans="1:42">
      <c r="A788" s="37">
        <f t="shared" si="1553"/>
        <v>10</v>
      </c>
      <c r="B788" s="295">
        <f t="shared" si="1550"/>
        <v>153998.05127988668</v>
      </c>
      <c r="C788" s="209">
        <f t="shared" ref="C788:AP788" si="1561">IF(C$2&gt;AnalysisPeriod,0,IF(C$2=MMFrequency3*$A788,MMCost3*CapacityDC*1000*(1+Inflation)^B$2,0))</f>
        <v>0</v>
      </c>
      <c r="D788" s="209">
        <f t="shared" si="1561"/>
        <v>0</v>
      </c>
      <c r="E788" s="209">
        <f t="shared" si="1561"/>
        <v>0</v>
      </c>
      <c r="F788" s="209">
        <f t="shared" si="1561"/>
        <v>0</v>
      </c>
      <c r="G788" s="209">
        <f t="shared" si="1561"/>
        <v>0</v>
      </c>
      <c r="H788" s="209">
        <f t="shared" si="1561"/>
        <v>0</v>
      </c>
      <c r="I788" s="209">
        <f t="shared" si="1561"/>
        <v>0</v>
      </c>
      <c r="J788" s="209">
        <f t="shared" si="1561"/>
        <v>0</v>
      </c>
      <c r="K788" s="209">
        <f t="shared" si="1561"/>
        <v>0</v>
      </c>
      <c r="L788" s="209">
        <f t="shared" si="1561"/>
        <v>0</v>
      </c>
      <c r="M788" s="209">
        <f t="shared" si="1561"/>
        <v>0</v>
      </c>
      <c r="N788" s="209">
        <f t="shared" si="1561"/>
        <v>0</v>
      </c>
      <c r="O788" s="209">
        <f t="shared" si="1561"/>
        <v>0</v>
      </c>
      <c r="P788" s="209">
        <f t="shared" si="1561"/>
        <v>0</v>
      </c>
      <c r="Q788" s="209">
        <f t="shared" si="1561"/>
        <v>0</v>
      </c>
      <c r="R788" s="209">
        <f t="shared" si="1561"/>
        <v>0</v>
      </c>
      <c r="S788" s="209">
        <f t="shared" si="1561"/>
        <v>0</v>
      </c>
      <c r="T788" s="209">
        <f t="shared" si="1561"/>
        <v>0</v>
      </c>
      <c r="U788" s="209">
        <f t="shared" si="1561"/>
        <v>0</v>
      </c>
      <c r="V788" s="209">
        <f t="shared" si="1561"/>
        <v>0</v>
      </c>
      <c r="W788" s="209">
        <f t="shared" si="1561"/>
        <v>0</v>
      </c>
      <c r="X788" s="209">
        <f t="shared" si="1561"/>
        <v>0</v>
      </c>
      <c r="Y788" s="209">
        <f t="shared" si="1561"/>
        <v>0</v>
      </c>
      <c r="Z788" s="209">
        <f t="shared" si="1561"/>
        <v>0</v>
      </c>
      <c r="AA788" s="209">
        <f t="shared" si="1561"/>
        <v>0</v>
      </c>
      <c r="AB788" s="209">
        <f t="shared" si="1561"/>
        <v>0</v>
      </c>
      <c r="AC788" s="209">
        <f t="shared" si="1561"/>
        <v>0</v>
      </c>
      <c r="AD788" s="209">
        <f t="shared" si="1561"/>
        <v>0</v>
      </c>
      <c r="AE788" s="209">
        <f t="shared" si="1561"/>
        <v>0</v>
      </c>
      <c r="AF788" s="209">
        <f t="shared" si="1561"/>
        <v>153998.05127988668</v>
      </c>
      <c r="AG788" s="209">
        <f t="shared" si="1561"/>
        <v>0</v>
      </c>
      <c r="AH788" s="209">
        <f t="shared" si="1561"/>
        <v>0</v>
      </c>
      <c r="AI788" s="209">
        <f t="shared" si="1561"/>
        <v>0</v>
      </c>
      <c r="AJ788" s="209">
        <f t="shared" si="1561"/>
        <v>0</v>
      </c>
      <c r="AK788" s="209">
        <f t="shared" si="1561"/>
        <v>0</v>
      </c>
      <c r="AL788" s="209">
        <f t="shared" si="1561"/>
        <v>0</v>
      </c>
      <c r="AM788" s="209">
        <f t="shared" si="1561"/>
        <v>0</v>
      </c>
      <c r="AN788" s="209">
        <f t="shared" si="1561"/>
        <v>0</v>
      </c>
      <c r="AO788" s="209">
        <f t="shared" si="1561"/>
        <v>0</v>
      </c>
      <c r="AP788" s="209">
        <f t="shared" si="1561"/>
        <v>0</v>
      </c>
    </row>
    <row r="789" spans="1:42">
      <c r="A789" s="244" t="s">
        <v>53</v>
      </c>
      <c r="B789" s="208"/>
      <c r="C789" s="164">
        <f>SUM(C779:C788)</f>
        <v>0</v>
      </c>
      <c r="D789" s="164">
        <f t="shared" ref="D789:AP789" si="1562">SUM(D779:D788)</f>
        <v>0</v>
      </c>
      <c r="E789" s="164">
        <f t="shared" si="1562"/>
        <v>103022.49999999997</v>
      </c>
      <c r="F789" s="164">
        <f t="shared" si="1562"/>
        <v>0</v>
      </c>
      <c r="G789" s="164">
        <f t="shared" si="1562"/>
        <v>0</v>
      </c>
      <c r="H789" s="164">
        <f t="shared" si="1562"/>
        <v>107728.40038843743</v>
      </c>
      <c r="I789" s="164">
        <f t="shared" si="1562"/>
        <v>0</v>
      </c>
      <c r="J789" s="164">
        <f t="shared" si="1562"/>
        <v>0</v>
      </c>
      <c r="K789" s="164">
        <f t="shared" si="1562"/>
        <v>112649.25865953058</v>
      </c>
      <c r="L789" s="164">
        <f t="shared" si="1562"/>
        <v>0</v>
      </c>
      <c r="M789" s="164">
        <f t="shared" si="1562"/>
        <v>0</v>
      </c>
      <c r="N789" s="164">
        <f t="shared" si="1562"/>
        <v>117794.89374005256</v>
      </c>
      <c r="O789" s="164">
        <f t="shared" si="1562"/>
        <v>0</v>
      </c>
      <c r="P789" s="164">
        <f t="shared" si="1562"/>
        <v>0</v>
      </c>
      <c r="Q789" s="164">
        <f t="shared" si="1562"/>
        <v>123175.57306939577</v>
      </c>
      <c r="R789" s="164">
        <f t="shared" si="1562"/>
        <v>0</v>
      </c>
      <c r="S789" s="164">
        <f t="shared" si="1562"/>
        <v>0</v>
      </c>
      <c r="T789" s="164">
        <f t="shared" si="1562"/>
        <v>128802.03308689948</v>
      </c>
      <c r="U789" s="164">
        <f t="shared" si="1562"/>
        <v>0</v>
      </c>
      <c r="V789" s="164">
        <f t="shared" si="1562"/>
        <v>0</v>
      </c>
      <c r="W789" s="164">
        <f t="shared" si="1562"/>
        <v>134685.50065500522</v>
      </c>
      <c r="X789" s="164">
        <f t="shared" si="1562"/>
        <v>0</v>
      </c>
      <c r="Y789" s="164">
        <f t="shared" si="1562"/>
        <v>0</v>
      </c>
      <c r="Z789" s="164">
        <f t="shared" si="1562"/>
        <v>140837.71546098724</v>
      </c>
      <c r="AA789" s="164">
        <f t="shared" si="1562"/>
        <v>0</v>
      </c>
      <c r="AB789" s="164">
        <f t="shared" si="1562"/>
        <v>0</v>
      </c>
      <c r="AC789" s="164">
        <f t="shared" si="1562"/>
        <v>147270.95344195748</v>
      </c>
      <c r="AD789" s="164">
        <f t="shared" si="1562"/>
        <v>0</v>
      </c>
      <c r="AE789" s="164">
        <f t="shared" si="1562"/>
        <v>0</v>
      </c>
      <c r="AF789" s="164">
        <f t="shared" si="1562"/>
        <v>153998.05127988668</v>
      </c>
      <c r="AG789" s="164">
        <f t="shared" si="1562"/>
        <v>0</v>
      </c>
      <c r="AH789" s="164">
        <f t="shared" si="1562"/>
        <v>0</v>
      </c>
      <c r="AI789" s="164">
        <f t="shared" si="1562"/>
        <v>0</v>
      </c>
      <c r="AJ789" s="164">
        <f t="shared" si="1562"/>
        <v>0</v>
      </c>
      <c r="AK789" s="164">
        <f t="shared" si="1562"/>
        <v>0</v>
      </c>
      <c r="AL789" s="164">
        <f t="shared" si="1562"/>
        <v>0</v>
      </c>
      <c r="AM789" s="164">
        <f t="shared" si="1562"/>
        <v>0</v>
      </c>
      <c r="AN789" s="164">
        <f t="shared" si="1562"/>
        <v>0</v>
      </c>
      <c r="AO789" s="164">
        <f t="shared" si="1562"/>
        <v>0</v>
      </c>
      <c r="AP789" s="164">
        <f t="shared" si="1562"/>
        <v>0</v>
      </c>
    </row>
    <row r="790" spans="1:42">
      <c r="A790" s="37" t="s">
        <v>209</v>
      </c>
      <c r="B790" s="164"/>
      <c r="C790" s="164"/>
      <c r="D790" s="164"/>
      <c r="E790" s="164"/>
      <c r="F790" s="164"/>
      <c r="G790" s="208"/>
      <c r="H790" s="208"/>
      <c r="I790" s="208"/>
      <c r="J790" s="208"/>
      <c r="K790" s="208"/>
      <c r="L790" s="208"/>
      <c r="M790" s="208"/>
      <c r="N790" s="208"/>
      <c r="O790" s="208"/>
      <c r="P790" s="208"/>
      <c r="Q790" s="208"/>
      <c r="R790" s="208"/>
      <c r="S790" s="208"/>
      <c r="T790" s="208"/>
      <c r="U790" s="208"/>
      <c r="V790" s="208"/>
      <c r="W790" s="208"/>
      <c r="X790" s="208"/>
      <c r="Y790" s="208"/>
      <c r="Z790" s="208"/>
      <c r="AA790" s="208"/>
      <c r="AB790" s="208"/>
      <c r="AC790" s="208"/>
      <c r="AD790" s="208"/>
      <c r="AE790" s="208"/>
      <c r="AF790" s="208"/>
      <c r="AG790" s="208"/>
      <c r="AH790" s="208"/>
      <c r="AI790" s="208"/>
      <c r="AJ790" s="208"/>
      <c r="AK790" s="208"/>
      <c r="AL790" s="208"/>
      <c r="AM790" s="208"/>
      <c r="AN790" s="208"/>
      <c r="AO790" s="208"/>
      <c r="AP790" s="208"/>
    </row>
    <row r="791" spans="1:42">
      <c r="A791" s="37">
        <v>1</v>
      </c>
      <c r="B791" s="295">
        <f t="shared" ref="B791:B800" si="1563">SUM(C791:AP791)</f>
        <v>103022.49999999997</v>
      </c>
      <c r="C791" s="208">
        <f t="shared" ref="C791:AP791" si="1564">IF(C$2&lt;=MMFrequency3*$A$779,$B$779/(MMFrequency3),0)</f>
        <v>34340.833333333321</v>
      </c>
      <c r="D791" s="208">
        <f t="shared" si="1564"/>
        <v>34340.833333333321</v>
      </c>
      <c r="E791" s="208">
        <f t="shared" si="1564"/>
        <v>34340.833333333321</v>
      </c>
      <c r="F791" s="208">
        <f t="shared" si="1564"/>
        <v>0</v>
      </c>
      <c r="G791" s="208">
        <f t="shared" si="1564"/>
        <v>0</v>
      </c>
      <c r="H791" s="208">
        <f t="shared" si="1564"/>
        <v>0</v>
      </c>
      <c r="I791" s="208">
        <f t="shared" si="1564"/>
        <v>0</v>
      </c>
      <c r="J791" s="208">
        <f t="shared" si="1564"/>
        <v>0</v>
      </c>
      <c r="K791" s="208">
        <f t="shared" si="1564"/>
        <v>0</v>
      </c>
      <c r="L791" s="208">
        <f t="shared" si="1564"/>
        <v>0</v>
      </c>
      <c r="M791" s="208">
        <f t="shared" si="1564"/>
        <v>0</v>
      </c>
      <c r="N791" s="208">
        <f t="shared" si="1564"/>
        <v>0</v>
      </c>
      <c r="O791" s="208">
        <f t="shared" si="1564"/>
        <v>0</v>
      </c>
      <c r="P791" s="208">
        <f t="shared" si="1564"/>
        <v>0</v>
      </c>
      <c r="Q791" s="208">
        <f t="shared" si="1564"/>
        <v>0</v>
      </c>
      <c r="R791" s="208">
        <f t="shared" si="1564"/>
        <v>0</v>
      </c>
      <c r="S791" s="208">
        <f t="shared" si="1564"/>
        <v>0</v>
      </c>
      <c r="T791" s="208">
        <f t="shared" si="1564"/>
        <v>0</v>
      </c>
      <c r="U791" s="208">
        <f t="shared" si="1564"/>
        <v>0</v>
      </c>
      <c r="V791" s="208">
        <f t="shared" si="1564"/>
        <v>0</v>
      </c>
      <c r="W791" s="208">
        <f t="shared" si="1564"/>
        <v>0</v>
      </c>
      <c r="X791" s="208">
        <f t="shared" si="1564"/>
        <v>0</v>
      </c>
      <c r="Y791" s="208">
        <f t="shared" si="1564"/>
        <v>0</v>
      </c>
      <c r="Z791" s="208">
        <f t="shared" si="1564"/>
        <v>0</v>
      </c>
      <c r="AA791" s="208">
        <f t="shared" si="1564"/>
        <v>0</v>
      </c>
      <c r="AB791" s="208">
        <f t="shared" si="1564"/>
        <v>0</v>
      </c>
      <c r="AC791" s="208">
        <f t="shared" si="1564"/>
        <v>0</v>
      </c>
      <c r="AD791" s="208">
        <f t="shared" si="1564"/>
        <v>0</v>
      </c>
      <c r="AE791" s="208">
        <f t="shared" si="1564"/>
        <v>0</v>
      </c>
      <c r="AF791" s="208">
        <f t="shared" si="1564"/>
        <v>0</v>
      </c>
      <c r="AG791" s="208">
        <f t="shared" si="1564"/>
        <v>0</v>
      </c>
      <c r="AH791" s="208">
        <f t="shared" si="1564"/>
        <v>0</v>
      </c>
      <c r="AI791" s="208">
        <f t="shared" si="1564"/>
        <v>0</v>
      </c>
      <c r="AJ791" s="208">
        <f t="shared" si="1564"/>
        <v>0</v>
      </c>
      <c r="AK791" s="208">
        <f t="shared" si="1564"/>
        <v>0</v>
      </c>
      <c r="AL791" s="208">
        <f t="shared" si="1564"/>
        <v>0</v>
      </c>
      <c r="AM791" s="208">
        <f t="shared" si="1564"/>
        <v>0</v>
      </c>
      <c r="AN791" s="208">
        <f t="shared" si="1564"/>
        <v>0</v>
      </c>
      <c r="AO791" s="208">
        <f t="shared" si="1564"/>
        <v>0</v>
      </c>
      <c r="AP791" s="208">
        <f t="shared" si="1564"/>
        <v>0</v>
      </c>
    </row>
    <row r="792" spans="1:42">
      <c r="A792" s="37">
        <f>A791+1</f>
        <v>2</v>
      </c>
      <c r="B792" s="295">
        <f t="shared" si="1563"/>
        <v>107728.40038843744</v>
      </c>
      <c r="C792" s="208">
        <f t="shared" ref="C792:AP792" si="1565">IF(AND(C$2&gt;MMFrequency3*$A779,C$2&lt;=MMFrequency3*$A780),$B780/(MMFrequency3),0)</f>
        <v>0</v>
      </c>
      <c r="D792" s="208">
        <f t="shared" si="1565"/>
        <v>0</v>
      </c>
      <c r="E792" s="208">
        <f t="shared" si="1565"/>
        <v>0</v>
      </c>
      <c r="F792" s="208">
        <f t="shared" si="1565"/>
        <v>35909.466796145811</v>
      </c>
      <c r="G792" s="208">
        <f t="shared" si="1565"/>
        <v>35909.466796145811</v>
      </c>
      <c r="H792" s="208">
        <f t="shared" si="1565"/>
        <v>35909.466796145811</v>
      </c>
      <c r="I792" s="208">
        <f t="shared" si="1565"/>
        <v>0</v>
      </c>
      <c r="J792" s="208">
        <f t="shared" si="1565"/>
        <v>0</v>
      </c>
      <c r="K792" s="208">
        <f t="shared" si="1565"/>
        <v>0</v>
      </c>
      <c r="L792" s="208">
        <f t="shared" si="1565"/>
        <v>0</v>
      </c>
      <c r="M792" s="208">
        <f t="shared" si="1565"/>
        <v>0</v>
      </c>
      <c r="N792" s="208">
        <f t="shared" si="1565"/>
        <v>0</v>
      </c>
      <c r="O792" s="208">
        <f t="shared" si="1565"/>
        <v>0</v>
      </c>
      <c r="P792" s="208">
        <f t="shared" si="1565"/>
        <v>0</v>
      </c>
      <c r="Q792" s="208">
        <f t="shared" si="1565"/>
        <v>0</v>
      </c>
      <c r="R792" s="208">
        <f t="shared" si="1565"/>
        <v>0</v>
      </c>
      <c r="S792" s="208">
        <f t="shared" si="1565"/>
        <v>0</v>
      </c>
      <c r="T792" s="208">
        <f t="shared" si="1565"/>
        <v>0</v>
      </c>
      <c r="U792" s="208">
        <f t="shared" si="1565"/>
        <v>0</v>
      </c>
      <c r="V792" s="208">
        <f t="shared" si="1565"/>
        <v>0</v>
      </c>
      <c r="W792" s="208">
        <f t="shared" si="1565"/>
        <v>0</v>
      </c>
      <c r="X792" s="208">
        <f t="shared" si="1565"/>
        <v>0</v>
      </c>
      <c r="Y792" s="208">
        <f t="shared" si="1565"/>
        <v>0</v>
      </c>
      <c r="Z792" s="208">
        <f t="shared" si="1565"/>
        <v>0</v>
      </c>
      <c r="AA792" s="208">
        <f t="shared" si="1565"/>
        <v>0</v>
      </c>
      <c r="AB792" s="208">
        <f t="shared" si="1565"/>
        <v>0</v>
      </c>
      <c r="AC792" s="208">
        <f t="shared" si="1565"/>
        <v>0</v>
      </c>
      <c r="AD792" s="208">
        <f t="shared" si="1565"/>
        <v>0</v>
      </c>
      <c r="AE792" s="208">
        <f t="shared" si="1565"/>
        <v>0</v>
      </c>
      <c r="AF792" s="208">
        <f t="shared" si="1565"/>
        <v>0</v>
      </c>
      <c r="AG792" s="208">
        <f t="shared" si="1565"/>
        <v>0</v>
      </c>
      <c r="AH792" s="208">
        <f t="shared" si="1565"/>
        <v>0</v>
      </c>
      <c r="AI792" s="208">
        <f t="shared" si="1565"/>
        <v>0</v>
      </c>
      <c r="AJ792" s="208">
        <f t="shared" si="1565"/>
        <v>0</v>
      </c>
      <c r="AK792" s="208">
        <f t="shared" si="1565"/>
        <v>0</v>
      </c>
      <c r="AL792" s="208">
        <f t="shared" si="1565"/>
        <v>0</v>
      </c>
      <c r="AM792" s="208">
        <f t="shared" si="1565"/>
        <v>0</v>
      </c>
      <c r="AN792" s="208">
        <f t="shared" si="1565"/>
        <v>0</v>
      </c>
      <c r="AO792" s="208">
        <f t="shared" si="1565"/>
        <v>0</v>
      </c>
      <c r="AP792" s="208">
        <f t="shared" si="1565"/>
        <v>0</v>
      </c>
    </row>
    <row r="793" spans="1:42">
      <c r="A793" s="37">
        <f t="shared" ref="A793:A798" si="1566">A792+1</f>
        <v>3</v>
      </c>
      <c r="B793" s="295">
        <f t="shared" si="1563"/>
        <v>112649.25865953058</v>
      </c>
      <c r="C793" s="208">
        <f t="shared" ref="C793:AP793" si="1567">IF(AND(C$2&gt;MMFrequency3*$A780,C$2&lt;=MMFrequency3*$A781),$B781/(MMFrequency3),0)</f>
        <v>0</v>
      </c>
      <c r="D793" s="208">
        <f t="shared" si="1567"/>
        <v>0</v>
      </c>
      <c r="E793" s="208">
        <f t="shared" si="1567"/>
        <v>0</v>
      </c>
      <c r="F793" s="208">
        <f t="shared" si="1567"/>
        <v>0</v>
      </c>
      <c r="G793" s="208">
        <f t="shared" si="1567"/>
        <v>0</v>
      </c>
      <c r="H793" s="208">
        <f t="shared" si="1567"/>
        <v>0</v>
      </c>
      <c r="I793" s="208">
        <f t="shared" si="1567"/>
        <v>37549.752886510192</v>
      </c>
      <c r="J793" s="208">
        <f t="shared" si="1567"/>
        <v>37549.752886510192</v>
      </c>
      <c r="K793" s="208">
        <f t="shared" si="1567"/>
        <v>37549.752886510192</v>
      </c>
      <c r="L793" s="208">
        <f t="shared" si="1567"/>
        <v>0</v>
      </c>
      <c r="M793" s="208">
        <f t="shared" si="1567"/>
        <v>0</v>
      </c>
      <c r="N793" s="208">
        <f t="shared" si="1567"/>
        <v>0</v>
      </c>
      <c r="O793" s="208">
        <f t="shared" si="1567"/>
        <v>0</v>
      </c>
      <c r="P793" s="208">
        <f t="shared" si="1567"/>
        <v>0</v>
      </c>
      <c r="Q793" s="208">
        <f t="shared" si="1567"/>
        <v>0</v>
      </c>
      <c r="R793" s="208">
        <f t="shared" si="1567"/>
        <v>0</v>
      </c>
      <c r="S793" s="208">
        <f t="shared" si="1567"/>
        <v>0</v>
      </c>
      <c r="T793" s="208">
        <f t="shared" si="1567"/>
        <v>0</v>
      </c>
      <c r="U793" s="208">
        <f t="shared" si="1567"/>
        <v>0</v>
      </c>
      <c r="V793" s="208">
        <f t="shared" si="1567"/>
        <v>0</v>
      </c>
      <c r="W793" s="208">
        <f t="shared" si="1567"/>
        <v>0</v>
      </c>
      <c r="X793" s="208">
        <f t="shared" si="1567"/>
        <v>0</v>
      </c>
      <c r="Y793" s="208">
        <f t="shared" si="1567"/>
        <v>0</v>
      </c>
      <c r="Z793" s="208">
        <f t="shared" si="1567"/>
        <v>0</v>
      </c>
      <c r="AA793" s="208">
        <f t="shared" si="1567"/>
        <v>0</v>
      </c>
      <c r="AB793" s="208">
        <f t="shared" si="1567"/>
        <v>0</v>
      </c>
      <c r="AC793" s="208">
        <f t="shared" si="1567"/>
        <v>0</v>
      </c>
      <c r="AD793" s="208">
        <f t="shared" si="1567"/>
        <v>0</v>
      </c>
      <c r="AE793" s="208">
        <f t="shared" si="1567"/>
        <v>0</v>
      </c>
      <c r="AF793" s="208">
        <f t="shared" si="1567"/>
        <v>0</v>
      </c>
      <c r="AG793" s="208">
        <f t="shared" si="1567"/>
        <v>0</v>
      </c>
      <c r="AH793" s="208">
        <f t="shared" si="1567"/>
        <v>0</v>
      </c>
      <c r="AI793" s="208">
        <f t="shared" si="1567"/>
        <v>0</v>
      </c>
      <c r="AJ793" s="208">
        <f t="shared" si="1567"/>
        <v>0</v>
      </c>
      <c r="AK793" s="208">
        <f t="shared" si="1567"/>
        <v>0</v>
      </c>
      <c r="AL793" s="208">
        <f t="shared" si="1567"/>
        <v>0</v>
      </c>
      <c r="AM793" s="208">
        <f t="shared" si="1567"/>
        <v>0</v>
      </c>
      <c r="AN793" s="208">
        <f t="shared" si="1567"/>
        <v>0</v>
      </c>
      <c r="AO793" s="208">
        <f t="shared" si="1567"/>
        <v>0</v>
      </c>
      <c r="AP793" s="208">
        <f t="shared" si="1567"/>
        <v>0</v>
      </c>
    </row>
    <row r="794" spans="1:42">
      <c r="A794" s="37">
        <f t="shared" si="1566"/>
        <v>4</v>
      </c>
      <c r="B794" s="295">
        <f t="shared" si="1563"/>
        <v>117794.89374005256</v>
      </c>
      <c r="C794" s="208">
        <f t="shared" ref="C794:AP794" si="1568">IF(AND(C$2&gt;MMFrequency3*$A781,C$2&lt;=MMFrequency3*$A782),$B782/(MMFrequency3),0)</f>
        <v>0</v>
      </c>
      <c r="D794" s="208">
        <f t="shared" si="1568"/>
        <v>0</v>
      </c>
      <c r="E794" s="208">
        <f t="shared" si="1568"/>
        <v>0</v>
      </c>
      <c r="F794" s="208">
        <f t="shared" si="1568"/>
        <v>0</v>
      </c>
      <c r="G794" s="208">
        <f t="shared" si="1568"/>
        <v>0</v>
      </c>
      <c r="H794" s="208">
        <f t="shared" si="1568"/>
        <v>0</v>
      </c>
      <c r="I794" s="208">
        <f t="shared" si="1568"/>
        <v>0</v>
      </c>
      <c r="J794" s="208">
        <f t="shared" si="1568"/>
        <v>0</v>
      </c>
      <c r="K794" s="208">
        <f t="shared" si="1568"/>
        <v>0</v>
      </c>
      <c r="L794" s="208">
        <f t="shared" si="1568"/>
        <v>39264.96458001752</v>
      </c>
      <c r="M794" s="208">
        <f t="shared" si="1568"/>
        <v>39264.96458001752</v>
      </c>
      <c r="N794" s="208">
        <f t="shared" si="1568"/>
        <v>39264.96458001752</v>
      </c>
      <c r="O794" s="208">
        <f t="shared" si="1568"/>
        <v>0</v>
      </c>
      <c r="P794" s="208">
        <f t="shared" si="1568"/>
        <v>0</v>
      </c>
      <c r="Q794" s="208">
        <f t="shared" si="1568"/>
        <v>0</v>
      </c>
      <c r="R794" s="208">
        <f t="shared" si="1568"/>
        <v>0</v>
      </c>
      <c r="S794" s="208">
        <f t="shared" si="1568"/>
        <v>0</v>
      </c>
      <c r="T794" s="208">
        <f t="shared" si="1568"/>
        <v>0</v>
      </c>
      <c r="U794" s="208">
        <f t="shared" si="1568"/>
        <v>0</v>
      </c>
      <c r="V794" s="208">
        <f t="shared" si="1568"/>
        <v>0</v>
      </c>
      <c r="W794" s="208">
        <f t="shared" si="1568"/>
        <v>0</v>
      </c>
      <c r="X794" s="208">
        <f t="shared" si="1568"/>
        <v>0</v>
      </c>
      <c r="Y794" s="208">
        <f t="shared" si="1568"/>
        <v>0</v>
      </c>
      <c r="Z794" s="208">
        <f t="shared" si="1568"/>
        <v>0</v>
      </c>
      <c r="AA794" s="208">
        <f t="shared" si="1568"/>
        <v>0</v>
      </c>
      <c r="AB794" s="208">
        <f t="shared" si="1568"/>
        <v>0</v>
      </c>
      <c r="AC794" s="208">
        <f t="shared" si="1568"/>
        <v>0</v>
      </c>
      <c r="AD794" s="208">
        <f t="shared" si="1568"/>
        <v>0</v>
      </c>
      <c r="AE794" s="208">
        <f t="shared" si="1568"/>
        <v>0</v>
      </c>
      <c r="AF794" s="208">
        <f t="shared" si="1568"/>
        <v>0</v>
      </c>
      <c r="AG794" s="208">
        <f t="shared" si="1568"/>
        <v>0</v>
      </c>
      <c r="AH794" s="208">
        <f t="shared" si="1568"/>
        <v>0</v>
      </c>
      <c r="AI794" s="208">
        <f t="shared" si="1568"/>
        <v>0</v>
      </c>
      <c r="AJ794" s="208">
        <f t="shared" si="1568"/>
        <v>0</v>
      </c>
      <c r="AK794" s="208">
        <f t="shared" si="1568"/>
        <v>0</v>
      </c>
      <c r="AL794" s="208">
        <f t="shared" si="1568"/>
        <v>0</v>
      </c>
      <c r="AM794" s="208">
        <f t="shared" si="1568"/>
        <v>0</v>
      </c>
      <c r="AN794" s="208">
        <f t="shared" si="1568"/>
        <v>0</v>
      </c>
      <c r="AO794" s="208">
        <f t="shared" si="1568"/>
        <v>0</v>
      </c>
      <c r="AP794" s="208">
        <f t="shared" si="1568"/>
        <v>0</v>
      </c>
    </row>
    <row r="795" spans="1:42">
      <c r="A795" s="37">
        <f t="shared" si="1566"/>
        <v>5</v>
      </c>
      <c r="B795" s="295">
        <f t="shared" si="1563"/>
        <v>123175.57306939576</v>
      </c>
      <c r="C795" s="208">
        <f t="shared" ref="C795:AP795" si="1569">IF(AND(C$2&gt;MMFrequency3*$A782,C$2&lt;=MMFrequency3*$A783),$B783/(MMFrequency3),0)</f>
        <v>0</v>
      </c>
      <c r="D795" s="208">
        <f t="shared" si="1569"/>
        <v>0</v>
      </c>
      <c r="E795" s="208">
        <f t="shared" si="1569"/>
        <v>0</v>
      </c>
      <c r="F795" s="208">
        <f t="shared" si="1569"/>
        <v>0</v>
      </c>
      <c r="G795" s="208">
        <f t="shared" si="1569"/>
        <v>0</v>
      </c>
      <c r="H795" s="208">
        <f t="shared" si="1569"/>
        <v>0</v>
      </c>
      <c r="I795" s="208">
        <f t="shared" si="1569"/>
        <v>0</v>
      </c>
      <c r="J795" s="208">
        <f t="shared" si="1569"/>
        <v>0</v>
      </c>
      <c r="K795" s="208">
        <f t="shared" si="1569"/>
        <v>0</v>
      </c>
      <c r="L795" s="208">
        <f t="shared" si="1569"/>
        <v>0</v>
      </c>
      <c r="M795" s="208">
        <f t="shared" si="1569"/>
        <v>0</v>
      </c>
      <c r="N795" s="208">
        <f t="shared" si="1569"/>
        <v>0</v>
      </c>
      <c r="O795" s="208">
        <f t="shared" si="1569"/>
        <v>41058.524356465256</v>
      </c>
      <c r="P795" s="208">
        <f t="shared" si="1569"/>
        <v>41058.524356465256</v>
      </c>
      <c r="Q795" s="208">
        <f t="shared" si="1569"/>
        <v>41058.524356465256</v>
      </c>
      <c r="R795" s="208">
        <f t="shared" si="1569"/>
        <v>0</v>
      </c>
      <c r="S795" s="208">
        <f t="shared" si="1569"/>
        <v>0</v>
      </c>
      <c r="T795" s="208">
        <f t="shared" si="1569"/>
        <v>0</v>
      </c>
      <c r="U795" s="208">
        <f t="shared" si="1569"/>
        <v>0</v>
      </c>
      <c r="V795" s="208">
        <f t="shared" si="1569"/>
        <v>0</v>
      </c>
      <c r="W795" s="208">
        <f t="shared" si="1569"/>
        <v>0</v>
      </c>
      <c r="X795" s="208">
        <f t="shared" si="1569"/>
        <v>0</v>
      </c>
      <c r="Y795" s="208">
        <f t="shared" si="1569"/>
        <v>0</v>
      </c>
      <c r="Z795" s="208">
        <f t="shared" si="1569"/>
        <v>0</v>
      </c>
      <c r="AA795" s="208">
        <f t="shared" si="1569"/>
        <v>0</v>
      </c>
      <c r="AB795" s="208">
        <f t="shared" si="1569"/>
        <v>0</v>
      </c>
      <c r="AC795" s="208">
        <f t="shared" si="1569"/>
        <v>0</v>
      </c>
      <c r="AD795" s="208">
        <f t="shared" si="1569"/>
        <v>0</v>
      </c>
      <c r="AE795" s="208">
        <f t="shared" si="1569"/>
        <v>0</v>
      </c>
      <c r="AF795" s="208">
        <f t="shared" si="1569"/>
        <v>0</v>
      </c>
      <c r="AG795" s="208">
        <f t="shared" si="1569"/>
        <v>0</v>
      </c>
      <c r="AH795" s="208">
        <f t="shared" si="1569"/>
        <v>0</v>
      </c>
      <c r="AI795" s="208">
        <f t="shared" si="1569"/>
        <v>0</v>
      </c>
      <c r="AJ795" s="208">
        <f t="shared" si="1569"/>
        <v>0</v>
      </c>
      <c r="AK795" s="208">
        <f t="shared" si="1569"/>
        <v>0</v>
      </c>
      <c r="AL795" s="208">
        <f t="shared" si="1569"/>
        <v>0</v>
      </c>
      <c r="AM795" s="208">
        <f t="shared" si="1569"/>
        <v>0</v>
      </c>
      <c r="AN795" s="208">
        <f t="shared" si="1569"/>
        <v>0</v>
      </c>
      <c r="AO795" s="208">
        <f t="shared" si="1569"/>
        <v>0</v>
      </c>
      <c r="AP795" s="208">
        <f t="shared" si="1569"/>
        <v>0</v>
      </c>
    </row>
    <row r="796" spans="1:42">
      <c r="A796" s="37">
        <f t="shared" si="1566"/>
        <v>6</v>
      </c>
      <c r="B796" s="295">
        <f t="shared" si="1563"/>
        <v>128802.03308689949</v>
      </c>
      <c r="C796" s="208">
        <f t="shared" ref="C796:AP796" si="1570">IF(AND(C$2&gt;MMFrequency3*$A783,C$2&lt;=MMFrequency3*$A784),$B784/(MMFrequency3),0)</f>
        <v>0</v>
      </c>
      <c r="D796" s="208">
        <f t="shared" si="1570"/>
        <v>0</v>
      </c>
      <c r="E796" s="208">
        <f t="shared" si="1570"/>
        <v>0</v>
      </c>
      <c r="F796" s="208">
        <f t="shared" si="1570"/>
        <v>0</v>
      </c>
      <c r="G796" s="208">
        <f t="shared" si="1570"/>
        <v>0</v>
      </c>
      <c r="H796" s="208">
        <f t="shared" si="1570"/>
        <v>0</v>
      </c>
      <c r="I796" s="208">
        <f t="shared" si="1570"/>
        <v>0</v>
      </c>
      <c r="J796" s="208">
        <f t="shared" si="1570"/>
        <v>0</v>
      </c>
      <c r="K796" s="208">
        <f t="shared" si="1570"/>
        <v>0</v>
      </c>
      <c r="L796" s="208">
        <f t="shared" si="1570"/>
        <v>0</v>
      </c>
      <c r="M796" s="208">
        <f t="shared" si="1570"/>
        <v>0</v>
      </c>
      <c r="N796" s="208">
        <f t="shared" si="1570"/>
        <v>0</v>
      </c>
      <c r="O796" s="208">
        <f t="shared" si="1570"/>
        <v>0</v>
      </c>
      <c r="P796" s="208">
        <f t="shared" si="1570"/>
        <v>0</v>
      </c>
      <c r="Q796" s="208">
        <f t="shared" si="1570"/>
        <v>0</v>
      </c>
      <c r="R796" s="208">
        <f t="shared" si="1570"/>
        <v>42934.011028966495</v>
      </c>
      <c r="S796" s="208">
        <f t="shared" si="1570"/>
        <v>42934.011028966495</v>
      </c>
      <c r="T796" s="208">
        <f t="shared" si="1570"/>
        <v>42934.011028966495</v>
      </c>
      <c r="U796" s="208">
        <f t="shared" si="1570"/>
        <v>0</v>
      </c>
      <c r="V796" s="208">
        <f t="shared" si="1570"/>
        <v>0</v>
      </c>
      <c r="W796" s="208">
        <f t="shared" si="1570"/>
        <v>0</v>
      </c>
      <c r="X796" s="208">
        <f t="shared" si="1570"/>
        <v>0</v>
      </c>
      <c r="Y796" s="208">
        <f t="shared" si="1570"/>
        <v>0</v>
      </c>
      <c r="Z796" s="208">
        <f t="shared" si="1570"/>
        <v>0</v>
      </c>
      <c r="AA796" s="208">
        <f t="shared" si="1570"/>
        <v>0</v>
      </c>
      <c r="AB796" s="208">
        <f t="shared" si="1570"/>
        <v>0</v>
      </c>
      <c r="AC796" s="208">
        <f t="shared" si="1570"/>
        <v>0</v>
      </c>
      <c r="AD796" s="208">
        <f t="shared" si="1570"/>
        <v>0</v>
      </c>
      <c r="AE796" s="208">
        <f t="shared" si="1570"/>
        <v>0</v>
      </c>
      <c r="AF796" s="208">
        <f t="shared" si="1570"/>
        <v>0</v>
      </c>
      <c r="AG796" s="208">
        <f t="shared" si="1570"/>
        <v>0</v>
      </c>
      <c r="AH796" s="208">
        <f t="shared" si="1570"/>
        <v>0</v>
      </c>
      <c r="AI796" s="208">
        <f t="shared" si="1570"/>
        <v>0</v>
      </c>
      <c r="AJ796" s="208">
        <f t="shared" si="1570"/>
        <v>0</v>
      </c>
      <c r="AK796" s="208">
        <f t="shared" si="1570"/>
        <v>0</v>
      </c>
      <c r="AL796" s="208">
        <f t="shared" si="1570"/>
        <v>0</v>
      </c>
      <c r="AM796" s="208">
        <f t="shared" si="1570"/>
        <v>0</v>
      </c>
      <c r="AN796" s="208">
        <f t="shared" si="1570"/>
        <v>0</v>
      </c>
      <c r="AO796" s="208">
        <f t="shared" si="1570"/>
        <v>0</v>
      </c>
      <c r="AP796" s="208">
        <f t="shared" si="1570"/>
        <v>0</v>
      </c>
    </row>
    <row r="797" spans="1:42">
      <c r="A797" s="37">
        <f t="shared" si="1566"/>
        <v>7</v>
      </c>
      <c r="B797" s="295">
        <f t="shared" si="1563"/>
        <v>134685.50065500522</v>
      </c>
      <c r="C797" s="208">
        <f t="shared" ref="C797:AP797" si="1571">IF(AND(C$2&gt;MMFrequency3*$A784,C$2&lt;=MMFrequency3*$A785),$B785/(MMFrequency3),0)</f>
        <v>0</v>
      </c>
      <c r="D797" s="208">
        <f t="shared" si="1571"/>
        <v>0</v>
      </c>
      <c r="E797" s="208">
        <f t="shared" si="1571"/>
        <v>0</v>
      </c>
      <c r="F797" s="208">
        <f t="shared" si="1571"/>
        <v>0</v>
      </c>
      <c r="G797" s="208">
        <f t="shared" si="1571"/>
        <v>0</v>
      </c>
      <c r="H797" s="208">
        <f t="shared" si="1571"/>
        <v>0</v>
      </c>
      <c r="I797" s="208">
        <f t="shared" si="1571"/>
        <v>0</v>
      </c>
      <c r="J797" s="208">
        <f t="shared" si="1571"/>
        <v>0</v>
      </c>
      <c r="K797" s="208">
        <f t="shared" si="1571"/>
        <v>0</v>
      </c>
      <c r="L797" s="208">
        <f t="shared" si="1571"/>
        <v>0</v>
      </c>
      <c r="M797" s="208">
        <f t="shared" si="1571"/>
        <v>0</v>
      </c>
      <c r="N797" s="208">
        <f t="shared" si="1571"/>
        <v>0</v>
      </c>
      <c r="O797" s="208">
        <f t="shared" si="1571"/>
        <v>0</v>
      </c>
      <c r="P797" s="208">
        <f t="shared" si="1571"/>
        <v>0</v>
      </c>
      <c r="Q797" s="208">
        <f t="shared" si="1571"/>
        <v>0</v>
      </c>
      <c r="R797" s="208">
        <f t="shared" si="1571"/>
        <v>0</v>
      </c>
      <c r="S797" s="208">
        <f t="shared" si="1571"/>
        <v>0</v>
      </c>
      <c r="T797" s="208">
        <f t="shared" si="1571"/>
        <v>0</v>
      </c>
      <c r="U797" s="208">
        <f t="shared" si="1571"/>
        <v>44895.166885001738</v>
      </c>
      <c r="V797" s="208">
        <f t="shared" si="1571"/>
        <v>44895.166885001738</v>
      </c>
      <c r="W797" s="208">
        <f t="shared" si="1571"/>
        <v>44895.166885001738</v>
      </c>
      <c r="X797" s="208">
        <f t="shared" si="1571"/>
        <v>0</v>
      </c>
      <c r="Y797" s="208">
        <f t="shared" si="1571"/>
        <v>0</v>
      </c>
      <c r="Z797" s="208">
        <f t="shared" si="1571"/>
        <v>0</v>
      </c>
      <c r="AA797" s="208">
        <f t="shared" si="1571"/>
        <v>0</v>
      </c>
      <c r="AB797" s="208">
        <f t="shared" si="1571"/>
        <v>0</v>
      </c>
      <c r="AC797" s="208">
        <f t="shared" si="1571"/>
        <v>0</v>
      </c>
      <c r="AD797" s="208">
        <f t="shared" si="1571"/>
        <v>0</v>
      </c>
      <c r="AE797" s="208">
        <f t="shared" si="1571"/>
        <v>0</v>
      </c>
      <c r="AF797" s="208">
        <f t="shared" si="1571"/>
        <v>0</v>
      </c>
      <c r="AG797" s="208">
        <f t="shared" si="1571"/>
        <v>0</v>
      </c>
      <c r="AH797" s="208">
        <f t="shared" si="1571"/>
        <v>0</v>
      </c>
      <c r="AI797" s="208">
        <f t="shared" si="1571"/>
        <v>0</v>
      </c>
      <c r="AJ797" s="208">
        <f t="shared" si="1571"/>
        <v>0</v>
      </c>
      <c r="AK797" s="208">
        <f t="shared" si="1571"/>
        <v>0</v>
      </c>
      <c r="AL797" s="208">
        <f t="shared" si="1571"/>
        <v>0</v>
      </c>
      <c r="AM797" s="208">
        <f t="shared" si="1571"/>
        <v>0</v>
      </c>
      <c r="AN797" s="208">
        <f t="shared" si="1571"/>
        <v>0</v>
      </c>
      <c r="AO797" s="208">
        <f t="shared" si="1571"/>
        <v>0</v>
      </c>
      <c r="AP797" s="208">
        <f t="shared" si="1571"/>
        <v>0</v>
      </c>
    </row>
    <row r="798" spans="1:42">
      <c r="A798" s="37">
        <f t="shared" si="1566"/>
        <v>8</v>
      </c>
      <c r="B798" s="295">
        <f t="shared" si="1563"/>
        <v>140837.71546098724</v>
      </c>
      <c r="C798" s="208">
        <f t="shared" ref="C798:AP798" si="1572">IF(AND(C$2&gt;MMFrequency3*$A785,C$2&lt;=MMFrequency3*$A786),$B786/(MMFrequency3),0)</f>
        <v>0</v>
      </c>
      <c r="D798" s="208">
        <f t="shared" si="1572"/>
        <v>0</v>
      </c>
      <c r="E798" s="208">
        <f t="shared" si="1572"/>
        <v>0</v>
      </c>
      <c r="F798" s="208">
        <f t="shared" si="1572"/>
        <v>0</v>
      </c>
      <c r="G798" s="208">
        <f t="shared" si="1572"/>
        <v>0</v>
      </c>
      <c r="H798" s="208">
        <f t="shared" si="1572"/>
        <v>0</v>
      </c>
      <c r="I798" s="208">
        <f t="shared" si="1572"/>
        <v>0</v>
      </c>
      <c r="J798" s="208">
        <f t="shared" si="1572"/>
        <v>0</v>
      </c>
      <c r="K798" s="208">
        <f t="shared" si="1572"/>
        <v>0</v>
      </c>
      <c r="L798" s="208">
        <f t="shared" si="1572"/>
        <v>0</v>
      </c>
      <c r="M798" s="208">
        <f t="shared" si="1572"/>
        <v>0</v>
      </c>
      <c r="N798" s="208">
        <f t="shared" si="1572"/>
        <v>0</v>
      </c>
      <c r="O798" s="208">
        <f t="shared" si="1572"/>
        <v>0</v>
      </c>
      <c r="P798" s="208">
        <f t="shared" si="1572"/>
        <v>0</v>
      </c>
      <c r="Q798" s="208">
        <f t="shared" si="1572"/>
        <v>0</v>
      </c>
      <c r="R798" s="208">
        <f t="shared" si="1572"/>
        <v>0</v>
      </c>
      <c r="S798" s="208">
        <f t="shared" si="1572"/>
        <v>0</v>
      </c>
      <c r="T798" s="208">
        <f t="shared" si="1572"/>
        <v>0</v>
      </c>
      <c r="U798" s="208">
        <f t="shared" si="1572"/>
        <v>0</v>
      </c>
      <c r="V798" s="208">
        <f t="shared" si="1572"/>
        <v>0</v>
      </c>
      <c r="W798" s="208">
        <f t="shared" si="1572"/>
        <v>0</v>
      </c>
      <c r="X798" s="208">
        <f t="shared" si="1572"/>
        <v>46945.90515366241</v>
      </c>
      <c r="Y798" s="208">
        <f t="shared" si="1572"/>
        <v>46945.90515366241</v>
      </c>
      <c r="Z798" s="208">
        <f t="shared" si="1572"/>
        <v>46945.90515366241</v>
      </c>
      <c r="AA798" s="208">
        <f t="shared" si="1572"/>
        <v>0</v>
      </c>
      <c r="AB798" s="208">
        <f t="shared" si="1572"/>
        <v>0</v>
      </c>
      <c r="AC798" s="208">
        <f t="shared" si="1572"/>
        <v>0</v>
      </c>
      <c r="AD798" s="208">
        <f t="shared" si="1572"/>
        <v>0</v>
      </c>
      <c r="AE798" s="208">
        <f t="shared" si="1572"/>
        <v>0</v>
      </c>
      <c r="AF798" s="208">
        <f t="shared" si="1572"/>
        <v>0</v>
      </c>
      <c r="AG798" s="208">
        <f t="shared" si="1572"/>
        <v>0</v>
      </c>
      <c r="AH798" s="208">
        <f t="shared" si="1572"/>
        <v>0</v>
      </c>
      <c r="AI798" s="208">
        <f t="shared" si="1572"/>
        <v>0</v>
      </c>
      <c r="AJ798" s="208">
        <f t="shared" si="1572"/>
        <v>0</v>
      </c>
      <c r="AK798" s="208">
        <f t="shared" si="1572"/>
        <v>0</v>
      </c>
      <c r="AL798" s="208">
        <f t="shared" si="1572"/>
        <v>0</v>
      </c>
      <c r="AM798" s="208">
        <f t="shared" si="1572"/>
        <v>0</v>
      </c>
      <c r="AN798" s="208">
        <f t="shared" si="1572"/>
        <v>0</v>
      </c>
      <c r="AO798" s="208">
        <f t="shared" si="1572"/>
        <v>0</v>
      </c>
      <c r="AP798" s="208">
        <f t="shared" si="1572"/>
        <v>0</v>
      </c>
    </row>
    <row r="799" spans="1:42">
      <c r="A799" s="37">
        <f>A798+1</f>
        <v>9</v>
      </c>
      <c r="B799" s="295">
        <f t="shared" si="1563"/>
        <v>147270.95344195748</v>
      </c>
      <c r="C799" s="208">
        <f t="shared" ref="C799:AP799" si="1573">IF(AND(C$2&gt;MMFrequency3*$A786,C$2&lt;=MMFrequency3*$A787),$B787/(MMFrequency3),0)</f>
        <v>0</v>
      </c>
      <c r="D799" s="208">
        <f t="shared" si="1573"/>
        <v>0</v>
      </c>
      <c r="E799" s="208">
        <f t="shared" si="1573"/>
        <v>0</v>
      </c>
      <c r="F799" s="208">
        <f t="shared" si="1573"/>
        <v>0</v>
      </c>
      <c r="G799" s="208">
        <f t="shared" si="1573"/>
        <v>0</v>
      </c>
      <c r="H799" s="208">
        <f t="shared" si="1573"/>
        <v>0</v>
      </c>
      <c r="I799" s="208">
        <f t="shared" si="1573"/>
        <v>0</v>
      </c>
      <c r="J799" s="208">
        <f t="shared" si="1573"/>
        <v>0</v>
      </c>
      <c r="K799" s="208">
        <f t="shared" si="1573"/>
        <v>0</v>
      </c>
      <c r="L799" s="208">
        <f t="shared" si="1573"/>
        <v>0</v>
      </c>
      <c r="M799" s="208">
        <f t="shared" si="1573"/>
        <v>0</v>
      </c>
      <c r="N799" s="208">
        <f t="shared" si="1573"/>
        <v>0</v>
      </c>
      <c r="O799" s="208">
        <f t="shared" si="1573"/>
        <v>0</v>
      </c>
      <c r="P799" s="208">
        <f t="shared" si="1573"/>
        <v>0</v>
      </c>
      <c r="Q799" s="208">
        <f t="shared" si="1573"/>
        <v>0</v>
      </c>
      <c r="R799" s="208">
        <f t="shared" si="1573"/>
        <v>0</v>
      </c>
      <c r="S799" s="208">
        <f t="shared" si="1573"/>
        <v>0</v>
      </c>
      <c r="T799" s="208">
        <f t="shared" si="1573"/>
        <v>0</v>
      </c>
      <c r="U799" s="208">
        <f t="shared" si="1573"/>
        <v>0</v>
      </c>
      <c r="V799" s="208">
        <f t="shared" si="1573"/>
        <v>0</v>
      </c>
      <c r="W799" s="208">
        <f t="shared" si="1573"/>
        <v>0</v>
      </c>
      <c r="X799" s="208">
        <f t="shared" si="1573"/>
        <v>0</v>
      </c>
      <c r="Y799" s="208">
        <f t="shared" si="1573"/>
        <v>0</v>
      </c>
      <c r="Z799" s="208">
        <f t="shared" si="1573"/>
        <v>0</v>
      </c>
      <c r="AA799" s="208">
        <f t="shared" si="1573"/>
        <v>49090.317813985828</v>
      </c>
      <c r="AB799" s="208">
        <f t="shared" si="1573"/>
        <v>49090.317813985828</v>
      </c>
      <c r="AC799" s="208">
        <f t="shared" si="1573"/>
        <v>49090.317813985828</v>
      </c>
      <c r="AD799" s="208">
        <f t="shared" si="1573"/>
        <v>0</v>
      </c>
      <c r="AE799" s="208">
        <f t="shared" si="1573"/>
        <v>0</v>
      </c>
      <c r="AF799" s="208">
        <f t="shared" si="1573"/>
        <v>0</v>
      </c>
      <c r="AG799" s="208">
        <f t="shared" si="1573"/>
        <v>0</v>
      </c>
      <c r="AH799" s="208">
        <f t="shared" si="1573"/>
        <v>0</v>
      </c>
      <c r="AI799" s="208">
        <f t="shared" si="1573"/>
        <v>0</v>
      </c>
      <c r="AJ799" s="208">
        <f t="shared" si="1573"/>
        <v>0</v>
      </c>
      <c r="AK799" s="208">
        <f t="shared" si="1573"/>
        <v>0</v>
      </c>
      <c r="AL799" s="208">
        <f t="shared" si="1573"/>
        <v>0</v>
      </c>
      <c r="AM799" s="208">
        <f t="shared" si="1573"/>
        <v>0</v>
      </c>
      <c r="AN799" s="208">
        <f t="shared" si="1573"/>
        <v>0</v>
      </c>
      <c r="AO799" s="208">
        <f t="shared" si="1573"/>
        <v>0</v>
      </c>
      <c r="AP799" s="208">
        <f t="shared" si="1573"/>
        <v>0</v>
      </c>
    </row>
    <row r="800" spans="1:42">
      <c r="A800" s="37">
        <f t="shared" ref="A800" si="1574">A799+1</f>
        <v>10</v>
      </c>
      <c r="B800" s="295">
        <f t="shared" si="1563"/>
        <v>153998.05127988668</v>
      </c>
      <c r="C800" s="209">
        <f t="shared" ref="C800:AP800" si="1575">IF(AND(C$2&gt;MMFrequency3*$A787,C$2&lt;=MMFrequency3*$A788),$B788/(MMFrequency3),0)</f>
        <v>0</v>
      </c>
      <c r="D800" s="209">
        <f t="shared" si="1575"/>
        <v>0</v>
      </c>
      <c r="E800" s="209">
        <f t="shared" si="1575"/>
        <v>0</v>
      </c>
      <c r="F800" s="209">
        <f t="shared" si="1575"/>
        <v>0</v>
      </c>
      <c r="G800" s="209">
        <f t="shared" si="1575"/>
        <v>0</v>
      </c>
      <c r="H800" s="209">
        <f t="shared" si="1575"/>
        <v>0</v>
      </c>
      <c r="I800" s="209">
        <f t="shared" si="1575"/>
        <v>0</v>
      </c>
      <c r="J800" s="209">
        <f t="shared" si="1575"/>
        <v>0</v>
      </c>
      <c r="K800" s="209">
        <f t="shared" si="1575"/>
        <v>0</v>
      </c>
      <c r="L800" s="209">
        <f t="shared" si="1575"/>
        <v>0</v>
      </c>
      <c r="M800" s="209">
        <f t="shared" si="1575"/>
        <v>0</v>
      </c>
      <c r="N800" s="209">
        <f t="shared" si="1575"/>
        <v>0</v>
      </c>
      <c r="O800" s="209">
        <f t="shared" si="1575"/>
        <v>0</v>
      </c>
      <c r="P800" s="209">
        <f t="shared" si="1575"/>
        <v>0</v>
      </c>
      <c r="Q800" s="209">
        <f t="shared" si="1575"/>
        <v>0</v>
      </c>
      <c r="R800" s="209">
        <f t="shared" si="1575"/>
        <v>0</v>
      </c>
      <c r="S800" s="209">
        <f t="shared" si="1575"/>
        <v>0</v>
      </c>
      <c r="T800" s="209">
        <f t="shared" si="1575"/>
        <v>0</v>
      </c>
      <c r="U800" s="209">
        <f t="shared" si="1575"/>
        <v>0</v>
      </c>
      <c r="V800" s="209">
        <f t="shared" si="1575"/>
        <v>0</v>
      </c>
      <c r="W800" s="209">
        <f t="shared" si="1575"/>
        <v>0</v>
      </c>
      <c r="X800" s="209">
        <f t="shared" si="1575"/>
        <v>0</v>
      </c>
      <c r="Y800" s="209">
        <f t="shared" si="1575"/>
        <v>0</v>
      </c>
      <c r="Z800" s="209">
        <f t="shared" si="1575"/>
        <v>0</v>
      </c>
      <c r="AA800" s="209">
        <f t="shared" si="1575"/>
        <v>0</v>
      </c>
      <c r="AB800" s="209">
        <f t="shared" si="1575"/>
        <v>0</v>
      </c>
      <c r="AC800" s="209">
        <f t="shared" si="1575"/>
        <v>0</v>
      </c>
      <c r="AD800" s="209">
        <f t="shared" si="1575"/>
        <v>51332.68375996223</v>
      </c>
      <c r="AE800" s="209">
        <f t="shared" si="1575"/>
        <v>51332.68375996223</v>
      </c>
      <c r="AF800" s="209">
        <f t="shared" si="1575"/>
        <v>51332.68375996223</v>
      </c>
      <c r="AG800" s="209">
        <f t="shared" si="1575"/>
        <v>0</v>
      </c>
      <c r="AH800" s="209">
        <f t="shared" si="1575"/>
        <v>0</v>
      </c>
      <c r="AI800" s="209">
        <f t="shared" si="1575"/>
        <v>0</v>
      </c>
      <c r="AJ800" s="209">
        <f t="shared" si="1575"/>
        <v>0</v>
      </c>
      <c r="AK800" s="209">
        <f t="shared" si="1575"/>
        <v>0</v>
      </c>
      <c r="AL800" s="209">
        <f t="shared" si="1575"/>
        <v>0</v>
      </c>
      <c r="AM800" s="209">
        <f t="shared" si="1575"/>
        <v>0</v>
      </c>
      <c r="AN800" s="209">
        <f t="shared" si="1575"/>
        <v>0</v>
      </c>
      <c r="AO800" s="209">
        <f t="shared" si="1575"/>
        <v>0</v>
      </c>
      <c r="AP800" s="209">
        <f t="shared" si="1575"/>
        <v>0</v>
      </c>
    </row>
    <row r="801" spans="1:42">
      <c r="A801" s="244" t="s">
        <v>53</v>
      </c>
      <c r="B801" s="208"/>
      <c r="C801" s="164">
        <f>SUM(C791:C800)</f>
        <v>34340.833333333321</v>
      </c>
      <c r="D801" s="164">
        <f t="shared" ref="D801:AP801" si="1576">SUM(D791:D800)</f>
        <v>34340.833333333321</v>
      </c>
      <c r="E801" s="164">
        <f t="shared" si="1576"/>
        <v>34340.833333333321</v>
      </c>
      <c r="F801" s="164">
        <f t="shared" si="1576"/>
        <v>35909.466796145811</v>
      </c>
      <c r="G801" s="164">
        <f t="shared" si="1576"/>
        <v>35909.466796145811</v>
      </c>
      <c r="H801" s="164">
        <f t="shared" si="1576"/>
        <v>35909.466796145811</v>
      </c>
      <c r="I801" s="164">
        <f t="shared" si="1576"/>
        <v>37549.752886510192</v>
      </c>
      <c r="J801" s="164">
        <f t="shared" si="1576"/>
        <v>37549.752886510192</v>
      </c>
      <c r="K801" s="164">
        <f t="shared" si="1576"/>
        <v>37549.752886510192</v>
      </c>
      <c r="L801" s="164">
        <f t="shared" si="1576"/>
        <v>39264.96458001752</v>
      </c>
      <c r="M801" s="164">
        <f t="shared" si="1576"/>
        <v>39264.96458001752</v>
      </c>
      <c r="N801" s="164">
        <f t="shared" si="1576"/>
        <v>39264.96458001752</v>
      </c>
      <c r="O801" s="164">
        <f t="shared" si="1576"/>
        <v>41058.524356465256</v>
      </c>
      <c r="P801" s="164">
        <f t="shared" si="1576"/>
        <v>41058.524356465256</v>
      </c>
      <c r="Q801" s="164">
        <f t="shared" si="1576"/>
        <v>41058.524356465256</v>
      </c>
      <c r="R801" s="164">
        <f t="shared" si="1576"/>
        <v>42934.011028966495</v>
      </c>
      <c r="S801" s="164">
        <f t="shared" si="1576"/>
        <v>42934.011028966495</v>
      </c>
      <c r="T801" s="164">
        <f t="shared" si="1576"/>
        <v>42934.011028966495</v>
      </c>
      <c r="U801" s="164">
        <f t="shared" si="1576"/>
        <v>44895.166885001738</v>
      </c>
      <c r="V801" s="164">
        <f t="shared" si="1576"/>
        <v>44895.166885001738</v>
      </c>
      <c r="W801" s="164">
        <f t="shared" si="1576"/>
        <v>44895.166885001738</v>
      </c>
      <c r="X801" s="164">
        <f t="shared" si="1576"/>
        <v>46945.90515366241</v>
      </c>
      <c r="Y801" s="164">
        <f t="shared" si="1576"/>
        <v>46945.90515366241</v>
      </c>
      <c r="Z801" s="164">
        <f t="shared" si="1576"/>
        <v>46945.90515366241</v>
      </c>
      <c r="AA801" s="164">
        <f t="shared" si="1576"/>
        <v>49090.317813985828</v>
      </c>
      <c r="AB801" s="164">
        <f t="shared" si="1576"/>
        <v>49090.317813985828</v>
      </c>
      <c r="AC801" s="164">
        <f t="shared" si="1576"/>
        <v>49090.317813985828</v>
      </c>
      <c r="AD801" s="164">
        <f t="shared" si="1576"/>
        <v>51332.68375996223</v>
      </c>
      <c r="AE801" s="164">
        <f t="shared" si="1576"/>
        <v>51332.68375996223</v>
      </c>
      <c r="AF801" s="164">
        <f t="shared" si="1576"/>
        <v>51332.68375996223</v>
      </c>
      <c r="AG801" s="164">
        <f t="shared" si="1576"/>
        <v>0</v>
      </c>
      <c r="AH801" s="164">
        <f t="shared" si="1576"/>
        <v>0</v>
      </c>
      <c r="AI801" s="164">
        <f t="shared" si="1576"/>
        <v>0</v>
      </c>
      <c r="AJ801" s="164">
        <f t="shared" si="1576"/>
        <v>0</v>
      </c>
      <c r="AK801" s="164">
        <f t="shared" si="1576"/>
        <v>0</v>
      </c>
      <c r="AL801" s="164">
        <f t="shared" si="1576"/>
        <v>0</v>
      </c>
      <c r="AM801" s="164">
        <f t="shared" si="1576"/>
        <v>0</v>
      </c>
      <c r="AN801" s="164">
        <f t="shared" si="1576"/>
        <v>0</v>
      </c>
      <c r="AO801" s="164">
        <f t="shared" si="1576"/>
        <v>0</v>
      </c>
      <c r="AP801" s="164">
        <f t="shared" si="1576"/>
        <v>0</v>
      </c>
    </row>
    <row r="802" spans="1:42">
      <c r="B802" s="208"/>
      <c r="C802" s="164"/>
      <c r="D802" s="164"/>
      <c r="E802" s="164"/>
      <c r="F802" s="164"/>
      <c r="G802" s="164"/>
      <c r="H802" s="164"/>
      <c r="I802" s="164"/>
      <c r="J802" s="164"/>
      <c r="K802" s="164"/>
      <c r="L802" s="164"/>
      <c r="M802" s="164"/>
      <c r="N802" s="164"/>
      <c r="O802" s="164"/>
      <c r="P802" s="164"/>
      <c r="Q802" s="164"/>
      <c r="R802" s="164"/>
      <c r="S802" s="164"/>
      <c r="T802" s="164"/>
      <c r="U802" s="164"/>
      <c r="V802" s="164"/>
      <c r="W802" s="164"/>
      <c r="X802" s="164"/>
      <c r="Y802" s="164"/>
      <c r="Z802" s="164"/>
      <c r="AA802" s="164"/>
      <c r="AB802" s="164"/>
      <c r="AC802" s="164"/>
      <c r="AD802" s="164"/>
      <c r="AE802" s="164"/>
      <c r="AF802" s="164"/>
      <c r="AG802" s="164"/>
      <c r="AH802" s="164"/>
      <c r="AI802" s="164"/>
      <c r="AJ802" s="164"/>
      <c r="AK802" s="164"/>
      <c r="AL802" s="164"/>
      <c r="AM802" s="164"/>
      <c r="AN802" s="164"/>
      <c r="AO802" s="164"/>
      <c r="AP802" s="164"/>
    </row>
    <row r="803" spans="1:42">
      <c r="A803" s="37" t="s">
        <v>210</v>
      </c>
      <c r="B803" s="208"/>
      <c r="C803" s="164"/>
      <c r="D803" s="164"/>
      <c r="E803" s="164"/>
      <c r="F803" s="164"/>
      <c r="G803" s="164"/>
      <c r="H803" s="164"/>
      <c r="I803" s="164"/>
      <c r="J803" s="164"/>
      <c r="K803" s="164"/>
      <c r="L803" s="164"/>
      <c r="M803" s="164"/>
      <c r="N803" s="164"/>
      <c r="O803" s="164"/>
      <c r="P803" s="164"/>
      <c r="Q803" s="164"/>
      <c r="R803" s="164"/>
      <c r="S803" s="164"/>
      <c r="T803" s="164"/>
      <c r="U803" s="164"/>
      <c r="V803" s="164"/>
      <c r="W803" s="164"/>
      <c r="X803" s="164"/>
      <c r="Y803" s="164"/>
      <c r="Z803" s="164"/>
      <c r="AA803" s="164"/>
      <c r="AB803" s="164"/>
      <c r="AC803" s="164"/>
      <c r="AD803" s="164"/>
      <c r="AE803" s="164"/>
      <c r="AF803" s="164"/>
      <c r="AG803" s="164"/>
      <c r="AH803" s="164"/>
      <c r="AI803" s="164"/>
      <c r="AJ803" s="164"/>
      <c r="AK803" s="164"/>
      <c r="AL803" s="164"/>
      <c r="AM803" s="164"/>
      <c r="AN803" s="164"/>
      <c r="AO803" s="164"/>
      <c r="AP803" s="164"/>
    </row>
    <row r="804" spans="1:42">
      <c r="A804" s="206" t="s">
        <v>211</v>
      </c>
      <c r="B804" s="164">
        <f>B699+B705+B711+B743+B775</f>
        <v>1630197.6101830264</v>
      </c>
      <c r="C804" s="164">
        <f t="shared" ref="C804:AP804" si="1577">C699+C705+C711+C743+C775</f>
        <v>2351714.7881967383</v>
      </c>
      <c r="D804" s="164">
        <f t="shared" si="1577"/>
        <v>3073612.9439505083</v>
      </c>
      <c r="E804" s="164">
        <f t="shared" si="1577"/>
        <v>3692352.0812111734</v>
      </c>
      <c r="F804" s="164">
        <f t="shared" si="1577"/>
        <v>4416597.0440562759</v>
      </c>
      <c r="G804" s="164">
        <f t="shared" si="1577"/>
        <v>5141239.3504980672</v>
      </c>
      <c r="H804" s="164">
        <f t="shared" si="1577"/>
        <v>5758009.4426856432</v>
      </c>
      <c r="I804" s="164">
        <f t="shared" si="1577"/>
        <v>6485103.6123448117</v>
      </c>
      <c r="J804" s="164">
        <f t="shared" si="1577"/>
        <v>7212612.1689652512</v>
      </c>
      <c r="K804" s="164">
        <f t="shared" si="1577"/>
        <v>7827319.9528354192</v>
      </c>
      <c r="L804" s="164">
        <f t="shared" si="1577"/>
        <v>6749177.6864776388</v>
      </c>
      <c r="M804" s="164">
        <f t="shared" si="1577"/>
        <v>7444433.9232474184</v>
      </c>
      <c r="N804" s="164">
        <f t="shared" si="1577"/>
        <v>5077022.9227758311</v>
      </c>
      <c r="O804" s="164">
        <f t="shared" si="1577"/>
        <v>5822078.5979073383</v>
      </c>
      <c r="P804" s="164">
        <f t="shared" si="1577"/>
        <v>6567134.2730388464</v>
      </c>
      <c r="Q804" s="164">
        <f t="shared" si="1577"/>
        <v>1030235.7216311703</v>
      </c>
      <c r="R804" s="164">
        <f t="shared" si="1577"/>
        <v>1879908.4774701491</v>
      </c>
      <c r="S804" s="164">
        <f t="shared" si="1577"/>
        <v>2729581.2333091279</v>
      </c>
      <c r="T804" s="164">
        <f t="shared" si="1577"/>
        <v>3450451.9560612072</v>
      </c>
      <c r="U804" s="164">
        <f t="shared" si="1577"/>
        <v>4302085.8677562214</v>
      </c>
      <c r="V804" s="164">
        <f t="shared" si="1577"/>
        <v>5153719.7794512352</v>
      </c>
      <c r="W804" s="164">
        <f t="shared" si="1577"/>
        <v>5870668.1904912442</v>
      </c>
      <c r="X804" s="164">
        <f t="shared" si="1577"/>
        <v>6724352.8404549183</v>
      </c>
      <c r="Y804" s="164">
        <f t="shared" si="1577"/>
        <v>7578037.4904185934</v>
      </c>
      <c r="Z804" s="164">
        <f t="shared" si="1577"/>
        <v>4769941.5383965997</v>
      </c>
      <c r="AA804" s="164">
        <f t="shared" si="1577"/>
        <v>5332358.6938102078</v>
      </c>
      <c r="AB804" s="164">
        <f t="shared" si="1577"/>
        <v>5894775.8492238158</v>
      </c>
      <c r="AC804" s="164">
        <f t="shared" si="1577"/>
        <v>6309922.051195466</v>
      </c>
      <c r="AD804" s="164">
        <f t="shared" si="1577"/>
        <v>6874581.5725550503</v>
      </c>
      <c r="AE804" s="164">
        <f t="shared" si="1577"/>
        <v>7439241.0939146345</v>
      </c>
      <c r="AF804" s="164">
        <f t="shared" si="1577"/>
        <v>0</v>
      </c>
      <c r="AG804" s="164">
        <f t="shared" si="1577"/>
        <v>0</v>
      </c>
      <c r="AH804" s="164">
        <f t="shared" si="1577"/>
        <v>0</v>
      </c>
      <c r="AI804" s="164">
        <f t="shared" si="1577"/>
        <v>0</v>
      </c>
      <c r="AJ804" s="164">
        <f t="shared" si="1577"/>
        <v>0</v>
      </c>
      <c r="AK804" s="164">
        <f t="shared" si="1577"/>
        <v>0</v>
      </c>
      <c r="AL804" s="164">
        <f t="shared" si="1577"/>
        <v>0</v>
      </c>
      <c r="AM804" s="164">
        <f t="shared" si="1577"/>
        <v>0</v>
      </c>
      <c r="AN804" s="164">
        <f t="shared" si="1577"/>
        <v>0</v>
      </c>
      <c r="AO804" s="164">
        <f t="shared" si="1577"/>
        <v>0</v>
      </c>
      <c r="AP804" s="164">
        <f t="shared" si="1577"/>
        <v>0</v>
      </c>
    </row>
    <row r="805" spans="1:42">
      <c r="A805" s="206" t="s">
        <v>210</v>
      </c>
      <c r="B805" s="208"/>
      <c r="C805" s="164">
        <f t="shared" ref="C805:AP805" si="1578">IF(C$2&lt;=AnalysisPeriod,B804*InterestOnReserves,0)</f>
        <v>28528.458178202964</v>
      </c>
      <c r="D805" s="164">
        <f t="shared" si="1578"/>
        <v>41155.008793442925</v>
      </c>
      <c r="E805" s="164">
        <f t="shared" si="1578"/>
        <v>53788.226519133903</v>
      </c>
      <c r="F805" s="164">
        <f t="shared" si="1578"/>
        <v>64616.161421195538</v>
      </c>
      <c r="G805" s="164">
        <f t="shared" si="1578"/>
        <v>77290.448270984838</v>
      </c>
      <c r="H805" s="164">
        <f t="shared" si="1578"/>
        <v>89971.688633716185</v>
      </c>
      <c r="I805" s="164">
        <f t="shared" si="1578"/>
        <v>100765.16524699876</v>
      </c>
      <c r="J805" s="164">
        <f t="shared" si="1578"/>
        <v>113489.31321603422</v>
      </c>
      <c r="K805" s="164">
        <f t="shared" si="1578"/>
        <v>126220.7129568919</v>
      </c>
      <c r="L805" s="164">
        <f t="shared" si="1578"/>
        <v>136978.09917461986</v>
      </c>
      <c r="M805" s="164">
        <f t="shared" si="1578"/>
        <v>118110.60951335869</v>
      </c>
      <c r="N805" s="164">
        <f t="shared" si="1578"/>
        <v>130277.59365682983</v>
      </c>
      <c r="O805" s="164">
        <f t="shared" si="1578"/>
        <v>88847.901148577046</v>
      </c>
      <c r="P805" s="164">
        <f t="shared" si="1578"/>
        <v>101886.37546337843</v>
      </c>
      <c r="Q805" s="164">
        <f t="shared" si="1578"/>
        <v>114924.84977817982</v>
      </c>
      <c r="R805" s="164">
        <f t="shared" si="1578"/>
        <v>18029.125128545482</v>
      </c>
      <c r="S805" s="164">
        <f t="shared" si="1578"/>
        <v>32898.398355727615</v>
      </c>
      <c r="T805" s="164">
        <f t="shared" si="1578"/>
        <v>47767.671582909745</v>
      </c>
      <c r="U805" s="164">
        <f t="shared" si="1578"/>
        <v>60382.909231071135</v>
      </c>
      <c r="V805" s="164">
        <f t="shared" si="1578"/>
        <v>75286.502685733882</v>
      </c>
      <c r="W805" s="164">
        <f t="shared" si="1578"/>
        <v>90190.096140396621</v>
      </c>
      <c r="X805" s="164">
        <f t="shared" si="1578"/>
        <v>102736.69333359678</v>
      </c>
      <c r="Y805" s="164">
        <f t="shared" si="1578"/>
        <v>117676.17470796108</v>
      </c>
      <c r="Z805" s="164">
        <f t="shared" si="1578"/>
        <v>132615.65608232541</v>
      </c>
      <c r="AA805" s="164">
        <f t="shared" si="1578"/>
        <v>83473.976921940499</v>
      </c>
      <c r="AB805" s="164">
        <f t="shared" si="1578"/>
        <v>93316.277141678642</v>
      </c>
      <c r="AC805" s="164">
        <f t="shared" si="1578"/>
        <v>103158.57736141678</v>
      </c>
      <c r="AD805" s="164">
        <f t="shared" si="1578"/>
        <v>110423.63589592067</v>
      </c>
      <c r="AE805" s="164">
        <f t="shared" si="1578"/>
        <v>120305.1775197134</v>
      </c>
      <c r="AF805" s="164">
        <f t="shared" si="1578"/>
        <v>130186.71914350611</v>
      </c>
      <c r="AG805" s="164">
        <f t="shared" si="1578"/>
        <v>0</v>
      </c>
      <c r="AH805" s="164">
        <f t="shared" si="1578"/>
        <v>0</v>
      </c>
      <c r="AI805" s="164">
        <f t="shared" si="1578"/>
        <v>0</v>
      </c>
      <c r="AJ805" s="164">
        <f t="shared" si="1578"/>
        <v>0</v>
      </c>
      <c r="AK805" s="164">
        <f t="shared" si="1578"/>
        <v>0</v>
      </c>
      <c r="AL805" s="164">
        <f t="shared" si="1578"/>
        <v>0</v>
      </c>
      <c r="AM805" s="164">
        <f t="shared" si="1578"/>
        <v>0</v>
      </c>
      <c r="AN805" s="164">
        <f t="shared" si="1578"/>
        <v>0</v>
      </c>
      <c r="AO805" s="164">
        <f t="shared" si="1578"/>
        <v>0</v>
      </c>
      <c r="AP805" s="164">
        <f t="shared" si="1578"/>
        <v>0</v>
      </c>
    </row>
  </sheetData>
  <conditionalFormatting sqref="B578 B613">
    <cfRule type="containsText" dxfId="2" priority="2" operator="containsText" text="Check">
      <formula>NOT(ISERROR(SEARCH("Check",B578)))</formula>
    </cfRule>
  </conditionalFormatting>
  <pageMargins left="0.5" right="0.5" top="0.5" bottom="0.75" header="0.3" footer="0.3"/>
  <pageSetup scale="75" pageOrder="overThenDown" orientation="landscape" horizontalDpi="0" verticalDpi="0" r:id="rId1"/>
  <headerFooter>
    <oddFooter>&amp;L&amp;F&amp;RPage &amp;P of &amp;N</oddFooter>
  </headerFooter>
  <legacyDrawing r:id="rId2"/>
</worksheet>
</file>

<file path=xl/worksheets/sheet5.xml><?xml version="1.0" encoding="utf-8"?>
<worksheet xmlns="http://schemas.openxmlformats.org/spreadsheetml/2006/main" xmlns:r="http://schemas.openxmlformats.org/officeDocument/2006/relationships">
  <sheetPr codeName="Sheet9"/>
  <dimension ref="A1:AZ819"/>
  <sheetViews>
    <sheetView zoomScaleNormal="100" workbookViewId="0">
      <pane xSplit="1" ySplit="2" topLeftCell="B67" activePane="bottomRight" state="frozen"/>
      <selection activeCell="G85" sqref="G85"/>
      <selection pane="topRight" activeCell="G85" sqref="G85"/>
      <selection pane="bottomLeft" activeCell="G85" sqref="G85"/>
      <selection pane="bottomRight" activeCell="A291" sqref="A291"/>
    </sheetView>
  </sheetViews>
  <sheetFormatPr defaultRowHeight="12.75"/>
  <cols>
    <col min="1" max="1" width="44.5703125" style="37" customWidth="1"/>
    <col min="2" max="2" width="14.85546875" style="37" customWidth="1"/>
    <col min="3" max="3" width="12.5703125" style="37" customWidth="1"/>
    <col min="4" max="9" width="11.5703125" style="37" customWidth="1"/>
    <col min="10" max="10" width="12.7109375" style="37" customWidth="1"/>
    <col min="11" max="31" width="11.5703125" style="37" customWidth="1"/>
    <col min="32" max="32" width="11.42578125" style="37" customWidth="1"/>
    <col min="33" max="42" width="11.5703125" style="37" customWidth="1"/>
    <col min="43" max="16384" width="9.140625" style="37"/>
  </cols>
  <sheetData>
    <row r="1" spans="1:42" ht="21">
      <c r="A1" s="198" t="s">
        <v>27</v>
      </c>
    </row>
    <row r="2" spans="1:42">
      <c r="A2" s="37" t="s">
        <v>31</v>
      </c>
      <c r="B2" s="199">
        <v>0</v>
      </c>
      <c r="C2" s="199">
        <f>B2+1</f>
        <v>1</v>
      </c>
      <c r="D2" s="199">
        <f t="shared" ref="D2:AP2" si="0">C2+1</f>
        <v>2</v>
      </c>
      <c r="E2" s="199">
        <f t="shared" si="0"/>
        <v>3</v>
      </c>
      <c r="F2" s="199">
        <f t="shared" si="0"/>
        <v>4</v>
      </c>
      <c r="G2" s="199">
        <f t="shared" si="0"/>
        <v>5</v>
      </c>
      <c r="H2" s="199">
        <f t="shared" si="0"/>
        <v>6</v>
      </c>
      <c r="I2" s="199">
        <f t="shared" si="0"/>
        <v>7</v>
      </c>
      <c r="J2" s="199">
        <f t="shared" si="0"/>
        <v>8</v>
      </c>
      <c r="K2" s="199">
        <f t="shared" si="0"/>
        <v>9</v>
      </c>
      <c r="L2" s="199">
        <f t="shared" si="0"/>
        <v>10</v>
      </c>
      <c r="M2" s="199">
        <f t="shared" si="0"/>
        <v>11</v>
      </c>
      <c r="N2" s="199">
        <f t="shared" si="0"/>
        <v>12</v>
      </c>
      <c r="O2" s="199">
        <f t="shared" si="0"/>
        <v>13</v>
      </c>
      <c r="P2" s="199">
        <f t="shared" si="0"/>
        <v>14</v>
      </c>
      <c r="Q2" s="199">
        <f t="shared" si="0"/>
        <v>15</v>
      </c>
      <c r="R2" s="199">
        <f t="shared" si="0"/>
        <v>16</v>
      </c>
      <c r="S2" s="199">
        <f t="shared" si="0"/>
        <v>17</v>
      </c>
      <c r="T2" s="199">
        <f t="shared" si="0"/>
        <v>18</v>
      </c>
      <c r="U2" s="199">
        <f t="shared" si="0"/>
        <v>19</v>
      </c>
      <c r="V2" s="199">
        <f t="shared" si="0"/>
        <v>20</v>
      </c>
      <c r="W2" s="199">
        <f t="shared" si="0"/>
        <v>21</v>
      </c>
      <c r="X2" s="199">
        <f t="shared" si="0"/>
        <v>22</v>
      </c>
      <c r="Y2" s="199">
        <f t="shared" si="0"/>
        <v>23</v>
      </c>
      <c r="Z2" s="199">
        <f t="shared" si="0"/>
        <v>24</v>
      </c>
      <c r="AA2" s="199">
        <f t="shared" si="0"/>
        <v>25</v>
      </c>
      <c r="AB2" s="199">
        <f t="shared" si="0"/>
        <v>26</v>
      </c>
      <c r="AC2" s="199">
        <f t="shared" si="0"/>
        <v>27</v>
      </c>
      <c r="AD2" s="199">
        <f t="shared" si="0"/>
        <v>28</v>
      </c>
      <c r="AE2" s="199">
        <f t="shared" si="0"/>
        <v>29</v>
      </c>
      <c r="AF2" s="199">
        <f>AE2+1</f>
        <v>30</v>
      </c>
      <c r="AG2" s="199">
        <f t="shared" si="0"/>
        <v>31</v>
      </c>
      <c r="AH2" s="199">
        <f t="shared" si="0"/>
        <v>32</v>
      </c>
      <c r="AI2" s="199">
        <f t="shared" si="0"/>
        <v>33</v>
      </c>
      <c r="AJ2" s="199">
        <f t="shared" si="0"/>
        <v>34</v>
      </c>
      <c r="AK2" s="199">
        <f t="shared" si="0"/>
        <v>35</v>
      </c>
      <c r="AL2" s="199">
        <f t="shared" si="0"/>
        <v>36</v>
      </c>
      <c r="AM2" s="199">
        <f>AL2+1</f>
        <v>37</v>
      </c>
      <c r="AN2" s="199">
        <f t="shared" si="0"/>
        <v>38</v>
      </c>
      <c r="AO2" s="199">
        <f t="shared" si="0"/>
        <v>39</v>
      </c>
      <c r="AP2" s="199">
        <f t="shared" si="0"/>
        <v>40</v>
      </c>
    </row>
    <row r="3" spans="1:42">
      <c r="B3" s="200"/>
      <c r="C3" s="200"/>
      <c r="D3" s="200"/>
      <c r="E3" s="200"/>
      <c r="F3" s="200"/>
      <c r="G3" s="200"/>
      <c r="H3" s="200"/>
      <c r="I3" s="200"/>
      <c r="J3" s="200"/>
      <c r="K3" s="200"/>
      <c r="L3" s="200"/>
      <c r="M3" s="200"/>
      <c r="N3" s="200"/>
      <c r="O3" s="200"/>
      <c r="P3" s="200"/>
      <c r="Q3" s="200"/>
      <c r="R3" s="200"/>
      <c r="S3" s="200"/>
      <c r="T3" s="200"/>
      <c r="U3" s="200"/>
      <c r="V3" s="200"/>
      <c r="W3" s="200"/>
      <c r="X3" s="200"/>
      <c r="Y3" s="200"/>
      <c r="Z3" s="200"/>
      <c r="AA3" s="200"/>
      <c r="AB3" s="200"/>
      <c r="AC3" s="200"/>
      <c r="AD3" s="200"/>
      <c r="AE3" s="200"/>
      <c r="AF3" s="200"/>
      <c r="AG3" s="200"/>
      <c r="AH3" s="200"/>
      <c r="AI3" s="200"/>
      <c r="AJ3" s="200"/>
      <c r="AK3" s="200"/>
      <c r="AL3" s="200"/>
      <c r="AM3" s="200"/>
      <c r="AN3" s="200"/>
      <c r="AO3" s="200"/>
      <c r="AP3" s="200"/>
    </row>
    <row r="4" spans="1:42">
      <c r="A4" s="201" t="s">
        <v>46</v>
      </c>
      <c r="C4" s="119"/>
      <c r="D4" s="119"/>
      <c r="E4" s="119"/>
      <c r="F4" s="119"/>
      <c r="G4" s="119"/>
      <c r="H4" s="119"/>
    </row>
    <row r="5" spans="1:42">
      <c r="A5" s="202" t="s">
        <v>47</v>
      </c>
      <c r="C5" s="164">
        <f>IF(C2&lt;=AnalysisPeriod,LOOKUP(C2,'Inputs &amp; Results'!$L$4:$L$43,'Inputs &amp; Results'!$M$4:$M$43),0)</f>
        <v>17000000</v>
      </c>
      <c r="D5" s="164">
        <f>IF(D2&lt;=AnalysisPeriod,LOOKUP(D2,'Inputs &amp; Results'!$L$4:$L$43,'Inputs &amp; Results'!$M$4:$M$43),0)</f>
        <v>16915000</v>
      </c>
      <c r="E5" s="164">
        <f>IF(E2&lt;=AnalysisPeriod,LOOKUP(E2,'Inputs &amp; Results'!$L$4:$L$43,'Inputs &amp; Results'!$M$4:$M$43),0)</f>
        <v>16830425</v>
      </c>
      <c r="F5" s="164">
        <f>IF(F2&lt;=AnalysisPeriod,LOOKUP(F2,'Inputs &amp; Results'!$L$4:$L$43,'Inputs &amp; Results'!$M$4:$M$43),0)</f>
        <v>16746272.875</v>
      </c>
      <c r="G5" s="164">
        <f>IF(G2&lt;=AnalysisPeriod,LOOKUP(G2,'Inputs &amp; Results'!$L$4:$L$43,'Inputs &amp; Results'!$M$4:$M$43),0)</f>
        <v>16662541.510624999</v>
      </c>
      <c r="H5" s="164">
        <f>IF(H2&lt;=AnalysisPeriod,LOOKUP(H2,'Inputs &amp; Results'!$L$4:$L$43,'Inputs &amp; Results'!$M$4:$M$43),0)</f>
        <v>16579228.803071873</v>
      </c>
      <c r="I5" s="164">
        <f>IF(I2&lt;=AnalysisPeriod,LOOKUP(I2,'Inputs &amp; Results'!$L$4:$L$43,'Inputs &amp; Results'!$M$4:$M$43),0)</f>
        <v>16496332.659056515</v>
      </c>
      <c r="J5" s="164">
        <f>IF(J2&lt;=AnalysisPeriod,LOOKUP(J2,'Inputs &amp; Results'!$L$4:$L$43,'Inputs &amp; Results'!$M$4:$M$43),0)</f>
        <v>16413850.995761232</v>
      </c>
      <c r="K5" s="164">
        <f>IF(K2&lt;=AnalysisPeriod,LOOKUP(K2,'Inputs &amp; Results'!$L$4:$L$43,'Inputs &amp; Results'!$M$4:$M$43),0)</f>
        <v>16331781.740782427</v>
      </c>
      <c r="L5" s="164">
        <f>IF(L2&lt;=AnalysisPeriod,LOOKUP(L2,'Inputs &amp; Results'!$L$4:$L$43,'Inputs &amp; Results'!$M$4:$M$43),0)</f>
        <v>16250122.832078515</v>
      </c>
      <c r="M5" s="164">
        <f>IF(M2&lt;=AnalysisPeriod,LOOKUP(M2,'Inputs &amp; Results'!$L$4:$L$43,'Inputs &amp; Results'!$M$4:$M$43),0)</f>
        <v>16168872.217918122</v>
      </c>
      <c r="N5" s="164">
        <f>IF(N2&lt;=AnalysisPeriod,LOOKUP(N2,'Inputs &amp; Results'!$L$4:$L$43,'Inputs &amp; Results'!$M$4:$M$43),0)</f>
        <v>16088027.856828531</v>
      </c>
      <c r="O5" s="164">
        <f>IF(O2&lt;=AnalysisPeriod,LOOKUP(O2,'Inputs &amp; Results'!$L$4:$L$43,'Inputs &amp; Results'!$M$4:$M$43),0)</f>
        <v>16007587.717544388</v>
      </c>
      <c r="P5" s="164">
        <f>IF(P2&lt;=AnalysisPeriod,LOOKUP(P2,'Inputs &amp; Results'!$L$4:$L$43,'Inputs &amp; Results'!$M$4:$M$43),0)</f>
        <v>15927549.778956667</v>
      </c>
      <c r="Q5" s="164">
        <f>IF(Q2&lt;=AnalysisPeriod,LOOKUP(Q2,'Inputs &amp; Results'!$L$4:$L$43,'Inputs &amp; Results'!$M$4:$M$43),0)</f>
        <v>15847912.030061884</v>
      </c>
      <c r="R5" s="164">
        <f>IF(R2&lt;=AnalysisPeriod,LOOKUP(R2,'Inputs &amp; Results'!$L$4:$L$43,'Inputs &amp; Results'!$M$4:$M$43),0)</f>
        <v>15768672.469911573</v>
      </c>
      <c r="S5" s="164">
        <f>IF(S2&lt;=AnalysisPeriod,LOOKUP(S2,'Inputs &amp; Results'!$L$4:$L$43,'Inputs &amp; Results'!$M$4:$M$43),0)</f>
        <v>15689829.107562015</v>
      </c>
      <c r="T5" s="164">
        <f>IF(T2&lt;=AnalysisPeriod,LOOKUP(T2,'Inputs &amp; Results'!$L$4:$L$43,'Inputs &amp; Results'!$M$4:$M$43),0)</f>
        <v>15611379.962024204</v>
      </c>
      <c r="U5" s="164">
        <f>IF(U2&lt;=AnalysisPeriod,LOOKUP(U2,'Inputs &amp; Results'!$L$4:$L$43,'Inputs &amp; Results'!$M$4:$M$43),0)</f>
        <v>15533323.062214084</v>
      </c>
      <c r="V5" s="164">
        <f>IF(V2&lt;=AnalysisPeriod,LOOKUP(V2,'Inputs &amp; Results'!$L$4:$L$43,'Inputs &amp; Results'!$M$4:$M$43),0)</f>
        <v>15455656.446903013</v>
      </c>
      <c r="W5" s="164">
        <f>IF(W2&lt;=AnalysisPeriod,LOOKUP(W2,'Inputs &amp; Results'!$L$4:$L$43,'Inputs &amp; Results'!$M$4:$M$43),0)</f>
        <v>15378378.164668497</v>
      </c>
      <c r="X5" s="164">
        <f>IF(X2&lt;=AnalysisPeriod,LOOKUP(X2,'Inputs &amp; Results'!$L$4:$L$43,'Inputs &amp; Results'!$M$4:$M$43),0)</f>
        <v>15301486.273845155</v>
      </c>
      <c r="Y5" s="164">
        <f>IF(Y2&lt;=AnalysisPeriod,LOOKUP(Y2,'Inputs &amp; Results'!$L$4:$L$43,'Inputs &amp; Results'!$M$4:$M$43),0)</f>
        <v>15224978.842475928</v>
      </c>
      <c r="Z5" s="164">
        <f>IF(Z2&lt;=AnalysisPeriod,LOOKUP(Z2,'Inputs &amp; Results'!$L$4:$L$43,'Inputs &amp; Results'!$M$4:$M$43),0)</f>
        <v>15148853.948263548</v>
      </c>
      <c r="AA5" s="164">
        <f>IF(AA2&lt;=AnalysisPeriod,LOOKUP(AA2,'Inputs &amp; Results'!$L$4:$L$43,'Inputs &amp; Results'!$M$4:$M$43),0)</f>
        <v>15073109.678522231</v>
      </c>
      <c r="AB5" s="164">
        <f>IF(AB2&lt;=AnalysisPeriod,LOOKUP(AB2,'Inputs &amp; Results'!$L$4:$L$43,'Inputs &amp; Results'!$M$4:$M$43),0)</f>
        <v>14997744.13012962</v>
      </c>
      <c r="AC5" s="164">
        <f>IF(AC2&lt;=AnalysisPeriod,LOOKUP(AC2,'Inputs &amp; Results'!$L$4:$L$43,'Inputs &amp; Results'!$M$4:$M$43),0)</f>
        <v>14922755.409478972</v>
      </c>
      <c r="AD5" s="164">
        <f>IF(AD2&lt;=AnalysisPeriod,LOOKUP(AD2,'Inputs &amp; Results'!$L$4:$L$43,'Inputs &amp; Results'!$M$4:$M$43),0)</f>
        <v>14848141.632431576</v>
      </c>
      <c r="AE5" s="164">
        <f>IF(AE2&lt;=AnalysisPeriod,LOOKUP(AE2,'Inputs &amp; Results'!$L$4:$L$43,'Inputs &amp; Results'!$M$4:$M$43),0)</f>
        <v>14773900.924269417</v>
      </c>
      <c r="AF5" s="164">
        <f>IF(AF2&lt;=AnalysisPeriod,LOOKUP(AF2,'Inputs &amp; Results'!$L$4:$L$43,'Inputs &amp; Results'!$M$4:$M$43),0)</f>
        <v>14700031.41964807</v>
      </c>
      <c r="AG5" s="164">
        <f>IF(AG2&lt;=AnalysisPeriod,LOOKUP(AG2,'Inputs &amp; Results'!$L$4:$L$43,'Inputs &amp; Results'!$M$4:$M$43),0)</f>
        <v>0</v>
      </c>
      <c r="AH5" s="164">
        <f>IF(AH2&lt;=AnalysisPeriod,LOOKUP(AH2,'Inputs &amp; Results'!$L$4:$L$43,'Inputs &amp; Results'!$M$4:$M$43),0)</f>
        <v>0</v>
      </c>
      <c r="AI5" s="164">
        <f>IF(AI2&lt;=AnalysisPeriod,LOOKUP(AI2,'Inputs &amp; Results'!$L$4:$L$43,'Inputs &amp; Results'!$M$4:$M$43),0)</f>
        <v>0</v>
      </c>
      <c r="AJ5" s="164">
        <f>IF(AJ2&lt;=AnalysisPeriod,LOOKUP(AJ2,'Inputs &amp; Results'!$L$4:$L$43,'Inputs &amp; Results'!$M$4:$M$43),0)</f>
        <v>0</v>
      </c>
      <c r="AK5" s="164">
        <f>IF(AK2&lt;=AnalysisPeriod,LOOKUP(AK2,'Inputs &amp; Results'!$L$4:$L$43,'Inputs &amp; Results'!$M$4:$M$43),0)</f>
        <v>0</v>
      </c>
      <c r="AL5" s="164">
        <f>IF(AL2&lt;=AnalysisPeriod,LOOKUP(AL2,'Inputs &amp; Results'!$L$4:$L$43,'Inputs &amp; Results'!$M$4:$M$43),0)</f>
        <v>0</v>
      </c>
      <c r="AM5" s="164">
        <f>IF(AM2&lt;=AnalysisPeriod,LOOKUP(AM2,'Inputs &amp; Results'!$L$4:$L$43,'Inputs &amp; Results'!$M$4:$M$43),0)</f>
        <v>0</v>
      </c>
      <c r="AN5" s="164">
        <f>IF(AN2&lt;=AnalysisPeriod,LOOKUP(AN2,'Inputs &amp; Results'!$L$4:$L$43,'Inputs &amp; Results'!$M$4:$M$43),0)</f>
        <v>0</v>
      </c>
      <c r="AO5" s="164">
        <f>IF(AO2&lt;=AnalysisPeriod,LOOKUP(AO2,'Inputs &amp; Results'!$L$4:$L$43,'Inputs &amp; Results'!$M$4:$M$43),0)</f>
        <v>0</v>
      </c>
      <c r="AP5" s="164">
        <f>IF(AP2&lt;=AnalysisPeriod,LOOKUP(AP2,'Inputs &amp; Results'!$L$4:$L$43,'Inputs &amp; Results'!$M$4:$M$43),0)</f>
        <v>0</v>
      </c>
    </row>
    <row r="6" spans="1:42">
      <c r="C6" s="164"/>
      <c r="D6" s="164"/>
      <c r="E6" s="164"/>
      <c r="F6" s="164"/>
      <c r="G6" s="164"/>
      <c r="H6" s="164"/>
      <c r="I6" s="164"/>
      <c r="J6" s="164"/>
      <c r="K6" s="164"/>
      <c r="L6" s="164"/>
      <c r="M6" s="164"/>
      <c r="N6" s="164"/>
      <c r="O6" s="164"/>
      <c r="P6" s="164"/>
      <c r="Q6" s="164"/>
      <c r="R6" s="164"/>
      <c r="S6" s="164"/>
      <c r="T6" s="164"/>
      <c r="U6" s="164"/>
      <c r="V6" s="164"/>
      <c r="W6" s="164"/>
      <c r="X6" s="164"/>
      <c r="Y6" s="164"/>
      <c r="Z6" s="164"/>
      <c r="AA6" s="164"/>
      <c r="AB6" s="164"/>
      <c r="AC6" s="164"/>
      <c r="AD6" s="164"/>
      <c r="AE6" s="164"/>
      <c r="AF6" s="164"/>
      <c r="AG6" s="164"/>
      <c r="AH6" s="164"/>
      <c r="AI6" s="164"/>
      <c r="AJ6" s="164"/>
      <c r="AK6" s="164"/>
      <c r="AL6" s="164"/>
      <c r="AM6" s="164"/>
      <c r="AN6" s="164"/>
      <c r="AO6" s="164"/>
      <c r="AP6" s="164"/>
    </row>
    <row r="7" spans="1:42">
      <c r="A7" s="201" t="s">
        <v>506</v>
      </c>
      <c r="C7" s="203"/>
      <c r="D7" s="203"/>
      <c r="E7" s="203"/>
      <c r="F7" s="203"/>
      <c r="G7" s="203"/>
      <c r="H7" s="203"/>
      <c r="I7" s="203"/>
      <c r="J7" s="164"/>
      <c r="K7" s="164"/>
      <c r="L7" s="164"/>
      <c r="M7" s="164"/>
      <c r="N7" s="164"/>
      <c r="O7" s="164"/>
      <c r="P7" s="164"/>
      <c r="Q7" s="164"/>
      <c r="R7" s="164"/>
      <c r="S7" s="164"/>
      <c r="T7" s="164"/>
      <c r="U7" s="164"/>
      <c r="V7" s="164"/>
      <c r="W7" s="164"/>
      <c r="X7" s="164"/>
      <c r="Y7" s="164"/>
      <c r="Z7" s="164"/>
      <c r="AA7" s="164"/>
      <c r="AB7" s="164"/>
      <c r="AC7" s="164"/>
      <c r="AD7" s="164"/>
      <c r="AE7" s="164"/>
      <c r="AF7" s="164"/>
      <c r="AG7" s="164"/>
      <c r="AH7" s="164"/>
      <c r="AI7" s="164"/>
      <c r="AJ7" s="164"/>
      <c r="AK7" s="164"/>
      <c r="AL7" s="164"/>
      <c r="AM7" s="164"/>
      <c r="AN7" s="164"/>
      <c r="AO7" s="164"/>
      <c r="AP7" s="164"/>
    </row>
    <row r="8" spans="1:42">
      <c r="A8" s="204" t="s">
        <v>76</v>
      </c>
      <c r="C8" s="164"/>
      <c r="D8" s="164"/>
      <c r="E8" s="164"/>
      <c r="F8" s="164"/>
      <c r="G8" s="164"/>
      <c r="H8" s="164"/>
      <c r="I8" s="164"/>
      <c r="J8" s="164"/>
      <c r="K8" s="164"/>
      <c r="L8" s="164"/>
      <c r="M8" s="164"/>
      <c r="N8" s="164"/>
      <c r="O8" s="164"/>
      <c r="P8" s="164"/>
      <c r="Q8" s="164"/>
      <c r="R8" s="164"/>
      <c r="S8" s="164"/>
      <c r="T8" s="164"/>
      <c r="U8" s="164"/>
      <c r="V8" s="164"/>
      <c r="W8" s="164"/>
      <c r="X8" s="164"/>
      <c r="Y8" s="164"/>
      <c r="Z8" s="164"/>
      <c r="AA8" s="164"/>
      <c r="AB8" s="164"/>
      <c r="AC8" s="164"/>
      <c r="AD8" s="164"/>
      <c r="AE8" s="164"/>
      <c r="AF8" s="164"/>
      <c r="AG8" s="164"/>
      <c r="AH8" s="164"/>
      <c r="AI8" s="164"/>
      <c r="AJ8" s="164"/>
      <c r="AK8" s="164"/>
      <c r="AL8" s="164"/>
      <c r="AM8" s="164"/>
      <c r="AN8" s="164"/>
      <c r="AO8" s="164"/>
      <c r="AP8" s="164"/>
    </row>
    <row r="9" spans="1:42">
      <c r="A9" s="37" t="s">
        <v>77</v>
      </c>
      <c r="C9" s="164"/>
      <c r="D9" s="205"/>
      <c r="E9" s="164"/>
      <c r="F9" s="164"/>
      <c r="G9" s="164"/>
      <c r="H9" s="164"/>
      <c r="I9" s="164"/>
      <c r="J9" s="164"/>
      <c r="K9" s="164"/>
      <c r="L9" s="164"/>
      <c r="M9" s="164"/>
      <c r="N9" s="164"/>
      <c r="O9" s="164"/>
      <c r="P9" s="164"/>
      <c r="Q9" s="164"/>
      <c r="R9" s="164"/>
      <c r="S9" s="164"/>
      <c r="T9" s="164"/>
      <c r="U9" s="164"/>
      <c r="V9" s="164"/>
      <c r="W9" s="164"/>
      <c r="X9" s="164"/>
      <c r="Y9" s="164"/>
      <c r="Z9" s="164"/>
      <c r="AA9" s="164"/>
      <c r="AB9" s="164"/>
      <c r="AC9" s="164"/>
      <c r="AD9" s="164"/>
      <c r="AE9" s="164"/>
      <c r="AF9" s="164"/>
      <c r="AG9" s="164"/>
      <c r="AH9" s="164"/>
      <c r="AI9" s="164"/>
      <c r="AJ9" s="164"/>
      <c r="AK9" s="164"/>
      <c r="AL9" s="164"/>
      <c r="AM9" s="164"/>
      <c r="AN9" s="164"/>
      <c r="AO9" s="164"/>
      <c r="AP9" s="164"/>
    </row>
    <row r="10" spans="1:42">
      <c r="A10" s="206" t="s">
        <v>47</v>
      </c>
      <c r="C10" s="164">
        <f>C5</f>
        <v>17000000</v>
      </c>
      <c r="D10" s="164">
        <f>D5</f>
        <v>16915000</v>
      </c>
      <c r="E10" s="164">
        <f>E5</f>
        <v>16830425</v>
      </c>
      <c r="F10" s="164">
        <f t="shared" ref="F10:AP10" si="1">F5</f>
        <v>16746272.875</v>
      </c>
      <c r="G10" s="164">
        <f t="shared" si="1"/>
        <v>16662541.510624999</v>
      </c>
      <c r="H10" s="164">
        <f t="shared" si="1"/>
        <v>16579228.803071873</v>
      </c>
      <c r="I10" s="164">
        <f t="shared" si="1"/>
        <v>16496332.659056515</v>
      </c>
      <c r="J10" s="164">
        <f t="shared" si="1"/>
        <v>16413850.995761232</v>
      </c>
      <c r="K10" s="164">
        <f t="shared" si="1"/>
        <v>16331781.740782427</v>
      </c>
      <c r="L10" s="164">
        <f t="shared" si="1"/>
        <v>16250122.832078515</v>
      </c>
      <c r="M10" s="164">
        <f t="shared" si="1"/>
        <v>16168872.217918122</v>
      </c>
      <c r="N10" s="164">
        <f t="shared" si="1"/>
        <v>16088027.856828531</v>
      </c>
      <c r="O10" s="164">
        <f t="shared" si="1"/>
        <v>16007587.717544388</v>
      </c>
      <c r="P10" s="164">
        <f t="shared" si="1"/>
        <v>15927549.778956667</v>
      </c>
      <c r="Q10" s="164">
        <f t="shared" si="1"/>
        <v>15847912.030061884</v>
      </c>
      <c r="R10" s="164">
        <f t="shared" si="1"/>
        <v>15768672.469911573</v>
      </c>
      <c r="S10" s="164">
        <f t="shared" si="1"/>
        <v>15689829.107562015</v>
      </c>
      <c r="T10" s="164">
        <f t="shared" si="1"/>
        <v>15611379.962024204</v>
      </c>
      <c r="U10" s="164">
        <f t="shared" si="1"/>
        <v>15533323.062214084</v>
      </c>
      <c r="V10" s="164">
        <f t="shared" si="1"/>
        <v>15455656.446903013</v>
      </c>
      <c r="W10" s="164">
        <f t="shared" si="1"/>
        <v>15378378.164668497</v>
      </c>
      <c r="X10" s="164">
        <f t="shared" si="1"/>
        <v>15301486.273845155</v>
      </c>
      <c r="Y10" s="164">
        <f t="shared" si="1"/>
        <v>15224978.842475928</v>
      </c>
      <c r="Z10" s="164">
        <f t="shared" si="1"/>
        <v>15148853.948263548</v>
      </c>
      <c r="AA10" s="164">
        <f t="shared" si="1"/>
        <v>15073109.678522231</v>
      </c>
      <c r="AB10" s="164">
        <f t="shared" si="1"/>
        <v>14997744.13012962</v>
      </c>
      <c r="AC10" s="164">
        <f t="shared" si="1"/>
        <v>14922755.409478972</v>
      </c>
      <c r="AD10" s="164">
        <f t="shared" si="1"/>
        <v>14848141.632431576</v>
      </c>
      <c r="AE10" s="164">
        <f t="shared" si="1"/>
        <v>14773900.924269417</v>
      </c>
      <c r="AF10" s="164">
        <f t="shared" si="1"/>
        <v>14700031.41964807</v>
      </c>
      <c r="AG10" s="164">
        <f t="shared" si="1"/>
        <v>0</v>
      </c>
      <c r="AH10" s="164">
        <f t="shared" si="1"/>
        <v>0</v>
      </c>
      <c r="AI10" s="164">
        <f t="shared" si="1"/>
        <v>0</v>
      </c>
      <c r="AJ10" s="164">
        <f t="shared" si="1"/>
        <v>0</v>
      </c>
      <c r="AK10" s="164">
        <f t="shared" si="1"/>
        <v>0</v>
      </c>
      <c r="AL10" s="164">
        <f t="shared" si="1"/>
        <v>0</v>
      </c>
      <c r="AM10" s="164">
        <f t="shared" si="1"/>
        <v>0</v>
      </c>
      <c r="AN10" s="164">
        <f t="shared" si="1"/>
        <v>0</v>
      </c>
      <c r="AO10" s="164">
        <f t="shared" si="1"/>
        <v>0</v>
      </c>
      <c r="AP10" s="164">
        <f t="shared" si="1"/>
        <v>0</v>
      </c>
    </row>
    <row r="11" spans="1:42">
      <c r="A11" s="206" t="s">
        <v>48</v>
      </c>
      <c r="C11" s="207">
        <f t="shared" ref="C11:AP11" si="2">SLPPAPrice*(1+SLPPAPriceEsc)^B2</f>
        <v>46.169736176044637</v>
      </c>
      <c r="D11" s="207">
        <f t="shared" si="2"/>
        <v>46.631433537805087</v>
      </c>
      <c r="E11" s="207">
        <f t="shared" si="2"/>
        <v>47.097747873183131</v>
      </c>
      <c r="F11" s="207">
        <f t="shared" si="2"/>
        <v>47.568725351914964</v>
      </c>
      <c r="G11" s="207">
        <f t="shared" si="2"/>
        <v>48.044412605434118</v>
      </c>
      <c r="H11" s="207">
        <f t="shared" si="2"/>
        <v>48.524856731488455</v>
      </c>
      <c r="I11" s="207">
        <f t="shared" si="2"/>
        <v>49.010105298803346</v>
      </c>
      <c r="J11" s="207">
        <f t="shared" si="2"/>
        <v>49.50020635179137</v>
      </c>
      <c r="K11" s="207">
        <f t="shared" si="2"/>
        <v>49.995208415309293</v>
      </c>
      <c r="L11" s="207">
        <f t="shared" si="2"/>
        <v>50.495160499462393</v>
      </c>
      <c r="M11" s="207">
        <f t="shared" si="2"/>
        <v>51.000112104457017</v>
      </c>
      <c r="N11" s="207">
        <f t="shared" si="2"/>
        <v>51.510113225501577</v>
      </c>
      <c r="O11" s="207">
        <f t="shared" si="2"/>
        <v>52.025214357756596</v>
      </c>
      <c r="P11" s="207">
        <f t="shared" si="2"/>
        <v>52.545466501334161</v>
      </c>
      <c r="Q11" s="207">
        <f t="shared" si="2"/>
        <v>53.07092116634751</v>
      </c>
      <c r="R11" s="207">
        <f t="shared" si="2"/>
        <v>53.601630378010967</v>
      </c>
      <c r="S11" s="207">
        <f t="shared" si="2"/>
        <v>54.137646681791097</v>
      </c>
      <c r="T11" s="207">
        <f t="shared" si="2"/>
        <v>54.679023148609012</v>
      </c>
      <c r="U11" s="207">
        <f t="shared" si="2"/>
        <v>55.225813380095104</v>
      </c>
      <c r="V11" s="207">
        <f t="shared" si="2"/>
        <v>55.778071513896037</v>
      </c>
      <c r="W11" s="207">
        <f t="shared" si="2"/>
        <v>56.335852229035005</v>
      </c>
      <c r="X11" s="207">
        <f t="shared" si="2"/>
        <v>56.899210751325349</v>
      </c>
      <c r="Y11" s="207">
        <f t="shared" si="2"/>
        <v>57.468202858838616</v>
      </c>
      <c r="Z11" s="207">
        <f t="shared" si="2"/>
        <v>58.042884887426993</v>
      </c>
      <c r="AA11" s="207">
        <f t="shared" si="2"/>
        <v>58.623313736301277</v>
      </c>
      <c r="AB11" s="207">
        <f t="shared" si="2"/>
        <v>59.209546873664294</v>
      </c>
      <c r="AC11" s="207">
        <f t="shared" si="2"/>
        <v>59.801642342400939</v>
      </c>
      <c r="AD11" s="207">
        <f t="shared" si="2"/>
        <v>60.399658765824924</v>
      </c>
      <c r="AE11" s="207">
        <f t="shared" si="2"/>
        <v>61.003655353483182</v>
      </c>
      <c r="AF11" s="207">
        <f t="shared" si="2"/>
        <v>61.613691907018016</v>
      </c>
      <c r="AG11" s="207">
        <f t="shared" si="2"/>
        <v>62.229828826088209</v>
      </c>
      <c r="AH11" s="207">
        <f t="shared" si="2"/>
        <v>62.852127114349067</v>
      </c>
      <c r="AI11" s="207">
        <f t="shared" si="2"/>
        <v>63.480648385492579</v>
      </c>
      <c r="AJ11" s="207">
        <f t="shared" si="2"/>
        <v>64.115454869347502</v>
      </c>
      <c r="AK11" s="207">
        <f t="shared" si="2"/>
        <v>64.756609418040981</v>
      </c>
      <c r="AL11" s="207">
        <f t="shared" si="2"/>
        <v>65.404175512221371</v>
      </c>
      <c r="AM11" s="207">
        <f t="shared" si="2"/>
        <v>66.058217267343593</v>
      </c>
      <c r="AN11" s="207">
        <f t="shared" si="2"/>
        <v>66.718799440017037</v>
      </c>
      <c r="AO11" s="207">
        <f t="shared" si="2"/>
        <v>67.385987434417217</v>
      </c>
      <c r="AP11" s="207">
        <f t="shared" si="2"/>
        <v>68.059847308761363</v>
      </c>
    </row>
    <row r="12" spans="1:42">
      <c r="A12" s="206" t="s">
        <v>75</v>
      </c>
      <c r="C12" s="164">
        <f t="shared" ref="C12:AP12" si="3">C10*C11/100</f>
        <v>7848855.1499275891</v>
      </c>
      <c r="D12" s="164">
        <f t="shared" si="3"/>
        <v>7887706.9829197302</v>
      </c>
      <c r="E12" s="164">
        <f t="shared" si="3"/>
        <v>7926751.132485182</v>
      </c>
      <c r="F12" s="164">
        <f t="shared" si="3"/>
        <v>7965988.5505909836</v>
      </c>
      <c r="G12" s="164">
        <f t="shared" si="3"/>
        <v>8005420.1939164102</v>
      </c>
      <c r="H12" s="164">
        <f t="shared" si="3"/>
        <v>8045047.0238762954</v>
      </c>
      <c r="I12" s="164">
        <f t="shared" si="3"/>
        <v>8084870.0066444837</v>
      </c>
      <c r="J12" s="164">
        <f t="shared" si="3"/>
        <v>8124890.1131773721</v>
      </c>
      <c r="K12" s="164">
        <f t="shared" si="3"/>
        <v>8165108.3192376019</v>
      </c>
      <c r="L12" s="164">
        <f t="shared" si="3"/>
        <v>8205525.6054178299</v>
      </c>
      <c r="M12" s="164">
        <f t="shared" si="3"/>
        <v>8246142.957164648</v>
      </c>
      <c r="N12" s="164">
        <f t="shared" si="3"/>
        <v>8286961.3648026111</v>
      </c>
      <c r="O12" s="164">
        <f t="shared" si="3"/>
        <v>8327981.8235583846</v>
      </c>
      <c r="P12" s="164">
        <f t="shared" si="3"/>
        <v>8369205.3335849987</v>
      </c>
      <c r="Q12" s="164">
        <f t="shared" si="3"/>
        <v>8410632.8999862447</v>
      </c>
      <c r="R12" s="164">
        <f t="shared" si="3"/>
        <v>8452265.5328411739</v>
      </c>
      <c r="S12" s="164">
        <f t="shared" si="3"/>
        <v>8494104.2472287398</v>
      </c>
      <c r="T12" s="164">
        <f t="shared" si="3"/>
        <v>8536150.0632525235</v>
      </c>
      <c r="U12" s="164">
        <f t="shared" si="3"/>
        <v>8578404.0060656238</v>
      </c>
      <c r="V12" s="164">
        <f t="shared" si="3"/>
        <v>8620867.1058956459</v>
      </c>
      <c r="W12" s="164">
        <f t="shared" si="3"/>
        <v>8663540.3980698306</v>
      </c>
      <c r="X12" s="164">
        <f t="shared" si="3"/>
        <v>8706424.9230402745</v>
      </c>
      <c r="Y12" s="164">
        <f t="shared" si="3"/>
        <v>8749521.7264093254</v>
      </c>
      <c r="Z12" s="164">
        <f t="shared" si="3"/>
        <v>8792831.8589550499</v>
      </c>
      <c r="AA12" s="164">
        <f t="shared" si="3"/>
        <v>8836356.3766568806</v>
      </c>
      <c r="AB12" s="164">
        <f t="shared" si="3"/>
        <v>8880096.3407213334</v>
      </c>
      <c r="AC12" s="164">
        <f t="shared" si="3"/>
        <v>8924052.8176079039</v>
      </c>
      <c r="AD12" s="164">
        <f t="shared" si="3"/>
        <v>8968226.8790550586</v>
      </c>
      <c r="AE12" s="164">
        <f t="shared" si="3"/>
        <v>9012619.6021063812</v>
      </c>
      <c r="AF12" s="164">
        <f t="shared" si="3"/>
        <v>9057232.0691368077</v>
      </c>
      <c r="AG12" s="164">
        <f t="shared" si="3"/>
        <v>0</v>
      </c>
      <c r="AH12" s="164">
        <f t="shared" si="3"/>
        <v>0</v>
      </c>
      <c r="AI12" s="164">
        <f t="shared" si="3"/>
        <v>0</v>
      </c>
      <c r="AJ12" s="164">
        <f t="shared" si="3"/>
        <v>0</v>
      </c>
      <c r="AK12" s="164">
        <f t="shared" si="3"/>
        <v>0</v>
      </c>
      <c r="AL12" s="164">
        <f t="shared" si="3"/>
        <v>0</v>
      </c>
      <c r="AM12" s="164">
        <f t="shared" si="3"/>
        <v>0</v>
      </c>
      <c r="AN12" s="164">
        <f t="shared" si="3"/>
        <v>0</v>
      </c>
      <c r="AO12" s="164">
        <f t="shared" si="3"/>
        <v>0</v>
      </c>
      <c r="AP12" s="164">
        <f t="shared" si="3"/>
        <v>0</v>
      </c>
    </row>
    <row r="13" spans="1:42" s="119" customFormat="1">
      <c r="A13" s="119" t="s">
        <v>423</v>
      </c>
      <c r="C13" s="220"/>
      <c r="D13" s="220"/>
      <c r="E13" s="220"/>
      <c r="F13" s="220"/>
      <c r="G13" s="220"/>
      <c r="H13" s="220"/>
      <c r="I13" s="220"/>
      <c r="J13" s="220"/>
      <c r="K13" s="220"/>
      <c r="L13" s="220"/>
      <c r="M13" s="220"/>
      <c r="N13" s="220"/>
      <c r="O13" s="220"/>
      <c r="P13" s="220"/>
      <c r="Q13" s="220"/>
      <c r="R13" s="220"/>
      <c r="S13" s="220"/>
      <c r="T13" s="220"/>
      <c r="U13" s="220"/>
      <c r="V13" s="220"/>
      <c r="W13" s="220"/>
      <c r="X13" s="220"/>
      <c r="Y13" s="220"/>
      <c r="Z13" s="220"/>
      <c r="AA13" s="220"/>
      <c r="AB13" s="220"/>
      <c r="AC13" s="220"/>
      <c r="AD13" s="220"/>
      <c r="AE13" s="220"/>
      <c r="AF13" s="220"/>
      <c r="AG13" s="220"/>
      <c r="AH13" s="220"/>
      <c r="AI13" s="220"/>
      <c r="AJ13" s="220"/>
      <c r="AK13" s="220"/>
      <c r="AL13" s="220"/>
      <c r="AM13" s="220"/>
      <c r="AN13" s="220"/>
      <c r="AO13" s="220"/>
      <c r="AP13" s="220"/>
    </row>
    <row r="14" spans="1:42" s="119" customFormat="1">
      <c r="A14" s="297" t="str">
        <f>'Inputs &amp; Results'!A60</f>
        <v>Federal</v>
      </c>
      <c r="C14" s="146">
        <f>C688</f>
        <v>0</v>
      </c>
      <c r="D14" s="146">
        <f t="shared" ref="D14:AP14" si="4">D688</f>
        <v>0</v>
      </c>
      <c r="E14" s="146">
        <f t="shared" si="4"/>
        <v>0</v>
      </c>
      <c r="F14" s="146">
        <f t="shared" si="4"/>
        <v>0</v>
      </c>
      <c r="G14" s="146">
        <f t="shared" si="4"/>
        <v>0</v>
      </c>
      <c r="H14" s="146">
        <f t="shared" si="4"/>
        <v>0</v>
      </c>
      <c r="I14" s="146">
        <f t="shared" si="4"/>
        <v>0</v>
      </c>
      <c r="J14" s="146">
        <f t="shared" si="4"/>
        <v>0</v>
      </c>
      <c r="K14" s="146">
        <f t="shared" si="4"/>
        <v>0</v>
      </c>
      <c r="L14" s="146">
        <f t="shared" si="4"/>
        <v>0</v>
      </c>
      <c r="M14" s="146">
        <f t="shared" si="4"/>
        <v>0</v>
      </c>
      <c r="N14" s="146">
        <f t="shared" si="4"/>
        <v>0</v>
      </c>
      <c r="O14" s="146">
        <f t="shared" si="4"/>
        <v>0</v>
      </c>
      <c r="P14" s="146">
        <f t="shared" si="4"/>
        <v>0</v>
      </c>
      <c r="Q14" s="146">
        <f t="shared" si="4"/>
        <v>0</v>
      </c>
      <c r="R14" s="146">
        <f t="shared" si="4"/>
        <v>0</v>
      </c>
      <c r="S14" s="146">
        <f t="shared" si="4"/>
        <v>0</v>
      </c>
      <c r="T14" s="146">
        <f t="shared" si="4"/>
        <v>0</v>
      </c>
      <c r="U14" s="146">
        <f t="shared" si="4"/>
        <v>0</v>
      </c>
      <c r="V14" s="146">
        <f t="shared" si="4"/>
        <v>0</v>
      </c>
      <c r="W14" s="146">
        <f t="shared" si="4"/>
        <v>0</v>
      </c>
      <c r="X14" s="146">
        <f t="shared" si="4"/>
        <v>0</v>
      </c>
      <c r="Y14" s="146">
        <f t="shared" si="4"/>
        <v>0</v>
      </c>
      <c r="Z14" s="146">
        <f t="shared" si="4"/>
        <v>0</v>
      </c>
      <c r="AA14" s="146">
        <f t="shared" si="4"/>
        <v>0</v>
      </c>
      <c r="AB14" s="146">
        <f t="shared" si="4"/>
        <v>0</v>
      </c>
      <c r="AC14" s="146">
        <f t="shared" si="4"/>
        <v>0</v>
      </c>
      <c r="AD14" s="146">
        <f t="shared" si="4"/>
        <v>0</v>
      </c>
      <c r="AE14" s="146">
        <f t="shared" si="4"/>
        <v>0</v>
      </c>
      <c r="AF14" s="146">
        <f t="shared" si="4"/>
        <v>0</v>
      </c>
      <c r="AG14" s="146">
        <f t="shared" si="4"/>
        <v>0</v>
      </c>
      <c r="AH14" s="146">
        <f t="shared" si="4"/>
        <v>0</v>
      </c>
      <c r="AI14" s="146">
        <f t="shared" si="4"/>
        <v>0</v>
      </c>
      <c r="AJ14" s="146">
        <f t="shared" si="4"/>
        <v>0</v>
      </c>
      <c r="AK14" s="146">
        <f t="shared" si="4"/>
        <v>0</v>
      </c>
      <c r="AL14" s="146">
        <f t="shared" si="4"/>
        <v>0</v>
      </c>
      <c r="AM14" s="146">
        <f t="shared" si="4"/>
        <v>0</v>
      </c>
      <c r="AN14" s="146">
        <f t="shared" si="4"/>
        <v>0</v>
      </c>
      <c r="AO14" s="146">
        <f t="shared" si="4"/>
        <v>0</v>
      </c>
      <c r="AP14" s="146">
        <f t="shared" si="4"/>
        <v>0</v>
      </c>
    </row>
    <row r="15" spans="1:42" s="119" customFormat="1">
      <c r="A15" s="297" t="str">
        <f>'Inputs &amp; Results'!A61</f>
        <v>State</v>
      </c>
      <c r="C15" s="146">
        <f>C692</f>
        <v>0</v>
      </c>
      <c r="D15" s="146">
        <f t="shared" ref="D15:AP15" si="5">D692</f>
        <v>0</v>
      </c>
      <c r="E15" s="146">
        <f t="shared" si="5"/>
        <v>0</v>
      </c>
      <c r="F15" s="146">
        <f t="shared" si="5"/>
        <v>0</v>
      </c>
      <c r="G15" s="146">
        <f t="shared" si="5"/>
        <v>0</v>
      </c>
      <c r="H15" s="146">
        <f t="shared" si="5"/>
        <v>0</v>
      </c>
      <c r="I15" s="146">
        <f t="shared" si="5"/>
        <v>0</v>
      </c>
      <c r="J15" s="146">
        <f t="shared" si="5"/>
        <v>0</v>
      </c>
      <c r="K15" s="146">
        <f t="shared" si="5"/>
        <v>0</v>
      </c>
      <c r="L15" s="146">
        <f t="shared" si="5"/>
        <v>0</v>
      </c>
      <c r="M15" s="146">
        <f t="shared" si="5"/>
        <v>0</v>
      </c>
      <c r="N15" s="146">
        <f t="shared" si="5"/>
        <v>0</v>
      </c>
      <c r="O15" s="146">
        <f t="shared" si="5"/>
        <v>0</v>
      </c>
      <c r="P15" s="146">
        <f t="shared" si="5"/>
        <v>0</v>
      </c>
      <c r="Q15" s="146">
        <f t="shared" si="5"/>
        <v>0</v>
      </c>
      <c r="R15" s="146">
        <f t="shared" si="5"/>
        <v>0</v>
      </c>
      <c r="S15" s="146">
        <f t="shared" si="5"/>
        <v>0</v>
      </c>
      <c r="T15" s="146">
        <f t="shared" si="5"/>
        <v>0</v>
      </c>
      <c r="U15" s="146">
        <f t="shared" si="5"/>
        <v>0</v>
      </c>
      <c r="V15" s="146">
        <f t="shared" si="5"/>
        <v>0</v>
      </c>
      <c r="W15" s="146">
        <f t="shared" si="5"/>
        <v>0</v>
      </c>
      <c r="X15" s="146">
        <f t="shared" si="5"/>
        <v>0</v>
      </c>
      <c r="Y15" s="146">
        <f t="shared" si="5"/>
        <v>0</v>
      </c>
      <c r="Z15" s="146">
        <f t="shared" si="5"/>
        <v>0</v>
      </c>
      <c r="AA15" s="146">
        <f t="shared" si="5"/>
        <v>0</v>
      </c>
      <c r="AB15" s="146">
        <f t="shared" si="5"/>
        <v>0</v>
      </c>
      <c r="AC15" s="146">
        <f t="shared" si="5"/>
        <v>0</v>
      </c>
      <c r="AD15" s="146">
        <f t="shared" si="5"/>
        <v>0</v>
      </c>
      <c r="AE15" s="146">
        <f t="shared" si="5"/>
        <v>0</v>
      </c>
      <c r="AF15" s="146">
        <f t="shared" si="5"/>
        <v>0</v>
      </c>
      <c r="AG15" s="146">
        <f t="shared" si="5"/>
        <v>0</v>
      </c>
      <c r="AH15" s="146">
        <f t="shared" si="5"/>
        <v>0</v>
      </c>
      <c r="AI15" s="146">
        <f t="shared" si="5"/>
        <v>0</v>
      </c>
      <c r="AJ15" s="146">
        <f t="shared" si="5"/>
        <v>0</v>
      </c>
      <c r="AK15" s="146">
        <f t="shared" si="5"/>
        <v>0</v>
      </c>
      <c r="AL15" s="146">
        <f t="shared" si="5"/>
        <v>0</v>
      </c>
      <c r="AM15" s="146">
        <f t="shared" si="5"/>
        <v>0</v>
      </c>
      <c r="AN15" s="146">
        <f t="shared" si="5"/>
        <v>0</v>
      </c>
      <c r="AO15" s="146">
        <f t="shared" si="5"/>
        <v>0</v>
      </c>
      <c r="AP15" s="146">
        <f t="shared" si="5"/>
        <v>0</v>
      </c>
    </row>
    <row r="16" spans="1:42" s="119" customFormat="1">
      <c r="A16" s="297" t="str">
        <f>'Inputs &amp; Results'!A62</f>
        <v>Utility</v>
      </c>
      <c r="C16" s="146">
        <f>C696</f>
        <v>0</v>
      </c>
      <c r="D16" s="146">
        <f t="shared" ref="D16:AP16" si="6">D696</f>
        <v>0</v>
      </c>
      <c r="E16" s="146">
        <f t="shared" si="6"/>
        <v>0</v>
      </c>
      <c r="F16" s="146">
        <f t="shared" si="6"/>
        <v>0</v>
      </c>
      <c r="G16" s="146">
        <f t="shared" si="6"/>
        <v>0</v>
      </c>
      <c r="H16" s="146">
        <f t="shared" si="6"/>
        <v>0</v>
      </c>
      <c r="I16" s="146">
        <f t="shared" si="6"/>
        <v>0</v>
      </c>
      <c r="J16" s="146">
        <f t="shared" si="6"/>
        <v>0</v>
      </c>
      <c r="K16" s="146">
        <f t="shared" si="6"/>
        <v>0</v>
      </c>
      <c r="L16" s="146">
        <f t="shared" si="6"/>
        <v>0</v>
      </c>
      <c r="M16" s="146">
        <f t="shared" si="6"/>
        <v>0</v>
      </c>
      <c r="N16" s="146">
        <f t="shared" si="6"/>
        <v>0</v>
      </c>
      <c r="O16" s="146">
        <f t="shared" si="6"/>
        <v>0</v>
      </c>
      <c r="P16" s="146">
        <f t="shared" si="6"/>
        <v>0</v>
      </c>
      <c r="Q16" s="146">
        <f t="shared" si="6"/>
        <v>0</v>
      </c>
      <c r="R16" s="146">
        <f t="shared" si="6"/>
        <v>0</v>
      </c>
      <c r="S16" s="146">
        <f t="shared" si="6"/>
        <v>0</v>
      </c>
      <c r="T16" s="146">
        <f t="shared" si="6"/>
        <v>0</v>
      </c>
      <c r="U16" s="146">
        <f t="shared" si="6"/>
        <v>0</v>
      </c>
      <c r="V16" s="146">
        <f t="shared" si="6"/>
        <v>0</v>
      </c>
      <c r="W16" s="146">
        <f t="shared" si="6"/>
        <v>0</v>
      </c>
      <c r="X16" s="146">
        <f t="shared" si="6"/>
        <v>0</v>
      </c>
      <c r="Y16" s="146">
        <f t="shared" si="6"/>
        <v>0</v>
      </c>
      <c r="Z16" s="146">
        <f t="shared" si="6"/>
        <v>0</v>
      </c>
      <c r="AA16" s="146">
        <f t="shared" si="6"/>
        <v>0</v>
      </c>
      <c r="AB16" s="146">
        <f t="shared" si="6"/>
        <v>0</v>
      </c>
      <c r="AC16" s="146">
        <f t="shared" si="6"/>
        <v>0</v>
      </c>
      <c r="AD16" s="146">
        <f t="shared" si="6"/>
        <v>0</v>
      </c>
      <c r="AE16" s="146">
        <f t="shared" si="6"/>
        <v>0</v>
      </c>
      <c r="AF16" s="146">
        <f t="shared" si="6"/>
        <v>0</v>
      </c>
      <c r="AG16" s="146">
        <f t="shared" si="6"/>
        <v>0</v>
      </c>
      <c r="AH16" s="146">
        <f t="shared" si="6"/>
        <v>0</v>
      </c>
      <c r="AI16" s="146">
        <f t="shared" si="6"/>
        <v>0</v>
      </c>
      <c r="AJ16" s="146">
        <f t="shared" si="6"/>
        <v>0</v>
      </c>
      <c r="AK16" s="146">
        <f t="shared" si="6"/>
        <v>0</v>
      </c>
      <c r="AL16" s="146">
        <f t="shared" si="6"/>
        <v>0</v>
      </c>
      <c r="AM16" s="146">
        <f t="shared" si="6"/>
        <v>0</v>
      </c>
      <c r="AN16" s="146">
        <f t="shared" si="6"/>
        <v>0</v>
      </c>
      <c r="AO16" s="146">
        <f t="shared" si="6"/>
        <v>0</v>
      </c>
      <c r="AP16" s="146">
        <f t="shared" si="6"/>
        <v>0</v>
      </c>
    </row>
    <row r="17" spans="1:42" s="119" customFormat="1">
      <c r="A17" s="297" t="str">
        <f>'Inputs &amp; Results'!A63</f>
        <v>Other</v>
      </c>
      <c r="C17" s="225">
        <f>C700</f>
        <v>0</v>
      </c>
      <c r="D17" s="225">
        <f t="shared" ref="D17:AP17" si="7">D700</f>
        <v>0</v>
      </c>
      <c r="E17" s="225">
        <f t="shared" si="7"/>
        <v>0</v>
      </c>
      <c r="F17" s="225">
        <f t="shared" si="7"/>
        <v>0</v>
      </c>
      <c r="G17" s="225">
        <f t="shared" si="7"/>
        <v>0</v>
      </c>
      <c r="H17" s="225">
        <f t="shared" si="7"/>
        <v>0</v>
      </c>
      <c r="I17" s="225">
        <f t="shared" si="7"/>
        <v>0</v>
      </c>
      <c r="J17" s="225">
        <f t="shared" si="7"/>
        <v>0</v>
      </c>
      <c r="K17" s="225">
        <f t="shared" si="7"/>
        <v>0</v>
      </c>
      <c r="L17" s="225">
        <f t="shared" si="7"/>
        <v>0</v>
      </c>
      <c r="M17" s="225">
        <f t="shared" si="7"/>
        <v>0</v>
      </c>
      <c r="N17" s="225">
        <f t="shared" si="7"/>
        <v>0</v>
      </c>
      <c r="O17" s="225">
        <f t="shared" si="7"/>
        <v>0</v>
      </c>
      <c r="P17" s="225">
        <f t="shared" si="7"/>
        <v>0</v>
      </c>
      <c r="Q17" s="225">
        <f t="shared" si="7"/>
        <v>0</v>
      </c>
      <c r="R17" s="225">
        <f t="shared" si="7"/>
        <v>0</v>
      </c>
      <c r="S17" s="225">
        <f t="shared" si="7"/>
        <v>0</v>
      </c>
      <c r="T17" s="225">
        <f t="shared" si="7"/>
        <v>0</v>
      </c>
      <c r="U17" s="225">
        <f t="shared" si="7"/>
        <v>0</v>
      </c>
      <c r="V17" s="225">
        <f t="shared" si="7"/>
        <v>0</v>
      </c>
      <c r="W17" s="225">
        <f t="shared" si="7"/>
        <v>0</v>
      </c>
      <c r="X17" s="225">
        <f t="shared" si="7"/>
        <v>0</v>
      </c>
      <c r="Y17" s="225">
        <f t="shared" si="7"/>
        <v>0</v>
      </c>
      <c r="Z17" s="225">
        <f t="shared" si="7"/>
        <v>0</v>
      </c>
      <c r="AA17" s="225">
        <f t="shared" si="7"/>
        <v>0</v>
      </c>
      <c r="AB17" s="225">
        <f t="shared" si="7"/>
        <v>0</v>
      </c>
      <c r="AC17" s="225">
        <f t="shared" si="7"/>
        <v>0</v>
      </c>
      <c r="AD17" s="225">
        <f t="shared" si="7"/>
        <v>0</v>
      </c>
      <c r="AE17" s="225">
        <f t="shared" si="7"/>
        <v>0</v>
      </c>
      <c r="AF17" s="225">
        <f t="shared" si="7"/>
        <v>0</v>
      </c>
      <c r="AG17" s="225">
        <f t="shared" si="7"/>
        <v>0</v>
      </c>
      <c r="AH17" s="225">
        <f t="shared" si="7"/>
        <v>0</v>
      </c>
      <c r="AI17" s="225">
        <f t="shared" si="7"/>
        <v>0</v>
      </c>
      <c r="AJ17" s="225">
        <f t="shared" si="7"/>
        <v>0</v>
      </c>
      <c r="AK17" s="225">
        <f t="shared" si="7"/>
        <v>0</v>
      </c>
      <c r="AL17" s="225">
        <f t="shared" si="7"/>
        <v>0</v>
      </c>
      <c r="AM17" s="225">
        <f t="shared" si="7"/>
        <v>0</v>
      </c>
      <c r="AN17" s="225">
        <f t="shared" si="7"/>
        <v>0</v>
      </c>
      <c r="AO17" s="225">
        <f t="shared" si="7"/>
        <v>0</v>
      </c>
      <c r="AP17" s="225">
        <f t="shared" si="7"/>
        <v>0</v>
      </c>
    </row>
    <row r="18" spans="1:42" s="119" customFormat="1">
      <c r="A18" s="297" t="s">
        <v>79</v>
      </c>
      <c r="C18" s="260">
        <f>SUM(C14:C17)</f>
        <v>0</v>
      </c>
      <c r="D18" s="260">
        <f t="shared" ref="D18:AP18" si="8">SUM(D14:D17)</f>
        <v>0</v>
      </c>
      <c r="E18" s="260">
        <f t="shared" si="8"/>
        <v>0</v>
      </c>
      <c r="F18" s="260">
        <f t="shared" si="8"/>
        <v>0</v>
      </c>
      <c r="G18" s="260">
        <f t="shared" si="8"/>
        <v>0</v>
      </c>
      <c r="H18" s="260">
        <f t="shared" si="8"/>
        <v>0</v>
      </c>
      <c r="I18" s="260">
        <f t="shared" si="8"/>
        <v>0</v>
      </c>
      <c r="J18" s="260">
        <f t="shared" si="8"/>
        <v>0</v>
      </c>
      <c r="K18" s="260">
        <f t="shared" si="8"/>
        <v>0</v>
      </c>
      <c r="L18" s="260">
        <f t="shared" si="8"/>
        <v>0</v>
      </c>
      <c r="M18" s="260">
        <f t="shared" si="8"/>
        <v>0</v>
      </c>
      <c r="N18" s="260">
        <f t="shared" si="8"/>
        <v>0</v>
      </c>
      <c r="O18" s="260">
        <f t="shared" si="8"/>
        <v>0</v>
      </c>
      <c r="P18" s="260">
        <f t="shared" si="8"/>
        <v>0</v>
      </c>
      <c r="Q18" s="260">
        <f t="shared" si="8"/>
        <v>0</v>
      </c>
      <c r="R18" s="260">
        <f t="shared" si="8"/>
        <v>0</v>
      </c>
      <c r="S18" s="260">
        <f t="shared" si="8"/>
        <v>0</v>
      </c>
      <c r="T18" s="260">
        <f t="shared" si="8"/>
        <v>0</v>
      </c>
      <c r="U18" s="260">
        <f t="shared" si="8"/>
        <v>0</v>
      </c>
      <c r="V18" s="260">
        <f t="shared" si="8"/>
        <v>0</v>
      </c>
      <c r="W18" s="260">
        <f t="shared" si="8"/>
        <v>0</v>
      </c>
      <c r="X18" s="260">
        <f t="shared" si="8"/>
        <v>0</v>
      </c>
      <c r="Y18" s="260">
        <f t="shared" si="8"/>
        <v>0</v>
      </c>
      <c r="Z18" s="260">
        <f t="shared" si="8"/>
        <v>0</v>
      </c>
      <c r="AA18" s="260">
        <f t="shared" si="8"/>
        <v>0</v>
      </c>
      <c r="AB18" s="260">
        <f t="shared" si="8"/>
        <v>0</v>
      </c>
      <c r="AC18" s="260">
        <f t="shared" si="8"/>
        <v>0</v>
      </c>
      <c r="AD18" s="260">
        <f t="shared" si="8"/>
        <v>0</v>
      </c>
      <c r="AE18" s="260">
        <f t="shared" si="8"/>
        <v>0</v>
      </c>
      <c r="AF18" s="260">
        <f t="shared" si="8"/>
        <v>0</v>
      </c>
      <c r="AG18" s="260">
        <f t="shared" si="8"/>
        <v>0</v>
      </c>
      <c r="AH18" s="260">
        <f t="shared" si="8"/>
        <v>0</v>
      </c>
      <c r="AI18" s="260">
        <f t="shared" si="8"/>
        <v>0</v>
      </c>
      <c r="AJ18" s="260">
        <f t="shared" si="8"/>
        <v>0</v>
      </c>
      <c r="AK18" s="260">
        <f t="shared" si="8"/>
        <v>0</v>
      </c>
      <c r="AL18" s="260">
        <f t="shared" si="8"/>
        <v>0</v>
      </c>
      <c r="AM18" s="260">
        <f t="shared" si="8"/>
        <v>0</v>
      </c>
      <c r="AN18" s="260">
        <f t="shared" si="8"/>
        <v>0</v>
      </c>
      <c r="AO18" s="260">
        <f t="shared" si="8"/>
        <v>0</v>
      </c>
      <c r="AP18" s="260">
        <f t="shared" si="8"/>
        <v>0</v>
      </c>
    </row>
    <row r="19" spans="1:42">
      <c r="A19" s="202" t="s">
        <v>152</v>
      </c>
      <c r="C19" s="209">
        <f t="shared" ref="C19:AP19" si="9">IF(C2=AnalysisPeriod,SalvageValue*PreFinancingInstalledCostTotal,0)</f>
        <v>0</v>
      </c>
      <c r="D19" s="209">
        <f t="shared" si="9"/>
        <v>0</v>
      </c>
      <c r="E19" s="209">
        <f t="shared" si="9"/>
        <v>0</v>
      </c>
      <c r="F19" s="209">
        <f t="shared" si="9"/>
        <v>0</v>
      </c>
      <c r="G19" s="209">
        <f t="shared" si="9"/>
        <v>0</v>
      </c>
      <c r="H19" s="209">
        <f t="shared" si="9"/>
        <v>0</v>
      </c>
      <c r="I19" s="209">
        <f t="shared" si="9"/>
        <v>0</v>
      </c>
      <c r="J19" s="209">
        <f t="shared" si="9"/>
        <v>0</v>
      </c>
      <c r="K19" s="209">
        <f t="shared" si="9"/>
        <v>0</v>
      </c>
      <c r="L19" s="209">
        <f t="shared" si="9"/>
        <v>0</v>
      </c>
      <c r="M19" s="209">
        <f t="shared" si="9"/>
        <v>0</v>
      </c>
      <c r="N19" s="209">
        <f t="shared" si="9"/>
        <v>0</v>
      </c>
      <c r="O19" s="209">
        <f t="shared" si="9"/>
        <v>0</v>
      </c>
      <c r="P19" s="209">
        <f t="shared" si="9"/>
        <v>0</v>
      </c>
      <c r="Q19" s="209">
        <f t="shared" si="9"/>
        <v>0</v>
      </c>
      <c r="R19" s="209">
        <f t="shared" si="9"/>
        <v>0</v>
      </c>
      <c r="S19" s="209">
        <f t="shared" si="9"/>
        <v>0</v>
      </c>
      <c r="T19" s="209">
        <f t="shared" si="9"/>
        <v>0</v>
      </c>
      <c r="U19" s="209">
        <f t="shared" si="9"/>
        <v>0</v>
      </c>
      <c r="V19" s="209">
        <f t="shared" si="9"/>
        <v>0</v>
      </c>
      <c r="W19" s="209">
        <f t="shared" si="9"/>
        <v>0</v>
      </c>
      <c r="X19" s="209">
        <f t="shared" si="9"/>
        <v>0</v>
      </c>
      <c r="Y19" s="209">
        <f t="shared" si="9"/>
        <v>0</v>
      </c>
      <c r="Z19" s="209">
        <f t="shared" si="9"/>
        <v>0</v>
      </c>
      <c r="AA19" s="209">
        <f t="shared" si="9"/>
        <v>0</v>
      </c>
      <c r="AB19" s="209">
        <f t="shared" si="9"/>
        <v>0</v>
      </c>
      <c r="AC19" s="209">
        <f t="shared" si="9"/>
        <v>0</v>
      </c>
      <c r="AD19" s="209">
        <f t="shared" si="9"/>
        <v>0</v>
      </c>
      <c r="AE19" s="209">
        <f t="shared" si="9"/>
        <v>0</v>
      </c>
      <c r="AF19" s="209">
        <f t="shared" si="9"/>
        <v>4022715</v>
      </c>
      <c r="AG19" s="209">
        <f t="shared" si="9"/>
        <v>0</v>
      </c>
      <c r="AH19" s="209">
        <f t="shared" si="9"/>
        <v>0</v>
      </c>
      <c r="AI19" s="209">
        <f t="shared" si="9"/>
        <v>0</v>
      </c>
      <c r="AJ19" s="209">
        <f t="shared" si="9"/>
        <v>0</v>
      </c>
      <c r="AK19" s="209">
        <f t="shared" si="9"/>
        <v>0</v>
      </c>
      <c r="AL19" s="209">
        <f t="shared" si="9"/>
        <v>0</v>
      </c>
      <c r="AM19" s="209">
        <f t="shared" si="9"/>
        <v>0</v>
      </c>
      <c r="AN19" s="209">
        <f t="shared" si="9"/>
        <v>0</v>
      </c>
      <c r="AO19" s="209">
        <f t="shared" si="9"/>
        <v>0</v>
      </c>
      <c r="AP19" s="209">
        <f t="shared" si="9"/>
        <v>0</v>
      </c>
    </row>
    <row r="20" spans="1:42">
      <c r="A20" s="202" t="s">
        <v>287</v>
      </c>
      <c r="C20" s="164">
        <f t="shared" ref="C20:AP20" si="10">C12+C18+C19</f>
        <v>7848855.1499275891</v>
      </c>
      <c r="D20" s="164">
        <f t="shared" si="10"/>
        <v>7887706.9829197302</v>
      </c>
      <c r="E20" s="164">
        <f t="shared" si="10"/>
        <v>7926751.132485182</v>
      </c>
      <c r="F20" s="164">
        <f t="shared" si="10"/>
        <v>7965988.5505909836</v>
      </c>
      <c r="G20" s="164">
        <f t="shared" si="10"/>
        <v>8005420.1939164102</v>
      </c>
      <c r="H20" s="164">
        <f t="shared" si="10"/>
        <v>8045047.0238762954</v>
      </c>
      <c r="I20" s="164">
        <f t="shared" si="10"/>
        <v>8084870.0066444837</v>
      </c>
      <c r="J20" s="164">
        <f t="shared" si="10"/>
        <v>8124890.1131773721</v>
      </c>
      <c r="K20" s="164">
        <f t="shared" si="10"/>
        <v>8165108.3192376019</v>
      </c>
      <c r="L20" s="164">
        <f t="shared" si="10"/>
        <v>8205525.6054178299</v>
      </c>
      <c r="M20" s="164">
        <f t="shared" si="10"/>
        <v>8246142.957164648</v>
      </c>
      <c r="N20" s="164">
        <f t="shared" si="10"/>
        <v>8286961.3648026111</v>
      </c>
      <c r="O20" s="164">
        <f t="shared" si="10"/>
        <v>8327981.8235583846</v>
      </c>
      <c r="P20" s="164">
        <f t="shared" si="10"/>
        <v>8369205.3335849987</v>
      </c>
      <c r="Q20" s="164">
        <f t="shared" si="10"/>
        <v>8410632.8999862447</v>
      </c>
      <c r="R20" s="164">
        <f t="shared" si="10"/>
        <v>8452265.5328411739</v>
      </c>
      <c r="S20" s="164">
        <f t="shared" si="10"/>
        <v>8494104.2472287398</v>
      </c>
      <c r="T20" s="164">
        <f t="shared" si="10"/>
        <v>8536150.0632525235</v>
      </c>
      <c r="U20" s="164">
        <f t="shared" si="10"/>
        <v>8578404.0060656238</v>
      </c>
      <c r="V20" s="164">
        <f t="shared" si="10"/>
        <v>8620867.1058956459</v>
      </c>
      <c r="W20" s="164">
        <f t="shared" si="10"/>
        <v>8663540.3980698306</v>
      </c>
      <c r="X20" s="164">
        <f t="shared" si="10"/>
        <v>8706424.9230402745</v>
      </c>
      <c r="Y20" s="164">
        <f t="shared" si="10"/>
        <v>8749521.7264093254</v>
      </c>
      <c r="Z20" s="164">
        <f t="shared" si="10"/>
        <v>8792831.8589550499</v>
      </c>
      <c r="AA20" s="164">
        <f t="shared" si="10"/>
        <v>8836356.3766568806</v>
      </c>
      <c r="AB20" s="164">
        <f t="shared" si="10"/>
        <v>8880096.3407213334</v>
      </c>
      <c r="AC20" s="164">
        <f t="shared" si="10"/>
        <v>8924052.8176079039</v>
      </c>
      <c r="AD20" s="164">
        <f t="shared" si="10"/>
        <v>8968226.8790550586</v>
      </c>
      <c r="AE20" s="164">
        <f t="shared" si="10"/>
        <v>9012619.6021063812</v>
      </c>
      <c r="AF20" s="164">
        <f t="shared" si="10"/>
        <v>13079947.069136808</v>
      </c>
      <c r="AG20" s="164">
        <f t="shared" si="10"/>
        <v>0</v>
      </c>
      <c r="AH20" s="164">
        <f t="shared" si="10"/>
        <v>0</v>
      </c>
      <c r="AI20" s="164">
        <f t="shared" si="10"/>
        <v>0</v>
      </c>
      <c r="AJ20" s="164">
        <f t="shared" si="10"/>
        <v>0</v>
      </c>
      <c r="AK20" s="164">
        <f t="shared" si="10"/>
        <v>0</v>
      </c>
      <c r="AL20" s="164">
        <f t="shared" si="10"/>
        <v>0</v>
      </c>
      <c r="AM20" s="164">
        <f t="shared" si="10"/>
        <v>0</v>
      </c>
      <c r="AN20" s="164">
        <f t="shared" si="10"/>
        <v>0</v>
      </c>
      <c r="AO20" s="164">
        <f t="shared" si="10"/>
        <v>0</v>
      </c>
      <c r="AP20" s="164">
        <f t="shared" si="10"/>
        <v>0</v>
      </c>
    </row>
    <row r="21" spans="1:42">
      <c r="A21" s="206"/>
      <c r="C21" s="164"/>
      <c r="D21" s="164"/>
      <c r="E21" s="164"/>
      <c r="F21" s="164"/>
      <c r="G21" s="164"/>
      <c r="H21" s="164"/>
      <c r="I21" s="164"/>
      <c r="J21" s="164"/>
      <c r="K21" s="164"/>
      <c r="L21" s="164"/>
      <c r="M21" s="164"/>
      <c r="N21" s="164"/>
      <c r="O21" s="164"/>
      <c r="P21" s="164"/>
      <c r="Q21" s="164"/>
      <c r="R21" s="164"/>
      <c r="S21" s="164"/>
      <c r="T21" s="164"/>
      <c r="U21" s="164"/>
      <c r="V21" s="164"/>
      <c r="W21" s="164"/>
      <c r="X21" s="164"/>
      <c r="Y21" s="164"/>
      <c r="Z21" s="164"/>
      <c r="AA21" s="164"/>
      <c r="AB21" s="164"/>
      <c r="AC21" s="164"/>
      <c r="AD21" s="164"/>
      <c r="AE21" s="164"/>
      <c r="AF21" s="164"/>
      <c r="AG21" s="164"/>
      <c r="AH21" s="164"/>
      <c r="AI21" s="164"/>
      <c r="AJ21" s="164"/>
      <c r="AK21" s="164"/>
      <c r="AL21" s="164"/>
      <c r="AM21" s="164"/>
      <c r="AN21" s="164"/>
      <c r="AO21" s="164"/>
      <c r="AP21" s="164"/>
    </row>
    <row r="22" spans="1:42">
      <c r="A22" s="204" t="s">
        <v>49</v>
      </c>
      <c r="C22" s="164"/>
      <c r="D22" s="208"/>
      <c r="E22" s="208"/>
      <c r="F22" s="208"/>
      <c r="G22" s="208"/>
      <c r="H22" s="208"/>
      <c r="I22" s="208"/>
      <c r="J22" s="208"/>
      <c r="K22" s="208"/>
      <c r="L22" s="208"/>
      <c r="M22" s="208"/>
      <c r="N22" s="208"/>
      <c r="O22" s="208"/>
      <c r="P22" s="208"/>
      <c r="Q22" s="208"/>
      <c r="R22" s="208"/>
      <c r="S22" s="208"/>
    </row>
    <row r="23" spans="1:42">
      <c r="A23" s="37" t="s">
        <v>5</v>
      </c>
      <c r="C23" s="164">
        <f t="shared" ref="C23:AP23" si="11">IF(C$2&lt;=AnalysisPeriod,OMFixedAnnual*(1+Inflation+OMFixedAnnualRealEsc)^B$2,0)</f>
        <v>10000</v>
      </c>
      <c r="D23" s="164">
        <f t="shared" si="11"/>
        <v>10250</v>
      </c>
      <c r="E23" s="164">
        <f t="shared" si="11"/>
        <v>10506.25</v>
      </c>
      <c r="F23" s="164">
        <f t="shared" si="11"/>
        <v>10768.906249999998</v>
      </c>
      <c r="G23" s="164">
        <f t="shared" si="11"/>
        <v>11038.128906249998</v>
      </c>
      <c r="H23" s="164">
        <f t="shared" si="11"/>
        <v>11314.082128906246</v>
      </c>
      <c r="I23" s="164">
        <f t="shared" si="11"/>
        <v>11596.934182128902</v>
      </c>
      <c r="J23" s="164">
        <f t="shared" si="11"/>
        <v>11886.857536682124</v>
      </c>
      <c r="K23" s="164">
        <f t="shared" si="11"/>
        <v>12184.028975099178</v>
      </c>
      <c r="L23" s="164">
        <f t="shared" si="11"/>
        <v>12488.629699476654</v>
      </c>
      <c r="M23" s="164">
        <f t="shared" si="11"/>
        <v>12800.845441963571</v>
      </c>
      <c r="N23" s="164">
        <f t="shared" si="11"/>
        <v>13120.866578012659</v>
      </c>
      <c r="O23" s="164">
        <f t="shared" si="11"/>
        <v>13448.888242462976</v>
      </c>
      <c r="P23" s="164">
        <f t="shared" si="11"/>
        <v>13785.110448524549</v>
      </c>
      <c r="Q23" s="164">
        <f t="shared" si="11"/>
        <v>14129.738209737661</v>
      </c>
      <c r="R23" s="164">
        <f t="shared" si="11"/>
        <v>14482.981664981105</v>
      </c>
      <c r="S23" s="164">
        <f t="shared" si="11"/>
        <v>14845.056206605632</v>
      </c>
      <c r="T23" s="164">
        <f t="shared" si="11"/>
        <v>15216.18261177077</v>
      </c>
      <c r="U23" s="164">
        <f t="shared" si="11"/>
        <v>15596.587177065039</v>
      </c>
      <c r="V23" s="164">
        <f t="shared" si="11"/>
        <v>15986.501856491666</v>
      </c>
      <c r="W23" s="164">
        <f t="shared" si="11"/>
        <v>16386.164402903956</v>
      </c>
      <c r="X23" s="164">
        <f t="shared" si="11"/>
        <v>16795.818512976552</v>
      </c>
      <c r="Y23" s="164">
        <f t="shared" si="11"/>
        <v>17215.713975800965</v>
      </c>
      <c r="Z23" s="164">
        <f t="shared" si="11"/>
        <v>17646.106825195991</v>
      </c>
      <c r="AA23" s="164">
        <f t="shared" si="11"/>
        <v>18087.259495825889</v>
      </c>
      <c r="AB23" s="164">
        <f t="shared" si="11"/>
        <v>18539.440983221535</v>
      </c>
      <c r="AC23" s="164">
        <f t="shared" si="11"/>
        <v>19002.927007802071</v>
      </c>
      <c r="AD23" s="164">
        <f t="shared" si="11"/>
        <v>19478.000182997122</v>
      </c>
      <c r="AE23" s="164">
        <f t="shared" si="11"/>
        <v>19964.950187572049</v>
      </c>
      <c r="AF23" s="164">
        <f t="shared" si="11"/>
        <v>20464.073942261351</v>
      </c>
      <c r="AG23" s="164">
        <f t="shared" si="11"/>
        <v>0</v>
      </c>
      <c r="AH23" s="164">
        <f t="shared" si="11"/>
        <v>0</v>
      </c>
      <c r="AI23" s="164">
        <f t="shared" si="11"/>
        <v>0</v>
      </c>
      <c r="AJ23" s="164">
        <f t="shared" si="11"/>
        <v>0</v>
      </c>
      <c r="AK23" s="164">
        <f t="shared" si="11"/>
        <v>0</v>
      </c>
      <c r="AL23" s="164">
        <f t="shared" si="11"/>
        <v>0</v>
      </c>
      <c r="AM23" s="164">
        <f t="shared" si="11"/>
        <v>0</v>
      </c>
      <c r="AN23" s="164">
        <f t="shared" si="11"/>
        <v>0</v>
      </c>
      <c r="AO23" s="164">
        <f t="shared" si="11"/>
        <v>0</v>
      </c>
      <c r="AP23" s="164">
        <f t="shared" si="11"/>
        <v>0</v>
      </c>
    </row>
    <row r="24" spans="1:42">
      <c r="A24" s="37" t="s">
        <v>7</v>
      </c>
    </row>
    <row r="25" spans="1:42">
      <c r="A25" s="206" t="s">
        <v>51</v>
      </c>
      <c r="C25" s="164">
        <f t="shared" ref="C25:AP25" si="12">IF(C$2&lt;=AnalysisPeriod,CapacityDC,0)</f>
        <v>10000</v>
      </c>
      <c r="D25" s="164">
        <f t="shared" si="12"/>
        <v>10000</v>
      </c>
      <c r="E25" s="164">
        <f t="shared" si="12"/>
        <v>10000</v>
      </c>
      <c r="F25" s="164">
        <f t="shared" si="12"/>
        <v>10000</v>
      </c>
      <c r="G25" s="164">
        <f t="shared" si="12"/>
        <v>10000</v>
      </c>
      <c r="H25" s="164">
        <f t="shared" si="12"/>
        <v>10000</v>
      </c>
      <c r="I25" s="164">
        <f t="shared" si="12"/>
        <v>10000</v>
      </c>
      <c r="J25" s="164">
        <f t="shared" si="12"/>
        <v>10000</v>
      </c>
      <c r="K25" s="164">
        <f t="shared" si="12"/>
        <v>10000</v>
      </c>
      <c r="L25" s="164">
        <f t="shared" si="12"/>
        <v>10000</v>
      </c>
      <c r="M25" s="164">
        <f t="shared" si="12"/>
        <v>10000</v>
      </c>
      <c r="N25" s="164">
        <f t="shared" si="12"/>
        <v>10000</v>
      </c>
      <c r="O25" s="164">
        <f t="shared" si="12"/>
        <v>10000</v>
      </c>
      <c r="P25" s="164">
        <f t="shared" si="12"/>
        <v>10000</v>
      </c>
      <c r="Q25" s="164">
        <f t="shared" si="12"/>
        <v>10000</v>
      </c>
      <c r="R25" s="164">
        <f t="shared" si="12"/>
        <v>10000</v>
      </c>
      <c r="S25" s="164">
        <f t="shared" si="12"/>
        <v>10000</v>
      </c>
      <c r="T25" s="164">
        <f t="shared" si="12"/>
        <v>10000</v>
      </c>
      <c r="U25" s="164">
        <f t="shared" si="12"/>
        <v>10000</v>
      </c>
      <c r="V25" s="164">
        <f t="shared" si="12"/>
        <v>10000</v>
      </c>
      <c r="W25" s="164">
        <f t="shared" si="12"/>
        <v>10000</v>
      </c>
      <c r="X25" s="164">
        <f t="shared" si="12"/>
        <v>10000</v>
      </c>
      <c r="Y25" s="164">
        <f t="shared" si="12"/>
        <v>10000</v>
      </c>
      <c r="Z25" s="164">
        <f t="shared" si="12"/>
        <v>10000</v>
      </c>
      <c r="AA25" s="164">
        <f t="shared" si="12"/>
        <v>10000</v>
      </c>
      <c r="AB25" s="164">
        <f t="shared" si="12"/>
        <v>10000</v>
      </c>
      <c r="AC25" s="164">
        <f t="shared" si="12"/>
        <v>10000</v>
      </c>
      <c r="AD25" s="164">
        <f t="shared" si="12"/>
        <v>10000</v>
      </c>
      <c r="AE25" s="164">
        <f t="shared" si="12"/>
        <v>10000</v>
      </c>
      <c r="AF25" s="164">
        <f t="shared" si="12"/>
        <v>10000</v>
      </c>
      <c r="AG25" s="164">
        <f t="shared" si="12"/>
        <v>0</v>
      </c>
      <c r="AH25" s="164">
        <f t="shared" si="12"/>
        <v>0</v>
      </c>
      <c r="AI25" s="164">
        <f t="shared" si="12"/>
        <v>0</v>
      </c>
      <c r="AJ25" s="164">
        <f t="shared" si="12"/>
        <v>0</v>
      </c>
      <c r="AK25" s="164">
        <f t="shared" si="12"/>
        <v>0</v>
      </c>
      <c r="AL25" s="164">
        <f t="shared" si="12"/>
        <v>0</v>
      </c>
      <c r="AM25" s="164">
        <f t="shared" si="12"/>
        <v>0</v>
      </c>
      <c r="AN25" s="164">
        <f t="shared" si="12"/>
        <v>0</v>
      </c>
      <c r="AO25" s="164">
        <f t="shared" si="12"/>
        <v>0</v>
      </c>
      <c r="AP25" s="164">
        <f t="shared" si="12"/>
        <v>0</v>
      </c>
    </row>
    <row r="26" spans="1:42">
      <c r="A26" s="206" t="s">
        <v>52</v>
      </c>
      <c r="C26" s="207">
        <f t="shared" ref="C26:AP26" si="13">IF(C$2&lt;=AnalysisPeriod,OMCapacity*(1+Inflation+OMCapacityRealEsc)^B$2,0)</f>
        <v>22</v>
      </c>
      <c r="D26" s="207">
        <f t="shared" si="13"/>
        <v>22.494999999999997</v>
      </c>
      <c r="E26" s="207">
        <f t="shared" si="13"/>
        <v>23.001137499999999</v>
      </c>
      <c r="F26" s="207">
        <f t="shared" si="13"/>
        <v>23.518663093749996</v>
      </c>
      <c r="G26" s="207">
        <f t="shared" si="13"/>
        <v>24.047833013359369</v>
      </c>
      <c r="H26" s="207">
        <f t="shared" si="13"/>
        <v>24.588909256159958</v>
      </c>
      <c r="I26" s="207">
        <f t="shared" si="13"/>
        <v>25.142159714423553</v>
      </c>
      <c r="J26" s="207">
        <f t="shared" si="13"/>
        <v>25.70785830799808</v>
      </c>
      <c r="K26" s="207">
        <f t="shared" si="13"/>
        <v>26.286285119928035</v>
      </c>
      <c r="L26" s="207">
        <f t="shared" si="13"/>
        <v>26.877726535126413</v>
      </c>
      <c r="M26" s="207">
        <f t="shared" si="13"/>
        <v>27.482475382166754</v>
      </c>
      <c r="N26" s="207">
        <f t="shared" si="13"/>
        <v>28.100831078265504</v>
      </c>
      <c r="O26" s="207">
        <f t="shared" si="13"/>
        <v>28.73309977752648</v>
      </c>
      <c r="P26" s="207">
        <f t="shared" si="13"/>
        <v>29.379594522520826</v>
      </c>
      <c r="Q26" s="207">
        <f t="shared" si="13"/>
        <v>30.040635399277544</v>
      </c>
      <c r="R26" s="207">
        <f t="shared" si="13"/>
        <v>30.716549695761287</v>
      </c>
      <c r="S26" s="207">
        <f t="shared" si="13"/>
        <v>31.407672063915907</v>
      </c>
      <c r="T26" s="207">
        <f t="shared" si="13"/>
        <v>32.114344685354013</v>
      </c>
      <c r="U26" s="207">
        <f t="shared" si="13"/>
        <v>32.836917440774478</v>
      </c>
      <c r="V26" s="207">
        <f t="shared" si="13"/>
        <v>33.575748083191904</v>
      </c>
      <c r="W26" s="207">
        <f t="shared" si="13"/>
        <v>34.331202415063721</v>
      </c>
      <c r="X26" s="207">
        <f t="shared" si="13"/>
        <v>35.103654469402656</v>
      </c>
      <c r="Y26" s="207">
        <f t="shared" si="13"/>
        <v>35.89348669496421</v>
      </c>
      <c r="Z26" s="207">
        <f t="shared" si="13"/>
        <v>36.701090145600901</v>
      </c>
      <c r="AA26" s="207">
        <f t="shared" si="13"/>
        <v>37.526864673876915</v>
      </c>
      <c r="AB26" s="207">
        <f t="shared" si="13"/>
        <v>38.37121912903914</v>
      </c>
      <c r="AC26" s="207">
        <f t="shared" si="13"/>
        <v>39.234571559442522</v>
      </c>
      <c r="AD26" s="207">
        <f t="shared" si="13"/>
        <v>40.117349419529972</v>
      </c>
      <c r="AE26" s="207">
        <f t="shared" si="13"/>
        <v>41.019989781469398</v>
      </c>
      <c r="AF26" s="207">
        <f t="shared" si="13"/>
        <v>41.942939551552463</v>
      </c>
      <c r="AG26" s="207">
        <f t="shared" si="13"/>
        <v>0</v>
      </c>
      <c r="AH26" s="207">
        <f t="shared" si="13"/>
        <v>0</v>
      </c>
      <c r="AI26" s="207">
        <f t="shared" si="13"/>
        <v>0</v>
      </c>
      <c r="AJ26" s="207">
        <f t="shared" si="13"/>
        <v>0</v>
      </c>
      <c r="AK26" s="207">
        <f t="shared" si="13"/>
        <v>0</v>
      </c>
      <c r="AL26" s="207">
        <f t="shared" si="13"/>
        <v>0</v>
      </c>
      <c r="AM26" s="207">
        <f t="shared" si="13"/>
        <v>0</v>
      </c>
      <c r="AN26" s="207">
        <f t="shared" si="13"/>
        <v>0</v>
      </c>
      <c r="AO26" s="207">
        <f t="shared" si="13"/>
        <v>0</v>
      </c>
      <c r="AP26" s="207">
        <f t="shared" si="13"/>
        <v>0</v>
      </c>
    </row>
    <row r="27" spans="1:42">
      <c r="A27" s="206" t="s">
        <v>53</v>
      </c>
      <c r="C27" s="164">
        <f>C25*C26</f>
        <v>220000</v>
      </c>
      <c r="D27" s="164">
        <f t="shared" ref="D27:AP27" si="14">D25*D26</f>
        <v>224949.99999999997</v>
      </c>
      <c r="E27" s="164">
        <f t="shared" si="14"/>
        <v>230011.375</v>
      </c>
      <c r="F27" s="164">
        <f t="shared" si="14"/>
        <v>235186.63093749995</v>
      </c>
      <c r="G27" s="164">
        <f t="shared" si="14"/>
        <v>240478.3301335937</v>
      </c>
      <c r="H27" s="164">
        <f t="shared" si="14"/>
        <v>245889.09256159959</v>
      </c>
      <c r="I27" s="164">
        <f t="shared" si="14"/>
        <v>251421.59714423554</v>
      </c>
      <c r="J27" s="164">
        <f t="shared" si="14"/>
        <v>257078.5830799808</v>
      </c>
      <c r="K27" s="164">
        <f t="shared" si="14"/>
        <v>262862.85119928035</v>
      </c>
      <c r="L27" s="164">
        <f t="shared" si="14"/>
        <v>268777.26535126416</v>
      </c>
      <c r="M27" s="164">
        <f t="shared" si="14"/>
        <v>274824.75382166752</v>
      </c>
      <c r="N27" s="164">
        <f t="shared" si="14"/>
        <v>281008.31078265503</v>
      </c>
      <c r="O27" s="164">
        <f t="shared" si="14"/>
        <v>287330.99777526478</v>
      </c>
      <c r="P27" s="164">
        <f t="shared" si="14"/>
        <v>293795.94522520824</v>
      </c>
      <c r="Q27" s="164">
        <f t="shared" si="14"/>
        <v>300406.35399277543</v>
      </c>
      <c r="R27" s="164">
        <f t="shared" si="14"/>
        <v>307165.49695761286</v>
      </c>
      <c r="S27" s="164">
        <f t="shared" si="14"/>
        <v>314076.72063915909</v>
      </c>
      <c r="T27" s="164">
        <f t="shared" si="14"/>
        <v>321143.44685354014</v>
      </c>
      <c r="U27" s="164">
        <f t="shared" si="14"/>
        <v>328369.17440774478</v>
      </c>
      <c r="V27" s="164">
        <f t="shared" si="14"/>
        <v>335757.48083191906</v>
      </c>
      <c r="W27" s="164">
        <f t="shared" si="14"/>
        <v>343312.02415063721</v>
      </c>
      <c r="X27" s="164">
        <f t="shared" si="14"/>
        <v>351036.54469402658</v>
      </c>
      <c r="Y27" s="164">
        <f t="shared" si="14"/>
        <v>358934.86694964208</v>
      </c>
      <c r="Z27" s="164">
        <f t="shared" si="14"/>
        <v>367010.90145600901</v>
      </c>
      <c r="AA27" s="164">
        <f t="shared" si="14"/>
        <v>375268.64673876914</v>
      </c>
      <c r="AB27" s="164">
        <f t="shared" si="14"/>
        <v>383712.19129039138</v>
      </c>
      <c r="AC27" s="164">
        <f t="shared" si="14"/>
        <v>392345.71559442522</v>
      </c>
      <c r="AD27" s="164">
        <f t="shared" si="14"/>
        <v>401173.49419529975</v>
      </c>
      <c r="AE27" s="164">
        <f t="shared" si="14"/>
        <v>410199.89781469398</v>
      </c>
      <c r="AF27" s="164">
        <f t="shared" si="14"/>
        <v>419429.39551552461</v>
      </c>
      <c r="AG27" s="164">
        <f t="shared" si="14"/>
        <v>0</v>
      </c>
      <c r="AH27" s="164">
        <f t="shared" si="14"/>
        <v>0</v>
      </c>
      <c r="AI27" s="164">
        <f t="shared" si="14"/>
        <v>0</v>
      </c>
      <c r="AJ27" s="164">
        <f t="shared" si="14"/>
        <v>0</v>
      </c>
      <c r="AK27" s="164">
        <f t="shared" si="14"/>
        <v>0</v>
      </c>
      <c r="AL27" s="164">
        <f t="shared" si="14"/>
        <v>0</v>
      </c>
      <c r="AM27" s="164">
        <f t="shared" si="14"/>
        <v>0</v>
      </c>
      <c r="AN27" s="164">
        <f t="shared" si="14"/>
        <v>0</v>
      </c>
      <c r="AO27" s="164">
        <f t="shared" si="14"/>
        <v>0</v>
      </c>
      <c r="AP27" s="164">
        <f t="shared" si="14"/>
        <v>0</v>
      </c>
    </row>
    <row r="28" spans="1:42">
      <c r="A28" s="37" t="s">
        <v>9</v>
      </c>
    </row>
    <row r="29" spans="1:42">
      <c r="A29" s="206" t="s">
        <v>55</v>
      </c>
      <c r="C29" s="164">
        <f>C5/1000</f>
        <v>17000</v>
      </c>
      <c r="D29" s="164">
        <f t="shared" ref="D29:AP29" si="15">D5/1000</f>
        <v>16915</v>
      </c>
      <c r="E29" s="164">
        <f t="shared" si="15"/>
        <v>16830.424999999999</v>
      </c>
      <c r="F29" s="164">
        <f t="shared" si="15"/>
        <v>16746.272874999999</v>
      </c>
      <c r="G29" s="164">
        <f t="shared" si="15"/>
        <v>16662.541510625</v>
      </c>
      <c r="H29" s="164">
        <f t="shared" si="15"/>
        <v>16579.228803071874</v>
      </c>
      <c r="I29" s="164">
        <f t="shared" si="15"/>
        <v>16496.332659056516</v>
      </c>
      <c r="J29" s="164">
        <f t="shared" si="15"/>
        <v>16413.850995761233</v>
      </c>
      <c r="K29" s="164">
        <f t="shared" si="15"/>
        <v>16331.781740782426</v>
      </c>
      <c r="L29" s="164">
        <f t="shared" si="15"/>
        <v>16250.122832078514</v>
      </c>
      <c r="M29" s="164">
        <f t="shared" si="15"/>
        <v>16168.872217918122</v>
      </c>
      <c r="N29" s="164">
        <f t="shared" si="15"/>
        <v>16088.027856828532</v>
      </c>
      <c r="O29" s="164">
        <f t="shared" si="15"/>
        <v>16007.587717544387</v>
      </c>
      <c r="P29" s="164">
        <f t="shared" si="15"/>
        <v>15927.549778956667</v>
      </c>
      <c r="Q29" s="164">
        <f t="shared" si="15"/>
        <v>15847.912030061883</v>
      </c>
      <c r="R29" s="164">
        <f t="shared" si="15"/>
        <v>15768.672469911573</v>
      </c>
      <c r="S29" s="164">
        <f t="shared" si="15"/>
        <v>15689.829107562015</v>
      </c>
      <c r="T29" s="164">
        <f t="shared" si="15"/>
        <v>15611.379962024204</v>
      </c>
      <c r="U29" s="164">
        <f t="shared" si="15"/>
        <v>15533.323062214084</v>
      </c>
      <c r="V29" s="164">
        <f t="shared" si="15"/>
        <v>15455.656446903013</v>
      </c>
      <c r="W29" s="164">
        <f t="shared" si="15"/>
        <v>15378.378164668497</v>
      </c>
      <c r="X29" s="164">
        <f t="shared" si="15"/>
        <v>15301.486273845156</v>
      </c>
      <c r="Y29" s="164">
        <f t="shared" si="15"/>
        <v>15224.978842475928</v>
      </c>
      <c r="Z29" s="164">
        <f t="shared" si="15"/>
        <v>15148.853948263548</v>
      </c>
      <c r="AA29" s="164">
        <f t="shared" si="15"/>
        <v>15073.109678522231</v>
      </c>
      <c r="AB29" s="164">
        <f t="shared" si="15"/>
        <v>14997.74413012962</v>
      </c>
      <c r="AC29" s="164">
        <f t="shared" si="15"/>
        <v>14922.755409478972</v>
      </c>
      <c r="AD29" s="164">
        <f t="shared" si="15"/>
        <v>14848.141632431576</v>
      </c>
      <c r="AE29" s="164">
        <f t="shared" si="15"/>
        <v>14773.900924269417</v>
      </c>
      <c r="AF29" s="164">
        <f t="shared" si="15"/>
        <v>14700.03141964807</v>
      </c>
      <c r="AG29" s="164">
        <f t="shared" si="15"/>
        <v>0</v>
      </c>
      <c r="AH29" s="164">
        <f t="shared" si="15"/>
        <v>0</v>
      </c>
      <c r="AI29" s="164">
        <f t="shared" si="15"/>
        <v>0</v>
      </c>
      <c r="AJ29" s="164">
        <f t="shared" si="15"/>
        <v>0</v>
      </c>
      <c r="AK29" s="164">
        <f t="shared" si="15"/>
        <v>0</v>
      </c>
      <c r="AL29" s="164">
        <f t="shared" si="15"/>
        <v>0</v>
      </c>
      <c r="AM29" s="164">
        <f t="shared" si="15"/>
        <v>0</v>
      </c>
      <c r="AN29" s="164">
        <f t="shared" si="15"/>
        <v>0</v>
      </c>
      <c r="AO29" s="164">
        <f t="shared" si="15"/>
        <v>0</v>
      </c>
      <c r="AP29" s="164">
        <f t="shared" si="15"/>
        <v>0</v>
      </c>
    </row>
    <row r="30" spans="1:42">
      <c r="A30" s="206" t="s">
        <v>56</v>
      </c>
      <c r="C30" s="207">
        <f t="shared" ref="C30:AP30" si="16">IF(C$2&lt;=AnalysisPeriod,OMVariable*(1+Inflation+OMVariableRealEsc)^B$2,0)</f>
        <v>3.5</v>
      </c>
      <c r="D30" s="207">
        <f t="shared" si="16"/>
        <v>3.5524999999999998</v>
      </c>
      <c r="E30" s="207">
        <f t="shared" si="16"/>
        <v>3.605787499999999</v>
      </c>
      <c r="F30" s="207">
        <f t="shared" si="16"/>
        <v>3.6598743124999986</v>
      </c>
      <c r="G30" s="207">
        <f t="shared" si="16"/>
        <v>3.7147724271874978</v>
      </c>
      <c r="H30" s="207">
        <f t="shared" si="16"/>
        <v>3.77049401359531</v>
      </c>
      <c r="I30" s="207">
        <f t="shared" si="16"/>
        <v>3.8270514237992388</v>
      </c>
      <c r="J30" s="207">
        <f t="shared" si="16"/>
        <v>3.884457195156227</v>
      </c>
      <c r="K30" s="207">
        <f t="shared" si="16"/>
        <v>3.9427240530835701</v>
      </c>
      <c r="L30" s="207">
        <f t="shared" si="16"/>
        <v>4.0018649138798228</v>
      </c>
      <c r="M30" s="207">
        <f t="shared" si="16"/>
        <v>4.0618928875880203</v>
      </c>
      <c r="N30" s="207">
        <f t="shared" si="16"/>
        <v>4.1228212809018396</v>
      </c>
      <c r="O30" s="207">
        <f t="shared" si="16"/>
        <v>4.1846636001153668</v>
      </c>
      <c r="P30" s="207">
        <f t="shared" si="16"/>
        <v>4.2474335541170962</v>
      </c>
      <c r="Q30" s="207">
        <f t="shared" si="16"/>
        <v>4.3111450574288517</v>
      </c>
      <c r="R30" s="207">
        <f t="shared" si="16"/>
        <v>4.3758122332902847</v>
      </c>
      <c r="S30" s="207">
        <f t="shared" si="16"/>
        <v>4.4414494167896379</v>
      </c>
      <c r="T30" s="207">
        <f t="shared" si="16"/>
        <v>4.5080711580414814</v>
      </c>
      <c r="U30" s="207">
        <f t="shared" si="16"/>
        <v>4.5756922254121033</v>
      </c>
      <c r="V30" s="207">
        <f t="shared" si="16"/>
        <v>4.6443276087932848</v>
      </c>
      <c r="W30" s="207">
        <f t="shared" si="16"/>
        <v>4.7139925229251824</v>
      </c>
      <c r="X30" s="207">
        <f t="shared" si="16"/>
        <v>4.7847024107690599</v>
      </c>
      <c r="Y30" s="207">
        <f t="shared" si="16"/>
        <v>4.8564729469305945</v>
      </c>
      <c r="Z30" s="207">
        <f t="shared" si="16"/>
        <v>4.9293200411345532</v>
      </c>
      <c r="AA30" s="207">
        <f t="shared" si="16"/>
        <v>5.0032598417515715</v>
      </c>
      <c r="AB30" s="207">
        <f t="shared" si="16"/>
        <v>5.0783087393778441</v>
      </c>
      <c r="AC30" s="207">
        <f t="shared" si="16"/>
        <v>5.1544833704685109</v>
      </c>
      <c r="AD30" s="207">
        <f t="shared" si="16"/>
        <v>5.2318006210255383</v>
      </c>
      <c r="AE30" s="207">
        <f t="shared" si="16"/>
        <v>5.31027763034092</v>
      </c>
      <c r="AF30" s="207">
        <f t="shared" si="16"/>
        <v>5.3899317947960341</v>
      </c>
      <c r="AG30" s="207">
        <f t="shared" si="16"/>
        <v>0</v>
      </c>
      <c r="AH30" s="207">
        <f t="shared" si="16"/>
        <v>0</v>
      </c>
      <c r="AI30" s="207">
        <f t="shared" si="16"/>
        <v>0</v>
      </c>
      <c r="AJ30" s="207">
        <f t="shared" si="16"/>
        <v>0</v>
      </c>
      <c r="AK30" s="207">
        <f t="shared" si="16"/>
        <v>0</v>
      </c>
      <c r="AL30" s="207">
        <f t="shared" si="16"/>
        <v>0</v>
      </c>
      <c r="AM30" s="207">
        <f t="shared" si="16"/>
        <v>0</v>
      </c>
      <c r="AN30" s="207">
        <f t="shared" si="16"/>
        <v>0</v>
      </c>
      <c r="AO30" s="207">
        <f t="shared" si="16"/>
        <v>0</v>
      </c>
      <c r="AP30" s="207">
        <f t="shared" si="16"/>
        <v>0</v>
      </c>
    </row>
    <row r="31" spans="1:42">
      <c r="A31" s="206" t="s">
        <v>53</v>
      </c>
      <c r="C31" s="210">
        <f>C29*C30</f>
        <v>59500</v>
      </c>
      <c r="D31" s="210">
        <f t="shared" ref="D31:AP31" si="17">D29*D30</f>
        <v>60090.537499999999</v>
      </c>
      <c r="E31" s="210">
        <f t="shared" si="17"/>
        <v>60686.936084687484</v>
      </c>
      <c r="F31" s="210">
        <f t="shared" si="17"/>
        <v>61289.253925327997</v>
      </c>
      <c r="G31" s="210">
        <f t="shared" si="17"/>
        <v>61897.549770536869</v>
      </c>
      <c r="H31" s="210">
        <f t="shared" si="17"/>
        <v>62511.882952009437</v>
      </c>
      <c r="I31" s="210">
        <f t="shared" si="17"/>
        <v>63132.313390308118</v>
      </c>
      <c r="J31" s="210">
        <f t="shared" si="17"/>
        <v>63758.901600706922</v>
      </c>
      <c r="K31" s="210">
        <f t="shared" si="17"/>
        <v>64391.708699093928</v>
      </c>
      <c r="L31" s="210">
        <f t="shared" si="17"/>
        <v>65030.796407932423</v>
      </c>
      <c r="M31" s="210">
        <f t="shared" si="17"/>
        <v>65676.227062281163</v>
      </c>
      <c r="N31" s="210">
        <f t="shared" si="17"/>
        <v>66328.063615874285</v>
      </c>
      <c r="O31" s="210">
        <f t="shared" si="17"/>
        <v>66986.369647261818</v>
      </c>
      <c r="P31" s="210">
        <f t="shared" si="17"/>
        <v>67651.20936601088</v>
      </c>
      <c r="Q31" s="210">
        <f t="shared" si="17"/>
        <v>68322.647618968535</v>
      </c>
      <c r="R31" s="210">
        <f t="shared" si="17"/>
        <v>69000.749896586785</v>
      </c>
      <c r="S31" s="210">
        <f t="shared" si="17"/>
        <v>69685.582339310393</v>
      </c>
      <c r="T31" s="210">
        <f t="shared" si="17"/>
        <v>70377.211744028027</v>
      </c>
      <c r="U31" s="210">
        <f t="shared" si="17"/>
        <v>71075.70557058751</v>
      </c>
      <c r="V31" s="210">
        <f t="shared" si="17"/>
        <v>71781.13194837558</v>
      </c>
      <c r="W31" s="210">
        <f t="shared" si="17"/>
        <v>72493.559682963183</v>
      </c>
      <c r="X31" s="210">
        <f t="shared" si="17"/>
        <v>73213.058262816601</v>
      </c>
      <c r="Y31" s="210">
        <f t="shared" si="17"/>
        <v>73939.697866075017</v>
      </c>
      <c r="Z31" s="210">
        <f t="shared" si="17"/>
        <v>74673.549367395812</v>
      </c>
      <c r="AA31" s="210">
        <f t="shared" si="17"/>
        <v>75414.684344867215</v>
      </c>
      <c r="AB31" s="210">
        <f t="shared" si="17"/>
        <v>76163.175086990013</v>
      </c>
      <c r="AC31" s="210">
        <f t="shared" si="17"/>
        <v>76919.094599728371</v>
      </c>
      <c r="AD31" s="210">
        <f t="shared" si="17"/>
        <v>77682.516613630665</v>
      </c>
      <c r="AE31" s="210">
        <f t="shared" si="17"/>
        <v>78453.515591020929</v>
      </c>
      <c r="AF31" s="210">
        <f t="shared" si="17"/>
        <v>79232.166733261824</v>
      </c>
      <c r="AG31" s="210">
        <f t="shared" si="17"/>
        <v>0</v>
      </c>
      <c r="AH31" s="210">
        <f t="shared" si="17"/>
        <v>0</v>
      </c>
      <c r="AI31" s="210">
        <f t="shared" si="17"/>
        <v>0</v>
      </c>
      <c r="AJ31" s="210">
        <f t="shared" si="17"/>
        <v>0</v>
      </c>
      <c r="AK31" s="210">
        <f t="shared" si="17"/>
        <v>0</v>
      </c>
      <c r="AL31" s="210">
        <f t="shared" si="17"/>
        <v>0</v>
      </c>
      <c r="AM31" s="210">
        <f t="shared" si="17"/>
        <v>0</v>
      </c>
      <c r="AN31" s="210">
        <f t="shared" si="17"/>
        <v>0</v>
      </c>
      <c r="AO31" s="210">
        <f t="shared" si="17"/>
        <v>0</v>
      </c>
      <c r="AP31" s="210">
        <f t="shared" si="17"/>
        <v>0</v>
      </c>
    </row>
    <row r="32" spans="1:42">
      <c r="A32" s="202" t="s">
        <v>22</v>
      </c>
      <c r="C32" s="208"/>
      <c r="D32" s="208"/>
      <c r="E32" s="208"/>
      <c r="F32" s="208"/>
      <c r="G32" s="208"/>
      <c r="H32" s="208"/>
      <c r="I32" s="208"/>
      <c r="J32" s="208"/>
      <c r="K32" s="208"/>
      <c r="L32" s="208"/>
      <c r="M32" s="208"/>
      <c r="N32" s="208"/>
      <c r="O32" s="208"/>
      <c r="P32" s="208"/>
      <c r="Q32" s="208"/>
      <c r="R32" s="208"/>
      <c r="S32" s="208"/>
      <c r="T32" s="208"/>
      <c r="U32" s="208"/>
      <c r="V32" s="208"/>
      <c r="W32" s="208"/>
      <c r="X32" s="208"/>
      <c r="Y32" s="208"/>
      <c r="Z32" s="208"/>
      <c r="AA32" s="208"/>
      <c r="AB32" s="208"/>
      <c r="AC32" s="208"/>
      <c r="AD32" s="208"/>
      <c r="AE32" s="208"/>
      <c r="AF32" s="208"/>
      <c r="AG32" s="208"/>
      <c r="AH32" s="208"/>
      <c r="AI32" s="208"/>
      <c r="AJ32" s="208"/>
      <c r="AK32" s="208"/>
      <c r="AL32" s="208"/>
      <c r="AM32" s="208"/>
      <c r="AN32" s="208"/>
      <c r="AO32" s="208"/>
      <c r="AP32" s="208"/>
    </row>
    <row r="33" spans="1:42">
      <c r="A33" s="211" t="s">
        <v>319</v>
      </c>
      <c r="C33" s="208">
        <f>IF(C$2&lt;=AnalysisPeriod,'Inputs &amp; Results'!$J$6,0)</f>
        <v>40227150</v>
      </c>
      <c r="D33" s="208">
        <f>IF(D$2&lt;=AnalysisPeriod,'Inputs &amp; Results'!$J$6,0)</f>
        <v>40227150</v>
      </c>
      <c r="E33" s="208">
        <f>IF(E$2&lt;=AnalysisPeriod,'Inputs &amp; Results'!$J$6,0)</f>
        <v>40227150</v>
      </c>
      <c r="F33" s="208">
        <f>IF(F$2&lt;=AnalysisPeriod,'Inputs &amp; Results'!$J$6,0)</f>
        <v>40227150</v>
      </c>
      <c r="G33" s="208">
        <f>IF(G$2&lt;=AnalysisPeriod,'Inputs &amp; Results'!$J$6,0)</f>
        <v>40227150</v>
      </c>
      <c r="H33" s="208">
        <f>IF(H$2&lt;=AnalysisPeriod,'Inputs &amp; Results'!$J$6,0)</f>
        <v>40227150</v>
      </c>
      <c r="I33" s="208">
        <f>IF(I$2&lt;=AnalysisPeriod,'Inputs &amp; Results'!$J$6,0)</f>
        <v>40227150</v>
      </c>
      <c r="J33" s="208">
        <f>IF(J$2&lt;=AnalysisPeriod,'Inputs &amp; Results'!$J$6,0)</f>
        <v>40227150</v>
      </c>
      <c r="K33" s="208">
        <f>IF(K$2&lt;=AnalysisPeriod,'Inputs &amp; Results'!$J$6,0)</f>
        <v>40227150</v>
      </c>
      <c r="L33" s="208">
        <f>IF(L$2&lt;=AnalysisPeriod,'Inputs &amp; Results'!$J$6,0)</f>
        <v>40227150</v>
      </c>
      <c r="M33" s="208">
        <f>IF(M$2&lt;=AnalysisPeriod,'Inputs &amp; Results'!$J$6,0)</f>
        <v>40227150</v>
      </c>
      <c r="N33" s="208">
        <f>IF(N$2&lt;=AnalysisPeriod,'Inputs &amp; Results'!$J$6,0)</f>
        <v>40227150</v>
      </c>
      <c r="O33" s="208">
        <f>IF(O$2&lt;=AnalysisPeriod,'Inputs &amp; Results'!$J$6,0)</f>
        <v>40227150</v>
      </c>
      <c r="P33" s="208">
        <f>IF(P$2&lt;=AnalysisPeriod,'Inputs &amp; Results'!$J$6,0)</f>
        <v>40227150</v>
      </c>
      <c r="Q33" s="208">
        <f>IF(Q$2&lt;=AnalysisPeriod,'Inputs &amp; Results'!$J$6,0)</f>
        <v>40227150</v>
      </c>
      <c r="R33" s="208">
        <f>IF(R$2&lt;=AnalysisPeriod,'Inputs &amp; Results'!$J$6,0)</f>
        <v>40227150</v>
      </c>
      <c r="S33" s="208">
        <f>IF(S$2&lt;=AnalysisPeriod,'Inputs &amp; Results'!$J$6,0)</f>
        <v>40227150</v>
      </c>
      <c r="T33" s="208">
        <f>IF(T$2&lt;=AnalysisPeriod,'Inputs &amp; Results'!$J$6,0)</f>
        <v>40227150</v>
      </c>
      <c r="U33" s="208">
        <f>IF(U$2&lt;=AnalysisPeriod,'Inputs &amp; Results'!$J$6,0)</f>
        <v>40227150</v>
      </c>
      <c r="V33" s="208">
        <f>IF(V$2&lt;=AnalysisPeriod,'Inputs &amp; Results'!$J$6,0)</f>
        <v>40227150</v>
      </c>
      <c r="W33" s="208">
        <f>IF(W$2&lt;=AnalysisPeriod,'Inputs &amp; Results'!$J$6,0)</f>
        <v>40227150</v>
      </c>
      <c r="X33" s="208">
        <f>IF(X$2&lt;=AnalysisPeriod,'Inputs &amp; Results'!$J$6,0)</f>
        <v>40227150</v>
      </c>
      <c r="Y33" s="208">
        <f>IF(Y$2&lt;=AnalysisPeriod,'Inputs &amp; Results'!$J$6,0)</f>
        <v>40227150</v>
      </c>
      <c r="Z33" s="208">
        <f>IF(Z$2&lt;=AnalysisPeriod,'Inputs &amp; Results'!$J$6,0)</f>
        <v>40227150</v>
      </c>
      <c r="AA33" s="208">
        <f>IF(AA$2&lt;=AnalysisPeriod,'Inputs &amp; Results'!$J$6,0)</f>
        <v>40227150</v>
      </c>
      <c r="AB33" s="208">
        <f>IF(AB$2&lt;=AnalysisPeriod,'Inputs &amp; Results'!$J$6,0)</f>
        <v>40227150</v>
      </c>
      <c r="AC33" s="208">
        <f>IF(AC$2&lt;=AnalysisPeriod,'Inputs &amp; Results'!$J$6,0)</f>
        <v>40227150</v>
      </c>
      <c r="AD33" s="208">
        <f>IF(AD$2&lt;=AnalysisPeriod,'Inputs &amp; Results'!$J$6,0)</f>
        <v>40227150</v>
      </c>
      <c r="AE33" s="208">
        <f>IF(AE$2&lt;=AnalysisPeriod,'Inputs &amp; Results'!$J$6,0)</f>
        <v>40227150</v>
      </c>
      <c r="AF33" s="208">
        <f>IF(AF$2&lt;=AnalysisPeriod,'Inputs &amp; Results'!$J$6,0)</f>
        <v>40227150</v>
      </c>
      <c r="AG33" s="208">
        <f>IF(AG$2&lt;=AnalysisPeriod,'Inputs &amp; Results'!$J$6,0)</f>
        <v>0</v>
      </c>
      <c r="AH33" s="208">
        <f>IF(AH$2&lt;=AnalysisPeriod,'Inputs &amp; Results'!$J$6,0)</f>
        <v>0</v>
      </c>
      <c r="AI33" s="208">
        <f>IF(AI$2&lt;=AnalysisPeriod,'Inputs &amp; Results'!$J$6,0)</f>
        <v>0</v>
      </c>
      <c r="AJ33" s="208">
        <f>IF(AJ$2&lt;=AnalysisPeriod,'Inputs &amp; Results'!$J$6,0)</f>
        <v>0</v>
      </c>
      <c r="AK33" s="208">
        <f>IF(AK$2&lt;=AnalysisPeriod,'Inputs &amp; Results'!$J$6,0)</f>
        <v>0</v>
      </c>
      <c r="AL33" s="208">
        <f>IF(AL$2&lt;=AnalysisPeriod,'Inputs &amp; Results'!$J$6,0)</f>
        <v>0</v>
      </c>
      <c r="AM33" s="208">
        <f>IF(AM$2&lt;=AnalysisPeriod,'Inputs &amp; Results'!$J$6,0)</f>
        <v>0</v>
      </c>
      <c r="AN33" s="208">
        <f>IF(AN$2&lt;=AnalysisPeriod,'Inputs &amp; Results'!$J$6,0)</f>
        <v>0</v>
      </c>
      <c r="AO33" s="208">
        <f>IF(AO$2&lt;=AnalysisPeriod,'Inputs &amp; Results'!$J$6,0)</f>
        <v>0</v>
      </c>
      <c r="AP33" s="208">
        <f>IF(AP$2&lt;=AnalysisPeriod,'Inputs &amp; Results'!$J$6,0)</f>
        <v>0</v>
      </c>
    </row>
    <row r="34" spans="1:42">
      <c r="A34" s="211" t="s">
        <v>320</v>
      </c>
      <c r="C34" s="212">
        <f>IF(D$2&lt;=AnalysisPeriod,'Inputs &amp; Results'!$J$7,0)</f>
        <v>0.95</v>
      </c>
      <c r="D34" s="212">
        <f>'Inputs &amp; Results'!$J$7</f>
        <v>0.95</v>
      </c>
      <c r="E34" s="212">
        <f>'Inputs &amp; Results'!$J$7</f>
        <v>0.95</v>
      </c>
      <c r="F34" s="212">
        <f>'Inputs &amp; Results'!$J$7</f>
        <v>0.95</v>
      </c>
      <c r="G34" s="212">
        <f>'Inputs &amp; Results'!$J$7</f>
        <v>0.95</v>
      </c>
      <c r="H34" s="212">
        <f>'Inputs &amp; Results'!$J$7</f>
        <v>0.95</v>
      </c>
      <c r="I34" s="212">
        <f>'Inputs &amp; Results'!$J$7</f>
        <v>0.95</v>
      </c>
      <c r="J34" s="212">
        <f>'Inputs &amp; Results'!$J$7</f>
        <v>0.95</v>
      </c>
      <c r="K34" s="212">
        <f>'Inputs &amp; Results'!$J$7</f>
        <v>0.95</v>
      </c>
      <c r="L34" s="212">
        <f>'Inputs &amp; Results'!$J$7</f>
        <v>0.95</v>
      </c>
      <c r="M34" s="212">
        <f>'Inputs &amp; Results'!$J$7</f>
        <v>0.95</v>
      </c>
      <c r="N34" s="212">
        <f>'Inputs &amp; Results'!$J$7</f>
        <v>0.95</v>
      </c>
      <c r="O34" s="212">
        <f>'Inputs &amp; Results'!$J$7</f>
        <v>0.95</v>
      </c>
      <c r="P34" s="212">
        <f>'Inputs &amp; Results'!$J$7</f>
        <v>0.95</v>
      </c>
      <c r="Q34" s="212">
        <f>'Inputs &amp; Results'!$J$7</f>
        <v>0.95</v>
      </c>
      <c r="R34" s="212">
        <f>'Inputs &amp; Results'!$J$7</f>
        <v>0.95</v>
      </c>
      <c r="S34" s="212">
        <f>'Inputs &amp; Results'!$J$7</f>
        <v>0.95</v>
      </c>
      <c r="T34" s="212">
        <f>'Inputs &amp; Results'!$J$7</f>
        <v>0.95</v>
      </c>
      <c r="U34" s="212">
        <f>'Inputs &amp; Results'!$J$7</f>
        <v>0.95</v>
      </c>
      <c r="V34" s="212">
        <f>'Inputs &amp; Results'!$J$7</f>
        <v>0.95</v>
      </c>
      <c r="W34" s="212">
        <f>'Inputs &amp; Results'!$J$7</f>
        <v>0.95</v>
      </c>
      <c r="X34" s="212">
        <f>'Inputs &amp; Results'!$J$7</f>
        <v>0.95</v>
      </c>
      <c r="Y34" s="212">
        <f>'Inputs &amp; Results'!$J$7</f>
        <v>0.95</v>
      </c>
      <c r="Z34" s="212">
        <f>'Inputs &amp; Results'!$J$7</f>
        <v>0.95</v>
      </c>
      <c r="AA34" s="212">
        <f>'Inputs &amp; Results'!$J$7</f>
        <v>0.95</v>
      </c>
      <c r="AB34" s="212">
        <f>'Inputs &amp; Results'!$J$7</f>
        <v>0.95</v>
      </c>
      <c r="AC34" s="212">
        <f>'Inputs &amp; Results'!$J$7</f>
        <v>0.95</v>
      </c>
      <c r="AD34" s="212">
        <f>'Inputs &amp; Results'!$J$7</f>
        <v>0.95</v>
      </c>
      <c r="AE34" s="212">
        <f>'Inputs &amp; Results'!$J$7</f>
        <v>0.95</v>
      </c>
      <c r="AF34" s="212">
        <f>'Inputs &amp; Results'!$J$7</f>
        <v>0.95</v>
      </c>
      <c r="AG34" s="212">
        <f>'Inputs &amp; Results'!$J$7</f>
        <v>0.95</v>
      </c>
      <c r="AH34" s="212">
        <f>'Inputs &amp; Results'!$J$7</f>
        <v>0.95</v>
      </c>
      <c r="AI34" s="212">
        <f>'Inputs &amp; Results'!$J$7</f>
        <v>0.95</v>
      </c>
      <c r="AJ34" s="212">
        <f>'Inputs &amp; Results'!$J$7</f>
        <v>0.95</v>
      </c>
      <c r="AK34" s="212">
        <f>'Inputs &amp; Results'!$J$7</f>
        <v>0.95</v>
      </c>
      <c r="AL34" s="212">
        <f>'Inputs &amp; Results'!$J$7</f>
        <v>0.95</v>
      </c>
      <c r="AM34" s="212">
        <f>'Inputs &amp; Results'!$J$7</f>
        <v>0.95</v>
      </c>
      <c r="AN34" s="212">
        <f>'Inputs &amp; Results'!$J$7</f>
        <v>0.95</v>
      </c>
      <c r="AO34" s="212">
        <f>'Inputs &amp; Results'!$J$7</f>
        <v>0.95</v>
      </c>
      <c r="AP34" s="212">
        <f>'Inputs &amp; Results'!$J$7</f>
        <v>0.95</v>
      </c>
    </row>
    <row r="35" spans="1:42">
      <c r="A35" s="211" t="s">
        <v>388</v>
      </c>
      <c r="C35" s="208">
        <f>C33*C34</f>
        <v>38215792.5</v>
      </c>
      <c r="D35" s="208">
        <f>D33*D34</f>
        <v>38215792.5</v>
      </c>
      <c r="E35" s="208">
        <f t="shared" ref="E35:K35" si="18">E33*E34</f>
        <v>38215792.5</v>
      </c>
      <c r="F35" s="208">
        <f t="shared" si="18"/>
        <v>38215792.5</v>
      </c>
      <c r="G35" s="208">
        <f t="shared" si="18"/>
        <v>38215792.5</v>
      </c>
      <c r="H35" s="208">
        <f t="shared" si="18"/>
        <v>38215792.5</v>
      </c>
      <c r="I35" s="208">
        <f t="shared" si="18"/>
        <v>38215792.5</v>
      </c>
      <c r="J35" s="208">
        <f t="shared" si="18"/>
        <v>38215792.5</v>
      </c>
      <c r="K35" s="208">
        <f t="shared" si="18"/>
        <v>38215792.5</v>
      </c>
      <c r="L35" s="208">
        <f>L33*L34</f>
        <v>38215792.5</v>
      </c>
      <c r="M35" s="208">
        <f t="shared" ref="M35:R35" si="19">M33*M34</f>
        <v>38215792.5</v>
      </c>
      <c r="N35" s="208">
        <f t="shared" si="19"/>
        <v>38215792.5</v>
      </c>
      <c r="O35" s="208">
        <f t="shared" si="19"/>
        <v>38215792.5</v>
      </c>
      <c r="P35" s="208">
        <f t="shared" si="19"/>
        <v>38215792.5</v>
      </c>
      <c r="Q35" s="208">
        <f t="shared" si="19"/>
        <v>38215792.5</v>
      </c>
      <c r="R35" s="208">
        <f t="shared" si="19"/>
        <v>38215792.5</v>
      </c>
      <c r="S35" s="208">
        <f>S33*S34</f>
        <v>38215792.5</v>
      </c>
      <c r="T35" s="208">
        <f t="shared" ref="T35:X35" si="20">T33*T34</f>
        <v>38215792.5</v>
      </c>
      <c r="U35" s="208">
        <f t="shared" si="20"/>
        <v>38215792.5</v>
      </c>
      <c r="V35" s="208">
        <f t="shared" si="20"/>
        <v>38215792.5</v>
      </c>
      <c r="W35" s="208">
        <f t="shared" si="20"/>
        <v>38215792.5</v>
      </c>
      <c r="X35" s="208">
        <f t="shared" si="20"/>
        <v>38215792.5</v>
      </c>
      <c r="Y35" s="208">
        <f>Y33*Y34</f>
        <v>38215792.5</v>
      </c>
      <c r="Z35" s="208">
        <f t="shared" ref="Z35:AF35" si="21">Z33*Z34</f>
        <v>38215792.5</v>
      </c>
      <c r="AA35" s="208">
        <f t="shared" si="21"/>
        <v>38215792.5</v>
      </c>
      <c r="AB35" s="208">
        <f t="shared" si="21"/>
        <v>38215792.5</v>
      </c>
      <c r="AC35" s="208">
        <f t="shared" si="21"/>
        <v>38215792.5</v>
      </c>
      <c r="AD35" s="208">
        <f t="shared" si="21"/>
        <v>38215792.5</v>
      </c>
      <c r="AE35" s="208">
        <f t="shared" si="21"/>
        <v>38215792.5</v>
      </c>
      <c r="AF35" s="208">
        <f t="shared" si="21"/>
        <v>38215792.5</v>
      </c>
      <c r="AG35" s="208">
        <f>AG33*AG34</f>
        <v>0</v>
      </c>
      <c r="AH35" s="208">
        <f t="shared" ref="AH35:AM35" si="22">AH33*AH34</f>
        <v>0</v>
      </c>
      <c r="AI35" s="208">
        <f t="shared" si="22"/>
        <v>0</v>
      </c>
      <c r="AJ35" s="208">
        <f t="shared" si="22"/>
        <v>0</v>
      </c>
      <c r="AK35" s="208">
        <f t="shared" si="22"/>
        <v>0</v>
      </c>
      <c r="AL35" s="208">
        <f t="shared" si="22"/>
        <v>0</v>
      </c>
      <c r="AM35" s="208">
        <f t="shared" si="22"/>
        <v>0</v>
      </c>
      <c r="AN35" s="208">
        <f>AN33*AN34</f>
        <v>0</v>
      </c>
      <c r="AO35" s="208">
        <f t="shared" ref="AO35:AP35" si="23">AO33*AO34</f>
        <v>0</v>
      </c>
      <c r="AP35" s="208">
        <f t="shared" si="23"/>
        <v>0</v>
      </c>
    </row>
    <row r="36" spans="1:42">
      <c r="A36" s="211" t="s">
        <v>322</v>
      </c>
      <c r="C36" s="213">
        <v>1</v>
      </c>
      <c r="D36" s="214">
        <f>MAX(C36-'Inputs &amp; Results'!$J$9,0)</f>
        <v>0.95</v>
      </c>
      <c r="E36" s="214">
        <f>MAX(D36-'Inputs &amp; Results'!$J$9,0)</f>
        <v>0.89999999999999991</v>
      </c>
      <c r="F36" s="214">
        <f>MAX(E36-'Inputs &amp; Results'!$J$9,0)</f>
        <v>0.84999999999999987</v>
      </c>
      <c r="G36" s="214">
        <f>MAX(F36-'Inputs &amp; Results'!$J$9,0)</f>
        <v>0.79999999999999982</v>
      </c>
      <c r="H36" s="214">
        <f>MAX(G36-'Inputs &amp; Results'!$J$9,0)</f>
        <v>0.74999999999999978</v>
      </c>
      <c r="I36" s="214">
        <f>MAX(H36-'Inputs &amp; Results'!$J$9,0)</f>
        <v>0.69999999999999973</v>
      </c>
      <c r="J36" s="214">
        <f>MAX(I36-'Inputs &amp; Results'!$J$9,0)</f>
        <v>0.64999999999999969</v>
      </c>
      <c r="K36" s="214">
        <f>MAX(J36-'Inputs &amp; Results'!$J$9,0)</f>
        <v>0.59999999999999964</v>
      </c>
      <c r="L36" s="214">
        <f>MAX(K36-'Inputs &amp; Results'!$J$9,0)</f>
        <v>0.5499999999999996</v>
      </c>
      <c r="M36" s="214">
        <f>MAX(L36-'Inputs &amp; Results'!$J$9,0)</f>
        <v>0.49999999999999961</v>
      </c>
      <c r="N36" s="214">
        <f>MAX(M36-'Inputs &amp; Results'!$J$9,0)</f>
        <v>0.44999999999999962</v>
      </c>
      <c r="O36" s="214">
        <f>MAX(N36-'Inputs &amp; Results'!$J$9,0)</f>
        <v>0.39999999999999963</v>
      </c>
      <c r="P36" s="214">
        <f>MAX(O36-'Inputs &amp; Results'!$J$9,0)</f>
        <v>0.34999999999999964</v>
      </c>
      <c r="Q36" s="214">
        <f>MAX(P36-'Inputs &amp; Results'!$J$9,0)</f>
        <v>0.29999999999999966</v>
      </c>
      <c r="R36" s="214">
        <f>MAX(Q36-'Inputs &amp; Results'!$J$9,0)</f>
        <v>0.24999999999999967</v>
      </c>
      <c r="S36" s="214">
        <f>MAX(R36-'Inputs &amp; Results'!$J$9,0)</f>
        <v>0.19999999999999968</v>
      </c>
      <c r="T36" s="214">
        <f>MAX(S36-'Inputs &amp; Results'!$J$9,0)</f>
        <v>0.14999999999999969</v>
      </c>
      <c r="U36" s="214">
        <f>MAX(T36-'Inputs &amp; Results'!$J$9,0)</f>
        <v>9.9999999999999686E-2</v>
      </c>
      <c r="V36" s="214">
        <f>MAX(U36-'Inputs &amp; Results'!$J$9,0)</f>
        <v>4.9999999999999684E-2</v>
      </c>
      <c r="W36" s="214">
        <f>MAX(V36-'Inputs &amp; Results'!$J$9,0)</f>
        <v>0</v>
      </c>
      <c r="X36" s="214">
        <f>MAX(W36-'Inputs &amp; Results'!$J$9,0)</f>
        <v>0</v>
      </c>
      <c r="Y36" s="214">
        <f>MAX(X36-'Inputs &amp; Results'!$J$9,0)</f>
        <v>0</v>
      </c>
      <c r="Z36" s="214">
        <f>MAX(Y36-'Inputs &amp; Results'!$J$9,0)</f>
        <v>0</v>
      </c>
      <c r="AA36" s="214">
        <f>MAX(Z36-'Inputs &amp; Results'!$J$9,0)</f>
        <v>0</v>
      </c>
      <c r="AB36" s="214">
        <f>MAX(AA36-'Inputs &amp; Results'!$J$9,0)</f>
        <v>0</v>
      </c>
      <c r="AC36" s="214">
        <f>MAX(AB36-'Inputs &amp; Results'!$J$9,0)</f>
        <v>0</v>
      </c>
      <c r="AD36" s="214">
        <f>MAX(AC36-'Inputs &amp; Results'!$J$9,0)</f>
        <v>0</v>
      </c>
      <c r="AE36" s="214">
        <f>MAX(AD36-'Inputs &amp; Results'!$J$9,0)</f>
        <v>0</v>
      </c>
      <c r="AF36" s="214">
        <f>MAX(AE36-'Inputs &amp; Results'!$J$9,0)</f>
        <v>0</v>
      </c>
      <c r="AG36" s="214">
        <f>MAX(AF36-'Inputs &amp; Results'!$J$9,0)</f>
        <v>0</v>
      </c>
      <c r="AH36" s="214">
        <f>MAX(AG36-'Inputs &amp; Results'!$J$9,0)</f>
        <v>0</v>
      </c>
      <c r="AI36" s="214">
        <f>MAX(AH36-'Inputs &amp; Results'!$J$9,0)</f>
        <v>0</v>
      </c>
      <c r="AJ36" s="214">
        <f>MAX(AI36-'Inputs &amp; Results'!$J$9,0)</f>
        <v>0</v>
      </c>
      <c r="AK36" s="214">
        <f>MAX(AJ36-'Inputs &amp; Results'!$J$9,0)</f>
        <v>0</v>
      </c>
      <c r="AL36" s="214">
        <f>MAX(AK36-'Inputs &amp; Results'!$J$9,0)</f>
        <v>0</v>
      </c>
      <c r="AM36" s="214">
        <f>MAX(AL36-'Inputs &amp; Results'!$J$9,0)</f>
        <v>0</v>
      </c>
      <c r="AN36" s="214">
        <f>MAX(AM36-'Inputs &amp; Results'!$J$9,0)</f>
        <v>0</v>
      </c>
      <c r="AO36" s="214">
        <f>MAX(AN36-'Inputs &amp; Results'!$J$9,0)</f>
        <v>0</v>
      </c>
      <c r="AP36" s="214">
        <f>MAX(AO36-'Inputs &amp; Results'!$J$9,0)</f>
        <v>0</v>
      </c>
    </row>
    <row r="37" spans="1:42">
      <c r="A37" s="211" t="s">
        <v>324</v>
      </c>
      <c r="C37" s="208">
        <f>C35*C36</f>
        <v>38215792.5</v>
      </c>
      <c r="D37" s="208">
        <f>D35*D36</f>
        <v>36305002.875</v>
      </c>
      <c r="E37" s="208">
        <f t="shared" ref="E37:K37" si="24">E35*E36</f>
        <v>34394213.25</v>
      </c>
      <c r="F37" s="208">
        <f t="shared" si="24"/>
        <v>32483423.624999996</v>
      </c>
      <c r="G37" s="208">
        <f t="shared" si="24"/>
        <v>30572633.999999993</v>
      </c>
      <c r="H37" s="208">
        <f t="shared" si="24"/>
        <v>28661844.374999993</v>
      </c>
      <c r="I37" s="208">
        <f t="shared" si="24"/>
        <v>26751054.749999989</v>
      </c>
      <c r="J37" s="208">
        <f t="shared" si="24"/>
        <v>24840265.124999989</v>
      </c>
      <c r="K37" s="208">
        <f t="shared" si="24"/>
        <v>22929475.499999985</v>
      </c>
      <c r="L37" s="208">
        <f>L35*L36</f>
        <v>21018685.874999985</v>
      </c>
      <c r="M37" s="208">
        <f t="shared" ref="M37:R37" si="25">M35*M36</f>
        <v>19107896.249999985</v>
      </c>
      <c r="N37" s="208">
        <f t="shared" si="25"/>
        <v>17197106.624999985</v>
      </c>
      <c r="O37" s="208">
        <f t="shared" si="25"/>
        <v>15286316.999999985</v>
      </c>
      <c r="P37" s="208">
        <f t="shared" si="25"/>
        <v>13375527.374999987</v>
      </c>
      <c r="Q37" s="208">
        <f t="shared" si="25"/>
        <v>11464737.749999987</v>
      </c>
      <c r="R37" s="208">
        <f t="shared" si="25"/>
        <v>9553948.124999987</v>
      </c>
      <c r="S37" s="208">
        <f>S35*S36</f>
        <v>7643158.4999999879</v>
      </c>
      <c r="T37" s="208">
        <f t="shared" ref="T37:X37" si="26">T35*T36</f>
        <v>5732368.8749999879</v>
      </c>
      <c r="U37" s="208">
        <f t="shared" si="26"/>
        <v>3821579.2499999879</v>
      </c>
      <c r="V37" s="208">
        <f t="shared" si="26"/>
        <v>1910789.6249999879</v>
      </c>
      <c r="W37" s="208">
        <f t="shared" si="26"/>
        <v>0</v>
      </c>
      <c r="X37" s="208">
        <f t="shared" si="26"/>
        <v>0</v>
      </c>
      <c r="Y37" s="208">
        <f>Y35*Y36</f>
        <v>0</v>
      </c>
      <c r="Z37" s="208">
        <f t="shared" ref="Z37:AF37" si="27">Z35*Z36</f>
        <v>0</v>
      </c>
      <c r="AA37" s="208">
        <f t="shared" si="27"/>
        <v>0</v>
      </c>
      <c r="AB37" s="208">
        <f t="shared" si="27"/>
        <v>0</v>
      </c>
      <c r="AC37" s="208">
        <f t="shared" si="27"/>
        <v>0</v>
      </c>
      <c r="AD37" s="208">
        <f t="shared" si="27"/>
        <v>0</v>
      </c>
      <c r="AE37" s="208">
        <f t="shared" si="27"/>
        <v>0</v>
      </c>
      <c r="AF37" s="208">
        <f t="shared" si="27"/>
        <v>0</v>
      </c>
      <c r="AG37" s="208">
        <f>AG35*AG36</f>
        <v>0</v>
      </c>
      <c r="AH37" s="208">
        <f t="shared" ref="AH37:AM37" si="28">AH35*AH36</f>
        <v>0</v>
      </c>
      <c r="AI37" s="208">
        <f t="shared" si="28"/>
        <v>0</v>
      </c>
      <c r="AJ37" s="208">
        <f t="shared" si="28"/>
        <v>0</v>
      </c>
      <c r="AK37" s="208">
        <f t="shared" si="28"/>
        <v>0</v>
      </c>
      <c r="AL37" s="208">
        <f t="shared" si="28"/>
        <v>0</v>
      </c>
      <c r="AM37" s="208">
        <f t="shared" si="28"/>
        <v>0</v>
      </c>
      <c r="AN37" s="208">
        <f>AN35*AN36</f>
        <v>0</v>
      </c>
      <c r="AO37" s="208">
        <f t="shared" ref="AO37:AP37" si="29">AO35*AO36</f>
        <v>0</v>
      </c>
      <c r="AP37" s="208">
        <f t="shared" si="29"/>
        <v>0</v>
      </c>
    </row>
    <row r="38" spans="1:42">
      <c r="A38" s="211" t="s">
        <v>323</v>
      </c>
      <c r="C38" s="212">
        <f t="shared" ref="C38:AP38" si="30">PropertyTaxRate</f>
        <v>7.4999999999999997E-3</v>
      </c>
      <c r="D38" s="212">
        <f t="shared" si="30"/>
        <v>7.4999999999999997E-3</v>
      </c>
      <c r="E38" s="212">
        <f t="shared" si="30"/>
        <v>7.4999999999999997E-3</v>
      </c>
      <c r="F38" s="212">
        <f t="shared" si="30"/>
        <v>7.4999999999999997E-3</v>
      </c>
      <c r="G38" s="212">
        <f t="shared" si="30"/>
        <v>7.4999999999999997E-3</v>
      </c>
      <c r="H38" s="212">
        <f t="shared" si="30"/>
        <v>7.4999999999999997E-3</v>
      </c>
      <c r="I38" s="212">
        <f t="shared" si="30"/>
        <v>7.4999999999999997E-3</v>
      </c>
      <c r="J38" s="212">
        <f t="shared" si="30"/>
        <v>7.4999999999999997E-3</v>
      </c>
      <c r="K38" s="212">
        <f t="shared" si="30"/>
        <v>7.4999999999999997E-3</v>
      </c>
      <c r="L38" s="212">
        <f t="shared" si="30"/>
        <v>7.4999999999999997E-3</v>
      </c>
      <c r="M38" s="212">
        <f t="shared" si="30"/>
        <v>7.4999999999999997E-3</v>
      </c>
      <c r="N38" s="212">
        <f t="shared" si="30"/>
        <v>7.4999999999999997E-3</v>
      </c>
      <c r="O38" s="212">
        <f t="shared" si="30"/>
        <v>7.4999999999999997E-3</v>
      </c>
      <c r="P38" s="212">
        <f t="shared" si="30"/>
        <v>7.4999999999999997E-3</v>
      </c>
      <c r="Q38" s="212">
        <f t="shared" si="30"/>
        <v>7.4999999999999997E-3</v>
      </c>
      <c r="R38" s="212">
        <f t="shared" si="30"/>
        <v>7.4999999999999997E-3</v>
      </c>
      <c r="S38" s="212">
        <f t="shared" si="30"/>
        <v>7.4999999999999997E-3</v>
      </c>
      <c r="T38" s="212">
        <f t="shared" si="30"/>
        <v>7.4999999999999997E-3</v>
      </c>
      <c r="U38" s="212">
        <f t="shared" si="30"/>
        <v>7.4999999999999997E-3</v>
      </c>
      <c r="V38" s="212">
        <f t="shared" si="30"/>
        <v>7.4999999999999997E-3</v>
      </c>
      <c r="W38" s="212">
        <f t="shared" si="30"/>
        <v>7.4999999999999997E-3</v>
      </c>
      <c r="X38" s="212">
        <f t="shared" si="30"/>
        <v>7.4999999999999997E-3</v>
      </c>
      <c r="Y38" s="212">
        <f t="shared" si="30"/>
        <v>7.4999999999999997E-3</v>
      </c>
      <c r="Z38" s="212">
        <f t="shared" si="30"/>
        <v>7.4999999999999997E-3</v>
      </c>
      <c r="AA38" s="212">
        <f t="shared" si="30"/>
        <v>7.4999999999999997E-3</v>
      </c>
      <c r="AB38" s="212">
        <f t="shared" si="30"/>
        <v>7.4999999999999997E-3</v>
      </c>
      <c r="AC38" s="212">
        <f t="shared" si="30"/>
        <v>7.4999999999999997E-3</v>
      </c>
      <c r="AD38" s="212">
        <f t="shared" si="30"/>
        <v>7.4999999999999997E-3</v>
      </c>
      <c r="AE38" s="212">
        <f t="shared" si="30"/>
        <v>7.4999999999999997E-3</v>
      </c>
      <c r="AF38" s="212">
        <f t="shared" si="30"/>
        <v>7.4999999999999997E-3</v>
      </c>
      <c r="AG38" s="212">
        <f t="shared" si="30"/>
        <v>7.4999999999999997E-3</v>
      </c>
      <c r="AH38" s="212">
        <f t="shared" si="30"/>
        <v>7.4999999999999997E-3</v>
      </c>
      <c r="AI38" s="212">
        <f t="shared" si="30"/>
        <v>7.4999999999999997E-3</v>
      </c>
      <c r="AJ38" s="212">
        <f t="shared" si="30"/>
        <v>7.4999999999999997E-3</v>
      </c>
      <c r="AK38" s="212">
        <f t="shared" si="30"/>
        <v>7.4999999999999997E-3</v>
      </c>
      <c r="AL38" s="212">
        <f t="shared" si="30"/>
        <v>7.4999999999999997E-3</v>
      </c>
      <c r="AM38" s="212">
        <f t="shared" si="30"/>
        <v>7.4999999999999997E-3</v>
      </c>
      <c r="AN38" s="212">
        <f t="shared" si="30"/>
        <v>7.4999999999999997E-3</v>
      </c>
      <c r="AO38" s="212">
        <f t="shared" si="30"/>
        <v>7.4999999999999997E-3</v>
      </c>
      <c r="AP38" s="212">
        <f t="shared" si="30"/>
        <v>7.4999999999999997E-3</v>
      </c>
    </row>
    <row r="39" spans="1:42">
      <c r="A39" s="211" t="s">
        <v>22</v>
      </c>
      <c r="C39" s="164">
        <f>C37*C38</f>
        <v>286618.44374999998</v>
      </c>
      <c r="D39" s="164">
        <f>D37*D38</f>
        <v>272287.52156249998</v>
      </c>
      <c r="E39" s="164">
        <f t="shared" ref="E39:K39" si="31">E37*E38</f>
        <v>257956.59937499999</v>
      </c>
      <c r="F39" s="164">
        <f t="shared" si="31"/>
        <v>243625.67718749997</v>
      </c>
      <c r="G39" s="164">
        <f t="shared" si="31"/>
        <v>229294.75499999995</v>
      </c>
      <c r="H39" s="164">
        <f t="shared" si="31"/>
        <v>214963.83281249992</v>
      </c>
      <c r="I39" s="164">
        <f t="shared" si="31"/>
        <v>200632.9106249999</v>
      </c>
      <c r="J39" s="164">
        <f t="shared" si="31"/>
        <v>186301.98843749991</v>
      </c>
      <c r="K39" s="164">
        <f t="shared" si="31"/>
        <v>171971.06624999989</v>
      </c>
      <c r="L39" s="164">
        <f>L37*L38</f>
        <v>157640.14406249989</v>
      </c>
      <c r="M39" s="164">
        <f t="shared" ref="M39:R39" si="32">M37*M38</f>
        <v>143309.22187499987</v>
      </c>
      <c r="N39" s="164">
        <f t="shared" si="32"/>
        <v>128978.29968749988</v>
      </c>
      <c r="O39" s="164">
        <f t="shared" si="32"/>
        <v>114647.37749999989</v>
      </c>
      <c r="P39" s="164">
        <f t="shared" si="32"/>
        <v>100316.45531249989</v>
      </c>
      <c r="Q39" s="164">
        <f t="shared" si="32"/>
        <v>85985.5331249999</v>
      </c>
      <c r="R39" s="164">
        <f t="shared" si="32"/>
        <v>71654.610937499892</v>
      </c>
      <c r="S39" s="164">
        <f>S37*S38</f>
        <v>57323.688749999907</v>
      </c>
      <c r="T39" s="164">
        <f t="shared" ref="T39:X39" si="33">T37*T38</f>
        <v>42992.766562499906</v>
      </c>
      <c r="U39" s="164">
        <f t="shared" si="33"/>
        <v>28661.84437499991</v>
      </c>
      <c r="V39" s="164">
        <f t="shared" si="33"/>
        <v>14330.922187499909</v>
      </c>
      <c r="W39" s="164">
        <f t="shared" si="33"/>
        <v>0</v>
      </c>
      <c r="X39" s="164">
        <f t="shared" si="33"/>
        <v>0</v>
      </c>
      <c r="Y39" s="164">
        <f>Y37*Y38</f>
        <v>0</v>
      </c>
      <c r="Z39" s="164">
        <f t="shared" ref="Z39:AF39" si="34">Z37*Z38</f>
        <v>0</v>
      </c>
      <c r="AA39" s="164">
        <f t="shared" si="34"/>
        <v>0</v>
      </c>
      <c r="AB39" s="164">
        <f t="shared" si="34"/>
        <v>0</v>
      </c>
      <c r="AC39" s="164">
        <f t="shared" si="34"/>
        <v>0</v>
      </c>
      <c r="AD39" s="164">
        <f t="shared" si="34"/>
        <v>0</v>
      </c>
      <c r="AE39" s="164">
        <f t="shared" si="34"/>
        <v>0</v>
      </c>
      <c r="AF39" s="164">
        <f t="shared" si="34"/>
        <v>0</v>
      </c>
      <c r="AG39" s="164">
        <f>AG37*AG38</f>
        <v>0</v>
      </c>
      <c r="AH39" s="164">
        <f t="shared" ref="AH39:AM39" si="35">AH37*AH38</f>
        <v>0</v>
      </c>
      <c r="AI39" s="164">
        <f t="shared" si="35"/>
        <v>0</v>
      </c>
      <c r="AJ39" s="164">
        <f t="shared" si="35"/>
        <v>0</v>
      </c>
      <c r="AK39" s="164">
        <f t="shared" si="35"/>
        <v>0</v>
      </c>
      <c r="AL39" s="164">
        <f t="shared" si="35"/>
        <v>0</v>
      </c>
      <c r="AM39" s="164">
        <f t="shared" si="35"/>
        <v>0</v>
      </c>
      <c r="AN39" s="164">
        <f>AN37*AN38</f>
        <v>0</v>
      </c>
      <c r="AO39" s="164">
        <f t="shared" ref="AO39:AP39" si="36">AO37*AO38</f>
        <v>0</v>
      </c>
      <c r="AP39" s="164">
        <f t="shared" si="36"/>
        <v>0</v>
      </c>
    </row>
    <row r="40" spans="1:42">
      <c r="A40" s="202" t="s">
        <v>136</v>
      </c>
      <c r="C40" s="208">
        <f>IF(C$2&lt;=AnalysisPeriod,PreFinancingInstalledCostTotal*'Inputs &amp; Results'!$J$12*(1+Inflation)^B$2,0)</f>
        <v>201135.75</v>
      </c>
      <c r="D40" s="208">
        <f>IF(D$2&lt;=AnalysisPeriod,PreFinancingInstalledCostTotal*'Inputs &amp; Results'!$J$12*(1+Inflation)^C$2,0)</f>
        <v>204152.78624999998</v>
      </c>
      <c r="E40" s="208">
        <f>IF(E$2&lt;=AnalysisPeriod,PreFinancingInstalledCostTotal*'Inputs &amp; Results'!$J$12*(1+Inflation)^D$2,0)</f>
        <v>207215.07804374993</v>
      </c>
      <c r="F40" s="208">
        <f>IF(F$2&lt;=AnalysisPeriod,PreFinancingInstalledCostTotal*'Inputs &amp; Results'!$J$12*(1+Inflation)^E$2,0)</f>
        <v>210323.30421440618</v>
      </c>
      <c r="G40" s="208">
        <f>IF(G$2&lt;=AnalysisPeriod,PreFinancingInstalledCostTotal*'Inputs &amp; Results'!$J$12*(1+Inflation)^F$2,0)</f>
        <v>213478.15377762224</v>
      </c>
      <c r="H40" s="208">
        <f>IF(H$2&lt;=AnalysisPeriod,PreFinancingInstalledCostTotal*'Inputs &amp; Results'!$J$12*(1+Inflation)^G$2,0)</f>
        <v>216680.32608428653</v>
      </c>
      <c r="I40" s="208">
        <f>IF(I$2&lt;=AnalysisPeriod,PreFinancingInstalledCostTotal*'Inputs &amp; Results'!$J$12*(1+Inflation)^H$2,0)</f>
        <v>219930.53097555079</v>
      </c>
      <c r="J40" s="208">
        <f>IF(J$2&lt;=AnalysisPeriod,PreFinancingInstalledCostTotal*'Inputs &amp; Results'!$J$12*(1+Inflation)^I$2,0)</f>
        <v>223229.488940184</v>
      </c>
      <c r="K40" s="208">
        <f>IF(K$2&lt;=AnalysisPeriod,PreFinancingInstalledCostTotal*'Inputs &amp; Results'!$J$12*(1+Inflation)^J$2,0)</f>
        <v>226577.93127428676</v>
      </c>
      <c r="L40" s="208">
        <f>IF(L$2&lt;=AnalysisPeriod,PreFinancingInstalledCostTotal*'Inputs &amp; Results'!$J$12*(1+Inflation)^K$2,0)</f>
        <v>229976.60024340104</v>
      </c>
      <c r="M40" s="208">
        <f>IF(M$2&lt;=AnalysisPeriod,PreFinancingInstalledCostTotal*'Inputs &amp; Results'!$J$12*(1+Inflation)^L$2,0)</f>
        <v>233426.24924705201</v>
      </c>
      <c r="N40" s="208">
        <f>IF(N$2&lt;=AnalysisPeriod,PreFinancingInstalledCostTotal*'Inputs &amp; Results'!$J$12*(1+Inflation)^M$2,0)</f>
        <v>236927.64298575779</v>
      </c>
      <c r="O40" s="208">
        <f>IF(O$2&lt;=AnalysisPeriod,PreFinancingInstalledCostTotal*'Inputs &amp; Results'!$J$12*(1+Inflation)^N$2,0)</f>
        <v>240481.55763054409</v>
      </c>
      <c r="P40" s="208">
        <f>IF(P$2&lt;=AnalysisPeriod,PreFinancingInstalledCostTotal*'Inputs &amp; Results'!$J$12*(1+Inflation)^O$2,0)</f>
        <v>244088.78099500225</v>
      </c>
      <c r="Q40" s="208">
        <f>IF(Q$2&lt;=AnalysisPeriod,PreFinancingInstalledCostTotal*'Inputs &amp; Results'!$J$12*(1+Inflation)^P$2,0)</f>
        <v>247750.1127099272</v>
      </c>
      <c r="R40" s="208">
        <f>IF(R$2&lt;=AnalysisPeriod,PreFinancingInstalledCostTotal*'Inputs &amp; Results'!$J$12*(1+Inflation)^Q$2,0)</f>
        <v>251466.36440057607</v>
      </c>
      <c r="S40" s="208">
        <f>IF(S$2&lt;=AnalysisPeriod,PreFinancingInstalledCostTotal*'Inputs &amp; Results'!$J$12*(1+Inflation)^R$2,0)</f>
        <v>255238.35986658468</v>
      </c>
      <c r="T40" s="208">
        <f>IF(T$2&lt;=AnalysisPeriod,PreFinancingInstalledCostTotal*'Inputs &amp; Results'!$J$12*(1+Inflation)^S$2,0)</f>
        <v>259066.93526458342</v>
      </c>
      <c r="U40" s="208">
        <f>IF(U$2&lt;=AnalysisPeriod,PreFinancingInstalledCostTotal*'Inputs &amp; Results'!$J$12*(1+Inflation)^T$2,0)</f>
        <v>262952.93929355213</v>
      </c>
      <c r="V40" s="208">
        <f>IF(V$2&lt;=AnalysisPeriod,PreFinancingInstalledCostTotal*'Inputs &amp; Results'!$J$12*(1+Inflation)^U$2,0)</f>
        <v>266897.23338295543</v>
      </c>
      <c r="W40" s="208">
        <f>IF(W$2&lt;=AnalysisPeriod,PreFinancingInstalledCostTotal*'Inputs &amp; Results'!$J$12*(1+Inflation)^V$2,0)</f>
        <v>270900.69188369968</v>
      </c>
      <c r="X40" s="208">
        <f>IF(X$2&lt;=AnalysisPeriod,PreFinancingInstalledCostTotal*'Inputs &amp; Results'!$J$12*(1+Inflation)^W$2,0)</f>
        <v>274964.20226195513</v>
      </c>
      <c r="Y40" s="208">
        <f>IF(Y$2&lt;=AnalysisPeriod,PreFinancingInstalledCostTotal*'Inputs &amp; Results'!$J$12*(1+Inflation)^X$2,0)</f>
        <v>279088.66529588442</v>
      </c>
      <c r="Z40" s="208">
        <f>IF(Z$2&lt;=AnalysisPeriod,PreFinancingInstalledCostTotal*'Inputs &amp; Results'!$J$12*(1+Inflation)^Y$2,0)</f>
        <v>283274.99527532264</v>
      </c>
      <c r="AA40" s="208">
        <f>IF(AA$2&lt;=AnalysisPeriod,PreFinancingInstalledCostTotal*'Inputs &amp; Results'!$J$12*(1+Inflation)^Z$2,0)</f>
        <v>287524.12020445243</v>
      </c>
      <c r="AB40" s="208">
        <f>IF(AB$2&lt;=AnalysisPeriod,PreFinancingInstalledCostTotal*'Inputs &amp; Results'!$J$12*(1+Inflation)^AA$2,0)</f>
        <v>291836.98200751923</v>
      </c>
      <c r="AC40" s="208">
        <f>IF(AC$2&lt;=AnalysisPeriod,PreFinancingInstalledCostTotal*'Inputs &amp; Results'!$J$12*(1+Inflation)^AB$2,0)</f>
        <v>296214.53673763195</v>
      </c>
      <c r="AD40" s="208">
        <f>IF(AD$2&lt;=AnalysisPeriod,PreFinancingInstalledCostTotal*'Inputs &amp; Results'!$J$12*(1+Inflation)^AC$2,0)</f>
        <v>300657.75478869642</v>
      </c>
      <c r="AE40" s="208">
        <f>IF(AE$2&lt;=AnalysisPeriod,PreFinancingInstalledCostTotal*'Inputs &amp; Results'!$J$12*(1+Inflation)^AD$2,0)</f>
        <v>305167.62111052679</v>
      </c>
      <c r="AF40" s="208">
        <f>IF(AF$2&lt;=AnalysisPeriod,PreFinancingInstalledCostTotal*'Inputs &amp; Results'!$J$12*(1+Inflation)^AE$2,0)</f>
        <v>309745.13542718469</v>
      </c>
      <c r="AG40" s="208">
        <f>IF(AG$2&lt;=AnalysisPeriod,PreFinancingInstalledCostTotal*'Inputs &amp; Results'!$J$12*(1+Inflation)^AF$2,0)</f>
        <v>0</v>
      </c>
      <c r="AH40" s="208">
        <f>IF(AH$2&lt;=AnalysisPeriod,PreFinancingInstalledCostTotal*'Inputs &amp; Results'!$J$12*(1+Inflation)^AG$2,0)</f>
        <v>0</v>
      </c>
      <c r="AI40" s="208">
        <f>IF(AI$2&lt;=AnalysisPeriod,PreFinancingInstalledCostTotal*'Inputs &amp; Results'!$J$12*(1+Inflation)^AH$2,0)</f>
        <v>0</v>
      </c>
      <c r="AJ40" s="208">
        <f>IF(AJ$2&lt;=AnalysisPeriod,PreFinancingInstalledCostTotal*'Inputs &amp; Results'!$J$12*(1+Inflation)^AI$2,0)</f>
        <v>0</v>
      </c>
      <c r="AK40" s="208">
        <f>IF(AK$2&lt;=AnalysisPeriod,PreFinancingInstalledCostTotal*'Inputs &amp; Results'!$J$12*(1+Inflation)^AJ$2,0)</f>
        <v>0</v>
      </c>
      <c r="AL40" s="208">
        <f>IF(AL$2&lt;=AnalysisPeriod,PreFinancingInstalledCostTotal*'Inputs &amp; Results'!$J$12*(1+Inflation)^AK$2,0)</f>
        <v>0</v>
      </c>
      <c r="AM40" s="208">
        <f>IF(AM$2&lt;=AnalysisPeriod,PreFinancingInstalledCostTotal*'Inputs &amp; Results'!$J$12*(1+Inflation)^AL$2,0)</f>
        <v>0</v>
      </c>
      <c r="AN40" s="208">
        <f>IF(AN$2&lt;=AnalysisPeriod,PreFinancingInstalledCostTotal*'Inputs &amp; Results'!$J$12*(1+Inflation)^AM$2,0)</f>
        <v>0</v>
      </c>
      <c r="AO40" s="208">
        <f>IF(AO$2&lt;=AnalysisPeriod,PreFinancingInstalledCostTotal*'Inputs &amp; Results'!$J$12*(1+Inflation)^AN$2,0)</f>
        <v>0</v>
      </c>
      <c r="AP40" s="208">
        <f>IF(AP$2&lt;=AnalysisPeriod,PreFinancingInstalledCostTotal*'Inputs &amp; Results'!$J$12*(1+Inflation)^AO$2,0)</f>
        <v>0</v>
      </c>
    </row>
    <row r="41" spans="1:42">
      <c r="A41" s="202" t="s">
        <v>477</v>
      </c>
      <c r="C41" s="209">
        <f t="shared" ref="C41:AP41" si="37">IF(C$2&lt;=AnalysisPeriod,SLDevMargin*(1+SLDevMarginEsc)^B$2,0)</f>
        <v>400000</v>
      </c>
      <c r="D41" s="209">
        <f t="shared" si="37"/>
        <v>408000</v>
      </c>
      <c r="E41" s="209">
        <f t="shared" si="37"/>
        <v>416160</v>
      </c>
      <c r="F41" s="209">
        <f t="shared" si="37"/>
        <v>424483.19999999995</v>
      </c>
      <c r="G41" s="209">
        <f t="shared" si="37"/>
        <v>432972.864</v>
      </c>
      <c r="H41" s="209">
        <f t="shared" si="37"/>
        <v>441632.32128000003</v>
      </c>
      <c r="I41" s="209">
        <f t="shared" si="37"/>
        <v>450464.96770560002</v>
      </c>
      <c r="J41" s="209">
        <f t="shared" si="37"/>
        <v>459474.26705971191</v>
      </c>
      <c r="K41" s="209">
        <f t="shared" si="37"/>
        <v>468663.75240090623</v>
      </c>
      <c r="L41" s="209">
        <f t="shared" si="37"/>
        <v>478037.02744892432</v>
      </c>
      <c r="M41" s="209">
        <f t="shared" si="37"/>
        <v>487597.76799790282</v>
      </c>
      <c r="N41" s="209">
        <f t="shared" si="37"/>
        <v>497349.72335786081</v>
      </c>
      <c r="O41" s="209">
        <f t="shared" si="37"/>
        <v>507296.7178250181</v>
      </c>
      <c r="P41" s="209">
        <f t="shared" si="37"/>
        <v>517442.65218151844</v>
      </c>
      <c r="Q41" s="209">
        <f t="shared" si="37"/>
        <v>527791.50522514887</v>
      </c>
      <c r="R41" s="209">
        <f t="shared" si="37"/>
        <v>538347.33532965172</v>
      </c>
      <c r="S41" s="209">
        <f t="shared" si="37"/>
        <v>549114.28203624487</v>
      </c>
      <c r="T41" s="209">
        <f t="shared" si="37"/>
        <v>560096.5676769698</v>
      </c>
      <c r="U41" s="209">
        <f t="shared" si="37"/>
        <v>571298.49903050903</v>
      </c>
      <c r="V41" s="209">
        <f t="shared" si="37"/>
        <v>582724.46901111922</v>
      </c>
      <c r="W41" s="209">
        <f t="shared" si="37"/>
        <v>594378.95839134173</v>
      </c>
      <c r="X41" s="209">
        <f t="shared" si="37"/>
        <v>606266.53755916853</v>
      </c>
      <c r="Y41" s="209">
        <f t="shared" si="37"/>
        <v>618391.86831035186</v>
      </c>
      <c r="Z41" s="209">
        <f t="shared" si="37"/>
        <v>630759.70567655878</v>
      </c>
      <c r="AA41" s="209">
        <f t="shared" si="37"/>
        <v>643374.89979009004</v>
      </c>
      <c r="AB41" s="209">
        <f t="shared" si="37"/>
        <v>656242.39778589178</v>
      </c>
      <c r="AC41" s="209">
        <f t="shared" si="37"/>
        <v>669367.24574160972</v>
      </c>
      <c r="AD41" s="209">
        <f t="shared" si="37"/>
        <v>682754.59065644175</v>
      </c>
      <c r="AE41" s="209">
        <f t="shared" si="37"/>
        <v>696409.68246957078</v>
      </c>
      <c r="AF41" s="209">
        <f t="shared" si="37"/>
        <v>710337.87611896207</v>
      </c>
      <c r="AG41" s="209">
        <f t="shared" si="37"/>
        <v>0</v>
      </c>
      <c r="AH41" s="209">
        <f t="shared" si="37"/>
        <v>0</v>
      </c>
      <c r="AI41" s="209">
        <f t="shared" si="37"/>
        <v>0</v>
      </c>
      <c r="AJ41" s="209">
        <f t="shared" si="37"/>
        <v>0</v>
      </c>
      <c r="AK41" s="209">
        <f t="shared" si="37"/>
        <v>0</v>
      </c>
      <c r="AL41" s="209">
        <f t="shared" si="37"/>
        <v>0</v>
      </c>
      <c r="AM41" s="209">
        <f t="shared" si="37"/>
        <v>0</v>
      </c>
      <c r="AN41" s="209">
        <f t="shared" si="37"/>
        <v>0</v>
      </c>
      <c r="AO41" s="209">
        <f t="shared" si="37"/>
        <v>0</v>
      </c>
      <c r="AP41" s="209">
        <f t="shared" si="37"/>
        <v>0</v>
      </c>
    </row>
    <row r="42" spans="1:42">
      <c r="A42" s="37" t="s">
        <v>74</v>
      </c>
      <c r="C42" s="164">
        <f>C23+C27+C31+C39+C40+C41</f>
        <v>1177254.1937500001</v>
      </c>
      <c r="D42" s="164">
        <f>D23+D27+D31+D39+D40+D41</f>
        <v>1179730.8453124999</v>
      </c>
      <c r="E42" s="164">
        <f t="shared" ref="E42:AP42" si="38">E23+E27+E31+E39+E40+E41</f>
        <v>1182536.2385034375</v>
      </c>
      <c r="F42" s="164">
        <f t="shared" si="38"/>
        <v>1185676.9725147341</v>
      </c>
      <c r="G42" s="164">
        <f t="shared" si="38"/>
        <v>1189159.7815880028</v>
      </c>
      <c r="H42" s="164">
        <f t="shared" si="38"/>
        <v>1192991.5378193017</v>
      </c>
      <c r="I42" s="164">
        <f t="shared" si="38"/>
        <v>1197179.2540228232</v>
      </c>
      <c r="J42" s="164">
        <f t="shared" si="38"/>
        <v>1201730.0866547658</v>
      </c>
      <c r="K42" s="164">
        <f t="shared" si="38"/>
        <v>1206651.3387986664</v>
      </c>
      <c r="L42" s="164">
        <f t="shared" si="38"/>
        <v>1211950.4632134985</v>
      </c>
      <c r="M42" s="164">
        <f t="shared" si="38"/>
        <v>1217635.0654458669</v>
      </c>
      <c r="N42" s="164">
        <f t="shared" si="38"/>
        <v>1223712.9070076603</v>
      </c>
      <c r="O42" s="164">
        <f t="shared" si="38"/>
        <v>1230191.9086205517</v>
      </c>
      <c r="P42" s="164">
        <f t="shared" si="38"/>
        <v>1237080.1535287641</v>
      </c>
      <c r="Q42" s="164">
        <f t="shared" si="38"/>
        <v>1244385.8908815575</v>
      </c>
      <c r="R42" s="164">
        <f t="shared" si="38"/>
        <v>1252117.5391869084</v>
      </c>
      <c r="S42" s="164">
        <f t="shared" si="38"/>
        <v>1260283.6898379046</v>
      </c>
      <c r="T42" s="164">
        <f t="shared" si="38"/>
        <v>1268893.110713392</v>
      </c>
      <c r="U42" s="164">
        <f t="shared" si="38"/>
        <v>1277954.7498544585</v>
      </c>
      <c r="V42" s="164">
        <f t="shared" si="38"/>
        <v>1287477.7392183607</v>
      </c>
      <c r="W42" s="164">
        <f t="shared" si="38"/>
        <v>1297471.3985115457</v>
      </c>
      <c r="X42" s="164">
        <f t="shared" si="38"/>
        <v>1322276.1612909434</v>
      </c>
      <c r="Y42" s="164">
        <f t="shared" si="38"/>
        <v>1347570.8123977543</v>
      </c>
      <c r="Z42" s="164">
        <f t="shared" si="38"/>
        <v>1373365.2586004823</v>
      </c>
      <c r="AA42" s="164">
        <f t="shared" si="38"/>
        <v>1399669.6105740047</v>
      </c>
      <c r="AB42" s="164">
        <f t="shared" si="38"/>
        <v>1426494.1871540139</v>
      </c>
      <c r="AC42" s="164">
        <f t="shared" si="38"/>
        <v>1453849.5196811974</v>
      </c>
      <c r="AD42" s="164">
        <f t="shared" si="38"/>
        <v>1481746.3564370656</v>
      </c>
      <c r="AE42" s="164">
        <f t="shared" si="38"/>
        <v>1510195.6671733845</v>
      </c>
      <c r="AF42" s="164">
        <f t="shared" si="38"/>
        <v>1539208.6477371946</v>
      </c>
      <c r="AG42" s="164">
        <f t="shared" si="38"/>
        <v>0</v>
      </c>
      <c r="AH42" s="164">
        <f t="shared" si="38"/>
        <v>0</v>
      </c>
      <c r="AI42" s="164">
        <f t="shared" si="38"/>
        <v>0</v>
      </c>
      <c r="AJ42" s="164">
        <f t="shared" si="38"/>
        <v>0</v>
      </c>
      <c r="AK42" s="164">
        <f t="shared" si="38"/>
        <v>0</v>
      </c>
      <c r="AL42" s="164">
        <f t="shared" si="38"/>
        <v>0</v>
      </c>
      <c r="AM42" s="164">
        <f t="shared" si="38"/>
        <v>0</v>
      </c>
      <c r="AN42" s="164">
        <f t="shared" si="38"/>
        <v>0</v>
      </c>
      <c r="AO42" s="164">
        <f t="shared" si="38"/>
        <v>0</v>
      </c>
      <c r="AP42" s="164">
        <f t="shared" si="38"/>
        <v>0</v>
      </c>
    </row>
    <row r="44" spans="1:42" ht="13.5" thickBot="1">
      <c r="A44" s="204" t="s">
        <v>117</v>
      </c>
      <c r="C44" s="215">
        <f t="shared" ref="C44:AP44" si="39">C20-C42</f>
        <v>6671600.9561775886</v>
      </c>
      <c r="D44" s="215">
        <f t="shared" si="39"/>
        <v>6707976.1376072299</v>
      </c>
      <c r="E44" s="215">
        <f t="shared" si="39"/>
        <v>6744214.8939817445</v>
      </c>
      <c r="F44" s="215">
        <f t="shared" si="39"/>
        <v>6780311.578076249</v>
      </c>
      <c r="G44" s="215">
        <f t="shared" si="39"/>
        <v>6816260.4123284072</v>
      </c>
      <c r="H44" s="215">
        <f t="shared" si="39"/>
        <v>6852055.4860569937</v>
      </c>
      <c r="I44" s="215">
        <f t="shared" si="39"/>
        <v>6887690.75262166</v>
      </c>
      <c r="J44" s="215">
        <f t="shared" si="39"/>
        <v>6923160.0265226066</v>
      </c>
      <c r="K44" s="215">
        <f t="shared" si="39"/>
        <v>6958456.9804389356</v>
      </c>
      <c r="L44" s="215">
        <f t="shared" si="39"/>
        <v>6993575.1422043312</v>
      </c>
      <c r="M44" s="215">
        <f t="shared" si="39"/>
        <v>7028507.8917187806</v>
      </c>
      <c r="N44" s="215">
        <f t="shared" si="39"/>
        <v>7063248.4577949513</v>
      </c>
      <c r="O44" s="215">
        <f t="shared" si="39"/>
        <v>7097789.9149378333</v>
      </c>
      <c r="P44" s="215">
        <f t="shared" si="39"/>
        <v>7132125.1800562348</v>
      </c>
      <c r="Q44" s="215">
        <f t="shared" si="39"/>
        <v>7166247.0091046877</v>
      </c>
      <c r="R44" s="215">
        <f t="shared" si="39"/>
        <v>7200147.993654266</v>
      </c>
      <c r="S44" s="215">
        <f t="shared" si="39"/>
        <v>7233820.5573908351</v>
      </c>
      <c r="T44" s="215">
        <f t="shared" si="39"/>
        <v>7267256.952539131</v>
      </c>
      <c r="U44" s="215">
        <f t="shared" si="39"/>
        <v>7300449.2562111653</v>
      </c>
      <c r="V44" s="215">
        <f t="shared" si="39"/>
        <v>7333389.3666772852</v>
      </c>
      <c r="W44" s="215">
        <f t="shared" si="39"/>
        <v>7366068.9995582849</v>
      </c>
      <c r="X44" s="215">
        <f t="shared" si="39"/>
        <v>7384148.7617493309</v>
      </c>
      <c r="Y44" s="215">
        <f t="shared" si="39"/>
        <v>7401950.9140115716</v>
      </c>
      <c r="Z44" s="215">
        <f t="shared" si="39"/>
        <v>7419466.6003545672</v>
      </c>
      <c r="AA44" s="215">
        <f t="shared" si="39"/>
        <v>7436686.7660828754</v>
      </c>
      <c r="AB44" s="215">
        <f t="shared" si="39"/>
        <v>7453602.1535673197</v>
      </c>
      <c r="AC44" s="215">
        <f t="shared" si="39"/>
        <v>7470203.2979267063</v>
      </c>
      <c r="AD44" s="215">
        <f t="shared" si="39"/>
        <v>7486480.5226179929</v>
      </c>
      <c r="AE44" s="215">
        <f t="shared" si="39"/>
        <v>7502423.9349329965</v>
      </c>
      <c r="AF44" s="215">
        <f t="shared" si="39"/>
        <v>11540738.421399614</v>
      </c>
      <c r="AG44" s="215">
        <f t="shared" si="39"/>
        <v>0</v>
      </c>
      <c r="AH44" s="215">
        <f t="shared" si="39"/>
        <v>0</v>
      </c>
      <c r="AI44" s="215">
        <f t="shared" si="39"/>
        <v>0</v>
      </c>
      <c r="AJ44" s="215">
        <f t="shared" si="39"/>
        <v>0</v>
      </c>
      <c r="AK44" s="215">
        <f t="shared" si="39"/>
        <v>0</v>
      </c>
      <c r="AL44" s="215">
        <f t="shared" si="39"/>
        <v>0</v>
      </c>
      <c r="AM44" s="215">
        <f t="shared" si="39"/>
        <v>0</v>
      </c>
      <c r="AN44" s="215">
        <f t="shared" si="39"/>
        <v>0</v>
      </c>
      <c r="AO44" s="215">
        <f t="shared" si="39"/>
        <v>0</v>
      </c>
      <c r="AP44" s="215">
        <f t="shared" si="39"/>
        <v>0</v>
      </c>
    </row>
    <row r="45" spans="1:42" ht="13.5" thickTop="1">
      <c r="C45" s="208"/>
      <c r="D45" s="208"/>
      <c r="E45" s="208"/>
      <c r="F45" s="208"/>
      <c r="G45" s="208"/>
      <c r="H45" s="208"/>
      <c r="I45" s="208"/>
      <c r="J45" s="208"/>
      <c r="K45" s="208"/>
      <c r="L45" s="208"/>
      <c r="M45" s="208"/>
      <c r="N45" s="208"/>
      <c r="O45" s="208"/>
      <c r="P45" s="208"/>
      <c r="Q45" s="208"/>
      <c r="R45" s="208"/>
      <c r="S45" s="208"/>
      <c r="T45" s="208"/>
      <c r="U45" s="208"/>
      <c r="V45" s="208"/>
      <c r="W45" s="208"/>
      <c r="X45" s="208"/>
      <c r="Y45" s="208"/>
      <c r="Z45" s="208"/>
      <c r="AA45" s="208"/>
      <c r="AB45" s="208"/>
      <c r="AC45" s="208"/>
      <c r="AD45" s="208"/>
      <c r="AE45" s="208"/>
      <c r="AF45" s="146"/>
      <c r="AG45" s="146"/>
      <c r="AH45" s="208"/>
      <c r="AI45" s="208"/>
      <c r="AJ45" s="208"/>
      <c r="AK45" s="208"/>
      <c r="AL45" s="208"/>
      <c r="AM45" s="208"/>
      <c r="AN45" s="208"/>
      <c r="AO45" s="208"/>
      <c r="AP45" s="208"/>
    </row>
    <row r="46" spans="1:42">
      <c r="A46" s="201" t="s">
        <v>482</v>
      </c>
      <c r="B46" s="119"/>
      <c r="C46" s="146"/>
      <c r="D46" s="146"/>
      <c r="E46" s="208"/>
      <c r="F46" s="208"/>
      <c r="G46" s="208"/>
      <c r="H46" s="208"/>
      <c r="I46" s="208"/>
      <c r="J46" s="208"/>
      <c r="K46" s="208"/>
      <c r="L46" s="208"/>
      <c r="M46" s="208"/>
      <c r="N46" s="208"/>
      <c r="O46" s="208"/>
      <c r="P46" s="208"/>
      <c r="Q46" s="208"/>
      <c r="R46" s="208"/>
      <c r="S46" s="208"/>
      <c r="T46" s="208"/>
      <c r="U46" s="208"/>
      <c r="V46" s="208"/>
      <c r="W46" s="208"/>
      <c r="X46" s="208"/>
      <c r="Y46" s="208"/>
      <c r="Z46" s="208"/>
      <c r="AA46" s="208"/>
      <c r="AB46" s="208"/>
      <c r="AC46" s="208"/>
      <c r="AD46" s="208"/>
      <c r="AE46" s="208"/>
      <c r="AF46" s="146"/>
      <c r="AG46" s="146"/>
      <c r="AH46" s="208"/>
      <c r="AI46" s="208"/>
      <c r="AJ46" s="208"/>
      <c r="AK46" s="208"/>
      <c r="AL46" s="208"/>
      <c r="AM46" s="208"/>
      <c r="AN46" s="208"/>
      <c r="AO46" s="208"/>
      <c r="AP46" s="208"/>
    </row>
    <row r="47" spans="1:42">
      <c r="A47" s="204" t="s">
        <v>198</v>
      </c>
      <c r="B47" s="164"/>
      <c r="C47" s="164"/>
      <c r="D47" s="164"/>
      <c r="E47" s="164"/>
      <c r="F47" s="164"/>
      <c r="G47" s="208"/>
      <c r="H47" s="208"/>
      <c r="I47" s="208"/>
      <c r="J47" s="208"/>
      <c r="K47" s="208"/>
      <c r="L47" s="208"/>
      <c r="M47" s="208"/>
      <c r="N47" s="208"/>
      <c r="O47" s="208"/>
      <c r="P47" s="208"/>
      <c r="Q47" s="208"/>
      <c r="R47" s="208"/>
      <c r="S47" s="208"/>
      <c r="T47" s="208"/>
      <c r="U47" s="208"/>
      <c r="V47" s="208"/>
      <c r="W47" s="208"/>
      <c r="X47" s="208"/>
      <c r="Y47" s="208"/>
      <c r="Z47" s="208"/>
      <c r="AA47" s="208"/>
      <c r="AB47" s="208"/>
      <c r="AC47" s="208"/>
      <c r="AD47" s="208"/>
      <c r="AE47" s="208"/>
      <c r="AF47" s="208"/>
      <c r="AG47" s="208"/>
      <c r="AH47" s="208"/>
      <c r="AI47" s="208"/>
      <c r="AJ47" s="208"/>
      <c r="AK47" s="208"/>
      <c r="AL47" s="208"/>
      <c r="AM47" s="208"/>
      <c r="AN47" s="208"/>
      <c r="AO47" s="208"/>
      <c r="AP47" s="208"/>
    </row>
    <row r="48" spans="1:42">
      <c r="A48" s="202" t="s">
        <v>117</v>
      </c>
      <c r="B48" s="164">
        <v>0</v>
      </c>
      <c r="C48" s="164">
        <f>C44</f>
        <v>6671600.9561775886</v>
      </c>
      <c r="D48" s="164">
        <f t="shared" ref="D48:AP48" si="40">D44</f>
        <v>6707976.1376072299</v>
      </c>
      <c r="E48" s="164">
        <f t="shared" si="40"/>
        <v>6744214.8939817445</v>
      </c>
      <c r="F48" s="164">
        <f t="shared" si="40"/>
        <v>6780311.578076249</v>
      </c>
      <c r="G48" s="164">
        <f t="shared" si="40"/>
        <v>6816260.4123284072</v>
      </c>
      <c r="H48" s="164">
        <f t="shared" si="40"/>
        <v>6852055.4860569937</v>
      </c>
      <c r="I48" s="164">
        <f t="shared" si="40"/>
        <v>6887690.75262166</v>
      </c>
      <c r="J48" s="164">
        <f t="shared" si="40"/>
        <v>6923160.0265226066</v>
      </c>
      <c r="K48" s="164">
        <f t="shared" si="40"/>
        <v>6958456.9804389356</v>
      </c>
      <c r="L48" s="164">
        <f t="shared" si="40"/>
        <v>6993575.1422043312</v>
      </c>
      <c r="M48" s="164">
        <f t="shared" si="40"/>
        <v>7028507.8917187806</v>
      </c>
      <c r="N48" s="164">
        <f t="shared" si="40"/>
        <v>7063248.4577949513</v>
      </c>
      <c r="O48" s="164">
        <f t="shared" si="40"/>
        <v>7097789.9149378333</v>
      </c>
      <c r="P48" s="164">
        <f t="shared" si="40"/>
        <v>7132125.1800562348</v>
      </c>
      <c r="Q48" s="164">
        <f t="shared" si="40"/>
        <v>7166247.0091046877</v>
      </c>
      <c r="R48" s="164">
        <f t="shared" si="40"/>
        <v>7200147.993654266</v>
      </c>
      <c r="S48" s="164">
        <f t="shared" si="40"/>
        <v>7233820.5573908351</v>
      </c>
      <c r="T48" s="164">
        <f t="shared" si="40"/>
        <v>7267256.952539131</v>
      </c>
      <c r="U48" s="164">
        <f t="shared" si="40"/>
        <v>7300449.2562111653</v>
      </c>
      <c r="V48" s="164">
        <f t="shared" si="40"/>
        <v>7333389.3666772852</v>
      </c>
      <c r="W48" s="164">
        <f t="shared" si="40"/>
        <v>7366068.9995582849</v>
      </c>
      <c r="X48" s="164">
        <f t="shared" si="40"/>
        <v>7384148.7617493309</v>
      </c>
      <c r="Y48" s="164">
        <f t="shared" si="40"/>
        <v>7401950.9140115716</v>
      </c>
      <c r="Z48" s="164">
        <f t="shared" si="40"/>
        <v>7419466.6003545672</v>
      </c>
      <c r="AA48" s="164">
        <f t="shared" si="40"/>
        <v>7436686.7660828754</v>
      </c>
      <c r="AB48" s="164">
        <f t="shared" si="40"/>
        <v>7453602.1535673197</v>
      </c>
      <c r="AC48" s="164">
        <f t="shared" si="40"/>
        <v>7470203.2979267063</v>
      </c>
      <c r="AD48" s="164">
        <f t="shared" si="40"/>
        <v>7486480.5226179929</v>
      </c>
      <c r="AE48" s="164">
        <f t="shared" si="40"/>
        <v>7502423.9349329965</v>
      </c>
      <c r="AF48" s="164">
        <f t="shared" si="40"/>
        <v>11540738.421399614</v>
      </c>
      <c r="AG48" s="164">
        <f t="shared" si="40"/>
        <v>0</v>
      </c>
      <c r="AH48" s="164">
        <f t="shared" si="40"/>
        <v>0</v>
      </c>
      <c r="AI48" s="164">
        <f t="shared" si="40"/>
        <v>0</v>
      </c>
      <c r="AJ48" s="164">
        <f t="shared" si="40"/>
        <v>0</v>
      </c>
      <c r="AK48" s="164">
        <f t="shared" si="40"/>
        <v>0</v>
      </c>
      <c r="AL48" s="164">
        <f t="shared" si="40"/>
        <v>0</v>
      </c>
      <c r="AM48" s="164">
        <f t="shared" si="40"/>
        <v>0</v>
      </c>
      <c r="AN48" s="164">
        <f t="shared" si="40"/>
        <v>0</v>
      </c>
      <c r="AO48" s="164">
        <f t="shared" si="40"/>
        <v>0</v>
      </c>
      <c r="AP48" s="164">
        <f t="shared" si="40"/>
        <v>0</v>
      </c>
    </row>
    <row r="49" spans="1:42">
      <c r="A49" s="202" t="s">
        <v>130</v>
      </c>
      <c r="B49" s="209">
        <v>0</v>
      </c>
      <c r="C49" s="209">
        <f t="shared" ref="C49:AP49" si="41">C815</f>
        <v>2625.0000000000005</v>
      </c>
      <c r="D49" s="209">
        <f t="shared" si="41"/>
        <v>14705.811846654169</v>
      </c>
      <c r="E49" s="209">
        <f t="shared" si="41"/>
        <v>26786.623693308338</v>
      </c>
      <c r="F49" s="209">
        <f t="shared" si="41"/>
        <v>37064.541789962517</v>
      </c>
      <c r="G49" s="209">
        <f t="shared" si="41"/>
        <v>49172.804722215893</v>
      </c>
      <c r="H49" s="209">
        <f t="shared" si="41"/>
        <v>61281.067654469291</v>
      </c>
      <c r="I49" s="209">
        <f t="shared" si="41"/>
        <v>71504.083579925034</v>
      </c>
      <c r="J49" s="209">
        <f t="shared" si="41"/>
        <v>83641.051518759807</v>
      </c>
      <c r="K49" s="209">
        <f t="shared" si="41"/>
        <v>95778.01945759455</v>
      </c>
      <c r="L49" s="209">
        <f t="shared" si="41"/>
        <v>105943.62536988755</v>
      </c>
      <c r="M49" s="209">
        <f t="shared" si="41"/>
        <v>118110.60951335869</v>
      </c>
      <c r="N49" s="209">
        <f t="shared" si="41"/>
        <v>130277.59365682983</v>
      </c>
      <c r="O49" s="209">
        <f t="shared" si="41"/>
        <v>88847.901148577046</v>
      </c>
      <c r="P49" s="209">
        <f t="shared" si="41"/>
        <v>101886.37546337843</v>
      </c>
      <c r="Q49" s="209">
        <f t="shared" si="41"/>
        <v>114924.84977817982</v>
      </c>
      <c r="R49" s="209">
        <f t="shared" si="41"/>
        <v>18029.125128545482</v>
      </c>
      <c r="S49" s="209">
        <f t="shared" si="41"/>
        <v>32898.398355727615</v>
      </c>
      <c r="T49" s="209">
        <f t="shared" si="41"/>
        <v>47767.671582909745</v>
      </c>
      <c r="U49" s="209">
        <f t="shared" si="41"/>
        <v>60382.909231071135</v>
      </c>
      <c r="V49" s="209">
        <f t="shared" si="41"/>
        <v>75286.502685733882</v>
      </c>
      <c r="W49" s="209">
        <f t="shared" si="41"/>
        <v>90190.096140396621</v>
      </c>
      <c r="X49" s="209">
        <f t="shared" si="41"/>
        <v>102736.69333359678</v>
      </c>
      <c r="Y49" s="209">
        <f t="shared" si="41"/>
        <v>117676.17470796108</v>
      </c>
      <c r="Z49" s="209">
        <f t="shared" si="41"/>
        <v>132615.65608232541</v>
      </c>
      <c r="AA49" s="209">
        <f t="shared" si="41"/>
        <v>83473.976921940499</v>
      </c>
      <c r="AB49" s="209">
        <f t="shared" si="41"/>
        <v>93316.277141678642</v>
      </c>
      <c r="AC49" s="209">
        <f t="shared" si="41"/>
        <v>103158.57736141678</v>
      </c>
      <c r="AD49" s="209">
        <f t="shared" si="41"/>
        <v>110423.63589592067</v>
      </c>
      <c r="AE49" s="209">
        <f t="shared" si="41"/>
        <v>120305.1775197134</v>
      </c>
      <c r="AF49" s="209">
        <f t="shared" si="41"/>
        <v>130186.71914350611</v>
      </c>
      <c r="AG49" s="209">
        <f t="shared" si="41"/>
        <v>0</v>
      </c>
      <c r="AH49" s="209">
        <f t="shared" si="41"/>
        <v>0</v>
      </c>
      <c r="AI49" s="209">
        <f t="shared" si="41"/>
        <v>0</v>
      </c>
      <c r="AJ49" s="209">
        <f t="shared" si="41"/>
        <v>0</v>
      </c>
      <c r="AK49" s="209">
        <f t="shared" si="41"/>
        <v>0</v>
      </c>
      <c r="AL49" s="209">
        <f t="shared" si="41"/>
        <v>0</v>
      </c>
      <c r="AM49" s="209">
        <f t="shared" si="41"/>
        <v>0</v>
      </c>
      <c r="AN49" s="209">
        <f t="shared" si="41"/>
        <v>0</v>
      </c>
      <c r="AO49" s="209">
        <f t="shared" si="41"/>
        <v>0</v>
      </c>
      <c r="AP49" s="209">
        <f t="shared" si="41"/>
        <v>0</v>
      </c>
    </row>
    <row r="50" spans="1:42">
      <c r="A50" s="202" t="s">
        <v>53</v>
      </c>
      <c r="B50" s="164">
        <f>SUM(B48:B49)</f>
        <v>0</v>
      </c>
      <c r="C50" s="164">
        <f t="shared" ref="C50:AP50" si="42">SUM(C48:C49)</f>
        <v>6674225.9561775886</v>
      </c>
      <c r="D50" s="164">
        <f t="shared" si="42"/>
        <v>6722681.9494538838</v>
      </c>
      <c r="E50" s="164">
        <f t="shared" si="42"/>
        <v>6771001.5176750533</v>
      </c>
      <c r="F50" s="164">
        <f t="shared" si="42"/>
        <v>6817376.1198662119</v>
      </c>
      <c r="G50" s="164">
        <f t="shared" si="42"/>
        <v>6865433.2170506231</v>
      </c>
      <c r="H50" s="164">
        <f t="shared" si="42"/>
        <v>6913336.5537114628</v>
      </c>
      <c r="I50" s="164">
        <f t="shared" si="42"/>
        <v>6959194.8362015849</v>
      </c>
      <c r="J50" s="164">
        <f t="shared" si="42"/>
        <v>7006801.0780413663</v>
      </c>
      <c r="K50" s="164">
        <f t="shared" si="42"/>
        <v>7054234.9998965301</v>
      </c>
      <c r="L50" s="164">
        <f t="shared" si="42"/>
        <v>7099518.767574219</v>
      </c>
      <c r="M50" s="164">
        <f t="shared" si="42"/>
        <v>7146618.5012321398</v>
      </c>
      <c r="N50" s="164">
        <f t="shared" si="42"/>
        <v>7193526.0514517808</v>
      </c>
      <c r="O50" s="164">
        <f t="shared" si="42"/>
        <v>7186637.8160864105</v>
      </c>
      <c r="P50" s="164">
        <f t="shared" si="42"/>
        <v>7234011.5555196134</v>
      </c>
      <c r="Q50" s="164">
        <f t="shared" si="42"/>
        <v>7281171.8588828677</v>
      </c>
      <c r="R50" s="164">
        <f t="shared" si="42"/>
        <v>7218177.1187828118</v>
      </c>
      <c r="S50" s="164">
        <f t="shared" si="42"/>
        <v>7266718.9557465632</v>
      </c>
      <c r="T50" s="164">
        <f t="shared" si="42"/>
        <v>7315024.6241220403</v>
      </c>
      <c r="U50" s="164">
        <f t="shared" si="42"/>
        <v>7360832.1654422367</v>
      </c>
      <c r="V50" s="164">
        <f t="shared" si="42"/>
        <v>7408675.8693630192</v>
      </c>
      <c r="W50" s="164">
        <f t="shared" si="42"/>
        <v>7456259.0956986817</v>
      </c>
      <c r="X50" s="164">
        <f t="shared" si="42"/>
        <v>7486885.4550829278</v>
      </c>
      <c r="Y50" s="164">
        <f t="shared" si="42"/>
        <v>7519627.0887195328</v>
      </c>
      <c r="Z50" s="164">
        <f t="shared" si="42"/>
        <v>7552082.2564368928</v>
      </c>
      <c r="AA50" s="164">
        <f t="shared" si="42"/>
        <v>7520160.7430048157</v>
      </c>
      <c r="AB50" s="164">
        <f t="shared" si="42"/>
        <v>7546918.4307089988</v>
      </c>
      <c r="AC50" s="164">
        <f t="shared" si="42"/>
        <v>7573361.8752881233</v>
      </c>
      <c r="AD50" s="164">
        <f t="shared" si="42"/>
        <v>7596904.1585139139</v>
      </c>
      <c r="AE50" s="164">
        <f t="shared" si="42"/>
        <v>7622729.11245271</v>
      </c>
      <c r="AF50" s="164">
        <f t="shared" si="42"/>
        <v>11670925.14054312</v>
      </c>
      <c r="AG50" s="164">
        <f t="shared" si="42"/>
        <v>0</v>
      </c>
      <c r="AH50" s="164">
        <f t="shared" si="42"/>
        <v>0</v>
      </c>
      <c r="AI50" s="164">
        <f t="shared" si="42"/>
        <v>0</v>
      </c>
      <c r="AJ50" s="164">
        <f t="shared" si="42"/>
        <v>0</v>
      </c>
      <c r="AK50" s="164">
        <f t="shared" si="42"/>
        <v>0</v>
      </c>
      <c r="AL50" s="164">
        <f t="shared" si="42"/>
        <v>0</v>
      </c>
      <c r="AM50" s="164">
        <f t="shared" si="42"/>
        <v>0</v>
      </c>
      <c r="AN50" s="164">
        <f t="shared" si="42"/>
        <v>0</v>
      </c>
      <c r="AO50" s="164">
        <f t="shared" si="42"/>
        <v>0</v>
      </c>
      <c r="AP50" s="164">
        <f t="shared" si="42"/>
        <v>0</v>
      </c>
    </row>
    <row r="51" spans="1:42">
      <c r="A51" s="202"/>
      <c r="B51" s="164"/>
      <c r="C51" s="164"/>
      <c r="D51" s="164"/>
      <c r="E51" s="164"/>
      <c r="F51" s="164"/>
      <c r="G51" s="164"/>
      <c r="H51" s="164"/>
      <c r="I51" s="164"/>
      <c r="J51" s="164"/>
      <c r="K51" s="164"/>
      <c r="L51" s="164"/>
      <c r="M51" s="164"/>
      <c r="N51" s="164"/>
      <c r="O51" s="164"/>
      <c r="P51" s="164"/>
      <c r="Q51" s="164"/>
      <c r="R51" s="164"/>
      <c r="S51" s="164"/>
      <c r="T51" s="164"/>
      <c r="U51" s="164"/>
      <c r="V51" s="164"/>
      <c r="W51" s="164"/>
      <c r="X51" s="164"/>
      <c r="Y51" s="164"/>
      <c r="Z51" s="164"/>
      <c r="AA51" s="164"/>
      <c r="AB51" s="164"/>
      <c r="AC51" s="164"/>
      <c r="AD51" s="164"/>
      <c r="AE51" s="164"/>
      <c r="AF51" s="164"/>
      <c r="AG51" s="164"/>
      <c r="AH51" s="164"/>
      <c r="AI51" s="164"/>
      <c r="AJ51" s="164"/>
      <c r="AK51" s="164"/>
      <c r="AL51" s="164"/>
      <c r="AM51" s="164"/>
      <c r="AN51" s="164"/>
      <c r="AO51" s="164"/>
      <c r="AP51" s="164"/>
    </row>
    <row r="52" spans="1:42">
      <c r="A52" s="204" t="s">
        <v>191</v>
      </c>
      <c r="B52" s="164"/>
      <c r="C52" s="164"/>
      <c r="D52" s="164"/>
      <c r="E52" s="164"/>
      <c r="F52" s="164"/>
      <c r="G52" s="164"/>
      <c r="H52" s="164"/>
      <c r="I52" s="164"/>
      <c r="J52" s="164"/>
      <c r="K52" s="164"/>
      <c r="L52" s="164"/>
      <c r="M52" s="164"/>
      <c r="N52" s="164"/>
      <c r="O52" s="164"/>
      <c r="P52" s="164"/>
      <c r="Q52" s="164"/>
      <c r="R52" s="164"/>
      <c r="S52" s="164"/>
      <c r="T52" s="164"/>
      <c r="U52" s="164"/>
      <c r="V52" s="164"/>
      <c r="W52" s="164"/>
      <c r="X52" s="164"/>
      <c r="Y52" s="164"/>
      <c r="Z52" s="164"/>
      <c r="AA52" s="164"/>
      <c r="AB52" s="164"/>
      <c r="AC52" s="164"/>
      <c r="AD52" s="164"/>
      <c r="AE52" s="164"/>
      <c r="AF52" s="164"/>
      <c r="AG52" s="164"/>
      <c r="AH52" s="164"/>
      <c r="AI52" s="164"/>
      <c r="AJ52" s="164"/>
      <c r="AK52" s="164"/>
      <c r="AL52" s="164"/>
      <c r="AM52" s="164"/>
      <c r="AN52" s="164"/>
      <c r="AO52" s="164"/>
      <c r="AP52" s="164"/>
    </row>
    <row r="53" spans="1:42">
      <c r="A53" s="202" t="s">
        <v>483</v>
      </c>
      <c r="B53" s="164">
        <f>SLInstalledCostTotal</f>
        <v>46247293.24621512</v>
      </c>
      <c r="C53" s="164">
        <v>0</v>
      </c>
      <c r="D53" s="164">
        <v>0</v>
      </c>
      <c r="E53" s="164">
        <v>0</v>
      </c>
      <c r="F53" s="164">
        <v>0</v>
      </c>
      <c r="G53" s="164">
        <v>0</v>
      </c>
      <c r="H53" s="164">
        <v>0</v>
      </c>
      <c r="I53" s="164">
        <v>0</v>
      </c>
      <c r="J53" s="164">
        <v>0</v>
      </c>
      <c r="K53" s="164">
        <v>0</v>
      </c>
      <c r="L53" s="164">
        <v>0</v>
      </c>
      <c r="M53" s="164">
        <v>0</v>
      </c>
      <c r="N53" s="164">
        <v>0</v>
      </c>
      <c r="O53" s="164">
        <v>0</v>
      </c>
      <c r="P53" s="164">
        <v>0</v>
      </c>
      <c r="Q53" s="164">
        <v>0</v>
      </c>
      <c r="R53" s="164">
        <v>0</v>
      </c>
      <c r="S53" s="164">
        <v>0</v>
      </c>
      <c r="T53" s="164">
        <v>0</v>
      </c>
      <c r="U53" s="164">
        <v>0</v>
      </c>
      <c r="V53" s="164">
        <v>0</v>
      </c>
      <c r="W53" s="164">
        <v>0</v>
      </c>
      <c r="X53" s="164">
        <v>0</v>
      </c>
      <c r="Y53" s="164">
        <v>0</v>
      </c>
      <c r="Z53" s="164">
        <v>0</v>
      </c>
      <c r="AA53" s="164">
        <v>0</v>
      </c>
      <c r="AB53" s="164">
        <v>0</v>
      </c>
      <c r="AC53" s="164">
        <v>0</v>
      </c>
      <c r="AD53" s="164">
        <v>0</v>
      </c>
      <c r="AE53" s="164">
        <v>0</v>
      </c>
      <c r="AF53" s="164">
        <v>0</v>
      </c>
      <c r="AG53" s="164">
        <v>0</v>
      </c>
      <c r="AH53" s="164">
        <v>0</v>
      </c>
      <c r="AI53" s="164">
        <v>0</v>
      </c>
      <c r="AJ53" s="164">
        <v>0</v>
      </c>
      <c r="AK53" s="164">
        <v>0</v>
      </c>
      <c r="AL53" s="164">
        <v>0</v>
      </c>
      <c r="AM53" s="164">
        <v>0</v>
      </c>
      <c r="AN53" s="164">
        <v>0</v>
      </c>
      <c r="AO53" s="164">
        <v>0</v>
      </c>
      <c r="AP53" s="164">
        <v>0</v>
      </c>
    </row>
    <row r="54" spans="1:42">
      <c r="A54" s="202" t="s">
        <v>484</v>
      </c>
      <c r="B54" s="164">
        <f>-PreFinancingInstalledCostTotal-'Inputs &amp; Results'!D143-'Inputs &amp; Results'!D146</f>
        <v>-41399874</v>
      </c>
      <c r="C54" s="164">
        <v>0</v>
      </c>
      <c r="D54" s="164">
        <v>0</v>
      </c>
      <c r="E54" s="164">
        <v>0</v>
      </c>
      <c r="F54" s="164">
        <v>0</v>
      </c>
      <c r="G54" s="164">
        <v>0</v>
      </c>
      <c r="H54" s="164">
        <v>0</v>
      </c>
      <c r="I54" s="164">
        <v>0</v>
      </c>
      <c r="J54" s="164">
        <v>0</v>
      </c>
      <c r="K54" s="164">
        <v>0</v>
      </c>
      <c r="L54" s="164">
        <v>0</v>
      </c>
      <c r="M54" s="164">
        <v>0</v>
      </c>
      <c r="N54" s="164">
        <v>0</v>
      </c>
      <c r="O54" s="164">
        <v>0</v>
      </c>
      <c r="P54" s="164">
        <v>0</v>
      </c>
      <c r="Q54" s="164">
        <v>0</v>
      </c>
      <c r="R54" s="164">
        <v>0</v>
      </c>
      <c r="S54" s="164">
        <v>0</v>
      </c>
      <c r="T54" s="164">
        <v>0</v>
      </c>
      <c r="U54" s="164">
        <v>0</v>
      </c>
      <c r="V54" s="164">
        <v>0</v>
      </c>
      <c r="W54" s="164">
        <v>0</v>
      </c>
      <c r="X54" s="164">
        <v>0</v>
      </c>
      <c r="Y54" s="164">
        <v>0</v>
      </c>
      <c r="Z54" s="164">
        <v>0</v>
      </c>
      <c r="AA54" s="164">
        <v>0</v>
      </c>
      <c r="AB54" s="164">
        <v>0</v>
      </c>
      <c r="AC54" s="164">
        <v>0</v>
      </c>
      <c r="AD54" s="164">
        <v>0</v>
      </c>
      <c r="AE54" s="164">
        <v>0</v>
      </c>
      <c r="AF54" s="164">
        <v>0</v>
      </c>
      <c r="AG54" s="164">
        <v>0</v>
      </c>
      <c r="AH54" s="164">
        <v>0</v>
      </c>
      <c r="AI54" s="164">
        <v>0</v>
      </c>
      <c r="AJ54" s="164">
        <v>0</v>
      </c>
      <c r="AK54" s="164">
        <v>0</v>
      </c>
      <c r="AL54" s="164">
        <v>0</v>
      </c>
      <c r="AM54" s="164">
        <v>0</v>
      </c>
      <c r="AN54" s="164">
        <v>0</v>
      </c>
      <c r="AO54" s="164">
        <v>0</v>
      </c>
      <c r="AP54" s="164">
        <v>0</v>
      </c>
    </row>
    <row r="55" spans="1:42">
      <c r="A55" s="202" t="s">
        <v>485</v>
      </c>
      <c r="B55" s="164">
        <f>-'Inputs &amp; Results'!D141</f>
        <v>-1206814.5</v>
      </c>
      <c r="C55" s="164">
        <v>0</v>
      </c>
      <c r="D55" s="164">
        <v>0</v>
      </c>
      <c r="E55" s="164">
        <v>0</v>
      </c>
      <c r="F55" s="164">
        <v>0</v>
      </c>
      <c r="G55" s="164">
        <v>0</v>
      </c>
      <c r="H55" s="164">
        <v>0</v>
      </c>
      <c r="I55" s="164">
        <v>0</v>
      </c>
      <c r="J55" s="164">
        <v>0</v>
      </c>
      <c r="K55" s="164">
        <v>0</v>
      </c>
      <c r="L55" s="164">
        <v>0</v>
      </c>
      <c r="M55" s="164">
        <v>0</v>
      </c>
      <c r="N55" s="164">
        <v>0</v>
      </c>
      <c r="O55" s="164">
        <v>0</v>
      </c>
      <c r="P55" s="164">
        <v>0</v>
      </c>
      <c r="Q55" s="164">
        <v>0</v>
      </c>
      <c r="R55" s="164">
        <v>0</v>
      </c>
      <c r="S55" s="164">
        <v>0</v>
      </c>
      <c r="T55" s="164">
        <v>0</v>
      </c>
      <c r="U55" s="164">
        <v>0</v>
      </c>
      <c r="V55" s="164">
        <v>0</v>
      </c>
      <c r="W55" s="164">
        <v>0</v>
      </c>
      <c r="X55" s="164">
        <v>0</v>
      </c>
      <c r="Y55" s="164">
        <v>0</v>
      </c>
      <c r="Z55" s="164">
        <v>0</v>
      </c>
      <c r="AA55" s="164">
        <v>0</v>
      </c>
      <c r="AB55" s="164">
        <v>0</v>
      </c>
      <c r="AC55" s="164">
        <v>0</v>
      </c>
      <c r="AD55" s="164">
        <v>0</v>
      </c>
      <c r="AE55" s="164">
        <v>0</v>
      </c>
      <c r="AF55" s="164">
        <v>0</v>
      </c>
      <c r="AG55" s="164">
        <v>0</v>
      </c>
      <c r="AH55" s="164">
        <v>0</v>
      </c>
      <c r="AI55" s="164">
        <v>0</v>
      </c>
      <c r="AJ55" s="164">
        <v>0</v>
      </c>
      <c r="AK55" s="164">
        <v>0</v>
      </c>
      <c r="AL55" s="164">
        <v>0</v>
      </c>
      <c r="AM55" s="164">
        <v>0</v>
      </c>
      <c r="AN55" s="164">
        <v>0</v>
      </c>
      <c r="AO55" s="164">
        <v>0</v>
      </c>
      <c r="AP55" s="164">
        <v>0</v>
      </c>
    </row>
    <row r="56" spans="1:42">
      <c r="A56" s="202" t="s">
        <v>461</v>
      </c>
      <c r="B56" s="164">
        <f>-B19</f>
        <v>0</v>
      </c>
      <c r="C56" s="164">
        <f t="shared" ref="C56:AP56" si="43">-C19</f>
        <v>0</v>
      </c>
      <c r="D56" s="164">
        <f t="shared" si="43"/>
        <v>0</v>
      </c>
      <c r="E56" s="164">
        <f t="shared" si="43"/>
        <v>0</v>
      </c>
      <c r="F56" s="164">
        <f t="shared" si="43"/>
        <v>0</v>
      </c>
      <c r="G56" s="164">
        <f t="shared" si="43"/>
        <v>0</v>
      </c>
      <c r="H56" s="164">
        <f t="shared" si="43"/>
        <v>0</v>
      </c>
      <c r="I56" s="164">
        <f t="shared" si="43"/>
        <v>0</v>
      </c>
      <c r="J56" s="164">
        <f t="shared" si="43"/>
        <v>0</v>
      </c>
      <c r="K56" s="164">
        <f t="shared" si="43"/>
        <v>0</v>
      </c>
      <c r="L56" s="164">
        <f t="shared" si="43"/>
        <v>0</v>
      </c>
      <c r="M56" s="164">
        <f t="shared" si="43"/>
        <v>0</v>
      </c>
      <c r="N56" s="164">
        <f t="shared" si="43"/>
        <v>0</v>
      </c>
      <c r="O56" s="164">
        <f t="shared" si="43"/>
        <v>0</v>
      </c>
      <c r="P56" s="164">
        <f t="shared" si="43"/>
        <v>0</v>
      </c>
      <c r="Q56" s="164">
        <f t="shared" si="43"/>
        <v>0</v>
      </c>
      <c r="R56" s="164">
        <f t="shared" si="43"/>
        <v>0</v>
      </c>
      <c r="S56" s="164">
        <f t="shared" si="43"/>
        <v>0</v>
      </c>
      <c r="T56" s="164">
        <f t="shared" si="43"/>
        <v>0</v>
      </c>
      <c r="U56" s="164">
        <f t="shared" si="43"/>
        <v>0</v>
      </c>
      <c r="V56" s="164">
        <f t="shared" si="43"/>
        <v>0</v>
      </c>
      <c r="W56" s="164">
        <f t="shared" si="43"/>
        <v>0</v>
      </c>
      <c r="X56" s="164">
        <f t="shared" si="43"/>
        <v>0</v>
      </c>
      <c r="Y56" s="164">
        <f t="shared" si="43"/>
        <v>0</v>
      </c>
      <c r="Z56" s="164">
        <f t="shared" si="43"/>
        <v>0</v>
      </c>
      <c r="AA56" s="164">
        <f t="shared" si="43"/>
        <v>0</v>
      </c>
      <c r="AB56" s="164">
        <f t="shared" si="43"/>
        <v>0</v>
      </c>
      <c r="AC56" s="164">
        <f t="shared" si="43"/>
        <v>0</v>
      </c>
      <c r="AD56" s="164">
        <f t="shared" si="43"/>
        <v>0</v>
      </c>
      <c r="AE56" s="164">
        <f t="shared" si="43"/>
        <v>0</v>
      </c>
      <c r="AF56" s="164">
        <f t="shared" si="43"/>
        <v>-4022715</v>
      </c>
      <c r="AG56" s="164">
        <f t="shared" si="43"/>
        <v>0</v>
      </c>
      <c r="AH56" s="164">
        <f t="shared" si="43"/>
        <v>0</v>
      </c>
      <c r="AI56" s="164">
        <f t="shared" si="43"/>
        <v>0</v>
      </c>
      <c r="AJ56" s="164">
        <f t="shared" si="43"/>
        <v>0</v>
      </c>
      <c r="AK56" s="164">
        <f t="shared" si="43"/>
        <v>0</v>
      </c>
      <c r="AL56" s="164">
        <f t="shared" si="43"/>
        <v>0</v>
      </c>
      <c r="AM56" s="164">
        <f t="shared" si="43"/>
        <v>0</v>
      </c>
      <c r="AN56" s="164">
        <f t="shared" si="43"/>
        <v>0</v>
      </c>
      <c r="AO56" s="164">
        <f t="shared" si="43"/>
        <v>0</v>
      </c>
      <c r="AP56" s="164">
        <f t="shared" si="43"/>
        <v>0</v>
      </c>
    </row>
    <row r="57" spans="1:42">
      <c r="A57" s="202" t="s">
        <v>193</v>
      </c>
      <c r="B57" s="164"/>
      <c r="C57" s="164"/>
      <c r="D57" s="164"/>
      <c r="E57" s="164"/>
      <c r="F57" s="164"/>
      <c r="G57" s="164"/>
      <c r="H57" s="164"/>
      <c r="I57" s="164"/>
      <c r="J57" s="164"/>
      <c r="K57" s="164"/>
      <c r="L57" s="164"/>
      <c r="M57" s="164"/>
      <c r="N57" s="164"/>
      <c r="O57" s="164"/>
      <c r="P57" s="164"/>
      <c r="Q57" s="164"/>
      <c r="R57" s="164"/>
      <c r="S57" s="164"/>
      <c r="T57" s="164"/>
      <c r="U57" s="164"/>
      <c r="V57" s="164"/>
      <c r="W57" s="164"/>
      <c r="X57" s="164"/>
      <c r="Y57" s="164"/>
      <c r="Z57" s="164"/>
      <c r="AA57" s="164"/>
      <c r="AB57" s="164"/>
      <c r="AC57" s="164"/>
      <c r="AD57" s="164"/>
      <c r="AE57" s="164"/>
      <c r="AF57" s="164"/>
      <c r="AG57" s="164"/>
      <c r="AH57" s="164"/>
      <c r="AI57" s="164"/>
      <c r="AJ57" s="164"/>
      <c r="AK57" s="164"/>
      <c r="AL57" s="164"/>
      <c r="AM57" s="164"/>
      <c r="AN57" s="164"/>
      <c r="AO57" s="164"/>
      <c r="AP57" s="164"/>
    </row>
    <row r="58" spans="1:42">
      <c r="A58" s="206" t="s">
        <v>200</v>
      </c>
      <c r="B58" s="164">
        <f t="shared" ref="B58:AP58" si="44">-B707-B708</f>
        <v>-150000</v>
      </c>
      <c r="C58" s="164">
        <f t="shared" si="44"/>
        <v>0</v>
      </c>
      <c r="D58" s="164">
        <f t="shared" si="44"/>
        <v>0</v>
      </c>
      <c r="E58" s="164">
        <f t="shared" si="44"/>
        <v>0</v>
      </c>
      <c r="F58" s="164">
        <f t="shared" si="44"/>
        <v>0</v>
      </c>
      <c r="G58" s="164">
        <f t="shared" si="44"/>
        <v>0</v>
      </c>
      <c r="H58" s="164">
        <f t="shared" si="44"/>
        <v>0</v>
      </c>
      <c r="I58" s="164">
        <f t="shared" si="44"/>
        <v>0</v>
      </c>
      <c r="J58" s="164">
        <f t="shared" si="44"/>
        <v>0</v>
      </c>
      <c r="K58" s="164">
        <f t="shared" si="44"/>
        <v>0</v>
      </c>
      <c r="L58" s="164">
        <f t="shared" si="44"/>
        <v>0</v>
      </c>
      <c r="M58" s="164">
        <f t="shared" si="44"/>
        <v>0</v>
      </c>
      <c r="N58" s="164">
        <f t="shared" si="44"/>
        <v>0</v>
      </c>
      <c r="O58" s="164">
        <f t="shared" si="44"/>
        <v>0</v>
      </c>
      <c r="P58" s="164">
        <f t="shared" si="44"/>
        <v>0</v>
      </c>
      <c r="Q58" s="164">
        <f t="shared" si="44"/>
        <v>0</v>
      </c>
      <c r="R58" s="164">
        <f t="shared" si="44"/>
        <v>0</v>
      </c>
      <c r="S58" s="164">
        <f t="shared" si="44"/>
        <v>0</v>
      </c>
      <c r="T58" s="164">
        <f t="shared" si="44"/>
        <v>0</v>
      </c>
      <c r="U58" s="164">
        <f t="shared" si="44"/>
        <v>0</v>
      </c>
      <c r="V58" s="164">
        <f t="shared" si="44"/>
        <v>0</v>
      </c>
      <c r="W58" s="164">
        <f t="shared" si="44"/>
        <v>0</v>
      </c>
      <c r="X58" s="164">
        <f t="shared" si="44"/>
        <v>0</v>
      </c>
      <c r="Y58" s="164">
        <f t="shared" si="44"/>
        <v>0</v>
      </c>
      <c r="Z58" s="164">
        <f t="shared" si="44"/>
        <v>0</v>
      </c>
      <c r="AA58" s="164">
        <f t="shared" si="44"/>
        <v>0</v>
      </c>
      <c r="AB58" s="164">
        <f t="shared" si="44"/>
        <v>0</v>
      </c>
      <c r="AC58" s="164">
        <f t="shared" si="44"/>
        <v>0</v>
      </c>
      <c r="AD58" s="164">
        <f t="shared" si="44"/>
        <v>0</v>
      </c>
      <c r="AE58" s="164">
        <f t="shared" si="44"/>
        <v>0</v>
      </c>
      <c r="AF58" s="164">
        <f t="shared" si="44"/>
        <v>150000</v>
      </c>
      <c r="AG58" s="164">
        <f t="shared" si="44"/>
        <v>0</v>
      </c>
      <c r="AH58" s="164">
        <f t="shared" si="44"/>
        <v>0</v>
      </c>
      <c r="AI58" s="164">
        <f t="shared" si="44"/>
        <v>0</v>
      </c>
      <c r="AJ58" s="164">
        <f t="shared" si="44"/>
        <v>0</v>
      </c>
      <c r="AK58" s="164">
        <f t="shared" si="44"/>
        <v>0</v>
      </c>
      <c r="AL58" s="164">
        <f t="shared" si="44"/>
        <v>0</v>
      </c>
      <c r="AM58" s="164">
        <f t="shared" si="44"/>
        <v>0</v>
      </c>
      <c r="AN58" s="164">
        <f t="shared" si="44"/>
        <v>0</v>
      </c>
      <c r="AO58" s="164">
        <f t="shared" si="44"/>
        <v>0</v>
      </c>
      <c r="AP58" s="164">
        <f t="shared" si="44"/>
        <v>0</v>
      </c>
    </row>
    <row r="59" spans="1:42">
      <c r="A59" s="206" t="s">
        <v>428</v>
      </c>
      <c r="B59" s="164">
        <f>-B713-B714</f>
        <v>-3490604.7462151214</v>
      </c>
      <c r="C59" s="164">
        <f t="shared" ref="C59:AP59" si="45">-C713-C714</f>
        <v>0</v>
      </c>
      <c r="D59" s="164">
        <f t="shared" si="45"/>
        <v>0</v>
      </c>
      <c r="E59" s="164">
        <f t="shared" si="45"/>
        <v>0</v>
      </c>
      <c r="F59" s="164">
        <f t="shared" si="45"/>
        <v>0</v>
      </c>
      <c r="G59" s="164">
        <f t="shared" si="45"/>
        <v>0</v>
      </c>
      <c r="H59" s="164">
        <f t="shared" si="45"/>
        <v>0</v>
      </c>
      <c r="I59" s="164">
        <f t="shared" si="45"/>
        <v>0</v>
      </c>
      <c r="J59" s="164">
        <f t="shared" si="45"/>
        <v>0</v>
      </c>
      <c r="K59" s="164">
        <f t="shared" si="45"/>
        <v>0</v>
      </c>
      <c r="L59" s="164">
        <f t="shared" si="45"/>
        <v>0</v>
      </c>
      <c r="M59" s="164">
        <f t="shared" si="45"/>
        <v>0</v>
      </c>
      <c r="N59" s="164">
        <f t="shared" si="45"/>
        <v>0</v>
      </c>
      <c r="O59" s="164">
        <f t="shared" si="45"/>
        <v>0</v>
      </c>
      <c r="P59" s="164">
        <f t="shared" si="45"/>
        <v>0</v>
      </c>
      <c r="Q59" s="164">
        <f t="shared" si="45"/>
        <v>0</v>
      </c>
      <c r="R59" s="164">
        <f t="shared" si="45"/>
        <v>0</v>
      </c>
      <c r="S59" s="164">
        <f t="shared" si="45"/>
        <v>0</v>
      </c>
      <c r="T59" s="164">
        <f t="shared" si="45"/>
        <v>0</v>
      </c>
      <c r="U59" s="164">
        <f t="shared" si="45"/>
        <v>0</v>
      </c>
      <c r="V59" s="164">
        <f t="shared" si="45"/>
        <v>0</v>
      </c>
      <c r="W59" s="164">
        <f t="shared" si="45"/>
        <v>0</v>
      </c>
      <c r="X59" s="164">
        <f t="shared" si="45"/>
        <v>0</v>
      </c>
      <c r="Y59" s="164">
        <f t="shared" si="45"/>
        <v>0</v>
      </c>
      <c r="Z59" s="164">
        <f t="shared" si="45"/>
        <v>0</v>
      </c>
      <c r="AA59" s="164">
        <f t="shared" si="45"/>
        <v>0</v>
      </c>
      <c r="AB59" s="164">
        <f t="shared" si="45"/>
        <v>0</v>
      </c>
      <c r="AC59" s="164">
        <f t="shared" si="45"/>
        <v>0</v>
      </c>
      <c r="AD59" s="164">
        <f t="shared" si="45"/>
        <v>0</v>
      </c>
      <c r="AE59" s="164">
        <f t="shared" si="45"/>
        <v>0</v>
      </c>
      <c r="AF59" s="164">
        <f t="shared" si="45"/>
        <v>3490604.7462151214</v>
      </c>
      <c r="AG59" s="164">
        <f t="shared" si="45"/>
        <v>0</v>
      </c>
      <c r="AH59" s="164">
        <f t="shared" si="45"/>
        <v>0</v>
      </c>
      <c r="AI59" s="164">
        <f t="shared" si="45"/>
        <v>0</v>
      </c>
      <c r="AJ59" s="164">
        <f t="shared" si="45"/>
        <v>0</v>
      </c>
      <c r="AK59" s="164">
        <f t="shared" si="45"/>
        <v>0</v>
      </c>
      <c r="AL59" s="164">
        <f t="shared" si="45"/>
        <v>0</v>
      </c>
      <c r="AM59" s="164">
        <f t="shared" si="45"/>
        <v>0</v>
      </c>
      <c r="AN59" s="164">
        <f t="shared" si="45"/>
        <v>0</v>
      </c>
      <c r="AO59" s="164">
        <f t="shared" si="45"/>
        <v>0</v>
      </c>
      <c r="AP59" s="164">
        <f t="shared" si="45"/>
        <v>0</v>
      </c>
    </row>
    <row r="60" spans="1:42">
      <c r="A60" s="206" t="s">
        <v>372</v>
      </c>
      <c r="B60" s="208">
        <f>-B719-B720</f>
        <v>0</v>
      </c>
      <c r="C60" s="208">
        <f t="shared" ref="C60:AP60" si="46">-C719-C720</f>
        <v>-245406.02862510949</v>
      </c>
      <c r="D60" s="208">
        <f t="shared" si="46"/>
        <v>-245406.02862510949</v>
      </c>
      <c r="E60" s="208">
        <f t="shared" si="46"/>
        <v>-245406.02862510949</v>
      </c>
      <c r="F60" s="208">
        <f t="shared" si="46"/>
        <v>-245406.02862510949</v>
      </c>
      <c r="G60" s="208">
        <f t="shared" si="46"/>
        <v>-245406.02862510949</v>
      </c>
      <c r="H60" s="208">
        <f t="shared" si="46"/>
        <v>-245406.02862510949</v>
      </c>
      <c r="I60" s="208">
        <f t="shared" si="46"/>
        <v>-245406.02862510949</v>
      </c>
      <c r="J60" s="208">
        <f t="shared" si="46"/>
        <v>-245406.02862510949</v>
      </c>
      <c r="K60" s="208">
        <f t="shared" si="46"/>
        <v>-245406.02862510949</v>
      </c>
      <c r="L60" s="208">
        <f t="shared" si="46"/>
        <v>-245406.02862510949</v>
      </c>
      <c r="M60" s="208">
        <f t="shared" si="46"/>
        <v>-245406.02862510949</v>
      </c>
      <c r="N60" s="208">
        <f t="shared" si="46"/>
        <v>2699466.3148762044</v>
      </c>
      <c r="O60" s="208">
        <f t="shared" si="46"/>
        <v>-293411.90721039008</v>
      </c>
      <c r="P60" s="208">
        <f t="shared" si="46"/>
        <v>-293411.90721039008</v>
      </c>
      <c r="Q60" s="208">
        <f t="shared" si="46"/>
        <v>-293411.90721039008</v>
      </c>
      <c r="R60" s="208">
        <f t="shared" si="46"/>
        <v>-293411.90721039008</v>
      </c>
      <c r="S60" s="208">
        <f t="shared" si="46"/>
        <v>-293411.90721039008</v>
      </c>
      <c r="T60" s="208">
        <f t="shared" si="46"/>
        <v>-293411.90721039008</v>
      </c>
      <c r="U60" s="208">
        <f t="shared" si="46"/>
        <v>-293411.90721039008</v>
      </c>
      <c r="V60" s="208">
        <f t="shared" si="46"/>
        <v>-293411.90721039008</v>
      </c>
      <c r="W60" s="208">
        <f t="shared" si="46"/>
        <v>-293411.90721039008</v>
      </c>
      <c r="X60" s="208">
        <f t="shared" si="46"/>
        <v>-293411.90721039008</v>
      </c>
      <c r="Y60" s="208">
        <f t="shared" si="46"/>
        <v>-293411.90721039008</v>
      </c>
      <c r="Z60" s="208">
        <f t="shared" si="46"/>
        <v>3227530.9793142909</v>
      </c>
      <c r="AA60" s="208">
        <f t="shared" si="46"/>
        <v>0</v>
      </c>
      <c r="AB60" s="208">
        <f t="shared" si="46"/>
        <v>0</v>
      </c>
      <c r="AC60" s="208">
        <f t="shared" si="46"/>
        <v>0</v>
      </c>
      <c r="AD60" s="208">
        <f t="shared" si="46"/>
        <v>0</v>
      </c>
      <c r="AE60" s="208">
        <f t="shared" si="46"/>
        <v>0</v>
      </c>
      <c r="AF60" s="208">
        <f t="shared" si="46"/>
        <v>0</v>
      </c>
      <c r="AG60" s="208">
        <f t="shared" si="46"/>
        <v>0</v>
      </c>
      <c r="AH60" s="208">
        <f t="shared" si="46"/>
        <v>0</v>
      </c>
      <c r="AI60" s="208">
        <f t="shared" si="46"/>
        <v>0</v>
      </c>
      <c r="AJ60" s="208">
        <f t="shared" si="46"/>
        <v>0</v>
      </c>
      <c r="AK60" s="208">
        <f t="shared" si="46"/>
        <v>0</v>
      </c>
      <c r="AL60" s="208">
        <f t="shared" si="46"/>
        <v>0</v>
      </c>
      <c r="AM60" s="208">
        <f t="shared" si="46"/>
        <v>0</v>
      </c>
      <c r="AN60" s="208">
        <f t="shared" si="46"/>
        <v>0</v>
      </c>
      <c r="AO60" s="208">
        <f t="shared" si="46"/>
        <v>0</v>
      </c>
      <c r="AP60" s="208">
        <f t="shared" si="46"/>
        <v>0</v>
      </c>
    </row>
    <row r="61" spans="1:42">
      <c r="A61" s="206" t="s">
        <v>373</v>
      </c>
      <c r="B61" s="208">
        <f>-B751-B752</f>
        <v>0</v>
      </c>
      <c r="C61" s="208">
        <f t="shared" ref="C61:AP61" si="47">-C751-C752</f>
        <v>-410585.24356465257</v>
      </c>
      <c r="D61" s="208">
        <f t="shared" si="47"/>
        <v>-410585.24356465257</v>
      </c>
      <c r="E61" s="208">
        <f t="shared" si="47"/>
        <v>-410585.24356465257</v>
      </c>
      <c r="F61" s="208">
        <f t="shared" si="47"/>
        <v>-410585.24356465257</v>
      </c>
      <c r="G61" s="208">
        <f t="shared" si="47"/>
        <v>-410585.24356465257</v>
      </c>
      <c r="H61" s="208">
        <f t="shared" si="47"/>
        <v>-410585.24356465257</v>
      </c>
      <c r="I61" s="208">
        <f t="shared" si="47"/>
        <v>-410585.24356465257</v>
      </c>
      <c r="J61" s="208">
        <f t="shared" si="47"/>
        <v>-410585.24356465257</v>
      </c>
      <c r="K61" s="208">
        <f t="shared" si="47"/>
        <v>-410585.24356465257</v>
      </c>
      <c r="L61" s="208">
        <f t="shared" si="47"/>
        <v>-410585.24356465257</v>
      </c>
      <c r="M61" s="208">
        <f t="shared" si="47"/>
        <v>-410585.24356465257</v>
      </c>
      <c r="N61" s="208">
        <f t="shared" si="47"/>
        <v>-410585.24356465257</v>
      </c>
      <c r="O61" s="208">
        <f t="shared" si="47"/>
        <v>-410585.24356465257</v>
      </c>
      <c r="P61" s="208">
        <f t="shared" si="47"/>
        <v>-410585.24356465257</v>
      </c>
      <c r="Q61" s="208">
        <f t="shared" si="47"/>
        <v>5748193.4099051366</v>
      </c>
      <c r="R61" s="208">
        <f t="shared" si="47"/>
        <v>-513326.83759962226</v>
      </c>
      <c r="S61" s="208">
        <f t="shared" si="47"/>
        <v>-513326.83759962226</v>
      </c>
      <c r="T61" s="208">
        <f t="shared" si="47"/>
        <v>-513326.83759962226</v>
      </c>
      <c r="U61" s="208">
        <f t="shared" si="47"/>
        <v>-513326.83759962226</v>
      </c>
      <c r="V61" s="208">
        <f t="shared" si="47"/>
        <v>-513326.83759962226</v>
      </c>
      <c r="W61" s="208">
        <f t="shared" si="47"/>
        <v>-513326.83759962226</v>
      </c>
      <c r="X61" s="208">
        <f t="shared" si="47"/>
        <v>-513326.83759962226</v>
      </c>
      <c r="Y61" s="208">
        <f t="shared" si="47"/>
        <v>-513326.83759962226</v>
      </c>
      <c r="Z61" s="208">
        <f t="shared" si="47"/>
        <v>-513326.83759962226</v>
      </c>
      <c r="AA61" s="208">
        <f t="shared" si="47"/>
        <v>-513326.83759962226</v>
      </c>
      <c r="AB61" s="208">
        <f t="shared" si="47"/>
        <v>-513326.83759962226</v>
      </c>
      <c r="AC61" s="208">
        <f t="shared" si="47"/>
        <v>-513326.83759962226</v>
      </c>
      <c r="AD61" s="208">
        <f t="shared" si="47"/>
        <v>-513326.83759962226</v>
      </c>
      <c r="AE61" s="208">
        <f t="shared" si="47"/>
        <v>-513326.83759962226</v>
      </c>
      <c r="AF61" s="208">
        <f t="shared" si="47"/>
        <v>7186575.726394712</v>
      </c>
      <c r="AG61" s="208">
        <f t="shared" si="47"/>
        <v>0</v>
      </c>
      <c r="AH61" s="208">
        <f t="shared" si="47"/>
        <v>0</v>
      </c>
      <c r="AI61" s="208">
        <f t="shared" si="47"/>
        <v>0</v>
      </c>
      <c r="AJ61" s="208">
        <f t="shared" si="47"/>
        <v>0</v>
      </c>
      <c r="AK61" s="208">
        <f t="shared" si="47"/>
        <v>0</v>
      </c>
      <c r="AL61" s="208">
        <f t="shared" si="47"/>
        <v>0</v>
      </c>
      <c r="AM61" s="208">
        <f t="shared" si="47"/>
        <v>0</v>
      </c>
      <c r="AN61" s="208">
        <f t="shared" si="47"/>
        <v>0</v>
      </c>
      <c r="AO61" s="208">
        <f t="shared" si="47"/>
        <v>0</v>
      </c>
      <c r="AP61" s="208">
        <f t="shared" si="47"/>
        <v>0</v>
      </c>
    </row>
    <row r="62" spans="1:42">
      <c r="A62" s="206" t="s">
        <v>374</v>
      </c>
      <c r="B62" s="209">
        <f>-B783-B784</f>
        <v>0</v>
      </c>
      <c r="C62" s="209">
        <f t="shared" ref="C62:AP62" si="48">-C783-C784</f>
        <v>-34340.833333333321</v>
      </c>
      <c r="D62" s="209">
        <f t="shared" si="48"/>
        <v>-34340.833333333321</v>
      </c>
      <c r="E62" s="209">
        <f t="shared" si="48"/>
        <v>68681.666666666657</v>
      </c>
      <c r="F62" s="209">
        <f t="shared" si="48"/>
        <v>-35909.466796145811</v>
      </c>
      <c r="G62" s="209">
        <f t="shared" si="48"/>
        <v>-35909.466796145811</v>
      </c>
      <c r="H62" s="209">
        <f t="shared" si="48"/>
        <v>71818.933592291607</v>
      </c>
      <c r="I62" s="209">
        <f t="shared" si="48"/>
        <v>-37549.752886510192</v>
      </c>
      <c r="J62" s="209">
        <f t="shared" si="48"/>
        <v>-37549.752886510192</v>
      </c>
      <c r="K62" s="209">
        <f t="shared" si="48"/>
        <v>75099.505773020384</v>
      </c>
      <c r="L62" s="209">
        <f t="shared" si="48"/>
        <v>-39264.96458001752</v>
      </c>
      <c r="M62" s="209">
        <f t="shared" si="48"/>
        <v>-39264.96458001752</v>
      </c>
      <c r="N62" s="209">
        <f t="shared" si="48"/>
        <v>78529.929160035041</v>
      </c>
      <c r="O62" s="209">
        <f t="shared" si="48"/>
        <v>-41058.524356465256</v>
      </c>
      <c r="P62" s="209">
        <f t="shared" si="48"/>
        <v>-41058.524356465256</v>
      </c>
      <c r="Q62" s="209">
        <f t="shared" si="48"/>
        <v>82117.048712930526</v>
      </c>
      <c r="R62" s="209">
        <f t="shared" si="48"/>
        <v>-42934.011028966495</v>
      </c>
      <c r="S62" s="209">
        <f t="shared" si="48"/>
        <v>-42934.011028966495</v>
      </c>
      <c r="T62" s="209">
        <f t="shared" si="48"/>
        <v>85868.022057932976</v>
      </c>
      <c r="U62" s="209">
        <f t="shared" si="48"/>
        <v>-44895.166885001738</v>
      </c>
      <c r="V62" s="209">
        <f t="shared" si="48"/>
        <v>-44895.166885001738</v>
      </c>
      <c r="W62" s="209">
        <f t="shared" si="48"/>
        <v>89790.33377000349</v>
      </c>
      <c r="X62" s="209">
        <f t="shared" si="48"/>
        <v>-46945.90515366241</v>
      </c>
      <c r="Y62" s="209">
        <f t="shared" si="48"/>
        <v>-46945.90515366241</v>
      </c>
      <c r="Z62" s="209">
        <f t="shared" si="48"/>
        <v>93891.810307324835</v>
      </c>
      <c r="AA62" s="209">
        <f t="shared" si="48"/>
        <v>-49090.317813985828</v>
      </c>
      <c r="AB62" s="209">
        <f t="shared" si="48"/>
        <v>-49090.317813985828</v>
      </c>
      <c r="AC62" s="209">
        <f t="shared" si="48"/>
        <v>98180.635627971642</v>
      </c>
      <c r="AD62" s="209">
        <f t="shared" si="48"/>
        <v>-51332.68375996223</v>
      </c>
      <c r="AE62" s="209">
        <f t="shared" si="48"/>
        <v>-51332.68375996223</v>
      </c>
      <c r="AF62" s="209">
        <f t="shared" si="48"/>
        <v>102665.36751992445</v>
      </c>
      <c r="AG62" s="209">
        <f t="shared" si="48"/>
        <v>0</v>
      </c>
      <c r="AH62" s="209">
        <f t="shared" si="48"/>
        <v>0</v>
      </c>
      <c r="AI62" s="209">
        <f t="shared" si="48"/>
        <v>0</v>
      </c>
      <c r="AJ62" s="209">
        <f t="shared" si="48"/>
        <v>0</v>
      </c>
      <c r="AK62" s="209">
        <f t="shared" si="48"/>
        <v>0</v>
      </c>
      <c r="AL62" s="209">
        <f t="shared" si="48"/>
        <v>0</v>
      </c>
      <c r="AM62" s="209">
        <f t="shared" si="48"/>
        <v>0</v>
      </c>
      <c r="AN62" s="209">
        <f t="shared" si="48"/>
        <v>0</v>
      </c>
      <c r="AO62" s="209">
        <f t="shared" si="48"/>
        <v>0</v>
      </c>
      <c r="AP62" s="209">
        <f t="shared" si="48"/>
        <v>0</v>
      </c>
    </row>
    <row r="63" spans="1:42">
      <c r="A63" s="206" t="s">
        <v>53</v>
      </c>
      <c r="B63" s="164">
        <f t="shared" ref="B63:AP63" si="49">SUM(B58:B62)</f>
        <v>-3640604.7462151214</v>
      </c>
      <c r="C63" s="164">
        <f t="shared" si="49"/>
        <v>-690332.10552309547</v>
      </c>
      <c r="D63" s="164">
        <f t="shared" si="49"/>
        <v>-690332.10552309547</v>
      </c>
      <c r="E63" s="164">
        <f t="shared" si="49"/>
        <v>-587309.60552309547</v>
      </c>
      <c r="F63" s="164">
        <f t="shared" si="49"/>
        <v>-691900.73898590787</v>
      </c>
      <c r="G63" s="164">
        <f t="shared" si="49"/>
        <v>-691900.73898590787</v>
      </c>
      <c r="H63" s="164">
        <f t="shared" si="49"/>
        <v>-584172.33859747043</v>
      </c>
      <c r="I63" s="164">
        <f t="shared" si="49"/>
        <v>-693541.02507627232</v>
      </c>
      <c r="J63" s="164">
        <f t="shared" si="49"/>
        <v>-693541.02507627232</v>
      </c>
      <c r="K63" s="164">
        <f t="shared" si="49"/>
        <v>-580891.76641674177</v>
      </c>
      <c r="L63" s="164">
        <f t="shared" si="49"/>
        <v>-695256.23676977959</v>
      </c>
      <c r="M63" s="164">
        <f t="shared" si="49"/>
        <v>-695256.23676977959</v>
      </c>
      <c r="N63" s="164">
        <f t="shared" si="49"/>
        <v>2367411.0004715868</v>
      </c>
      <c r="O63" s="164">
        <f t="shared" si="49"/>
        <v>-745055.6751315078</v>
      </c>
      <c r="P63" s="164">
        <f t="shared" si="49"/>
        <v>-745055.6751315078</v>
      </c>
      <c r="Q63" s="164">
        <f t="shared" si="49"/>
        <v>5536898.5514076771</v>
      </c>
      <c r="R63" s="164">
        <f t="shared" si="49"/>
        <v>-849672.75583897892</v>
      </c>
      <c r="S63" s="164">
        <f t="shared" si="49"/>
        <v>-849672.75583897892</v>
      </c>
      <c r="T63" s="164">
        <f t="shared" si="49"/>
        <v>-720870.72275207937</v>
      </c>
      <c r="U63" s="164">
        <f t="shared" si="49"/>
        <v>-851633.9116950141</v>
      </c>
      <c r="V63" s="164">
        <f t="shared" si="49"/>
        <v>-851633.9116950141</v>
      </c>
      <c r="W63" s="164">
        <f t="shared" si="49"/>
        <v>-716948.41104000888</v>
      </c>
      <c r="X63" s="164">
        <f t="shared" si="49"/>
        <v>-853684.64996367483</v>
      </c>
      <c r="Y63" s="164">
        <f t="shared" si="49"/>
        <v>-853684.64996367483</v>
      </c>
      <c r="Z63" s="164">
        <f t="shared" si="49"/>
        <v>2808095.9520219937</v>
      </c>
      <c r="AA63" s="164">
        <f t="shared" si="49"/>
        <v>-562417.15541360807</v>
      </c>
      <c r="AB63" s="164">
        <f t="shared" si="49"/>
        <v>-562417.15541360807</v>
      </c>
      <c r="AC63" s="164">
        <f t="shared" si="49"/>
        <v>-415146.20197165059</v>
      </c>
      <c r="AD63" s="164">
        <f t="shared" si="49"/>
        <v>-564659.52135958453</v>
      </c>
      <c r="AE63" s="164">
        <f t="shared" si="49"/>
        <v>-564659.52135958453</v>
      </c>
      <c r="AF63" s="164">
        <f t="shared" si="49"/>
        <v>10929845.840129757</v>
      </c>
      <c r="AG63" s="164">
        <f t="shared" si="49"/>
        <v>0</v>
      </c>
      <c r="AH63" s="164">
        <f t="shared" si="49"/>
        <v>0</v>
      </c>
      <c r="AI63" s="164">
        <f t="shared" si="49"/>
        <v>0</v>
      </c>
      <c r="AJ63" s="164">
        <f t="shared" si="49"/>
        <v>0</v>
      </c>
      <c r="AK63" s="164">
        <f t="shared" si="49"/>
        <v>0</v>
      </c>
      <c r="AL63" s="164">
        <f t="shared" si="49"/>
        <v>0</v>
      </c>
      <c r="AM63" s="164">
        <f t="shared" si="49"/>
        <v>0</v>
      </c>
      <c r="AN63" s="164">
        <f t="shared" si="49"/>
        <v>0</v>
      </c>
      <c r="AO63" s="164">
        <f t="shared" si="49"/>
        <v>0</v>
      </c>
      <c r="AP63" s="164">
        <f t="shared" si="49"/>
        <v>0</v>
      </c>
    </row>
    <row r="64" spans="1:42">
      <c r="A64" s="202" t="s">
        <v>212</v>
      </c>
    </row>
    <row r="65" spans="1:42">
      <c r="A65" s="206" t="s">
        <v>380</v>
      </c>
      <c r="B65" s="208">
        <f>B720</f>
        <v>0</v>
      </c>
      <c r="C65" s="208">
        <f t="shared" ref="C65:AP65" si="50">C720</f>
        <v>0</v>
      </c>
      <c r="D65" s="208">
        <f t="shared" si="50"/>
        <v>0</v>
      </c>
      <c r="E65" s="208">
        <f t="shared" si="50"/>
        <v>0</v>
      </c>
      <c r="F65" s="208">
        <f t="shared" si="50"/>
        <v>0</v>
      </c>
      <c r="G65" s="208">
        <f t="shared" si="50"/>
        <v>0</v>
      </c>
      <c r="H65" s="208">
        <f t="shared" si="50"/>
        <v>0</v>
      </c>
      <c r="I65" s="208">
        <f t="shared" si="50"/>
        <v>0</v>
      </c>
      <c r="J65" s="208">
        <f t="shared" si="50"/>
        <v>0</v>
      </c>
      <c r="K65" s="208">
        <f t="shared" si="50"/>
        <v>0</v>
      </c>
      <c r="L65" s="208">
        <f t="shared" si="50"/>
        <v>0</v>
      </c>
      <c r="M65" s="208">
        <f t="shared" si="50"/>
        <v>0</v>
      </c>
      <c r="N65" s="208">
        <f t="shared" si="50"/>
        <v>-2944872.3435013141</v>
      </c>
      <c r="O65" s="208">
        <f t="shared" si="50"/>
        <v>0</v>
      </c>
      <c r="P65" s="208">
        <f t="shared" si="50"/>
        <v>0</v>
      </c>
      <c r="Q65" s="208">
        <f t="shared" si="50"/>
        <v>0</v>
      </c>
      <c r="R65" s="208">
        <f t="shared" si="50"/>
        <v>0</v>
      </c>
      <c r="S65" s="208">
        <f t="shared" si="50"/>
        <v>0</v>
      </c>
      <c r="T65" s="208">
        <f t="shared" si="50"/>
        <v>0</v>
      </c>
      <c r="U65" s="208">
        <f t="shared" si="50"/>
        <v>0</v>
      </c>
      <c r="V65" s="208">
        <f t="shared" si="50"/>
        <v>0</v>
      </c>
      <c r="W65" s="208">
        <f t="shared" si="50"/>
        <v>0</v>
      </c>
      <c r="X65" s="208">
        <f t="shared" si="50"/>
        <v>0</v>
      </c>
      <c r="Y65" s="208">
        <f t="shared" si="50"/>
        <v>0</v>
      </c>
      <c r="Z65" s="208">
        <f t="shared" si="50"/>
        <v>-3520942.886524681</v>
      </c>
      <c r="AA65" s="208">
        <f t="shared" si="50"/>
        <v>0</v>
      </c>
      <c r="AB65" s="208">
        <f t="shared" si="50"/>
        <v>0</v>
      </c>
      <c r="AC65" s="208">
        <f t="shared" si="50"/>
        <v>0</v>
      </c>
      <c r="AD65" s="208">
        <f t="shared" si="50"/>
        <v>0</v>
      </c>
      <c r="AE65" s="208">
        <f t="shared" si="50"/>
        <v>0</v>
      </c>
      <c r="AF65" s="208">
        <f t="shared" si="50"/>
        <v>0</v>
      </c>
      <c r="AG65" s="208">
        <f t="shared" si="50"/>
        <v>0</v>
      </c>
      <c r="AH65" s="208">
        <f t="shared" si="50"/>
        <v>0</v>
      </c>
      <c r="AI65" s="208">
        <f t="shared" si="50"/>
        <v>0</v>
      </c>
      <c r="AJ65" s="208">
        <f t="shared" si="50"/>
        <v>0</v>
      </c>
      <c r="AK65" s="208">
        <f t="shared" si="50"/>
        <v>0</v>
      </c>
      <c r="AL65" s="208">
        <f t="shared" si="50"/>
        <v>0</v>
      </c>
      <c r="AM65" s="208">
        <f t="shared" si="50"/>
        <v>0</v>
      </c>
      <c r="AN65" s="208">
        <f t="shared" si="50"/>
        <v>0</v>
      </c>
      <c r="AO65" s="208">
        <f t="shared" si="50"/>
        <v>0</v>
      </c>
      <c r="AP65" s="208">
        <f t="shared" si="50"/>
        <v>0</v>
      </c>
    </row>
    <row r="66" spans="1:42">
      <c r="A66" s="206" t="s">
        <v>381</v>
      </c>
      <c r="B66" s="208">
        <f>B752</f>
        <v>0</v>
      </c>
      <c r="C66" s="208">
        <f t="shared" ref="C66:AP66" si="51">C752</f>
        <v>0</v>
      </c>
      <c r="D66" s="208">
        <f t="shared" si="51"/>
        <v>0</v>
      </c>
      <c r="E66" s="208">
        <f t="shared" si="51"/>
        <v>0</v>
      </c>
      <c r="F66" s="208">
        <f t="shared" si="51"/>
        <v>0</v>
      </c>
      <c r="G66" s="208">
        <f t="shared" si="51"/>
        <v>0</v>
      </c>
      <c r="H66" s="208">
        <f t="shared" si="51"/>
        <v>0</v>
      </c>
      <c r="I66" s="208">
        <f t="shared" si="51"/>
        <v>0</v>
      </c>
      <c r="J66" s="208">
        <f t="shared" si="51"/>
        <v>0</v>
      </c>
      <c r="K66" s="208">
        <f t="shared" si="51"/>
        <v>0</v>
      </c>
      <c r="L66" s="208">
        <f t="shared" si="51"/>
        <v>0</v>
      </c>
      <c r="M66" s="208">
        <f t="shared" si="51"/>
        <v>0</v>
      </c>
      <c r="N66" s="208">
        <f t="shared" si="51"/>
        <v>0</v>
      </c>
      <c r="O66" s="208">
        <f t="shared" si="51"/>
        <v>0</v>
      </c>
      <c r="P66" s="208">
        <f t="shared" si="51"/>
        <v>0</v>
      </c>
      <c r="Q66" s="208">
        <f t="shared" si="51"/>
        <v>-6158778.6534697888</v>
      </c>
      <c r="R66" s="208">
        <f t="shared" si="51"/>
        <v>0</v>
      </c>
      <c r="S66" s="208">
        <f t="shared" si="51"/>
        <v>0</v>
      </c>
      <c r="T66" s="208">
        <f t="shared" si="51"/>
        <v>0</v>
      </c>
      <c r="U66" s="208">
        <f t="shared" si="51"/>
        <v>0</v>
      </c>
      <c r="V66" s="208">
        <f t="shared" si="51"/>
        <v>0</v>
      </c>
      <c r="W66" s="208">
        <f t="shared" si="51"/>
        <v>0</v>
      </c>
      <c r="X66" s="208">
        <f t="shared" si="51"/>
        <v>0</v>
      </c>
      <c r="Y66" s="208">
        <f t="shared" si="51"/>
        <v>0</v>
      </c>
      <c r="Z66" s="208">
        <f t="shared" si="51"/>
        <v>0</v>
      </c>
      <c r="AA66" s="208">
        <f t="shared" si="51"/>
        <v>0</v>
      </c>
      <c r="AB66" s="208">
        <f t="shared" si="51"/>
        <v>0</v>
      </c>
      <c r="AC66" s="208">
        <f t="shared" si="51"/>
        <v>0</v>
      </c>
      <c r="AD66" s="208">
        <f t="shared" si="51"/>
        <v>0</v>
      </c>
      <c r="AE66" s="208">
        <f t="shared" si="51"/>
        <v>0</v>
      </c>
      <c r="AF66" s="208">
        <f t="shared" si="51"/>
        <v>-7699902.5639943341</v>
      </c>
      <c r="AG66" s="208">
        <f t="shared" si="51"/>
        <v>0</v>
      </c>
      <c r="AH66" s="208">
        <f t="shared" si="51"/>
        <v>0</v>
      </c>
      <c r="AI66" s="208">
        <f t="shared" si="51"/>
        <v>0</v>
      </c>
      <c r="AJ66" s="208">
        <f t="shared" si="51"/>
        <v>0</v>
      </c>
      <c r="AK66" s="208">
        <f t="shared" si="51"/>
        <v>0</v>
      </c>
      <c r="AL66" s="208">
        <f t="shared" si="51"/>
        <v>0</v>
      </c>
      <c r="AM66" s="208">
        <f t="shared" si="51"/>
        <v>0</v>
      </c>
      <c r="AN66" s="208">
        <f t="shared" si="51"/>
        <v>0</v>
      </c>
      <c r="AO66" s="208">
        <f t="shared" si="51"/>
        <v>0</v>
      </c>
      <c r="AP66" s="208">
        <f t="shared" si="51"/>
        <v>0</v>
      </c>
    </row>
    <row r="67" spans="1:42">
      <c r="A67" s="206" t="s">
        <v>382</v>
      </c>
      <c r="B67" s="209">
        <f>B784</f>
        <v>0</v>
      </c>
      <c r="C67" s="209">
        <f t="shared" ref="C67:AP67" si="52">C784</f>
        <v>0</v>
      </c>
      <c r="D67" s="209">
        <f t="shared" si="52"/>
        <v>0</v>
      </c>
      <c r="E67" s="209">
        <f t="shared" si="52"/>
        <v>-103022.49999999997</v>
      </c>
      <c r="F67" s="209">
        <f t="shared" si="52"/>
        <v>0</v>
      </c>
      <c r="G67" s="209">
        <f t="shared" si="52"/>
        <v>0</v>
      </c>
      <c r="H67" s="209">
        <f t="shared" si="52"/>
        <v>-107728.40038843743</v>
      </c>
      <c r="I67" s="209">
        <f t="shared" si="52"/>
        <v>0</v>
      </c>
      <c r="J67" s="209">
        <f t="shared" si="52"/>
        <v>0</v>
      </c>
      <c r="K67" s="209">
        <f t="shared" si="52"/>
        <v>-112649.25865953058</v>
      </c>
      <c r="L67" s="209">
        <f t="shared" si="52"/>
        <v>0</v>
      </c>
      <c r="M67" s="209">
        <f t="shared" si="52"/>
        <v>0</v>
      </c>
      <c r="N67" s="209">
        <f t="shared" si="52"/>
        <v>-117794.89374005256</v>
      </c>
      <c r="O67" s="209">
        <f t="shared" si="52"/>
        <v>0</v>
      </c>
      <c r="P67" s="209">
        <f t="shared" si="52"/>
        <v>0</v>
      </c>
      <c r="Q67" s="209">
        <f t="shared" si="52"/>
        <v>-123175.57306939577</v>
      </c>
      <c r="R67" s="209">
        <f t="shared" si="52"/>
        <v>0</v>
      </c>
      <c r="S67" s="209">
        <f t="shared" si="52"/>
        <v>0</v>
      </c>
      <c r="T67" s="209">
        <f t="shared" si="52"/>
        <v>-128802.03308689948</v>
      </c>
      <c r="U67" s="209">
        <f t="shared" si="52"/>
        <v>0</v>
      </c>
      <c r="V67" s="209">
        <f t="shared" si="52"/>
        <v>0</v>
      </c>
      <c r="W67" s="209">
        <f t="shared" si="52"/>
        <v>-134685.50065500522</v>
      </c>
      <c r="X67" s="209">
        <f t="shared" si="52"/>
        <v>0</v>
      </c>
      <c r="Y67" s="209">
        <f t="shared" si="52"/>
        <v>0</v>
      </c>
      <c r="Z67" s="209">
        <f t="shared" si="52"/>
        <v>-140837.71546098724</v>
      </c>
      <c r="AA67" s="209">
        <f t="shared" si="52"/>
        <v>0</v>
      </c>
      <c r="AB67" s="209">
        <f t="shared" si="52"/>
        <v>0</v>
      </c>
      <c r="AC67" s="209">
        <f t="shared" si="52"/>
        <v>-147270.95344195748</v>
      </c>
      <c r="AD67" s="209">
        <f t="shared" si="52"/>
        <v>0</v>
      </c>
      <c r="AE67" s="209">
        <f t="shared" si="52"/>
        <v>0</v>
      </c>
      <c r="AF67" s="209">
        <f t="shared" si="52"/>
        <v>-153998.05127988668</v>
      </c>
      <c r="AG67" s="209">
        <f t="shared" si="52"/>
        <v>0</v>
      </c>
      <c r="AH67" s="209">
        <f t="shared" si="52"/>
        <v>0</v>
      </c>
      <c r="AI67" s="209">
        <f t="shared" si="52"/>
        <v>0</v>
      </c>
      <c r="AJ67" s="209">
        <f t="shared" si="52"/>
        <v>0</v>
      </c>
      <c r="AK67" s="209">
        <f t="shared" si="52"/>
        <v>0</v>
      </c>
      <c r="AL67" s="209">
        <f t="shared" si="52"/>
        <v>0</v>
      </c>
      <c r="AM67" s="209">
        <f t="shared" si="52"/>
        <v>0</v>
      </c>
      <c r="AN67" s="209">
        <f t="shared" si="52"/>
        <v>0</v>
      </c>
      <c r="AO67" s="209">
        <f t="shared" si="52"/>
        <v>0</v>
      </c>
      <c r="AP67" s="209">
        <f t="shared" si="52"/>
        <v>0</v>
      </c>
    </row>
    <row r="68" spans="1:42">
      <c r="A68" s="206" t="s">
        <v>53</v>
      </c>
      <c r="B68" s="291">
        <f>SUM(B65:B67)</f>
        <v>0</v>
      </c>
      <c r="C68" s="291">
        <f t="shared" ref="C68:AP68" si="53">SUM(C65:C67)</f>
        <v>0</v>
      </c>
      <c r="D68" s="291">
        <f t="shared" si="53"/>
        <v>0</v>
      </c>
      <c r="E68" s="291">
        <f t="shared" si="53"/>
        <v>-103022.49999999997</v>
      </c>
      <c r="F68" s="291">
        <f t="shared" si="53"/>
        <v>0</v>
      </c>
      <c r="G68" s="291">
        <f t="shared" si="53"/>
        <v>0</v>
      </c>
      <c r="H68" s="291">
        <f t="shared" si="53"/>
        <v>-107728.40038843743</v>
      </c>
      <c r="I68" s="291">
        <f t="shared" si="53"/>
        <v>0</v>
      </c>
      <c r="J68" s="291">
        <f t="shared" si="53"/>
        <v>0</v>
      </c>
      <c r="K68" s="291">
        <f t="shared" si="53"/>
        <v>-112649.25865953058</v>
      </c>
      <c r="L68" s="291">
        <f t="shared" si="53"/>
        <v>0</v>
      </c>
      <c r="M68" s="291">
        <f t="shared" si="53"/>
        <v>0</v>
      </c>
      <c r="N68" s="291">
        <f t="shared" si="53"/>
        <v>-3062667.2372413664</v>
      </c>
      <c r="O68" s="291">
        <f t="shared" si="53"/>
        <v>0</v>
      </c>
      <c r="P68" s="291">
        <f t="shared" si="53"/>
        <v>0</v>
      </c>
      <c r="Q68" s="291">
        <f t="shared" si="53"/>
        <v>-6281954.2265391843</v>
      </c>
      <c r="R68" s="291">
        <f t="shared" si="53"/>
        <v>0</v>
      </c>
      <c r="S68" s="291">
        <f t="shared" si="53"/>
        <v>0</v>
      </c>
      <c r="T68" s="291">
        <f t="shared" si="53"/>
        <v>-128802.03308689948</v>
      </c>
      <c r="U68" s="291">
        <f t="shared" si="53"/>
        <v>0</v>
      </c>
      <c r="V68" s="291">
        <f t="shared" si="53"/>
        <v>0</v>
      </c>
      <c r="W68" s="291">
        <f t="shared" si="53"/>
        <v>-134685.50065500522</v>
      </c>
      <c r="X68" s="291">
        <f t="shared" si="53"/>
        <v>0</v>
      </c>
      <c r="Y68" s="291">
        <f t="shared" si="53"/>
        <v>0</v>
      </c>
      <c r="Z68" s="291">
        <f t="shared" si="53"/>
        <v>-3661780.6019856683</v>
      </c>
      <c r="AA68" s="291">
        <f t="shared" si="53"/>
        <v>0</v>
      </c>
      <c r="AB68" s="291">
        <f t="shared" si="53"/>
        <v>0</v>
      </c>
      <c r="AC68" s="291">
        <f t="shared" si="53"/>
        <v>-147270.95344195748</v>
      </c>
      <c r="AD68" s="291">
        <f t="shared" si="53"/>
        <v>0</v>
      </c>
      <c r="AE68" s="291">
        <f t="shared" si="53"/>
        <v>0</v>
      </c>
      <c r="AF68" s="291">
        <f t="shared" si="53"/>
        <v>-7853900.6152742207</v>
      </c>
      <c r="AG68" s="291">
        <f t="shared" si="53"/>
        <v>0</v>
      </c>
      <c r="AH68" s="291">
        <f t="shared" si="53"/>
        <v>0</v>
      </c>
      <c r="AI68" s="291">
        <f t="shared" si="53"/>
        <v>0</v>
      </c>
      <c r="AJ68" s="291">
        <f t="shared" si="53"/>
        <v>0</v>
      </c>
      <c r="AK68" s="291">
        <f t="shared" si="53"/>
        <v>0</v>
      </c>
      <c r="AL68" s="291">
        <f t="shared" si="53"/>
        <v>0</v>
      </c>
      <c r="AM68" s="291">
        <f t="shared" si="53"/>
        <v>0</v>
      </c>
      <c r="AN68" s="291">
        <f t="shared" si="53"/>
        <v>0</v>
      </c>
      <c r="AO68" s="291">
        <f t="shared" si="53"/>
        <v>0</v>
      </c>
      <c r="AP68" s="291">
        <f t="shared" si="53"/>
        <v>0</v>
      </c>
    </row>
    <row r="69" spans="1:42">
      <c r="A69" s="202" t="s">
        <v>53</v>
      </c>
      <c r="B69" s="164">
        <f>B53+B54+B55+B56+B63+B68</f>
        <v>-1.3969838619232178E-9</v>
      </c>
      <c r="C69" s="164">
        <f t="shared" ref="C69:AP69" si="54">C53+C54+C55+C56+C63+C68</f>
        <v>-690332.10552309547</v>
      </c>
      <c r="D69" s="164">
        <f t="shared" si="54"/>
        <v>-690332.10552309547</v>
      </c>
      <c r="E69" s="164">
        <f t="shared" si="54"/>
        <v>-690332.10552309547</v>
      </c>
      <c r="F69" s="164">
        <f t="shared" si="54"/>
        <v>-691900.73898590787</v>
      </c>
      <c r="G69" s="164">
        <f t="shared" si="54"/>
        <v>-691900.73898590787</v>
      </c>
      <c r="H69" s="164">
        <f t="shared" si="54"/>
        <v>-691900.73898590787</v>
      </c>
      <c r="I69" s="164">
        <f t="shared" si="54"/>
        <v>-693541.02507627232</v>
      </c>
      <c r="J69" s="164">
        <f t="shared" si="54"/>
        <v>-693541.02507627232</v>
      </c>
      <c r="K69" s="164">
        <f t="shared" si="54"/>
        <v>-693541.02507627232</v>
      </c>
      <c r="L69" s="164">
        <f t="shared" si="54"/>
        <v>-695256.23676977959</v>
      </c>
      <c r="M69" s="164">
        <f t="shared" si="54"/>
        <v>-695256.23676977959</v>
      </c>
      <c r="N69" s="164">
        <f t="shared" si="54"/>
        <v>-695256.23676977959</v>
      </c>
      <c r="O69" s="164">
        <f t="shared" si="54"/>
        <v>-745055.6751315078</v>
      </c>
      <c r="P69" s="164">
        <f t="shared" si="54"/>
        <v>-745055.6751315078</v>
      </c>
      <c r="Q69" s="164">
        <f t="shared" si="54"/>
        <v>-745055.67513150722</v>
      </c>
      <c r="R69" s="164">
        <f t="shared" si="54"/>
        <v>-849672.75583897892</v>
      </c>
      <c r="S69" s="164">
        <f t="shared" si="54"/>
        <v>-849672.75583897892</v>
      </c>
      <c r="T69" s="164">
        <f t="shared" si="54"/>
        <v>-849672.7558389788</v>
      </c>
      <c r="U69" s="164">
        <f t="shared" si="54"/>
        <v>-851633.9116950141</v>
      </c>
      <c r="V69" s="164">
        <f t="shared" si="54"/>
        <v>-851633.9116950141</v>
      </c>
      <c r="W69" s="164">
        <f t="shared" si="54"/>
        <v>-851633.9116950141</v>
      </c>
      <c r="X69" s="164">
        <f t="shared" si="54"/>
        <v>-853684.64996367483</v>
      </c>
      <c r="Y69" s="164">
        <f t="shared" si="54"/>
        <v>-853684.64996367483</v>
      </c>
      <c r="Z69" s="164">
        <f t="shared" si="54"/>
        <v>-853684.6499636746</v>
      </c>
      <c r="AA69" s="164">
        <f t="shared" si="54"/>
        <v>-562417.15541360807</v>
      </c>
      <c r="AB69" s="164">
        <f t="shared" si="54"/>
        <v>-562417.15541360807</v>
      </c>
      <c r="AC69" s="164">
        <f t="shared" si="54"/>
        <v>-562417.15541360807</v>
      </c>
      <c r="AD69" s="164">
        <f t="shared" si="54"/>
        <v>-564659.52135958453</v>
      </c>
      <c r="AE69" s="164">
        <f t="shared" si="54"/>
        <v>-564659.52135958453</v>
      </c>
      <c r="AF69" s="164">
        <f t="shared" si="54"/>
        <v>-946769.77514446341</v>
      </c>
      <c r="AG69" s="164">
        <f t="shared" si="54"/>
        <v>0</v>
      </c>
      <c r="AH69" s="164">
        <f t="shared" si="54"/>
        <v>0</v>
      </c>
      <c r="AI69" s="164">
        <f t="shared" si="54"/>
        <v>0</v>
      </c>
      <c r="AJ69" s="164">
        <f t="shared" si="54"/>
        <v>0</v>
      </c>
      <c r="AK69" s="164">
        <f t="shared" si="54"/>
        <v>0</v>
      </c>
      <c r="AL69" s="164">
        <f t="shared" si="54"/>
        <v>0</v>
      </c>
      <c r="AM69" s="164">
        <f t="shared" si="54"/>
        <v>0</v>
      </c>
      <c r="AN69" s="164">
        <f t="shared" si="54"/>
        <v>0</v>
      </c>
      <c r="AO69" s="164">
        <f t="shared" si="54"/>
        <v>0</v>
      </c>
      <c r="AP69" s="164">
        <f t="shared" si="54"/>
        <v>0</v>
      </c>
    </row>
    <row r="70" spans="1:42">
      <c r="A70" s="202"/>
      <c r="B70" s="164"/>
      <c r="C70" s="164"/>
      <c r="D70" s="164"/>
      <c r="E70" s="164"/>
      <c r="F70" s="164"/>
      <c r="G70" s="164"/>
      <c r="H70" s="164"/>
      <c r="I70" s="164"/>
      <c r="J70" s="164"/>
      <c r="K70" s="164"/>
      <c r="L70" s="164"/>
      <c r="M70" s="164"/>
      <c r="N70" s="164"/>
      <c r="O70" s="164"/>
      <c r="P70" s="164"/>
      <c r="Q70" s="164"/>
      <c r="R70" s="164"/>
      <c r="S70" s="164"/>
      <c r="T70" s="164"/>
      <c r="U70" s="164"/>
      <c r="V70" s="164"/>
      <c r="W70" s="164"/>
      <c r="X70" s="164"/>
      <c r="Y70" s="164"/>
      <c r="Z70" s="164"/>
      <c r="AA70" s="164"/>
      <c r="AB70" s="164"/>
      <c r="AC70" s="164"/>
      <c r="AD70" s="164"/>
      <c r="AE70" s="164"/>
      <c r="AF70" s="164"/>
      <c r="AG70" s="164"/>
      <c r="AH70" s="164"/>
      <c r="AI70" s="164"/>
      <c r="AJ70" s="164"/>
      <c r="AK70" s="164"/>
      <c r="AL70" s="164"/>
      <c r="AM70" s="164"/>
      <c r="AN70" s="164"/>
      <c r="AO70" s="164"/>
      <c r="AP70" s="164"/>
    </row>
    <row r="71" spans="1:42">
      <c r="A71" s="204" t="s">
        <v>195</v>
      </c>
      <c r="B71" s="164"/>
      <c r="C71" s="164"/>
      <c r="D71" s="164"/>
      <c r="E71" s="164"/>
      <c r="F71" s="164"/>
      <c r="G71" s="164"/>
      <c r="H71" s="164"/>
      <c r="I71" s="164"/>
      <c r="J71" s="164"/>
      <c r="K71" s="164"/>
      <c r="L71" s="164"/>
      <c r="M71" s="164"/>
      <c r="N71" s="164"/>
      <c r="O71" s="164"/>
      <c r="P71" s="164"/>
      <c r="Q71" s="164"/>
      <c r="R71" s="164"/>
      <c r="S71" s="164"/>
      <c r="T71" s="164"/>
      <c r="U71" s="164"/>
      <c r="V71" s="164"/>
      <c r="W71" s="164"/>
      <c r="X71" s="164"/>
      <c r="Y71" s="164"/>
      <c r="Z71" s="164"/>
      <c r="AA71" s="164"/>
      <c r="AB71" s="164"/>
      <c r="AC71" s="164"/>
      <c r="AD71" s="164"/>
      <c r="AE71" s="164"/>
      <c r="AF71" s="164"/>
      <c r="AG71" s="164"/>
      <c r="AH71" s="164"/>
      <c r="AI71" s="164"/>
      <c r="AJ71" s="164"/>
      <c r="AK71" s="164"/>
      <c r="AL71" s="164"/>
      <c r="AM71" s="164"/>
      <c r="AN71" s="164"/>
      <c r="AO71" s="164"/>
      <c r="AP71" s="164"/>
    </row>
    <row r="72" spans="1:42">
      <c r="A72" s="202" t="s">
        <v>390</v>
      </c>
      <c r="B72" s="209">
        <v>0</v>
      </c>
      <c r="C72" s="164">
        <v>0</v>
      </c>
      <c r="D72" s="164">
        <v>0</v>
      </c>
      <c r="E72" s="164">
        <v>0</v>
      </c>
      <c r="F72" s="164">
        <v>0</v>
      </c>
      <c r="G72" s="164">
        <v>0</v>
      </c>
      <c r="H72" s="164">
        <v>0</v>
      </c>
      <c r="I72" s="164">
        <v>0</v>
      </c>
      <c r="J72" s="164">
        <v>0</v>
      </c>
      <c r="K72" s="164">
        <v>0</v>
      </c>
      <c r="L72" s="164">
        <v>0</v>
      </c>
      <c r="M72" s="164">
        <v>0</v>
      </c>
      <c r="N72" s="164">
        <v>0</v>
      </c>
      <c r="O72" s="164">
        <v>0</v>
      </c>
      <c r="P72" s="164">
        <v>0</v>
      </c>
      <c r="Q72" s="164">
        <v>0</v>
      </c>
      <c r="R72" s="164">
        <v>0</v>
      </c>
      <c r="S72" s="164">
        <v>0</v>
      </c>
      <c r="T72" s="164">
        <v>0</v>
      </c>
      <c r="U72" s="164">
        <v>0</v>
      </c>
      <c r="V72" s="164">
        <v>0</v>
      </c>
      <c r="W72" s="164">
        <v>0</v>
      </c>
      <c r="X72" s="164">
        <v>0</v>
      </c>
      <c r="Y72" s="164">
        <v>0</v>
      </c>
      <c r="Z72" s="164">
        <v>0</v>
      </c>
      <c r="AA72" s="164">
        <v>0</v>
      </c>
      <c r="AB72" s="164">
        <v>0</v>
      </c>
      <c r="AC72" s="164">
        <v>0</v>
      </c>
      <c r="AD72" s="164">
        <v>0</v>
      </c>
      <c r="AE72" s="164">
        <v>0</v>
      </c>
      <c r="AF72" s="164">
        <v>0</v>
      </c>
      <c r="AG72" s="164">
        <v>0</v>
      </c>
      <c r="AH72" s="164">
        <v>0</v>
      </c>
      <c r="AI72" s="164">
        <v>0</v>
      </c>
      <c r="AJ72" s="164">
        <v>0</v>
      </c>
      <c r="AK72" s="164">
        <v>0</v>
      </c>
      <c r="AL72" s="164">
        <v>0</v>
      </c>
      <c r="AM72" s="164">
        <v>0</v>
      </c>
      <c r="AN72" s="164">
        <v>0</v>
      </c>
      <c r="AO72" s="164">
        <v>0</v>
      </c>
      <c r="AP72" s="164">
        <v>0</v>
      </c>
    </row>
    <row r="73" spans="1:42">
      <c r="A73" s="202" t="s">
        <v>53</v>
      </c>
      <c r="B73" s="209">
        <f t="shared" ref="B73:AP73" si="55">SUM(B72:B72)</f>
        <v>0</v>
      </c>
      <c r="C73" s="216">
        <f t="shared" si="55"/>
        <v>0</v>
      </c>
      <c r="D73" s="216">
        <f t="shared" si="55"/>
        <v>0</v>
      </c>
      <c r="E73" s="216">
        <f t="shared" si="55"/>
        <v>0</v>
      </c>
      <c r="F73" s="216">
        <f t="shared" si="55"/>
        <v>0</v>
      </c>
      <c r="G73" s="216">
        <f t="shared" si="55"/>
        <v>0</v>
      </c>
      <c r="H73" s="216">
        <f t="shared" si="55"/>
        <v>0</v>
      </c>
      <c r="I73" s="216">
        <f t="shared" si="55"/>
        <v>0</v>
      </c>
      <c r="J73" s="216">
        <f t="shared" si="55"/>
        <v>0</v>
      </c>
      <c r="K73" s="216">
        <f t="shared" si="55"/>
        <v>0</v>
      </c>
      <c r="L73" s="216">
        <f t="shared" si="55"/>
        <v>0</v>
      </c>
      <c r="M73" s="216">
        <f t="shared" si="55"/>
        <v>0</v>
      </c>
      <c r="N73" s="216">
        <f t="shared" si="55"/>
        <v>0</v>
      </c>
      <c r="O73" s="216">
        <f t="shared" si="55"/>
        <v>0</v>
      </c>
      <c r="P73" s="216">
        <f t="shared" si="55"/>
        <v>0</v>
      </c>
      <c r="Q73" s="216">
        <f t="shared" si="55"/>
        <v>0</v>
      </c>
      <c r="R73" s="216">
        <f t="shared" si="55"/>
        <v>0</v>
      </c>
      <c r="S73" s="216">
        <f t="shared" si="55"/>
        <v>0</v>
      </c>
      <c r="T73" s="216">
        <f t="shared" si="55"/>
        <v>0</v>
      </c>
      <c r="U73" s="216">
        <f t="shared" si="55"/>
        <v>0</v>
      </c>
      <c r="V73" s="216">
        <f t="shared" si="55"/>
        <v>0</v>
      </c>
      <c r="W73" s="216">
        <f t="shared" si="55"/>
        <v>0</v>
      </c>
      <c r="X73" s="216">
        <f t="shared" si="55"/>
        <v>0</v>
      </c>
      <c r="Y73" s="216">
        <f t="shared" si="55"/>
        <v>0</v>
      </c>
      <c r="Z73" s="216">
        <f t="shared" si="55"/>
        <v>0</v>
      </c>
      <c r="AA73" s="216">
        <f t="shared" si="55"/>
        <v>0</v>
      </c>
      <c r="AB73" s="216">
        <f t="shared" si="55"/>
        <v>0</v>
      </c>
      <c r="AC73" s="216">
        <f t="shared" si="55"/>
        <v>0</v>
      </c>
      <c r="AD73" s="216">
        <f t="shared" si="55"/>
        <v>0</v>
      </c>
      <c r="AE73" s="216">
        <f t="shared" si="55"/>
        <v>0</v>
      </c>
      <c r="AF73" s="216">
        <f t="shared" si="55"/>
        <v>0</v>
      </c>
      <c r="AG73" s="216">
        <f t="shared" si="55"/>
        <v>0</v>
      </c>
      <c r="AH73" s="216">
        <f t="shared" si="55"/>
        <v>0</v>
      </c>
      <c r="AI73" s="216">
        <f t="shared" si="55"/>
        <v>0</v>
      </c>
      <c r="AJ73" s="216">
        <f t="shared" si="55"/>
        <v>0</v>
      </c>
      <c r="AK73" s="216">
        <f t="shared" si="55"/>
        <v>0</v>
      </c>
      <c r="AL73" s="216">
        <f t="shared" si="55"/>
        <v>0</v>
      </c>
      <c r="AM73" s="216">
        <f t="shared" si="55"/>
        <v>0</v>
      </c>
      <c r="AN73" s="216">
        <f t="shared" si="55"/>
        <v>0</v>
      </c>
      <c r="AO73" s="216">
        <f t="shared" si="55"/>
        <v>0</v>
      </c>
      <c r="AP73" s="216">
        <f t="shared" si="55"/>
        <v>0</v>
      </c>
    </row>
    <row r="74" spans="1:42" ht="25.5">
      <c r="A74" s="329" t="s">
        <v>460</v>
      </c>
      <c r="B74" s="308">
        <f t="shared" ref="B74:AP74" si="56">B50+B69+B73</f>
        <v>-1.3969838619232178E-9</v>
      </c>
      <c r="C74" s="308">
        <f t="shared" si="56"/>
        <v>5983893.8506544931</v>
      </c>
      <c r="D74" s="308">
        <f t="shared" si="56"/>
        <v>6032349.8439307883</v>
      </c>
      <c r="E74" s="308">
        <f t="shared" si="56"/>
        <v>6080669.4121519579</v>
      </c>
      <c r="F74" s="308">
        <f t="shared" si="56"/>
        <v>6125475.3808803037</v>
      </c>
      <c r="G74" s="308">
        <f t="shared" si="56"/>
        <v>6173532.4780647149</v>
      </c>
      <c r="H74" s="308">
        <f t="shared" si="56"/>
        <v>6221435.8147255545</v>
      </c>
      <c r="I74" s="308">
        <f t="shared" si="56"/>
        <v>6265653.8111253129</v>
      </c>
      <c r="J74" s="308">
        <f t="shared" si="56"/>
        <v>6313260.0529650943</v>
      </c>
      <c r="K74" s="308">
        <f t="shared" si="56"/>
        <v>6360693.9748202581</v>
      </c>
      <c r="L74" s="308">
        <f t="shared" si="56"/>
        <v>6404262.5308044394</v>
      </c>
      <c r="M74" s="308">
        <f t="shared" si="56"/>
        <v>6451362.2644623602</v>
      </c>
      <c r="N74" s="308">
        <f t="shared" si="56"/>
        <v>6498269.8146820012</v>
      </c>
      <c r="O74" s="308">
        <f t="shared" si="56"/>
        <v>6441582.1409549024</v>
      </c>
      <c r="P74" s="308">
        <f t="shared" si="56"/>
        <v>6488955.8803881053</v>
      </c>
      <c r="Q74" s="308">
        <f t="shared" si="56"/>
        <v>6536116.1837513605</v>
      </c>
      <c r="R74" s="308">
        <f t="shared" si="56"/>
        <v>6368504.3629438328</v>
      </c>
      <c r="S74" s="308">
        <f t="shared" si="56"/>
        <v>6417046.1999075841</v>
      </c>
      <c r="T74" s="308">
        <f t="shared" si="56"/>
        <v>6465351.8682830613</v>
      </c>
      <c r="U74" s="308">
        <f t="shared" si="56"/>
        <v>6509198.2537472229</v>
      </c>
      <c r="V74" s="308">
        <f t="shared" si="56"/>
        <v>6557041.9576680055</v>
      </c>
      <c r="W74" s="308">
        <f t="shared" si="56"/>
        <v>6604625.1840036679</v>
      </c>
      <c r="X74" s="308">
        <f t="shared" si="56"/>
        <v>6633200.8051192528</v>
      </c>
      <c r="Y74" s="308">
        <f t="shared" si="56"/>
        <v>6665942.4387558578</v>
      </c>
      <c r="Z74" s="308">
        <f t="shared" si="56"/>
        <v>6698397.6064732186</v>
      </c>
      <c r="AA74" s="308">
        <f t="shared" si="56"/>
        <v>6957743.5875912076</v>
      </c>
      <c r="AB74" s="308">
        <f t="shared" si="56"/>
        <v>6984501.2752953907</v>
      </c>
      <c r="AC74" s="308">
        <f t="shared" si="56"/>
        <v>7010944.7198745152</v>
      </c>
      <c r="AD74" s="308">
        <f t="shared" si="56"/>
        <v>7032244.6371543296</v>
      </c>
      <c r="AE74" s="308">
        <f t="shared" si="56"/>
        <v>7058069.5910931258</v>
      </c>
      <c r="AF74" s="308">
        <f t="shared" si="56"/>
        <v>10724155.365398657</v>
      </c>
      <c r="AG74" s="308">
        <f t="shared" si="56"/>
        <v>0</v>
      </c>
      <c r="AH74" s="308">
        <f t="shared" si="56"/>
        <v>0</v>
      </c>
      <c r="AI74" s="308">
        <f t="shared" si="56"/>
        <v>0</v>
      </c>
      <c r="AJ74" s="308">
        <f t="shared" si="56"/>
        <v>0</v>
      </c>
      <c r="AK74" s="308">
        <f t="shared" si="56"/>
        <v>0</v>
      </c>
      <c r="AL74" s="308">
        <f t="shared" si="56"/>
        <v>0</v>
      </c>
      <c r="AM74" s="308">
        <f t="shared" si="56"/>
        <v>0</v>
      </c>
      <c r="AN74" s="308">
        <f t="shared" si="56"/>
        <v>0</v>
      </c>
      <c r="AO74" s="308">
        <f t="shared" si="56"/>
        <v>0</v>
      </c>
      <c r="AP74" s="308">
        <f t="shared" si="56"/>
        <v>0</v>
      </c>
    </row>
    <row r="75" spans="1:42">
      <c r="A75" s="202" t="s">
        <v>470</v>
      </c>
      <c r="B75" s="208">
        <f t="shared" ref="B75:AP75" si="57">B708+B714+B720+B752+B784-B68</f>
        <v>0</v>
      </c>
      <c r="C75" s="208">
        <f t="shared" si="57"/>
        <v>0</v>
      </c>
      <c r="D75" s="208">
        <f t="shared" si="57"/>
        <v>0</v>
      </c>
      <c r="E75" s="208">
        <f t="shared" si="57"/>
        <v>0</v>
      </c>
      <c r="F75" s="208">
        <f t="shared" si="57"/>
        <v>0</v>
      </c>
      <c r="G75" s="208">
        <f t="shared" si="57"/>
        <v>0</v>
      </c>
      <c r="H75" s="208">
        <f t="shared" si="57"/>
        <v>0</v>
      </c>
      <c r="I75" s="208">
        <f t="shared" si="57"/>
        <v>0</v>
      </c>
      <c r="J75" s="208">
        <f t="shared" si="57"/>
        <v>0</v>
      </c>
      <c r="K75" s="208">
        <f t="shared" si="57"/>
        <v>0</v>
      </c>
      <c r="L75" s="208">
        <f t="shared" si="57"/>
        <v>0</v>
      </c>
      <c r="M75" s="208">
        <f t="shared" si="57"/>
        <v>0</v>
      </c>
      <c r="N75" s="208">
        <f t="shared" si="57"/>
        <v>0</v>
      </c>
      <c r="O75" s="208">
        <f t="shared" si="57"/>
        <v>0</v>
      </c>
      <c r="P75" s="208">
        <f t="shared" si="57"/>
        <v>0</v>
      </c>
      <c r="Q75" s="208">
        <f t="shared" si="57"/>
        <v>0</v>
      </c>
      <c r="R75" s="208">
        <f t="shared" si="57"/>
        <v>0</v>
      </c>
      <c r="S75" s="208">
        <f t="shared" si="57"/>
        <v>0</v>
      </c>
      <c r="T75" s="208">
        <f t="shared" si="57"/>
        <v>0</v>
      </c>
      <c r="U75" s="208">
        <f t="shared" si="57"/>
        <v>0</v>
      </c>
      <c r="V75" s="208">
        <f t="shared" si="57"/>
        <v>0</v>
      </c>
      <c r="W75" s="208">
        <f t="shared" si="57"/>
        <v>0</v>
      </c>
      <c r="X75" s="208">
        <f t="shared" si="57"/>
        <v>0</v>
      </c>
      <c r="Y75" s="208">
        <f t="shared" si="57"/>
        <v>0</v>
      </c>
      <c r="Z75" s="208">
        <f t="shared" si="57"/>
        <v>0</v>
      </c>
      <c r="AA75" s="208">
        <f t="shared" si="57"/>
        <v>0</v>
      </c>
      <c r="AB75" s="208">
        <f t="shared" si="57"/>
        <v>0</v>
      </c>
      <c r="AC75" s="208">
        <f t="shared" si="57"/>
        <v>0</v>
      </c>
      <c r="AD75" s="208">
        <f t="shared" si="57"/>
        <v>0</v>
      </c>
      <c r="AE75" s="208">
        <f t="shared" si="57"/>
        <v>0</v>
      </c>
      <c r="AF75" s="208">
        <f t="shared" si="57"/>
        <v>-3640604.7462151218</v>
      </c>
      <c r="AG75" s="208">
        <f t="shared" si="57"/>
        <v>0</v>
      </c>
      <c r="AH75" s="208">
        <f t="shared" si="57"/>
        <v>0</v>
      </c>
      <c r="AI75" s="208">
        <f t="shared" si="57"/>
        <v>0</v>
      </c>
      <c r="AJ75" s="208">
        <f t="shared" si="57"/>
        <v>0</v>
      </c>
      <c r="AK75" s="208">
        <f t="shared" si="57"/>
        <v>0</v>
      </c>
      <c r="AL75" s="208">
        <f t="shared" si="57"/>
        <v>0</v>
      </c>
      <c r="AM75" s="208">
        <f t="shared" si="57"/>
        <v>0</v>
      </c>
      <c r="AN75" s="208">
        <f t="shared" si="57"/>
        <v>0</v>
      </c>
      <c r="AO75" s="208">
        <f t="shared" si="57"/>
        <v>0</v>
      </c>
      <c r="AP75" s="208">
        <f t="shared" si="57"/>
        <v>0</v>
      </c>
    </row>
    <row r="76" spans="1:42" ht="13.5" thickBot="1">
      <c r="A76" s="204" t="s">
        <v>462</v>
      </c>
      <c r="B76" s="215">
        <f t="shared" ref="B76:AP76" si="58">SUM(B74:B75)</f>
        <v>-1.3969838619232178E-9</v>
      </c>
      <c r="C76" s="215">
        <f t="shared" si="58"/>
        <v>5983893.8506544931</v>
      </c>
      <c r="D76" s="215">
        <f t="shared" si="58"/>
        <v>6032349.8439307883</v>
      </c>
      <c r="E76" s="215">
        <f t="shared" si="58"/>
        <v>6080669.4121519579</v>
      </c>
      <c r="F76" s="215">
        <f t="shared" si="58"/>
        <v>6125475.3808803037</v>
      </c>
      <c r="G76" s="215">
        <f t="shared" si="58"/>
        <v>6173532.4780647149</v>
      </c>
      <c r="H76" s="215">
        <f t="shared" si="58"/>
        <v>6221435.8147255545</v>
      </c>
      <c r="I76" s="215">
        <f t="shared" si="58"/>
        <v>6265653.8111253129</v>
      </c>
      <c r="J76" s="215">
        <f t="shared" si="58"/>
        <v>6313260.0529650943</v>
      </c>
      <c r="K76" s="215">
        <f t="shared" si="58"/>
        <v>6360693.9748202581</v>
      </c>
      <c r="L76" s="215">
        <f t="shared" si="58"/>
        <v>6404262.5308044394</v>
      </c>
      <c r="M76" s="215">
        <f t="shared" si="58"/>
        <v>6451362.2644623602</v>
      </c>
      <c r="N76" s="215">
        <f t="shared" si="58"/>
        <v>6498269.8146820012</v>
      </c>
      <c r="O76" s="215">
        <f t="shared" si="58"/>
        <v>6441582.1409549024</v>
      </c>
      <c r="P76" s="215">
        <f t="shared" si="58"/>
        <v>6488955.8803881053</v>
      </c>
      <c r="Q76" s="215">
        <f t="shared" si="58"/>
        <v>6536116.1837513605</v>
      </c>
      <c r="R76" s="215">
        <f t="shared" si="58"/>
        <v>6368504.3629438328</v>
      </c>
      <c r="S76" s="215">
        <f t="shared" si="58"/>
        <v>6417046.1999075841</v>
      </c>
      <c r="T76" s="215">
        <f t="shared" si="58"/>
        <v>6465351.8682830613</v>
      </c>
      <c r="U76" s="215">
        <f t="shared" si="58"/>
        <v>6509198.2537472229</v>
      </c>
      <c r="V76" s="215">
        <f t="shared" si="58"/>
        <v>6557041.9576680055</v>
      </c>
      <c r="W76" s="215">
        <f t="shared" si="58"/>
        <v>6604625.1840036679</v>
      </c>
      <c r="X76" s="215">
        <f t="shared" si="58"/>
        <v>6633200.8051192528</v>
      </c>
      <c r="Y76" s="215">
        <f t="shared" si="58"/>
        <v>6665942.4387558578</v>
      </c>
      <c r="Z76" s="215">
        <f t="shared" si="58"/>
        <v>6698397.6064732186</v>
      </c>
      <c r="AA76" s="215">
        <f t="shared" si="58"/>
        <v>6957743.5875912076</v>
      </c>
      <c r="AB76" s="215">
        <f t="shared" si="58"/>
        <v>6984501.2752953907</v>
      </c>
      <c r="AC76" s="215">
        <f t="shared" si="58"/>
        <v>7010944.7198745152</v>
      </c>
      <c r="AD76" s="215">
        <f t="shared" si="58"/>
        <v>7032244.6371543296</v>
      </c>
      <c r="AE76" s="215">
        <f t="shared" si="58"/>
        <v>7058069.5910931258</v>
      </c>
      <c r="AF76" s="215">
        <f t="shared" si="58"/>
        <v>7083550.6191835348</v>
      </c>
      <c r="AG76" s="215">
        <f t="shared" si="58"/>
        <v>0</v>
      </c>
      <c r="AH76" s="215">
        <f t="shared" si="58"/>
        <v>0</v>
      </c>
      <c r="AI76" s="215">
        <f t="shared" si="58"/>
        <v>0</v>
      </c>
      <c r="AJ76" s="215">
        <f t="shared" si="58"/>
        <v>0</v>
      </c>
      <c r="AK76" s="215">
        <f t="shared" si="58"/>
        <v>0</v>
      </c>
      <c r="AL76" s="215">
        <f t="shared" si="58"/>
        <v>0</v>
      </c>
      <c r="AM76" s="215">
        <f t="shared" si="58"/>
        <v>0</v>
      </c>
      <c r="AN76" s="215">
        <f t="shared" si="58"/>
        <v>0</v>
      </c>
      <c r="AO76" s="215">
        <f t="shared" si="58"/>
        <v>0</v>
      </c>
      <c r="AP76" s="215">
        <f t="shared" si="58"/>
        <v>0</v>
      </c>
    </row>
    <row r="77" spans="1:42" ht="13.5" thickTop="1">
      <c r="A77" s="204"/>
      <c r="B77" s="208"/>
      <c r="C77" s="208"/>
      <c r="D77" s="208"/>
      <c r="E77" s="208"/>
      <c r="F77" s="208"/>
      <c r="G77" s="208"/>
      <c r="H77" s="208"/>
      <c r="I77" s="208"/>
      <c r="J77" s="208"/>
      <c r="K77" s="208"/>
      <c r="L77" s="208"/>
      <c r="M77" s="208"/>
      <c r="N77" s="208"/>
      <c r="O77" s="208"/>
      <c r="P77" s="208"/>
      <c r="Q77" s="208"/>
      <c r="R77" s="208"/>
      <c r="S77" s="208"/>
      <c r="T77" s="208"/>
      <c r="U77" s="208"/>
      <c r="V77" s="208"/>
      <c r="W77" s="208"/>
      <c r="X77" s="208"/>
      <c r="Y77" s="208"/>
      <c r="Z77" s="208"/>
      <c r="AA77" s="208"/>
      <c r="AB77" s="208"/>
      <c r="AC77" s="208"/>
      <c r="AD77" s="208"/>
      <c r="AE77" s="208"/>
      <c r="AF77" s="208"/>
      <c r="AG77" s="208"/>
      <c r="AH77" s="208"/>
      <c r="AI77" s="208"/>
      <c r="AJ77" s="208"/>
      <c r="AK77" s="208"/>
      <c r="AL77" s="208"/>
      <c r="AM77" s="208"/>
      <c r="AN77" s="208"/>
      <c r="AO77" s="208"/>
      <c r="AP77" s="208"/>
    </row>
    <row r="78" spans="1:42">
      <c r="A78" s="201" t="s">
        <v>486</v>
      </c>
      <c r="B78" s="208"/>
      <c r="C78" s="208"/>
      <c r="D78" s="208"/>
      <c r="E78" s="208"/>
      <c r="F78" s="208"/>
      <c r="G78" s="208"/>
      <c r="H78" s="208"/>
      <c r="I78" s="208"/>
      <c r="J78" s="208"/>
      <c r="K78" s="208"/>
      <c r="L78" s="208"/>
      <c r="M78" s="208"/>
      <c r="N78" s="208"/>
      <c r="O78" s="208"/>
      <c r="P78" s="208"/>
      <c r="Q78" s="208"/>
      <c r="R78" s="208"/>
      <c r="S78" s="208"/>
      <c r="T78" s="208"/>
      <c r="U78" s="208"/>
      <c r="V78" s="208"/>
      <c r="W78" s="208"/>
      <c r="X78" s="208"/>
      <c r="Y78" s="208"/>
      <c r="Z78" s="208"/>
      <c r="AA78" s="208"/>
      <c r="AB78" s="208"/>
      <c r="AC78" s="208"/>
      <c r="AD78" s="208"/>
      <c r="AE78" s="208"/>
      <c r="AF78" s="208"/>
      <c r="AG78" s="208"/>
      <c r="AH78" s="208"/>
      <c r="AI78" s="208"/>
      <c r="AJ78" s="208"/>
      <c r="AK78" s="208"/>
      <c r="AL78" s="208"/>
      <c r="AM78" s="208"/>
      <c r="AN78" s="208"/>
      <c r="AO78" s="208"/>
      <c r="AP78" s="208"/>
    </row>
    <row r="79" spans="1:42">
      <c r="A79" s="204" t="s">
        <v>198</v>
      </c>
      <c r="B79" s="208"/>
      <c r="C79" s="208"/>
      <c r="D79" s="208"/>
      <c r="E79" s="208"/>
      <c r="F79" s="208"/>
      <c r="G79" s="208"/>
      <c r="H79" s="208"/>
      <c r="I79" s="208"/>
      <c r="J79" s="208"/>
      <c r="K79" s="208"/>
      <c r="L79" s="208"/>
      <c r="M79" s="208"/>
      <c r="N79" s="208"/>
      <c r="O79" s="208"/>
      <c r="P79" s="208"/>
      <c r="Q79" s="208"/>
      <c r="R79" s="208"/>
      <c r="S79" s="208"/>
      <c r="T79" s="208"/>
      <c r="U79" s="208"/>
      <c r="V79" s="208"/>
      <c r="W79" s="208"/>
      <c r="X79" s="208"/>
      <c r="Y79" s="208"/>
      <c r="Z79" s="208"/>
      <c r="AA79" s="208"/>
      <c r="AB79" s="208"/>
      <c r="AC79" s="208"/>
      <c r="AD79" s="208"/>
      <c r="AE79" s="208"/>
      <c r="AF79" s="208"/>
      <c r="AG79" s="208"/>
      <c r="AH79" s="208"/>
      <c r="AI79" s="208"/>
      <c r="AJ79" s="208"/>
      <c r="AK79" s="208"/>
      <c r="AL79" s="208"/>
      <c r="AM79" s="208"/>
      <c r="AN79" s="208"/>
      <c r="AO79" s="208"/>
      <c r="AP79" s="208"/>
    </row>
    <row r="80" spans="1:42">
      <c r="A80" s="37" t="s">
        <v>438</v>
      </c>
      <c r="B80" s="209">
        <f>B76</f>
        <v>-1.3969838619232178E-9</v>
      </c>
      <c r="C80" s="209">
        <f t="shared" ref="C80:AP80" si="59">C76</f>
        <v>5983893.8506544931</v>
      </c>
      <c r="D80" s="209">
        <f t="shared" si="59"/>
        <v>6032349.8439307883</v>
      </c>
      <c r="E80" s="209">
        <f t="shared" si="59"/>
        <v>6080669.4121519579</v>
      </c>
      <c r="F80" s="209">
        <f t="shared" si="59"/>
        <v>6125475.3808803037</v>
      </c>
      <c r="G80" s="209">
        <f t="shared" si="59"/>
        <v>6173532.4780647149</v>
      </c>
      <c r="H80" s="209">
        <f t="shared" si="59"/>
        <v>6221435.8147255545</v>
      </c>
      <c r="I80" s="209">
        <f t="shared" si="59"/>
        <v>6265653.8111253129</v>
      </c>
      <c r="J80" s="209">
        <f t="shared" si="59"/>
        <v>6313260.0529650943</v>
      </c>
      <c r="K80" s="209">
        <f t="shared" si="59"/>
        <v>6360693.9748202581</v>
      </c>
      <c r="L80" s="209">
        <f t="shared" si="59"/>
        <v>6404262.5308044394</v>
      </c>
      <c r="M80" s="209">
        <f t="shared" si="59"/>
        <v>6451362.2644623602</v>
      </c>
      <c r="N80" s="209">
        <f t="shared" si="59"/>
        <v>6498269.8146820012</v>
      </c>
      <c r="O80" s="209">
        <f t="shared" si="59"/>
        <v>6441582.1409549024</v>
      </c>
      <c r="P80" s="209">
        <f t="shared" si="59"/>
        <v>6488955.8803881053</v>
      </c>
      <c r="Q80" s="209">
        <f t="shared" si="59"/>
        <v>6536116.1837513605</v>
      </c>
      <c r="R80" s="209">
        <f t="shared" si="59"/>
        <v>6368504.3629438328</v>
      </c>
      <c r="S80" s="209">
        <f t="shared" si="59"/>
        <v>6417046.1999075841</v>
      </c>
      <c r="T80" s="209">
        <f t="shared" si="59"/>
        <v>6465351.8682830613</v>
      </c>
      <c r="U80" s="209">
        <f t="shared" si="59"/>
        <v>6509198.2537472229</v>
      </c>
      <c r="V80" s="209">
        <f t="shared" si="59"/>
        <v>6557041.9576680055</v>
      </c>
      <c r="W80" s="209">
        <f t="shared" si="59"/>
        <v>6604625.1840036679</v>
      </c>
      <c r="X80" s="209">
        <f t="shared" si="59"/>
        <v>6633200.8051192528</v>
      </c>
      <c r="Y80" s="209">
        <f t="shared" si="59"/>
        <v>6665942.4387558578</v>
      </c>
      <c r="Z80" s="209">
        <f t="shared" si="59"/>
        <v>6698397.6064732186</v>
      </c>
      <c r="AA80" s="209">
        <f t="shared" si="59"/>
        <v>6957743.5875912076</v>
      </c>
      <c r="AB80" s="209">
        <f t="shared" si="59"/>
        <v>6984501.2752953907</v>
      </c>
      <c r="AC80" s="209">
        <f t="shared" si="59"/>
        <v>7010944.7198745152</v>
      </c>
      <c r="AD80" s="209">
        <f t="shared" si="59"/>
        <v>7032244.6371543296</v>
      </c>
      <c r="AE80" s="209">
        <f t="shared" si="59"/>
        <v>7058069.5910931258</v>
      </c>
      <c r="AF80" s="209">
        <f t="shared" si="59"/>
        <v>7083550.6191835348</v>
      </c>
      <c r="AG80" s="209">
        <f t="shared" si="59"/>
        <v>0</v>
      </c>
      <c r="AH80" s="209">
        <f t="shared" si="59"/>
        <v>0</v>
      </c>
      <c r="AI80" s="209">
        <f t="shared" si="59"/>
        <v>0</v>
      </c>
      <c r="AJ80" s="209">
        <f t="shared" si="59"/>
        <v>0</v>
      </c>
      <c r="AK80" s="209">
        <f t="shared" si="59"/>
        <v>0</v>
      </c>
      <c r="AL80" s="209">
        <f t="shared" si="59"/>
        <v>0</v>
      </c>
      <c r="AM80" s="209">
        <f t="shared" si="59"/>
        <v>0</v>
      </c>
      <c r="AN80" s="209">
        <f t="shared" si="59"/>
        <v>0</v>
      </c>
      <c r="AO80" s="209">
        <f t="shared" si="59"/>
        <v>0</v>
      </c>
      <c r="AP80" s="209">
        <f t="shared" si="59"/>
        <v>0</v>
      </c>
    </row>
    <row r="81" spans="1:42">
      <c r="A81" s="37" t="s">
        <v>53</v>
      </c>
      <c r="B81" s="208">
        <f>B80</f>
        <v>-1.3969838619232178E-9</v>
      </c>
      <c r="C81" s="208">
        <f t="shared" ref="C81:AP81" si="60">C80</f>
        <v>5983893.8506544931</v>
      </c>
      <c r="D81" s="208">
        <f t="shared" si="60"/>
        <v>6032349.8439307883</v>
      </c>
      <c r="E81" s="208">
        <f t="shared" si="60"/>
        <v>6080669.4121519579</v>
      </c>
      <c r="F81" s="208">
        <f t="shared" si="60"/>
        <v>6125475.3808803037</v>
      </c>
      <c r="G81" s="208">
        <f t="shared" si="60"/>
        <v>6173532.4780647149</v>
      </c>
      <c r="H81" s="208">
        <f t="shared" si="60"/>
        <v>6221435.8147255545</v>
      </c>
      <c r="I81" s="208">
        <f t="shared" si="60"/>
        <v>6265653.8111253129</v>
      </c>
      <c r="J81" s="208">
        <f t="shared" si="60"/>
        <v>6313260.0529650943</v>
      </c>
      <c r="K81" s="208">
        <f t="shared" si="60"/>
        <v>6360693.9748202581</v>
      </c>
      <c r="L81" s="208">
        <f t="shared" si="60"/>
        <v>6404262.5308044394</v>
      </c>
      <c r="M81" s="208">
        <f t="shared" si="60"/>
        <v>6451362.2644623602</v>
      </c>
      <c r="N81" s="208">
        <f t="shared" si="60"/>
        <v>6498269.8146820012</v>
      </c>
      <c r="O81" s="208">
        <f t="shared" si="60"/>
        <v>6441582.1409549024</v>
      </c>
      <c r="P81" s="208">
        <f t="shared" si="60"/>
        <v>6488955.8803881053</v>
      </c>
      <c r="Q81" s="208">
        <f t="shared" si="60"/>
        <v>6536116.1837513605</v>
      </c>
      <c r="R81" s="208">
        <f t="shared" si="60"/>
        <v>6368504.3629438328</v>
      </c>
      <c r="S81" s="208">
        <f t="shared" si="60"/>
        <v>6417046.1999075841</v>
      </c>
      <c r="T81" s="208">
        <f t="shared" si="60"/>
        <v>6465351.8682830613</v>
      </c>
      <c r="U81" s="208">
        <f t="shared" si="60"/>
        <v>6509198.2537472229</v>
      </c>
      <c r="V81" s="208">
        <f t="shared" si="60"/>
        <v>6557041.9576680055</v>
      </c>
      <c r="W81" s="208">
        <f t="shared" si="60"/>
        <v>6604625.1840036679</v>
      </c>
      <c r="X81" s="208">
        <f t="shared" si="60"/>
        <v>6633200.8051192528</v>
      </c>
      <c r="Y81" s="208">
        <f t="shared" si="60"/>
        <v>6665942.4387558578</v>
      </c>
      <c r="Z81" s="208">
        <f t="shared" si="60"/>
        <v>6698397.6064732186</v>
      </c>
      <c r="AA81" s="208">
        <f t="shared" si="60"/>
        <v>6957743.5875912076</v>
      </c>
      <c r="AB81" s="208">
        <f t="shared" si="60"/>
        <v>6984501.2752953907</v>
      </c>
      <c r="AC81" s="208">
        <f t="shared" si="60"/>
        <v>7010944.7198745152</v>
      </c>
      <c r="AD81" s="208">
        <f t="shared" si="60"/>
        <v>7032244.6371543296</v>
      </c>
      <c r="AE81" s="208">
        <f t="shared" si="60"/>
        <v>7058069.5910931258</v>
      </c>
      <c r="AF81" s="208">
        <f t="shared" si="60"/>
        <v>7083550.6191835348</v>
      </c>
      <c r="AG81" s="208">
        <f t="shared" si="60"/>
        <v>0</v>
      </c>
      <c r="AH81" s="208">
        <f t="shared" si="60"/>
        <v>0</v>
      </c>
      <c r="AI81" s="208">
        <f t="shared" si="60"/>
        <v>0</v>
      </c>
      <c r="AJ81" s="208">
        <f t="shared" si="60"/>
        <v>0</v>
      </c>
      <c r="AK81" s="208">
        <f t="shared" si="60"/>
        <v>0</v>
      </c>
      <c r="AL81" s="208">
        <f t="shared" si="60"/>
        <v>0</v>
      </c>
      <c r="AM81" s="208">
        <f t="shared" si="60"/>
        <v>0</v>
      </c>
      <c r="AN81" s="208">
        <f t="shared" si="60"/>
        <v>0</v>
      </c>
      <c r="AO81" s="208">
        <f t="shared" si="60"/>
        <v>0</v>
      </c>
      <c r="AP81" s="208">
        <f t="shared" si="60"/>
        <v>0</v>
      </c>
    </row>
    <row r="82" spans="1:42">
      <c r="B82" s="208"/>
      <c r="C82" s="208"/>
      <c r="D82" s="208"/>
      <c r="E82" s="208"/>
      <c r="F82" s="208"/>
      <c r="G82" s="208"/>
      <c r="H82" s="208"/>
      <c r="I82" s="208"/>
      <c r="J82" s="208"/>
      <c r="K82" s="208"/>
      <c r="L82" s="208"/>
      <c r="M82" s="208"/>
      <c r="N82" s="208"/>
      <c r="O82" s="208"/>
      <c r="P82" s="208"/>
      <c r="Q82" s="208"/>
      <c r="R82" s="208"/>
      <c r="S82" s="208"/>
      <c r="T82" s="208"/>
      <c r="U82" s="208"/>
      <c r="V82" s="208"/>
      <c r="W82" s="208"/>
      <c r="X82" s="208"/>
      <c r="Y82" s="208"/>
      <c r="Z82" s="208"/>
      <c r="AA82" s="208"/>
      <c r="AB82" s="208"/>
      <c r="AC82" s="208"/>
      <c r="AD82" s="208"/>
      <c r="AE82" s="208"/>
      <c r="AF82" s="208"/>
      <c r="AG82" s="208"/>
      <c r="AH82" s="208"/>
      <c r="AI82" s="208"/>
      <c r="AJ82" s="208"/>
      <c r="AK82" s="208"/>
      <c r="AL82" s="208"/>
      <c r="AM82" s="208"/>
      <c r="AN82" s="208"/>
      <c r="AO82" s="208"/>
      <c r="AP82" s="208"/>
    </row>
    <row r="83" spans="1:42">
      <c r="A83" s="204" t="s">
        <v>191</v>
      </c>
      <c r="B83" s="208"/>
      <c r="C83" s="208"/>
      <c r="D83" s="208"/>
      <c r="E83" s="208"/>
      <c r="F83" s="208"/>
      <c r="G83" s="208"/>
      <c r="H83" s="208"/>
      <c r="I83" s="208"/>
      <c r="J83" s="208"/>
      <c r="K83" s="208"/>
      <c r="L83" s="208"/>
      <c r="M83" s="208"/>
      <c r="N83" s="208"/>
      <c r="O83" s="208"/>
      <c r="P83" s="208"/>
      <c r="Q83" s="208"/>
      <c r="R83" s="208"/>
      <c r="S83" s="208"/>
      <c r="T83" s="208"/>
      <c r="U83" s="208"/>
      <c r="V83" s="208"/>
      <c r="W83" s="208"/>
      <c r="X83" s="208"/>
      <c r="Y83" s="208"/>
      <c r="Z83" s="208"/>
      <c r="AA83" s="208"/>
      <c r="AB83" s="208"/>
      <c r="AC83" s="208"/>
      <c r="AD83" s="208"/>
      <c r="AE83" s="208"/>
      <c r="AF83" s="208"/>
      <c r="AG83" s="208"/>
      <c r="AH83" s="208"/>
      <c r="AI83" s="208"/>
      <c r="AJ83" s="208"/>
      <c r="AK83" s="208"/>
      <c r="AL83" s="208"/>
      <c r="AM83" s="208"/>
      <c r="AN83" s="208"/>
      <c r="AO83" s="208"/>
      <c r="AP83" s="208"/>
    </row>
    <row r="84" spans="1:42">
      <c r="A84" s="37" t="s">
        <v>487</v>
      </c>
      <c r="B84" s="208">
        <f>-SLInstalledCostTotal</f>
        <v>-46247293.24621512</v>
      </c>
      <c r="C84" s="208">
        <v>0</v>
      </c>
      <c r="D84" s="208">
        <v>0</v>
      </c>
      <c r="E84" s="208">
        <v>0</v>
      </c>
      <c r="F84" s="208">
        <v>0</v>
      </c>
      <c r="G84" s="208">
        <v>0</v>
      </c>
      <c r="H84" s="208">
        <v>0</v>
      </c>
      <c r="I84" s="208">
        <v>0</v>
      </c>
      <c r="J84" s="208">
        <v>0</v>
      </c>
      <c r="K84" s="208">
        <v>0</v>
      </c>
      <c r="L84" s="208">
        <v>0</v>
      </c>
      <c r="M84" s="208">
        <v>0</v>
      </c>
      <c r="N84" s="208">
        <v>0</v>
      </c>
      <c r="O84" s="208">
        <v>0</v>
      </c>
      <c r="P84" s="208">
        <v>0</v>
      </c>
      <c r="Q84" s="208">
        <v>0</v>
      </c>
      <c r="R84" s="208">
        <v>0</v>
      </c>
      <c r="S84" s="208">
        <v>0</v>
      </c>
      <c r="T84" s="208">
        <v>0</v>
      </c>
      <c r="U84" s="208">
        <v>0</v>
      </c>
      <c r="V84" s="208">
        <v>0</v>
      </c>
      <c r="W84" s="208">
        <v>0</v>
      </c>
      <c r="X84" s="208">
        <v>0</v>
      </c>
      <c r="Y84" s="208">
        <v>0</v>
      </c>
      <c r="Z84" s="208">
        <v>0</v>
      </c>
      <c r="AA84" s="208">
        <v>0</v>
      </c>
      <c r="AB84" s="208">
        <v>0</v>
      </c>
      <c r="AC84" s="208">
        <v>0</v>
      </c>
      <c r="AD84" s="208">
        <v>0</v>
      </c>
      <c r="AE84" s="208">
        <v>0</v>
      </c>
      <c r="AF84" s="208">
        <v>0</v>
      </c>
      <c r="AG84" s="208">
        <v>0</v>
      </c>
      <c r="AH84" s="208">
        <v>0</v>
      </c>
      <c r="AI84" s="208">
        <v>0</v>
      </c>
      <c r="AJ84" s="208">
        <v>0</v>
      </c>
      <c r="AK84" s="208">
        <v>0</v>
      </c>
      <c r="AL84" s="208">
        <v>0</v>
      </c>
      <c r="AM84" s="208">
        <v>0</v>
      </c>
      <c r="AN84" s="208">
        <v>0</v>
      </c>
      <c r="AO84" s="208">
        <v>0</v>
      </c>
      <c r="AP84" s="208">
        <v>0</v>
      </c>
    </row>
    <row r="85" spans="1:42">
      <c r="A85" s="37" t="s">
        <v>464</v>
      </c>
      <c r="B85" s="209">
        <v>0</v>
      </c>
      <c r="C85" s="209">
        <f>C19</f>
        <v>0</v>
      </c>
      <c r="D85" s="209">
        <f t="shared" ref="D85:AP85" si="61">D19</f>
        <v>0</v>
      </c>
      <c r="E85" s="209">
        <f t="shared" si="61"/>
        <v>0</v>
      </c>
      <c r="F85" s="209">
        <f t="shared" si="61"/>
        <v>0</v>
      </c>
      <c r="G85" s="209">
        <f t="shared" si="61"/>
        <v>0</v>
      </c>
      <c r="H85" s="209">
        <f t="shared" si="61"/>
        <v>0</v>
      </c>
      <c r="I85" s="209">
        <f t="shared" si="61"/>
        <v>0</v>
      </c>
      <c r="J85" s="209">
        <f t="shared" si="61"/>
        <v>0</v>
      </c>
      <c r="K85" s="209">
        <f t="shared" si="61"/>
        <v>0</v>
      </c>
      <c r="L85" s="209">
        <f t="shared" si="61"/>
        <v>0</v>
      </c>
      <c r="M85" s="209">
        <f t="shared" si="61"/>
        <v>0</v>
      </c>
      <c r="N85" s="209">
        <f t="shared" si="61"/>
        <v>0</v>
      </c>
      <c r="O85" s="209">
        <f t="shared" si="61"/>
        <v>0</v>
      </c>
      <c r="P85" s="209">
        <f t="shared" si="61"/>
        <v>0</v>
      </c>
      <c r="Q85" s="209">
        <f t="shared" si="61"/>
        <v>0</v>
      </c>
      <c r="R85" s="209">
        <f t="shared" si="61"/>
        <v>0</v>
      </c>
      <c r="S85" s="209">
        <f t="shared" si="61"/>
        <v>0</v>
      </c>
      <c r="T85" s="209">
        <f t="shared" si="61"/>
        <v>0</v>
      </c>
      <c r="U85" s="209">
        <f t="shared" si="61"/>
        <v>0</v>
      </c>
      <c r="V85" s="209">
        <f t="shared" si="61"/>
        <v>0</v>
      </c>
      <c r="W85" s="209">
        <f t="shared" si="61"/>
        <v>0</v>
      </c>
      <c r="X85" s="209">
        <f t="shared" si="61"/>
        <v>0</v>
      </c>
      <c r="Y85" s="209">
        <f t="shared" si="61"/>
        <v>0</v>
      </c>
      <c r="Z85" s="209">
        <f t="shared" si="61"/>
        <v>0</v>
      </c>
      <c r="AA85" s="209">
        <f t="shared" si="61"/>
        <v>0</v>
      </c>
      <c r="AB85" s="209">
        <f t="shared" si="61"/>
        <v>0</v>
      </c>
      <c r="AC85" s="209">
        <f t="shared" si="61"/>
        <v>0</v>
      </c>
      <c r="AD85" s="209">
        <f t="shared" si="61"/>
        <v>0</v>
      </c>
      <c r="AE85" s="209">
        <f t="shared" si="61"/>
        <v>0</v>
      </c>
      <c r="AF85" s="209">
        <f t="shared" si="61"/>
        <v>4022715</v>
      </c>
      <c r="AG85" s="209">
        <f t="shared" si="61"/>
        <v>0</v>
      </c>
      <c r="AH85" s="209">
        <f t="shared" si="61"/>
        <v>0</v>
      </c>
      <c r="AI85" s="209">
        <f t="shared" si="61"/>
        <v>0</v>
      </c>
      <c r="AJ85" s="209">
        <f t="shared" si="61"/>
        <v>0</v>
      </c>
      <c r="AK85" s="209">
        <f t="shared" si="61"/>
        <v>0</v>
      </c>
      <c r="AL85" s="209">
        <f t="shared" si="61"/>
        <v>0</v>
      </c>
      <c r="AM85" s="209">
        <f t="shared" si="61"/>
        <v>0</v>
      </c>
      <c r="AN85" s="209">
        <f t="shared" si="61"/>
        <v>0</v>
      </c>
      <c r="AO85" s="209">
        <f t="shared" si="61"/>
        <v>0</v>
      </c>
      <c r="AP85" s="209">
        <f t="shared" si="61"/>
        <v>0</v>
      </c>
    </row>
    <row r="86" spans="1:42">
      <c r="A86" s="37" t="s">
        <v>53</v>
      </c>
      <c r="B86" s="208">
        <f>SUM(B84:B85)</f>
        <v>-46247293.24621512</v>
      </c>
      <c r="C86" s="208">
        <f t="shared" ref="C86:AP86" si="62">SUM(C84:C85)</f>
        <v>0</v>
      </c>
      <c r="D86" s="208">
        <f t="shared" si="62"/>
        <v>0</v>
      </c>
      <c r="E86" s="208">
        <f t="shared" si="62"/>
        <v>0</v>
      </c>
      <c r="F86" s="208">
        <f t="shared" si="62"/>
        <v>0</v>
      </c>
      <c r="G86" s="208">
        <f t="shared" si="62"/>
        <v>0</v>
      </c>
      <c r="H86" s="208">
        <f t="shared" si="62"/>
        <v>0</v>
      </c>
      <c r="I86" s="208">
        <f t="shared" si="62"/>
        <v>0</v>
      </c>
      <c r="J86" s="208">
        <f t="shared" si="62"/>
        <v>0</v>
      </c>
      <c r="K86" s="208">
        <f t="shared" si="62"/>
        <v>0</v>
      </c>
      <c r="L86" s="208">
        <f t="shared" si="62"/>
        <v>0</v>
      </c>
      <c r="M86" s="208">
        <f t="shared" si="62"/>
        <v>0</v>
      </c>
      <c r="N86" s="208">
        <f t="shared" si="62"/>
        <v>0</v>
      </c>
      <c r="O86" s="208">
        <f t="shared" si="62"/>
        <v>0</v>
      </c>
      <c r="P86" s="208">
        <f t="shared" si="62"/>
        <v>0</v>
      </c>
      <c r="Q86" s="208">
        <f t="shared" si="62"/>
        <v>0</v>
      </c>
      <c r="R86" s="208">
        <f t="shared" si="62"/>
        <v>0</v>
      </c>
      <c r="S86" s="208">
        <f t="shared" si="62"/>
        <v>0</v>
      </c>
      <c r="T86" s="208">
        <f t="shared" si="62"/>
        <v>0</v>
      </c>
      <c r="U86" s="208">
        <f t="shared" si="62"/>
        <v>0</v>
      </c>
      <c r="V86" s="208">
        <f t="shared" si="62"/>
        <v>0</v>
      </c>
      <c r="W86" s="208">
        <f t="shared" si="62"/>
        <v>0</v>
      </c>
      <c r="X86" s="208">
        <f t="shared" si="62"/>
        <v>0</v>
      </c>
      <c r="Y86" s="208">
        <f t="shared" si="62"/>
        <v>0</v>
      </c>
      <c r="Z86" s="208">
        <f t="shared" si="62"/>
        <v>0</v>
      </c>
      <c r="AA86" s="208">
        <f t="shared" si="62"/>
        <v>0</v>
      </c>
      <c r="AB86" s="208">
        <f t="shared" si="62"/>
        <v>0</v>
      </c>
      <c r="AC86" s="208">
        <f t="shared" si="62"/>
        <v>0</v>
      </c>
      <c r="AD86" s="208">
        <f t="shared" si="62"/>
        <v>0</v>
      </c>
      <c r="AE86" s="208">
        <f t="shared" si="62"/>
        <v>0</v>
      </c>
      <c r="AF86" s="208">
        <f t="shared" si="62"/>
        <v>4022715</v>
      </c>
      <c r="AG86" s="208">
        <f t="shared" si="62"/>
        <v>0</v>
      </c>
      <c r="AH86" s="208">
        <f t="shared" si="62"/>
        <v>0</v>
      </c>
      <c r="AI86" s="208">
        <f t="shared" si="62"/>
        <v>0</v>
      </c>
      <c r="AJ86" s="208">
        <f t="shared" si="62"/>
        <v>0</v>
      </c>
      <c r="AK86" s="208">
        <f t="shared" si="62"/>
        <v>0</v>
      </c>
      <c r="AL86" s="208">
        <f t="shared" si="62"/>
        <v>0</v>
      </c>
      <c r="AM86" s="208">
        <f t="shared" si="62"/>
        <v>0</v>
      </c>
      <c r="AN86" s="208">
        <f t="shared" si="62"/>
        <v>0</v>
      </c>
      <c r="AO86" s="208">
        <f t="shared" si="62"/>
        <v>0</v>
      </c>
      <c r="AP86" s="208">
        <f t="shared" si="62"/>
        <v>0</v>
      </c>
    </row>
    <row r="87" spans="1:42">
      <c r="B87" s="208"/>
      <c r="C87" s="208"/>
      <c r="D87" s="208"/>
      <c r="E87" s="208"/>
      <c r="F87" s="208"/>
      <c r="G87" s="208"/>
      <c r="H87" s="208"/>
      <c r="I87" s="208"/>
      <c r="J87" s="208"/>
      <c r="K87" s="208"/>
      <c r="L87" s="208"/>
      <c r="M87" s="208"/>
      <c r="N87" s="208"/>
      <c r="O87" s="208"/>
      <c r="P87" s="208"/>
      <c r="Q87" s="208"/>
      <c r="R87" s="208"/>
      <c r="S87" s="208"/>
      <c r="T87" s="208"/>
      <c r="U87" s="208"/>
      <c r="V87" s="208"/>
      <c r="W87" s="208"/>
      <c r="X87" s="208"/>
      <c r="Y87" s="208"/>
      <c r="Z87" s="208"/>
      <c r="AA87" s="208"/>
      <c r="AB87" s="208"/>
      <c r="AC87" s="208"/>
      <c r="AD87" s="208"/>
      <c r="AE87" s="208"/>
      <c r="AF87" s="208"/>
      <c r="AG87" s="208"/>
      <c r="AH87" s="208"/>
      <c r="AI87" s="208"/>
      <c r="AJ87" s="208"/>
      <c r="AK87" s="208"/>
      <c r="AL87" s="208"/>
      <c r="AM87" s="208"/>
      <c r="AN87" s="208"/>
      <c r="AO87" s="208"/>
      <c r="AP87" s="208"/>
    </row>
    <row r="88" spans="1:42">
      <c r="A88" s="204" t="s">
        <v>195</v>
      </c>
      <c r="B88" s="208"/>
      <c r="C88" s="208"/>
      <c r="D88" s="208"/>
      <c r="E88" s="208"/>
      <c r="F88" s="208"/>
      <c r="G88" s="208"/>
      <c r="H88" s="208"/>
      <c r="I88" s="208"/>
      <c r="J88" s="208"/>
      <c r="K88" s="208"/>
      <c r="L88" s="208"/>
      <c r="M88" s="208"/>
      <c r="N88" s="208"/>
      <c r="O88" s="208"/>
      <c r="P88" s="208"/>
      <c r="Q88" s="208"/>
      <c r="R88" s="208"/>
      <c r="S88" s="208"/>
      <c r="T88" s="208"/>
      <c r="U88" s="208"/>
      <c r="V88" s="208"/>
      <c r="W88" s="208"/>
      <c r="X88" s="208"/>
      <c r="Y88" s="208"/>
      <c r="Z88" s="208"/>
      <c r="AA88" s="208"/>
      <c r="AB88" s="208"/>
      <c r="AC88" s="208"/>
      <c r="AD88" s="208"/>
      <c r="AE88" s="208"/>
      <c r="AF88" s="208"/>
      <c r="AG88" s="208"/>
      <c r="AH88" s="208"/>
      <c r="AI88" s="208"/>
      <c r="AJ88" s="208"/>
      <c r="AK88" s="208"/>
      <c r="AL88" s="208"/>
      <c r="AM88" s="208"/>
      <c r="AN88" s="208"/>
      <c r="AO88" s="208"/>
      <c r="AP88" s="208"/>
    </row>
    <row r="89" spans="1:42">
      <c r="A89" s="37" t="s">
        <v>390</v>
      </c>
      <c r="B89" s="208">
        <f>SLInstalledCostTotal-'Inputs &amp; Results'!D161-'Inputs &amp; Results'!D162-'Inputs &amp; Results'!D163</f>
        <v>32456063.49621512</v>
      </c>
      <c r="C89" s="208">
        <v>0</v>
      </c>
      <c r="D89" s="208">
        <v>0</v>
      </c>
      <c r="E89" s="208">
        <v>0</v>
      </c>
      <c r="F89" s="208">
        <v>0</v>
      </c>
      <c r="G89" s="208">
        <v>0</v>
      </c>
      <c r="H89" s="208">
        <v>0</v>
      </c>
      <c r="I89" s="208">
        <v>0</v>
      </c>
      <c r="J89" s="208">
        <v>0</v>
      </c>
      <c r="K89" s="208">
        <v>0</v>
      </c>
      <c r="L89" s="208">
        <v>0</v>
      </c>
      <c r="M89" s="208">
        <v>0</v>
      </c>
      <c r="N89" s="208">
        <v>0</v>
      </c>
      <c r="O89" s="208">
        <v>0</v>
      </c>
      <c r="P89" s="208">
        <v>0</v>
      </c>
      <c r="Q89" s="208">
        <v>0</v>
      </c>
      <c r="R89" s="208">
        <v>0</v>
      </c>
      <c r="S89" s="208">
        <v>0</v>
      </c>
      <c r="T89" s="208">
        <v>0</v>
      </c>
      <c r="U89" s="208">
        <v>0</v>
      </c>
      <c r="V89" s="208">
        <v>0</v>
      </c>
      <c r="W89" s="208">
        <v>0</v>
      </c>
      <c r="X89" s="208">
        <v>0</v>
      </c>
      <c r="Y89" s="208">
        <v>0</v>
      </c>
      <c r="Z89" s="208">
        <v>0</v>
      </c>
      <c r="AA89" s="208">
        <v>0</v>
      </c>
      <c r="AB89" s="208">
        <v>0</v>
      </c>
      <c r="AC89" s="208">
        <v>0</v>
      </c>
      <c r="AD89" s="208">
        <v>0</v>
      </c>
      <c r="AE89" s="208">
        <v>0</v>
      </c>
      <c r="AF89" s="208">
        <v>0</v>
      </c>
      <c r="AG89" s="208">
        <v>0</v>
      </c>
      <c r="AH89" s="208">
        <v>0</v>
      </c>
      <c r="AI89" s="208">
        <v>0</v>
      </c>
      <c r="AJ89" s="208">
        <v>0</v>
      </c>
      <c r="AK89" s="208">
        <v>0</v>
      </c>
      <c r="AL89" s="208">
        <v>0</v>
      </c>
      <c r="AM89" s="208">
        <v>0</v>
      </c>
      <c r="AN89" s="208">
        <v>0</v>
      </c>
      <c r="AO89" s="208">
        <v>0</v>
      </c>
      <c r="AP89" s="208">
        <v>0</v>
      </c>
    </row>
    <row r="90" spans="1:42">
      <c r="A90" s="202" t="s">
        <v>214</v>
      </c>
      <c r="B90" s="164"/>
      <c r="C90" s="164"/>
      <c r="D90" s="164"/>
      <c r="E90" s="164"/>
      <c r="F90" s="164"/>
      <c r="G90" s="164"/>
      <c r="H90" s="164"/>
      <c r="I90" s="164"/>
      <c r="J90" s="164"/>
      <c r="K90" s="164"/>
      <c r="L90" s="164"/>
      <c r="M90" s="164"/>
      <c r="N90" s="164"/>
      <c r="O90" s="164"/>
      <c r="P90" s="164"/>
      <c r="Q90" s="164"/>
      <c r="R90" s="164"/>
      <c r="S90" s="164"/>
      <c r="T90" s="164"/>
      <c r="U90" s="164"/>
      <c r="V90" s="164"/>
      <c r="W90" s="164"/>
      <c r="X90" s="164"/>
      <c r="Y90" s="164"/>
      <c r="Z90" s="164"/>
      <c r="AA90" s="164"/>
      <c r="AB90" s="164"/>
      <c r="AC90" s="164"/>
      <c r="AD90" s="164"/>
      <c r="AE90" s="164"/>
      <c r="AF90" s="164"/>
      <c r="AG90" s="164"/>
      <c r="AH90" s="164"/>
      <c r="AI90" s="164"/>
      <c r="AJ90" s="164"/>
      <c r="AK90" s="164"/>
      <c r="AL90" s="164"/>
      <c r="AM90" s="164"/>
      <c r="AN90" s="164"/>
      <c r="AO90" s="164"/>
      <c r="AP90" s="164"/>
    </row>
    <row r="91" spans="1:42">
      <c r="A91" s="206" t="s">
        <v>215</v>
      </c>
      <c r="B91" s="164">
        <f>'Inputs &amp; Results'!D161+'Inputs &amp; Results'!D162</f>
        <v>6641229.75</v>
      </c>
      <c r="C91" s="164">
        <v>0</v>
      </c>
      <c r="D91" s="164">
        <v>0</v>
      </c>
      <c r="E91" s="164">
        <v>0</v>
      </c>
      <c r="F91" s="164">
        <v>0</v>
      </c>
      <c r="G91" s="164">
        <v>0</v>
      </c>
      <c r="H91" s="164">
        <v>0</v>
      </c>
      <c r="I91" s="164">
        <v>0</v>
      </c>
      <c r="J91" s="164">
        <v>0</v>
      </c>
      <c r="K91" s="164">
        <v>0</v>
      </c>
      <c r="L91" s="164">
        <v>0</v>
      </c>
      <c r="M91" s="164">
        <v>0</v>
      </c>
      <c r="N91" s="164">
        <v>0</v>
      </c>
      <c r="O91" s="164">
        <v>0</v>
      </c>
      <c r="P91" s="164">
        <v>0</v>
      </c>
      <c r="Q91" s="164">
        <v>0</v>
      </c>
      <c r="R91" s="164">
        <v>0</v>
      </c>
      <c r="S91" s="164">
        <v>0</v>
      </c>
      <c r="T91" s="164">
        <v>0</v>
      </c>
      <c r="U91" s="164">
        <v>0</v>
      </c>
      <c r="V91" s="164">
        <v>0</v>
      </c>
      <c r="W91" s="164">
        <v>0</v>
      </c>
      <c r="X91" s="164">
        <v>0</v>
      </c>
      <c r="Y91" s="164">
        <v>0</v>
      </c>
      <c r="Z91" s="164">
        <v>0</v>
      </c>
      <c r="AA91" s="164">
        <v>0</v>
      </c>
      <c r="AB91" s="164">
        <v>0</v>
      </c>
      <c r="AC91" s="164">
        <v>0</v>
      </c>
      <c r="AD91" s="164">
        <v>0</v>
      </c>
      <c r="AE91" s="164">
        <v>0</v>
      </c>
      <c r="AF91" s="164">
        <v>0</v>
      </c>
      <c r="AG91" s="164">
        <v>0</v>
      </c>
      <c r="AH91" s="164">
        <v>0</v>
      </c>
      <c r="AI91" s="164">
        <v>0</v>
      </c>
      <c r="AJ91" s="164">
        <v>0</v>
      </c>
      <c r="AK91" s="164">
        <v>0</v>
      </c>
      <c r="AL91" s="164">
        <v>0</v>
      </c>
      <c r="AM91" s="164">
        <v>0</v>
      </c>
      <c r="AN91" s="164">
        <v>0</v>
      </c>
      <c r="AO91" s="164">
        <v>0</v>
      </c>
      <c r="AP91" s="164">
        <v>0</v>
      </c>
    </row>
    <row r="92" spans="1:42">
      <c r="A92" s="206" t="s">
        <v>189</v>
      </c>
      <c r="B92" s="209">
        <f>'Inputs &amp; Results'!D163</f>
        <v>7150000</v>
      </c>
      <c r="C92" s="209">
        <v>0</v>
      </c>
      <c r="D92" s="209">
        <v>0</v>
      </c>
      <c r="E92" s="209">
        <v>0</v>
      </c>
      <c r="F92" s="209">
        <v>0</v>
      </c>
      <c r="G92" s="209">
        <v>0</v>
      </c>
      <c r="H92" s="209">
        <v>0</v>
      </c>
      <c r="I92" s="209">
        <v>0</v>
      </c>
      <c r="J92" s="209">
        <v>0</v>
      </c>
      <c r="K92" s="209">
        <v>0</v>
      </c>
      <c r="L92" s="209">
        <v>0</v>
      </c>
      <c r="M92" s="209">
        <v>0</v>
      </c>
      <c r="N92" s="209">
        <v>0</v>
      </c>
      <c r="O92" s="209">
        <v>0</v>
      </c>
      <c r="P92" s="209">
        <v>0</v>
      </c>
      <c r="Q92" s="209">
        <v>0</v>
      </c>
      <c r="R92" s="209">
        <v>0</v>
      </c>
      <c r="S92" s="209">
        <v>0</v>
      </c>
      <c r="T92" s="209">
        <v>0</v>
      </c>
      <c r="U92" s="209">
        <v>0</v>
      </c>
      <c r="V92" s="209">
        <v>0</v>
      </c>
      <c r="W92" s="209">
        <v>0</v>
      </c>
      <c r="X92" s="209">
        <v>0</v>
      </c>
      <c r="Y92" s="209">
        <v>0</v>
      </c>
      <c r="Z92" s="209">
        <v>0</v>
      </c>
      <c r="AA92" s="209">
        <v>0</v>
      </c>
      <c r="AB92" s="209">
        <v>0</v>
      </c>
      <c r="AC92" s="209">
        <v>0</v>
      </c>
      <c r="AD92" s="209">
        <v>0</v>
      </c>
      <c r="AE92" s="209">
        <v>0</v>
      </c>
      <c r="AF92" s="209">
        <v>0</v>
      </c>
      <c r="AG92" s="209">
        <v>0</v>
      </c>
      <c r="AH92" s="209">
        <v>0</v>
      </c>
      <c r="AI92" s="209">
        <v>0</v>
      </c>
      <c r="AJ92" s="209">
        <v>0</v>
      </c>
      <c r="AK92" s="209">
        <v>0</v>
      </c>
      <c r="AL92" s="209">
        <v>0</v>
      </c>
      <c r="AM92" s="209">
        <v>0</v>
      </c>
      <c r="AN92" s="209">
        <v>0</v>
      </c>
      <c r="AO92" s="209">
        <v>0</v>
      </c>
      <c r="AP92" s="209">
        <v>0</v>
      </c>
    </row>
    <row r="93" spans="1:42">
      <c r="A93" s="206" t="s">
        <v>53</v>
      </c>
      <c r="B93" s="291">
        <f>SUM(B91:B92)</f>
        <v>13791229.75</v>
      </c>
      <c r="C93" s="291">
        <f t="shared" ref="C93:AP93" si="63">SUM(C91:C92)</f>
        <v>0</v>
      </c>
      <c r="D93" s="291">
        <f t="shared" si="63"/>
        <v>0</v>
      </c>
      <c r="E93" s="291">
        <f t="shared" si="63"/>
        <v>0</v>
      </c>
      <c r="F93" s="291">
        <f t="shared" si="63"/>
        <v>0</v>
      </c>
      <c r="G93" s="291">
        <f t="shared" si="63"/>
        <v>0</v>
      </c>
      <c r="H93" s="291">
        <f t="shared" si="63"/>
        <v>0</v>
      </c>
      <c r="I93" s="291">
        <f t="shared" si="63"/>
        <v>0</v>
      </c>
      <c r="J93" s="291">
        <f t="shared" si="63"/>
        <v>0</v>
      </c>
      <c r="K93" s="291">
        <f t="shared" si="63"/>
        <v>0</v>
      </c>
      <c r="L93" s="291">
        <f t="shared" si="63"/>
        <v>0</v>
      </c>
      <c r="M93" s="291">
        <f t="shared" si="63"/>
        <v>0</v>
      </c>
      <c r="N93" s="291">
        <f t="shared" si="63"/>
        <v>0</v>
      </c>
      <c r="O93" s="291">
        <f t="shared" si="63"/>
        <v>0</v>
      </c>
      <c r="P93" s="291">
        <f t="shared" si="63"/>
        <v>0</v>
      </c>
      <c r="Q93" s="291">
        <f t="shared" si="63"/>
        <v>0</v>
      </c>
      <c r="R93" s="291">
        <f t="shared" si="63"/>
        <v>0</v>
      </c>
      <c r="S93" s="291">
        <f t="shared" si="63"/>
        <v>0</v>
      </c>
      <c r="T93" s="291">
        <f t="shared" si="63"/>
        <v>0</v>
      </c>
      <c r="U93" s="291">
        <f t="shared" si="63"/>
        <v>0</v>
      </c>
      <c r="V93" s="291">
        <f t="shared" si="63"/>
        <v>0</v>
      </c>
      <c r="W93" s="291">
        <f t="shared" si="63"/>
        <v>0</v>
      </c>
      <c r="X93" s="291">
        <f t="shared" si="63"/>
        <v>0</v>
      </c>
      <c r="Y93" s="291">
        <f t="shared" si="63"/>
        <v>0</v>
      </c>
      <c r="Z93" s="291">
        <f t="shared" si="63"/>
        <v>0</v>
      </c>
      <c r="AA93" s="291">
        <f t="shared" si="63"/>
        <v>0</v>
      </c>
      <c r="AB93" s="291">
        <f t="shared" si="63"/>
        <v>0</v>
      </c>
      <c r="AC93" s="291">
        <f t="shared" si="63"/>
        <v>0</v>
      </c>
      <c r="AD93" s="291">
        <f t="shared" si="63"/>
        <v>0</v>
      </c>
      <c r="AE93" s="291">
        <f t="shared" si="63"/>
        <v>0</v>
      </c>
      <c r="AF93" s="291">
        <f t="shared" si="63"/>
        <v>0</v>
      </c>
      <c r="AG93" s="291">
        <f t="shared" si="63"/>
        <v>0</v>
      </c>
      <c r="AH93" s="291">
        <f t="shared" si="63"/>
        <v>0</v>
      </c>
      <c r="AI93" s="291">
        <f t="shared" si="63"/>
        <v>0</v>
      </c>
      <c r="AJ93" s="291">
        <f t="shared" si="63"/>
        <v>0</v>
      </c>
      <c r="AK93" s="291">
        <f t="shared" si="63"/>
        <v>0</v>
      </c>
      <c r="AL93" s="291">
        <f t="shared" si="63"/>
        <v>0</v>
      </c>
      <c r="AM93" s="291">
        <f t="shared" si="63"/>
        <v>0</v>
      </c>
      <c r="AN93" s="291">
        <f t="shared" si="63"/>
        <v>0</v>
      </c>
      <c r="AO93" s="291">
        <f t="shared" si="63"/>
        <v>0</v>
      </c>
      <c r="AP93" s="291">
        <f t="shared" si="63"/>
        <v>0</v>
      </c>
    </row>
    <row r="94" spans="1:42">
      <c r="A94" s="37" t="s">
        <v>53</v>
      </c>
      <c r="B94" s="208">
        <f>B89+B93</f>
        <v>46247293.24621512</v>
      </c>
      <c r="C94" s="208">
        <f t="shared" ref="C94:AP94" si="64">C89+C93</f>
        <v>0</v>
      </c>
      <c r="D94" s="208">
        <f t="shared" si="64"/>
        <v>0</v>
      </c>
      <c r="E94" s="208">
        <f t="shared" si="64"/>
        <v>0</v>
      </c>
      <c r="F94" s="208">
        <f t="shared" si="64"/>
        <v>0</v>
      </c>
      <c r="G94" s="208">
        <f t="shared" si="64"/>
        <v>0</v>
      </c>
      <c r="H94" s="208">
        <f t="shared" si="64"/>
        <v>0</v>
      </c>
      <c r="I94" s="208">
        <f t="shared" si="64"/>
        <v>0</v>
      </c>
      <c r="J94" s="208">
        <f t="shared" si="64"/>
        <v>0</v>
      </c>
      <c r="K94" s="208">
        <f t="shared" si="64"/>
        <v>0</v>
      </c>
      <c r="L94" s="208">
        <f t="shared" si="64"/>
        <v>0</v>
      </c>
      <c r="M94" s="208">
        <f t="shared" si="64"/>
        <v>0</v>
      </c>
      <c r="N94" s="208">
        <f t="shared" si="64"/>
        <v>0</v>
      </c>
      <c r="O94" s="208">
        <f t="shared" si="64"/>
        <v>0</v>
      </c>
      <c r="P94" s="208">
        <f t="shared" si="64"/>
        <v>0</v>
      </c>
      <c r="Q94" s="208">
        <f t="shared" si="64"/>
        <v>0</v>
      </c>
      <c r="R94" s="208">
        <f t="shared" si="64"/>
        <v>0</v>
      </c>
      <c r="S94" s="208">
        <f t="shared" si="64"/>
        <v>0</v>
      </c>
      <c r="T94" s="208">
        <f t="shared" si="64"/>
        <v>0</v>
      </c>
      <c r="U94" s="208">
        <f t="shared" si="64"/>
        <v>0</v>
      </c>
      <c r="V94" s="208">
        <f t="shared" si="64"/>
        <v>0</v>
      </c>
      <c r="W94" s="208">
        <f t="shared" si="64"/>
        <v>0</v>
      </c>
      <c r="X94" s="208">
        <f t="shared" si="64"/>
        <v>0</v>
      </c>
      <c r="Y94" s="208">
        <f t="shared" si="64"/>
        <v>0</v>
      </c>
      <c r="Z94" s="208">
        <f t="shared" si="64"/>
        <v>0</v>
      </c>
      <c r="AA94" s="208">
        <f t="shared" si="64"/>
        <v>0</v>
      </c>
      <c r="AB94" s="208">
        <f t="shared" si="64"/>
        <v>0</v>
      </c>
      <c r="AC94" s="208">
        <f t="shared" si="64"/>
        <v>0</v>
      </c>
      <c r="AD94" s="208">
        <f t="shared" si="64"/>
        <v>0</v>
      </c>
      <c r="AE94" s="208">
        <f t="shared" si="64"/>
        <v>0</v>
      </c>
      <c r="AF94" s="208">
        <f t="shared" si="64"/>
        <v>0</v>
      </c>
      <c r="AG94" s="208">
        <f t="shared" si="64"/>
        <v>0</v>
      </c>
      <c r="AH94" s="208">
        <f t="shared" si="64"/>
        <v>0</v>
      </c>
      <c r="AI94" s="208">
        <f t="shared" si="64"/>
        <v>0</v>
      </c>
      <c r="AJ94" s="208">
        <f t="shared" si="64"/>
        <v>0</v>
      </c>
      <c r="AK94" s="208">
        <f t="shared" si="64"/>
        <v>0</v>
      </c>
      <c r="AL94" s="208">
        <f t="shared" si="64"/>
        <v>0</v>
      </c>
      <c r="AM94" s="208">
        <f t="shared" si="64"/>
        <v>0</v>
      </c>
      <c r="AN94" s="208">
        <f t="shared" si="64"/>
        <v>0</v>
      </c>
      <c r="AO94" s="208">
        <f t="shared" si="64"/>
        <v>0</v>
      </c>
      <c r="AP94" s="208">
        <f t="shared" si="64"/>
        <v>0</v>
      </c>
    </row>
    <row r="95" spans="1:42" ht="13.5" thickBot="1">
      <c r="A95" s="204" t="s">
        <v>197</v>
      </c>
      <c r="B95" s="215">
        <f>B81+B86+B94</f>
        <v>0</v>
      </c>
      <c r="C95" s="215">
        <f t="shared" ref="C95:AP95" si="65">C81+C86+C94</f>
        <v>5983893.8506544931</v>
      </c>
      <c r="D95" s="215">
        <f t="shared" si="65"/>
        <v>6032349.8439307883</v>
      </c>
      <c r="E95" s="215">
        <f t="shared" si="65"/>
        <v>6080669.4121519579</v>
      </c>
      <c r="F95" s="215">
        <f t="shared" si="65"/>
        <v>6125475.3808803037</v>
      </c>
      <c r="G95" s="215">
        <f t="shared" si="65"/>
        <v>6173532.4780647149</v>
      </c>
      <c r="H95" s="215">
        <f t="shared" si="65"/>
        <v>6221435.8147255545</v>
      </c>
      <c r="I95" s="215">
        <f t="shared" si="65"/>
        <v>6265653.8111253129</v>
      </c>
      <c r="J95" s="215">
        <f t="shared" si="65"/>
        <v>6313260.0529650943</v>
      </c>
      <c r="K95" s="215">
        <f t="shared" si="65"/>
        <v>6360693.9748202581</v>
      </c>
      <c r="L95" s="215">
        <f t="shared" si="65"/>
        <v>6404262.5308044394</v>
      </c>
      <c r="M95" s="215">
        <f t="shared" si="65"/>
        <v>6451362.2644623602</v>
      </c>
      <c r="N95" s="215">
        <f t="shared" si="65"/>
        <v>6498269.8146820012</v>
      </c>
      <c r="O95" s="215">
        <f t="shared" si="65"/>
        <v>6441582.1409549024</v>
      </c>
      <c r="P95" s="215">
        <f t="shared" si="65"/>
        <v>6488955.8803881053</v>
      </c>
      <c r="Q95" s="215">
        <f t="shared" si="65"/>
        <v>6536116.1837513605</v>
      </c>
      <c r="R95" s="215">
        <f t="shared" si="65"/>
        <v>6368504.3629438328</v>
      </c>
      <c r="S95" s="215">
        <f t="shared" si="65"/>
        <v>6417046.1999075841</v>
      </c>
      <c r="T95" s="215">
        <f t="shared" si="65"/>
        <v>6465351.8682830613</v>
      </c>
      <c r="U95" s="215">
        <f t="shared" si="65"/>
        <v>6509198.2537472229</v>
      </c>
      <c r="V95" s="215">
        <f t="shared" si="65"/>
        <v>6557041.9576680055</v>
      </c>
      <c r="W95" s="215">
        <f t="shared" si="65"/>
        <v>6604625.1840036679</v>
      </c>
      <c r="X95" s="215">
        <f t="shared" si="65"/>
        <v>6633200.8051192528</v>
      </c>
      <c r="Y95" s="215">
        <f t="shared" si="65"/>
        <v>6665942.4387558578</v>
      </c>
      <c r="Z95" s="215">
        <f t="shared" si="65"/>
        <v>6698397.6064732186</v>
      </c>
      <c r="AA95" s="215">
        <f t="shared" si="65"/>
        <v>6957743.5875912076</v>
      </c>
      <c r="AB95" s="215">
        <f t="shared" si="65"/>
        <v>6984501.2752953907</v>
      </c>
      <c r="AC95" s="215">
        <f t="shared" si="65"/>
        <v>7010944.7198745152</v>
      </c>
      <c r="AD95" s="215">
        <f t="shared" si="65"/>
        <v>7032244.6371543296</v>
      </c>
      <c r="AE95" s="215">
        <f t="shared" si="65"/>
        <v>7058069.5910931258</v>
      </c>
      <c r="AF95" s="215">
        <f t="shared" si="65"/>
        <v>11106265.619183535</v>
      </c>
      <c r="AG95" s="215">
        <f t="shared" si="65"/>
        <v>0</v>
      </c>
      <c r="AH95" s="215">
        <f t="shared" si="65"/>
        <v>0</v>
      </c>
      <c r="AI95" s="215">
        <f t="shared" si="65"/>
        <v>0</v>
      </c>
      <c r="AJ95" s="215">
        <f t="shared" si="65"/>
        <v>0</v>
      </c>
      <c r="AK95" s="215">
        <f t="shared" si="65"/>
        <v>0</v>
      </c>
      <c r="AL95" s="215">
        <f t="shared" si="65"/>
        <v>0</v>
      </c>
      <c r="AM95" s="215">
        <f t="shared" si="65"/>
        <v>0</v>
      </c>
      <c r="AN95" s="215">
        <f t="shared" si="65"/>
        <v>0</v>
      </c>
      <c r="AO95" s="215">
        <f t="shared" si="65"/>
        <v>0</v>
      </c>
      <c r="AP95" s="215">
        <f t="shared" si="65"/>
        <v>0</v>
      </c>
    </row>
    <row r="96" spans="1:42" ht="13.5" thickTop="1">
      <c r="A96" s="204"/>
      <c r="B96" s="208"/>
      <c r="C96" s="208"/>
      <c r="D96" s="208"/>
      <c r="E96" s="208"/>
      <c r="F96" s="208"/>
      <c r="G96" s="208"/>
      <c r="H96" s="208"/>
      <c r="I96" s="208"/>
      <c r="J96" s="208"/>
      <c r="K96" s="208"/>
      <c r="L96" s="208"/>
      <c r="M96" s="208"/>
      <c r="N96" s="208"/>
      <c r="O96" s="208"/>
      <c r="P96" s="208"/>
      <c r="Q96" s="208"/>
      <c r="R96" s="208"/>
      <c r="S96" s="208"/>
      <c r="T96" s="208"/>
      <c r="U96" s="208"/>
      <c r="V96" s="208"/>
      <c r="W96" s="208"/>
      <c r="X96" s="208"/>
      <c r="Y96" s="208"/>
      <c r="Z96" s="208"/>
      <c r="AA96" s="208"/>
      <c r="AB96" s="208"/>
      <c r="AC96" s="208"/>
      <c r="AD96" s="208"/>
      <c r="AE96" s="208"/>
      <c r="AF96" s="208"/>
      <c r="AG96" s="208"/>
      <c r="AH96" s="208"/>
      <c r="AI96" s="208"/>
      <c r="AJ96" s="208"/>
      <c r="AK96" s="208"/>
      <c r="AL96" s="208"/>
      <c r="AM96" s="208"/>
      <c r="AN96" s="208"/>
      <c r="AO96" s="208"/>
      <c r="AP96" s="208"/>
    </row>
    <row r="97" spans="1:42">
      <c r="A97" s="201" t="s">
        <v>257</v>
      </c>
      <c r="B97" s="164"/>
      <c r="C97" s="164"/>
      <c r="D97" s="164"/>
      <c r="E97" s="164"/>
      <c r="F97" s="164"/>
      <c r="G97" s="208"/>
      <c r="H97" s="208"/>
      <c r="I97" s="208"/>
      <c r="J97" s="208"/>
      <c r="K97" s="208"/>
      <c r="L97" s="208"/>
      <c r="M97" s="208"/>
      <c r="N97" s="208"/>
      <c r="O97" s="208"/>
      <c r="P97" s="208"/>
      <c r="Q97" s="208"/>
      <c r="R97" s="208"/>
      <c r="S97" s="208"/>
      <c r="T97" s="208"/>
      <c r="U97" s="208"/>
      <c r="V97" s="208"/>
      <c r="W97" s="208"/>
      <c r="X97" s="208"/>
      <c r="Y97" s="208"/>
      <c r="Z97" s="208"/>
      <c r="AA97" s="208"/>
      <c r="AB97" s="208"/>
      <c r="AC97" s="208"/>
      <c r="AD97" s="208"/>
      <c r="AE97" s="208"/>
      <c r="AF97" s="208"/>
      <c r="AG97" s="208"/>
      <c r="AH97" s="208"/>
      <c r="AI97" s="208"/>
      <c r="AJ97" s="208"/>
      <c r="AK97" s="208"/>
      <c r="AL97" s="208"/>
      <c r="AM97" s="208"/>
      <c r="AN97" s="208"/>
      <c r="AO97" s="208"/>
      <c r="AP97" s="208"/>
    </row>
    <row r="98" spans="1:42" s="119" customFormat="1">
      <c r="A98" s="331" t="s">
        <v>223</v>
      </c>
      <c r="B98" s="332"/>
      <c r="C98" s="332"/>
      <c r="D98" s="332"/>
      <c r="E98" s="332"/>
      <c r="F98" s="332"/>
      <c r="G98" s="333"/>
      <c r="H98" s="333"/>
      <c r="I98" s="333"/>
      <c r="J98" s="333"/>
      <c r="K98" s="333"/>
      <c r="L98" s="333"/>
      <c r="M98" s="333"/>
      <c r="N98" s="333"/>
      <c r="O98" s="333"/>
      <c r="P98" s="333"/>
      <c r="Q98" s="333"/>
      <c r="R98" s="333"/>
      <c r="S98" s="333"/>
      <c r="T98" s="333"/>
      <c r="U98" s="333"/>
      <c r="V98" s="333"/>
      <c r="W98" s="333"/>
      <c r="X98" s="333"/>
      <c r="Y98" s="333"/>
      <c r="Z98" s="333"/>
      <c r="AA98" s="333"/>
      <c r="AB98" s="333"/>
      <c r="AC98" s="333"/>
      <c r="AD98" s="333"/>
      <c r="AE98" s="333"/>
      <c r="AF98" s="333"/>
      <c r="AG98" s="333"/>
      <c r="AH98" s="333"/>
      <c r="AI98" s="333"/>
      <c r="AJ98" s="333"/>
      <c r="AK98" s="333"/>
      <c r="AL98" s="333"/>
      <c r="AM98" s="333"/>
      <c r="AN98" s="333"/>
      <c r="AO98" s="333"/>
      <c r="AP98" s="333"/>
    </row>
    <row r="99" spans="1:42" s="119" customFormat="1">
      <c r="A99" s="334" t="s">
        <v>224</v>
      </c>
      <c r="B99" s="333">
        <v>0</v>
      </c>
      <c r="C99" s="333">
        <v>0</v>
      </c>
      <c r="D99" s="333">
        <v>0</v>
      </c>
      <c r="E99" s="333">
        <v>0</v>
      </c>
      <c r="F99" s="333">
        <v>0</v>
      </c>
      <c r="G99" s="333">
        <v>0</v>
      </c>
      <c r="H99" s="333">
        <v>0</v>
      </c>
      <c r="I99" s="333">
        <v>0</v>
      </c>
      <c r="J99" s="333">
        <v>0</v>
      </c>
      <c r="K99" s="333">
        <v>0</v>
      </c>
      <c r="L99" s="333">
        <v>0</v>
      </c>
      <c r="M99" s="333">
        <v>0</v>
      </c>
      <c r="N99" s="333">
        <v>0</v>
      </c>
      <c r="O99" s="333">
        <v>0</v>
      </c>
      <c r="P99" s="333">
        <v>0</v>
      </c>
      <c r="Q99" s="333">
        <v>0</v>
      </c>
      <c r="R99" s="333">
        <v>0</v>
      </c>
      <c r="S99" s="333">
        <v>0</v>
      </c>
      <c r="T99" s="333">
        <v>0</v>
      </c>
      <c r="U99" s="333">
        <v>0</v>
      </c>
      <c r="V99" s="333">
        <v>0</v>
      </c>
      <c r="W99" s="333">
        <v>0</v>
      </c>
      <c r="X99" s="333">
        <v>0</v>
      </c>
      <c r="Y99" s="333">
        <v>0</v>
      </c>
      <c r="Z99" s="333">
        <v>0</v>
      </c>
      <c r="AA99" s="333">
        <v>0</v>
      </c>
      <c r="AB99" s="333">
        <v>0</v>
      </c>
      <c r="AC99" s="333">
        <v>0</v>
      </c>
      <c r="AD99" s="333">
        <v>0</v>
      </c>
      <c r="AE99" s="333">
        <v>0</v>
      </c>
      <c r="AF99" s="333">
        <v>0</v>
      </c>
      <c r="AG99" s="333">
        <v>0</v>
      </c>
      <c r="AH99" s="333">
        <v>0</v>
      </c>
      <c r="AI99" s="333">
        <v>0</v>
      </c>
      <c r="AJ99" s="333">
        <v>0</v>
      </c>
      <c r="AK99" s="333">
        <v>0</v>
      </c>
      <c r="AL99" s="333">
        <v>0</v>
      </c>
      <c r="AM99" s="333">
        <v>0</v>
      </c>
      <c r="AN99" s="333">
        <v>0</v>
      </c>
      <c r="AO99" s="333">
        <v>0</v>
      </c>
      <c r="AP99" s="333">
        <v>0</v>
      </c>
    </row>
    <row r="100" spans="1:42" s="119" customFormat="1">
      <c r="A100" s="334" t="s">
        <v>225</v>
      </c>
      <c r="B100" s="234">
        <v>0</v>
      </c>
      <c r="C100" s="234">
        <v>0</v>
      </c>
      <c r="D100" s="234">
        <v>0</v>
      </c>
      <c r="E100" s="234">
        <v>0</v>
      </c>
      <c r="F100" s="234">
        <v>0</v>
      </c>
      <c r="G100" s="234">
        <v>0</v>
      </c>
      <c r="H100" s="234">
        <v>0</v>
      </c>
      <c r="I100" s="234">
        <v>0</v>
      </c>
      <c r="J100" s="234">
        <v>0</v>
      </c>
      <c r="K100" s="234">
        <v>0</v>
      </c>
      <c r="L100" s="234">
        <v>0</v>
      </c>
      <c r="M100" s="234">
        <v>0</v>
      </c>
      <c r="N100" s="234">
        <v>0</v>
      </c>
      <c r="O100" s="234">
        <v>0</v>
      </c>
      <c r="P100" s="234">
        <v>0</v>
      </c>
      <c r="Q100" s="234">
        <v>0</v>
      </c>
      <c r="R100" s="234">
        <v>0</v>
      </c>
      <c r="S100" s="234">
        <v>0</v>
      </c>
      <c r="T100" s="234">
        <v>0</v>
      </c>
      <c r="U100" s="234">
        <v>0</v>
      </c>
      <c r="V100" s="234">
        <v>0</v>
      </c>
      <c r="W100" s="234">
        <v>0</v>
      </c>
      <c r="X100" s="234">
        <v>0</v>
      </c>
      <c r="Y100" s="234">
        <v>0</v>
      </c>
      <c r="Z100" s="234">
        <v>0</v>
      </c>
      <c r="AA100" s="234">
        <v>0</v>
      </c>
      <c r="AB100" s="234">
        <v>0</v>
      </c>
      <c r="AC100" s="234">
        <v>0</v>
      </c>
      <c r="AD100" s="234">
        <v>0</v>
      </c>
      <c r="AE100" s="234">
        <v>0</v>
      </c>
      <c r="AF100" s="234">
        <v>0</v>
      </c>
      <c r="AG100" s="234">
        <v>0</v>
      </c>
      <c r="AH100" s="234">
        <v>0</v>
      </c>
      <c r="AI100" s="234">
        <v>0</v>
      </c>
      <c r="AJ100" s="234">
        <v>0</v>
      </c>
      <c r="AK100" s="234">
        <v>0</v>
      </c>
      <c r="AL100" s="234">
        <v>0</v>
      </c>
      <c r="AM100" s="234">
        <v>0</v>
      </c>
      <c r="AN100" s="234">
        <v>0</v>
      </c>
      <c r="AO100" s="234">
        <v>0</v>
      </c>
      <c r="AP100" s="234">
        <v>0</v>
      </c>
    </row>
    <row r="101" spans="1:42" s="119" customFormat="1">
      <c r="A101" s="334" t="s">
        <v>53</v>
      </c>
      <c r="B101" s="332">
        <f>SUM(B99:B100)</f>
        <v>0</v>
      </c>
      <c r="C101" s="332">
        <f t="shared" ref="C101:AP101" si="66">SUM(C99:C100)</f>
        <v>0</v>
      </c>
      <c r="D101" s="332">
        <f t="shared" si="66"/>
        <v>0</v>
      </c>
      <c r="E101" s="332">
        <f t="shared" si="66"/>
        <v>0</v>
      </c>
      <c r="F101" s="332">
        <f t="shared" si="66"/>
        <v>0</v>
      </c>
      <c r="G101" s="332">
        <f t="shared" si="66"/>
        <v>0</v>
      </c>
      <c r="H101" s="332">
        <f t="shared" si="66"/>
        <v>0</v>
      </c>
      <c r="I101" s="332">
        <f t="shared" si="66"/>
        <v>0</v>
      </c>
      <c r="J101" s="332">
        <f t="shared" si="66"/>
        <v>0</v>
      </c>
      <c r="K101" s="332">
        <f t="shared" si="66"/>
        <v>0</v>
      </c>
      <c r="L101" s="332">
        <f t="shared" si="66"/>
        <v>0</v>
      </c>
      <c r="M101" s="332">
        <f t="shared" si="66"/>
        <v>0</v>
      </c>
      <c r="N101" s="332">
        <f t="shared" si="66"/>
        <v>0</v>
      </c>
      <c r="O101" s="332">
        <f t="shared" si="66"/>
        <v>0</v>
      </c>
      <c r="P101" s="332">
        <f t="shared" si="66"/>
        <v>0</v>
      </c>
      <c r="Q101" s="332">
        <f t="shared" si="66"/>
        <v>0</v>
      </c>
      <c r="R101" s="332">
        <f t="shared" si="66"/>
        <v>0</v>
      </c>
      <c r="S101" s="332">
        <f t="shared" si="66"/>
        <v>0</v>
      </c>
      <c r="T101" s="332">
        <f t="shared" si="66"/>
        <v>0</v>
      </c>
      <c r="U101" s="332">
        <f t="shared" si="66"/>
        <v>0</v>
      </c>
      <c r="V101" s="332">
        <f t="shared" si="66"/>
        <v>0</v>
      </c>
      <c r="W101" s="332">
        <f t="shared" si="66"/>
        <v>0</v>
      </c>
      <c r="X101" s="332">
        <f t="shared" si="66"/>
        <v>0</v>
      </c>
      <c r="Y101" s="332">
        <f t="shared" si="66"/>
        <v>0</v>
      </c>
      <c r="Z101" s="332">
        <f t="shared" si="66"/>
        <v>0</v>
      </c>
      <c r="AA101" s="332">
        <f t="shared" si="66"/>
        <v>0</v>
      </c>
      <c r="AB101" s="332">
        <f t="shared" si="66"/>
        <v>0</v>
      </c>
      <c r="AC101" s="332">
        <f t="shared" si="66"/>
        <v>0</v>
      </c>
      <c r="AD101" s="332">
        <f t="shared" si="66"/>
        <v>0</v>
      </c>
      <c r="AE101" s="332">
        <f t="shared" si="66"/>
        <v>0</v>
      </c>
      <c r="AF101" s="332">
        <f t="shared" si="66"/>
        <v>0</v>
      </c>
      <c r="AG101" s="332">
        <f t="shared" si="66"/>
        <v>0</v>
      </c>
      <c r="AH101" s="332">
        <f t="shared" si="66"/>
        <v>0</v>
      </c>
      <c r="AI101" s="332">
        <f t="shared" si="66"/>
        <v>0</v>
      </c>
      <c r="AJ101" s="332">
        <f t="shared" si="66"/>
        <v>0</v>
      </c>
      <c r="AK101" s="332">
        <f t="shared" si="66"/>
        <v>0</v>
      </c>
      <c r="AL101" s="332">
        <f t="shared" si="66"/>
        <v>0</v>
      </c>
      <c r="AM101" s="332">
        <f t="shared" si="66"/>
        <v>0</v>
      </c>
      <c r="AN101" s="332">
        <f t="shared" si="66"/>
        <v>0</v>
      </c>
      <c r="AO101" s="332">
        <f t="shared" si="66"/>
        <v>0</v>
      </c>
      <c r="AP101" s="332">
        <f t="shared" si="66"/>
        <v>0</v>
      </c>
    </row>
    <row r="102" spans="1:42" s="119" customFormat="1">
      <c r="A102" s="334"/>
      <c r="B102" s="332"/>
      <c r="C102" s="332"/>
      <c r="D102" s="332"/>
      <c r="E102" s="332"/>
      <c r="F102" s="332"/>
      <c r="G102" s="332"/>
      <c r="H102" s="332"/>
      <c r="I102" s="332"/>
      <c r="J102" s="332"/>
      <c r="K102" s="332"/>
      <c r="L102" s="332"/>
      <c r="M102" s="332"/>
      <c r="N102" s="332"/>
      <c r="O102" s="332"/>
      <c r="P102" s="332"/>
      <c r="Q102" s="332"/>
      <c r="R102" s="332"/>
      <c r="S102" s="332"/>
      <c r="T102" s="332"/>
      <c r="U102" s="332"/>
      <c r="V102" s="332"/>
      <c r="W102" s="332"/>
      <c r="X102" s="332"/>
      <c r="Y102" s="332"/>
      <c r="Z102" s="332"/>
      <c r="AA102" s="332"/>
      <c r="AB102" s="332"/>
      <c r="AC102" s="332"/>
      <c r="AD102" s="332"/>
      <c r="AE102" s="332"/>
      <c r="AF102" s="332"/>
      <c r="AG102" s="332"/>
      <c r="AH102" s="332"/>
      <c r="AI102" s="332"/>
      <c r="AJ102" s="332"/>
      <c r="AK102" s="332"/>
      <c r="AL102" s="332"/>
      <c r="AM102" s="332"/>
      <c r="AN102" s="332"/>
      <c r="AO102" s="332"/>
      <c r="AP102" s="332"/>
    </row>
    <row r="103" spans="1:42" s="119" customFormat="1">
      <c r="A103" s="334" t="s">
        <v>418</v>
      </c>
      <c r="B103" s="335">
        <f>ROUND(IF(ISERROR(IRR($B101:B$101)),0,IRR($B101:B$101)),4)</f>
        <v>0</v>
      </c>
      <c r="C103" s="335">
        <f>ROUND(IF(ISERROR(IRR($B101:C$101)),0,IRR($B101:C$101)),4)</f>
        <v>0</v>
      </c>
      <c r="D103" s="335">
        <f>ROUND(IF(ISERROR(IRR($B101:D$101)),0,IRR($B101:D$101)),4)</f>
        <v>0</v>
      </c>
      <c r="E103" s="335">
        <f>ROUND(IF(ISERROR(IRR($B101:E$101)),0,IRR($B101:E$101)),4)</f>
        <v>0</v>
      </c>
      <c r="F103" s="335">
        <f>ROUND(IF(ISERROR(IRR($B101:F$101)),0,IRR($B101:F$101)),4)</f>
        <v>0</v>
      </c>
      <c r="G103" s="335">
        <f>ROUND(IF(ISERROR(IRR($B101:G$101)),0,IRR($B101:G$101)),4)</f>
        <v>0</v>
      </c>
      <c r="H103" s="335">
        <f>ROUND(IF(ISERROR(IRR($B101:H$101)),0,IRR($B101:H$101)),4)</f>
        <v>0</v>
      </c>
      <c r="I103" s="335">
        <f>ROUND(IF(ISERROR(IRR($B101:I$101)),0,IRR($B101:I$101)),4)</f>
        <v>0</v>
      </c>
      <c r="J103" s="335">
        <f>ROUND(IF(ISERROR(IRR($B101:J$101)),0,IRR($B101:J$101)),4)</f>
        <v>0</v>
      </c>
      <c r="K103" s="335">
        <f>ROUND(IF(ISERROR(IRR($B101:K$101)),0,IRR($B101:K$101)),4)</f>
        <v>0</v>
      </c>
      <c r="L103" s="335">
        <f>ROUND(IF(ISERROR(IRR($B101:L$101)),0,IRR($B101:L$101)),4)</f>
        <v>0</v>
      </c>
      <c r="M103" s="335">
        <f>ROUND(IF(ISERROR(IRR($B101:M$101)),0,IRR($B101:M$101)),4)</f>
        <v>0</v>
      </c>
      <c r="N103" s="335">
        <f>ROUND(IF(ISERROR(IRR($B101:N$101)),0,IRR($B101:N$101)),4)</f>
        <v>0</v>
      </c>
      <c r="O103" s="335">
        <f>ROUND(IF(ISERROR(IRR($B101:O$101)),0,IRR($B101:O$101)),4)</f>
        <v>0</v>
      </c>
      <c r="P103" s="335">
        <f>ROUND(IF(ISERROR(IRR($B101:P$101)),0,IRR($B101:P$101)),4)</f>
        <v>0</v>
      </c>
      <c r="Q103" s="335">
        <f>ROUND(IF(ISERROR(IRR($B101:Q$101)),0,IRR($B101:Q$101)),4)</f>
        <v>0</v>
      </c>
      <c r="R103" s="335">
        <f>ROUND(IF(ISERROR(IRR($B101:R$101)),0,IRR($B101:R$101)),4)</f>
        <v>0</v>
      </c>
      <c r="S103" s="335">
        <f>ROUND(IF(ISERROR(IRR($B101:S$101)),0,IRR($B101:S$101)),4)</f>
        <v>0</v>
      </c>
      <c r="T103" s="335">
        <f>ROUND(IF(ISERROR(IRR($B101:T$101)),0,IRR($B101:T$101)),4)</f>
        <v>0</v>
      </c>
      <c r="U103" s="335">
        <f>ROUND(IF(ISERROR(IRR($B101:U$101)),0,IRR($B101:U$101)),4)</f>
        <v>0</v>
      </c>
      <c r="V103" s="335">
        <f>ROUND(IF(ISERROR(IRR($B101:V$101)),0,IRR($B101:V$101)),4)</f>
        <v>0</v>
      </c>
      <c r="W103" s="335">
        <f>ROUND(IF(ISERROR(IRR($B101:W$101)),0,IRR($B101:W$101)),4)</f>
        <v>0</v>
      </c>
      <c r="X103" s="335">
        <f>ROUND(IF(ISERROR(IRR($B101:X$101)),0,IRR($B101:X$101)),4)</f>
        <v>0</v>
      </c>
      <c r="Y103" s="335">
        <f>ROUND(IF(ISERROR(IRR($B101:Y$101)),0,IRR($B101:Y$101)),4)</f>
        <v>0</v>
      </c>
      <c r="Z103" s="335">
        <f>ROUND(IF(ISERROR(IRR($B101:Z$101)),0,IRR($B101:Z$101)),4)</f>
        <v>0</v>
      </c>
      <c r="AA103" s="335">
        <f>ROUND(IF(ISERROR(IRR($B101:AA$101)),0,IRR($B101:AA$101)),4)</f>
        <v>0</v>
      </c>
      <c r="AB103" s="335">
        <f>ROUND(IF(ISERROR(IRR($B101:AB$101)),0,IRR($B101:AB$101)),4)</f>
        <v>0</v>
      </c>
      <c r="AC103" s="335">
        <f>ROUND(IF(ISERROR(IRR($B101:AC$101)),0,IRR($B101:AC$101)),4)</f>
        <v>0</v>
      </c>
      <c r="AD103" s="335">
        <f>ROUND(IF(ISERROR(IRR($B101:AD$101)),0,IRR($B101:AD$101)),4)</f>
        <v>0</v>
      </c>
      <c r="AE103" s="335">
        <f>ROUND(IF(ISERROR(IRR($B101:AE$101)),0,IRR($B101:AE$101)),4)</f>
        <v>0</v>
      </c>
      <c r="AF103" s="335">
        <f>ROUND(IF(ISERROR(IRR($B101:AF$101)),0,IRR($B101:AF$101)),4)</f>
        <v>0</v>
      </c>
      <c r="AG103" s="335">
        <f>ROUND(IF(ISERROR(IRR($B101:AG$101)),0,IRR($B101:AG$101)),4)</f>
        <v>0</v>
      </c>
      <c r="AH103" s="335">
        <f>ROUND(IF(ISERROR(IRR($B101:AH$101)),0,IRR($B101:AH$101)),4)</f>
        <v>0</v>
      </c>
      <c r="AI103" s="335">
        <f>ROUND(IF(ISERROR(IRR($B101:AI$101)),0,IRR($B101:AI$101)),4)</f>
        <v>0</v>
      </c>
      <c r="AJ103" s="335">
        <f>ROUND(IF(ISERROR(IRR($B101:AJ$101)),0,IRR($B101:AJ$101)),4)</f>
        <v>0</v>
      </c>
      <c r="AK103" s="335">
        <f>ROUND(IF(ISERROR(IRR($B101:AK$101)),0,IRR($B101:AK$101)),4)</f>
        <v>0</v>
      </c>
      <c r="AL103" s="335">
        <f>ROUND(IF(ISERROR(IRR($B101:AL$101)),0,IRR($B101:AL$101)),4)</f>
        <v>0</v>
      </c>
      <c r="AM103" s="335">
        <f>ROUND(IF(ISERROR(IRR($B101:AM$101)),0,IRR($B101:AM$101)),4)</f>
        <v>0</v>
      </c>
      <c r="AN103" s="335">
        <f>ROUND(IF(ISERROR(IRR($B101:AN$101)),0,IRR($B101:AN$101)),4)</f>
        <v>0</v>
      </c>
      <c r="AO103" s="335">
        <f>ROUND(IF(ISERROR(IRR($B101:AO$101)),0,IRR($B101:AO$101)),4)</f>
        <v>0</v>
      </c>
      <c r="AP103" s="335">
        <f>ROUND(IF(ISERROR(IRR($B101:AP$101)),0,IRR($B101:AP$101)),4)</f>
        <v>0</v>
      </c>
    </row>
    <row r="104" spans="1:42" s="119" customFormat="1">
      <c r="A104" s="334" t="s">
        <v>419</v>
      </c>
      <c r="B104" s="336">
        <f>B101</f>
        <v>0</v>
      </c>
      <c r="C104" s="336">
        <f>NPV(DiscountRate,$C101:C101)+$B$101</f>
        <v>0</v>
      </c>
      <c r="D104" s="336">
        <f>NPV(DiscountRate,$C101:D101)+$B$101</f>
        <v>0</v>
      </c>
      <c r="E104" s="336">
        <f>NPV(DiscountRate,$C101:E101)+$B$101</f>
        <v>0</v>
      </c>
      <c r="F104" s="336">
        <f>NPV(DiscountRate,$C101:F101)+$B$101</f>
        <v>0</v>
      </c>
      <c r="G104" s="336">
        <f>NPV(DiscountRate,$C101:G101)+$B$101</f>
        <v>0</v>
      </c>
      <c r="H104" s="336">
        <f>NPV(DiscountRate,$C101:H101)+$B$101</f>
        <v>0</v>
      </c>
      <c r="I104" s="336">
        <f>NPV(DiscountRate,$C101:I101)+$B$101</f>
        <v>0</v>
      </c>
      <c r="J104" s="336">
        <f>NPV(DiscountRate,$C101:J101)+$B$101</f>
        <v>0</v>
      </c>
      <c r="K104" s="336">
        <f>NPV(DiscountRate,$C101:K101)+$B$101</f>
        <v>0</v>
      </c>
      <c r="L104" s="336">
        <f>NPV(DiscountRate,$C101:L101)+$B$101</f>
        <v>0</v>
      </c>
      <c r="M104" s="336">
        <f>NPV(DiscountRate,$C101:M101)+$B$101</f>
        <v>0</v>
      </c>
      <c r="N104" s="336">
        <f>NPV(DiscountRate,$C101:N101)+$B$101</f>
        <v>0</v>
      </c>
      <c r="O104" s="336">
        <f>NPV(DiscountRate,$C101:O101)+$B$101</f>
        <v>0</v>
      </c>
      <c r="P104" s="336">
        <f>NPV(DiscountRate,$C101:P101)+$B$101</f>
        <v>0</v>
      </c>
      <c r="Q104" s="336">
        <f>NPV(DiscountRate,$C101:Q101)+$B$101</f>
        <v>0</v>
      </c>
      <c r="R104" s="336">
        <f>NPV(DiscountRate,$C101:R101)+$B$101</f>
        <v>0</v>
      </c>
      <c r="S104" s="336">
        <f>NPV(DiscountRate,$C101:S101)+$B$101</f>
        <v>0</v>
      </c>
      <c r="T104" s="336">
        <f>NPV(DiscountRate,$C101:T101)+$B$101</f>
        <v>0</v>
      </c>
      <c r="U104" s="336">
        <f>NPV(DiscountRate,$C101:U101)+$B$101</f>
        <v>0</v>
      </c>
      <c r="V104" s="336">
        <f>NPV(DiscountRate,$C101:V101)+$B$101</f>
        <v>0</v>
      </c>
      <c r="W104" s="336">
        <f>NPV(DiscountRate,$C101:W101)+$B$101</f>
        <v>0</v>
      </c>
      <c r="X104" s="336">
        <f>NPV(DiscountRate,$C101:X101)+$B$101</f>
        <v>0</v>
      </c>
      <c r="Y104" s="336">
        <f>NPV(DiscountRate,$C101:Y101)+$B$101</f>
        <v>0</v>
      </c>
      <c r="Z104" s="336">
        <f>NPV(DiscountRate,$C101:Z101)+$B$101</f>
        <v>0</v>
      </c>
      <c r="AA104" s="336">
        <f>NPV(DiscountRate,$C101:AA101)+$B$101</f>
        <v>0</v>
      </c>
      <c r="AB104" s="336">
        <f>NPV(DiscountRate,$C101:AB101)+$B$101</f>
        <v>0</v>
      </c>
      <c r="AC104" s="336">
        <f>NPV(DiscountRate,$C101:AC101)+$B$101</f>
        <v>0</v>
      </c>
      <c r="AD104" s="336">
        <f>NPV(DiscountRate,$C101:AD101)+$B$101</f>
        <v>0</v>
      </c>
      <c r="AE104" s="336">
        <f>NPV(DiscountRate,$C101:AE101)+$B$101</f>
        <v>0</v>
      </c>
      <c r="AF104" s="336">
        <f>NPV(DiscountRate,$C101:AF101)+$B$101</f>
        <v>0</v>
      </c>
      <c r="AG104" s="336">
        <f>NPV(DiscountRate,$C101:AG101)+$B$101</f>
        <v>0</v>
      </c>
      <c r="AH104" s="336">
        <f>NPV(DiscountRate,$C101:AH101)+$B$101</f>
        <v>0</v>
      </c>
      <c r="AI104" s="336">
        <f>NPV(DiscountRate,$C101:AI101)+$B$101</f>
        <v>0</v>
      </c>
      <c r="AJ104" s="336">
        <f>NPV(DiscountRate,$C101:AJ101)+$B$101</f>
        <v>0</v>
      </c>
      <c r="AK104" s="336">
        <f>NPV(DiscountRate,$C101:AK101)+$B$101</f>
        <v>0</v>
      </c>
      <c r="AL104" s="336">
        <f>NPV(DiscountRate,$C101:AL101)+$B$101</f>
        <v>0</v>
      </c>
      <c r="AM104" s="336">
        <f>NPV(DiscountRate,$C101:AM101)+$B$101</f>
        <v>0</v>
      </c>
      <c r="AN104" s="336">
        <f>NPV(DiscountRate,$C101:AN101)+$B$101</f>
        <v>0</v>
      </c>
      <c r="AO104" s="336">
        <f>NPV(DiscountRate,$C101:AO101)+$B$101</f>
        <v>0</v>
      </c>
      <c r="AP104" s="336">
        <f>NPV(DiscountRate,$C101:AP101)+$B$101</f>
        <v>0</v>
      </c>
    </row>
    <row r="105" spans="1:42" s="119" customFormat="1">
      <c r="A105" s="334"/>
      <c r="B105" s="332"/>
      <c r="C105" s="332"/>
      <c r="D105" s="332"/>
      <c r="E105" s="332"/>
      <c r="F105" s="332"/>
      <c r="G105" s="333"/>
      <c r="H105" s="333"/>
      <c r="I105" s="333"/>
      <c r="J105" s="333"/>
      <c r="K105" s="333"/>
      <c r="L105" s="333"/>
      <c r="M105" s="333"/>
      <c r="N105" s="333"/>
      <c r="O105" s="333"/>
      <c r="P105" s="333"/>
      <c r="Q105" s="333"/>
      <c r="R105" s="333"/>
      <c r="S105" s="333"/>
      <c r="T105" s="333"/>
      <c r="U105" s="333"/>
      <c r="V105" s="333"/>
      <c r="W105" s="333"/>
      <c r="X105" s="333"/>
      <c r="Y105" s="333"/>
      <c r="Z105" s="333"/>
      <c r="AA105" s="333"/>
      <c r="AB105" s="333"/>
      <c r="AC105" s="333"/>
      <c r="AD105" s="333"/>
      <c r="AE105" s="333"/>
      <c r="AF105" s="333"/>
      <c r="AG105" s="333"/>
      <c r="AH105" s="333"/>
      <c r="AI105" s="333"/>
      <c r="AJ105" s="333"/>
      <c r="AK105" s="333"/>
      <c r="AL105" s="333"/>
      <c r="AM105" s="333"/>
      <c r="AN105" s="333"/>
      <c r="AO105" s="333"/>
      <c r="AP105" s="333"/>
    </row>
    <row r="106" spans="1:42" s="119" customFormat="1">
      <c r="A106" s="331" t="s">
        <v>228</v>
      </c>
      <c r="B106" s="332"/>
      <c r="C106" s="332"/>
      <c r="D106" s="332"/>
      <c r="E106" s="332"/>
      <c r="F106" s="332"/>
      <c r="G106" s="333"/>
      <c r="H106" s="333"/>
      <c r="I106" s="333"/>
      <c r="J106" s="333"/>
      <c r="K106" s="333"/>
      <c r="L106" s="333"/>
      <c r="M106" s="333"/>
      <c r="N106" s="333"/>
      <c r="O106" s="333"/>
      <c r="P106" s="333"/>
      <c r="Q106" s="333"/>
      <c r="R106" s="333"/>
      <c r="S106" s="333"/>
      <c r="T106" s="333"/>
      <c r="U106" s="333"/>
      <c r="V106" s="333"/>
      <c r="W106" s="333"/>
      <c r="X106" s="333"/>
      <c r="Y106" s="333"/>
      <c r="Z106" s="333"/>
      <c r="AA106" s="333"/>
      <c r="AB106" s="333"/>
      <c r="AC106" s="333"/>
      <c r="AD106" s="333"/>
      <c r="AE106" s="333"/>
      <c r="AF106" s="333"/>
      <c r="AG106" s="333"/>
      <c r="AH106" s="333"/>
      <c r="AI106" s="333"/>
      <c r="AJ106" s="333"/>
      <c r="AK106" s="333"/>
      <c r="AL106" s="333"/>
      <c r="AM106" s="333"/>
      <c r="AN106" s="333"/>
      <c r="AO106" s="333"/>
      <c r="AP106" s="333"/>
    </row>
    <row r="107" spans="1:42" s="119" customFormat="1">
      <c r="A107" s="337" t="s">
        <v>229</v>
      </c>
      <c r="B107" s="332"/>
      <c r="C107" s="332"/>
      <c r="D107" s="332"/>
      <c r="E107" s="332"/>
      <c r="F107" s="332"/>
      <c r="G107" s="333"/>
      <c r="H107" s="333"/>
      <c r="I107" s="333"/>
      <c r="J107" s="333"/>
      <c r="K107" s="333"/>
      <c r="L107" s="333"/>
      <c r="M107" s="333"/>
      <c r="N107" s="333"/>
      <c r="O107" s="333"/>
      <c r="P107" s="333"/>
      <c r="Q107" s="333"/>
      <c r="R107" s="333"/>
      <c r="S107" s="333"/>
      <c r="T107" s="333"/>
      <c r="U107" s="333"/>
      <c r="V107" s="333"/>
      <c r="W107" s="333"/>
      <c r="X107" s="333"/>
      <c r="Y107" s="333"/>
      <c r="Z107" s="333"/>
      <c r="AA107" s="333"/>
      <c r="AB107" s="333"/>
      <c r="AC107" s="333"/>
      <c r="AD107" s="333"/>
      <c r="AE107" s="333"/>
      <c r="AF107" s="333"/>
      <c r="AG107" s="333"/>
      <c r="AH107" s="333"/>
      <c r="AI107" s="333"/>
      <c r="AJ107" s="333"/>
      <c r="AK107" s="333"/>
      <c r="AL107" s="333"/>
      <c r="AM107" s="333"/>
      <c r="AN107" s="333"/>
      <c r="AO107" s="333"/>
      <c r="AP107" s="333"/>
    </row>
    <row r="108" spans="1:42" s="119" customFormat="1">
      <c r="A108" s="338" t="s">
        <v>224</v>
      </c>
      <c r="B108" s="333">
        <f>B99</f>
        <v>0</v>
      </c>
      <c r="C108" s="333">
        <f t="shared" ref="C108:AP109" si="67">C99</f>
        <v>0</v>
      </c>
      <c r="D108" s="333">
        <f t="shared" si="67"/>
        <v>0</v>
      </c>
      <c r="E108" s="333">
        <f t="shared" si="67"/>
        <v>0</v>
      </c>
      <c r="F108" s="333">
        <f t="shared" si="67"/>
        <v>0</v>
      </c>
      <c r="G108" s="333">
        <f t="shared" si="67"/>
        <v>0</v>
      </c>
      <c r="H108" s="333">
        <f t="shared" si="67"/>
        <v>0</v>
      </c>
      <c r="I108" s="333">
        <f t="shared" si="67"/>
        <v>0</v>
      </c>
      <c r="J108" s="333">
        <f t="shared" si="67"/>
        <v>0</v>
      </c>
      <c r="K108" s="333">
        <f t="shared" si="67"/>
        <v>0</v>
      </c>
      <c r="L108" s="333">
        <f t="shared" si="67"/>
        <v>0</v>
      </c>
      <c r="M108" s="333">
        <f t="shared" si="67"/>
        <v>0</v>
      </c>
      <c r="N108" s="333">
        <f t="shared" si="67"/>
        <v>0</v>
      </c>
      <c r="O108" s="333">
        <f t="shared" si="67"/>
        <v>0</v>
      </c>
      <c r="P108" s="333">
        <f t="shared" si="67"/>
        <v>0</v>
      </c>
      <c r="Q108" s="333">
        <f t="shared" si="67"/>
        <v>0</v>
      </c>
      <c r="R108" s="333">
        <f t="shared" si="67"/>
        <v>0</v>
      </c>
      <c r="S108" s="333">
        <f t="shared" si="67"/>
        <v>0</v>
      </c>
      <c r="T108" s="333">
        <f t="shared" si="67"/>
        <v>0</v>
      </c>
      <c r="U108" s="333">
        <f t="shared" si="67"/>
        <v>0</v>
      </c>
      <c r="V108" s="333">
        <f t="shared" si="67"/>
        <v>0</v>
      </c>
      <c r="W108" s="333">
        <f t="shared" si="67"/>
        <v>0</v>
      </c>
      <c r="X108" s="333">
        <f t="shared" si="67"/>
        <v>0</v>
      </c>
      <c r="Y108" s="333">
        <f t="shared" si="67"/>
        <v>0</v>
      </c>
      <c r="Z108" s="333">
        <f t="shared" si="67"/>
        <v>0</v>
      </c>
      <c r="AA108" s="333">
        <f t="shared" si="67"/>
        <v>0</v>
      </c>
      <c r="AB108" s="333">
        <f t="shared" si="67"/>
        <v>0</v>
      </c>
      <c r="AC108" s="333">
        <f t="shared" si="67"/>
        <v>0</v>
      </c>
      <c r="AD108" s="333">
        <f t="shared" si="67"/>
        <v>0</v>
      </c>
      <c r="AE108" s="333">
        <f t="shared" si="67"/>
        <v>0</v>
      </c>
      <c r="AF108" s="333">
        <f t="shared" si="67"/>
        <v>0</v>
      </c>
      <c r="AG108" s="333">
        <f t="shared" si="67"/>
        <v>0</v>
      </c>
      <c r="AH108" s="333">
        <f t="shared" si="67"/>
        <v>0</v>
      </c>
      <c r="AI108" s="333">
        <f t="shared" si="67"/>
        <v>0</v>
      </c>
      <c r="AJ108" s="333">
        <f t="shared" si="67"/>
        <v>0</v>
      </c>
      <c r="AK108" s="333">
        <f t="shared" si="67"/>
        <v>0</v>
      </c>
      <c r="AL108" s="333">
        <f t="shared" si="67"/>
        <v>0</v>
      </c>
      <c r="AM108" s="333">
        <f t="shared" si="67"/>
        <v>0</v>
      </c>
      <c r="AN108" s="333">
        <f t="shared" si="67"/>
        <v>0</v>
      </c>
      <c r="AO108" s="333">
        <f t="shared" si="67"/>
        <v>0</v>
      </c>
      <c r="AP108" s="333">
        <f t="shared" si="67"/>
        <v>0</v>
      </c>
    </row>
    <row r="109" spans="1:42" s="119" customFormat="1">
      <c r="A109" s="338" t="s">
        <v>225</v>
      </c>
      <c r="B109" s="234">
        <f>B100</f>
        <v>0</v>
      </c>
      <c r="C109" s="234">
        <f t="shared" si="67"/>
        <v>0</v>
      </c>
      <c r="D109" s="234">
        <f t="shared" si="67"/>
        <v>0</v>
      </c>
      <c r="E109" s="234">
        <f t="shared" si="67"/>
        <v>0</v>
      </c>
      <c r="F109" s="234">
        <f t="shared" si="67"/>
        <v>0</v>
      </c>
      <c r="G109" s="234">
        <f t="shared" si="67"/>
        <v>0</v>
      </c>
      <c r="H109" s="234">
        <f t="shared" si="67"/>
        <v>0</v>
      </c>
      <c r="I109" s="234">
        <f t="shared" si="67"/>
        <v>0</v>
      </c>
      <c r="J109" s="234">
        <f t="shared" si="67"/>
        <v>0</v>
      </c>
      <c r="K109" s="234">
        <f t="shared" si="67"/>
        <v>0</v>
      </c>
      <c r="L109" s="234">
        <f t="shared" si="67"/>
        <v>0</v>
      </c>
      <c r="M109" s="234">
        <f t="shared" si="67"/>
        <v>0</v>
      </c>
      <c r="N109" s="234">
        <f t="shared" si="67"/>
        <v>0</v>
      </c>
      <c r="O109" s="234">
        <f t="shared" si="67"/>
        <v>0</v>
      </c>
      <c r="P109" s="234">
        <f t="shared" si="67"/>
        <v>0</v>
      </c>
      <c r="Q109" s="234">
        <f t="shared" si="67"/>
        <v>0</v>
      </c>
      <c r="R109" s="234">
        <f t="shared" si="67"/>
        <v>0</v>
      </c>
      <c r="S109" s="234">
        <f t="shared" si="67"/>
        <v>0</v>
      </c>
      <c r="T109" s="234">
        <f t="shared" si="67"/>
        <v>0</v>
      </c>
      <c r="U109" s="234">
        <f t="shared" si="67"/>
        <v>0</v>
      </c>
      <c r="V109" s="234">
        <f t="shared" si="67"/>
        <v>0</v>
      </c>
      <c r="W109" s="234">
        <f t="shared" si="67"/>
        <v>0</v>
      </c>
      <c r="X109" s="234">
        <f t="shared" si="67"/>
        <v>0</v>
      </c>
      <c r="Y109" s="234">
        <f t="shared" si="67"/>
        <v>0</v>
      </c>
      <c r="Z109" s="234">
        <f t="shared" si="67"/>
        <v>0</v>
      </c>
      <c r="AA109" s="234">
        <f t="shared" si="67"/>
        <v>0</v>
      </c>
      <c r="AB109" s="234">
        <f t="shared" si="67"/>
        <v>0</v>
      </c>
      <c r="AC109" s="234">
        <f t="shared" si="67"/>
        <v>0</v>
      </c>
      <c r="AD109" s="234">
        <f t="shared" si="67"/>
        <v>0</v>
      </c>
      <c r="AE109" s="234">
        <f t="shared" si="67"/>
        <v>0</v>
      </c>
      <c r="AF109" s="234">
        <f t="shared" si="67"/>
        <v>0</v>
      </c>
      <c r="AG109" s="234">
        <f t="shared" si="67"/>
        <v>0</v>
      </c>
      <c r="AH109" s="234">
        <f t="shared" si="67"/>
        <v>0</v>
      </c>
      <c r="AI109" s="234">
        <f t="shared" si="67"/>
        <v>0</v>
      </c>
      <c r="AJ109" s="234">
        <f t="shared" si="67"/>
        <v>0</v>
      </c>
      <c r="AK109" s="234">
        <f t="shared" si="67"/>
        <v>0</v>
      </c>
      <c r="AL109" s="234">
        <f t="shared" si="67"/>
        <v>0</v>
      </c>
      <c r="AM109" s="234">
        <f t="shared" si="67"/>
        <v>0</v>
      </c>
      <c r="AN109" s="234">
        <f t="shared" si="67"/>
        <v>0</v>
      </c>
      <c r="AO109" s="234">
        <f t="shared" si="67"/>
        <v>0</v>
      </c>
      <c r="AP109" s="234">
        <f t="shared" si="67"/>
        <v>0</v>
      </c>
    </row>
    <row r="110" spans="1:42" s="119" customFormat="1">
      <c r="A110" s="338" t="s">
        <v>230</v>
      </c>
      <c r="B110" s="332">
        <f>SUM(B108:B109)</f>
        <v>0</v>
      </c>
      <c r="C110" s="332">
        <f t="shared" ref="C110:AP110" si="68">SUM(C108:C109)</f>
        <v>0</v>
      </c>
      <c r="D110" s="332">
        <f t="shared" si="68"/>
        <v>0</v>
      </c>
      <c r="E110" s="332">
        <f t="shared" si="68"/>
        <v>0</v>
      </c>
      <c r="F110" s="332">
        <f t="shared" si="68"/>
        <v>0</v>
      </c>
      <c r="G110" s="332">
        <f t="shared" si="68"/>
        <v>0</v>
      </c>
      <c r="H110" s="332">
        <f t="shared" si="68"/>
        <v>0</v>
      </c>
      <c r="I110" s="332">
        <f t="shared" si="68"/>
        <v>0</v>
      </c>
      <c r="J110" s="332">
        <f t="shared" si="68"/>
        <v>0</v>
      </c>
      <c r="K110" s="332">
        <f t="shared" si="68"/>
        <v>0</v>
      </c>
      <c r="L110" s="332">
        <f t="shared" si="68"/>
        <v>0</v>
      </c>
      <c r="M110" s="332">
        <f t="shared" si="68"/>
        <v>0</v>
      </c>
      <c r="N110" s="332">
        <f t="shared" si="68"/>
        <v>0</v>
      </c>
      <c r="O110" s="332">
        <f t="shared" si="68"/>
        <v>0</v>
      </c>
      <c r="P110" s="332">
        <f t="shared" si="68"/>
        <v>0</v>
      </c>
      <c r="Q110" s="332">
        <f t="shared" si="68"/>
        <v>0</v>
      </c>
      <c r="R110" s="332">
        <f t="shared" si="68"/>
        <v>0</v>
      </c>
      <c r="S110" s="332">
        <f t="shared" si="68"/>
        <v>0</v>
      </c>
      <c r="T110" s="332">
        <f t="shared" si="68"/>
        <v>0</v>
      </c>
      <c r="U110" s="332">
        <f t="shared" si="68"/>
        <v>0</v>
      </c>
      <c r="V110" s="332">
        <f t="shared" si="68"/>
        <v>0</v>
      </c>
      <c r="W110" s="332">
        <f t="shared" si="68"/>
        <v>0</v>
      </c>
      <c r="X110" s="332">
        <f t="shared" si="68"/>
        <v>0</v>
      </c>
      <c r="Y110" s="332">
        <f t="shared" si="68"/>
        <v>0</v>
      </c>
      <c r="Z110" s="332">
        <f t="shared" si="68"/>
        <v>0</v>
      </c>
      <c r="AA110" s="332">
        <f t="shared" si="68"/>
        <v>0</v>
      </c>
      <c r="AB110" s="332">
        <f t="shared" si="68"/>
        <v>0</v>
      </c>
      <c r="AC110" s="332">
        <f t="shared" si="68"/>
        <v>0</v>
      </c>
      <c r="AD110" s="332">
        <f t="shared" si="68"/>
        <v>0</v>
      </c>
      <c r="AE110" s="332">
        <f t="shared" si="68"/>
        <v>0</v>
      </c>
      <c r="AF110" s="332">
        <f t="shared" si="68"/>
        <v>0</v>
      </c>
      <c r="AG110" s="332">
        <f t="shared" si="68"/>
        <v>0</v>
      </c>
      <c r="AH110" s="332">
        <f t="shared" si="68"/>
        <v>0</v>
      </c>
      <c r="AI110" s="332">
        <f t="shared" si="68"/>
        <v>0</v>
      </c>
      <c r="AJ110" s="332">
        <f t="shared" si="68"/>
        <v>0</v>
      </c>
      <c r="AK110" s="332">
        <f t="shared" si="68"/>
        <v>0</v>
      </c>
      <c r="AL110" s="332">
        <f t="shared" si="68"/>
        <v>0</v>
      </c>
      <c r="AM110" s="332">
        <f t="shared" si="68"/>
        <v>0</v>
      </c>
      <c r="AN110" s="332">
        <f t="shared" si="68"/>
        <v>0</v>
      </c>
      <c r="AO110" s="332">
        <f t="shared" si="68"/>
        <v>0</v>
      </c>
      <c r="AP110" s="332">
        <f t="shared" si="68"/>
        <v>0</v>
      </c>
    </row>
    <row r="111" spans="1:42" s="119" customFormat="1">
      <c r="A111" s="334" t="s">
        <v>33</v>
      </c>
      <c r="B111" s="332"/>
      <c r="C111" s="332"/>
      <c r="D111" s="332"/>
      <c r="E111" s="332"/>
      <c r="F111" s="332"/>
      <c r="G111" s="333"/>
      <c r="H111" s="333"/>
      <c r="I111" s="333"/>
      <c r="J111" s="333"/>
      <c r="K111" s="333"/>
      <c r="L111" s="333"/>
      <c r="M111" s="333"/>
      <c r="N111" s="333"/>
      <c r="O111" s="333"/>
      <c r="P111" s="333"/>
      <c r="Q111" s="333"/>
      <c r="R111" s="333"/>
      <c r="S111" s="333"/>
      <c r="T111" s="333"/>
      <c r="U111" s="333"/>
      <c r="V111" s="333"/>
      <c r="W111" s="333"/>
      <c r="X111" s="333"/>
      <c r="Y111" s="333"/>
      <c r="Z111" s="333"/>
      <c r="AA111" s="333"/>
      <c r="AB111" s="333"/>
      <c r="AC111" s="333"/>
      <c r="AD111" s="333"/>
      <c r="AE111" s="333"/>
      <c r="AF111" s="333"/>
      <c r="AG111" s="333"/>
      <c r="AH111" s="333"/>
      <c r="AI111" s="333"/>
      <c r="AJ111" s="333"/>
      <c r="AK111" s="333"/>
      <c r="AL111" s="333"/>
      <c r="AM111" s="333"/>
      <c r="AN111" s="333"/>
      <c r="AO111" s="333"/>
      <c r="AP111" s="333"/>
    </row>
    <row r="112" spans="1:42" s="119" customFormat="1">
      <c r="A112" s="338" t="s">
        <v>37</v>
      </c>
      <c r="B112" s="332">
        <v>0</v>
      </c>
      <c r="C112" s="332">
        <v>0</v>
      </c>
      <c r="D112" s="332">
        <v>0</v>
      </c>
      <c r="E112" s="332">
        <v>0</v>
      </c>
      <c r="F112" s="332">
        <v>0</v>
      </c>
      <c r="G112" s="332">
        <v>0</v>
      </c>
      <c r="H112" s="332">
        <v>0</v>
      </c>
      <c r="I112" s="332">
        <v>0</v>
      </c>
      <c r="J112" s="332">
        <v>0</v>
      </c>
      <c r="K112" s="332">
        <v>0</v>
      </c>
      <c r="L112" s="332">
        <v>0</v>
      </c>
      <c r="M112" s="332">
        <v>0</v>
      </c>
      <c r="N112" s="332">
        <v>0</v>
      </c>
      <c r="O112" s="332">
        <v>0</v>
      </c>
      <c r="P112" s="332">
        <v>0</v>
      </c>
      <c r="Q112" s="332">
        <v>0</v>
      </c>
      <c r="R112" s="332">
        <v>0</v>
      </c>
      <c r="S112" s="332">
        <v>0</v>
      </c>
      <c r="T112" s="332">
        <v>0</v>
      </c>
      <c r="U112" s="332">
        <v>0</v>
      </c>
      <c r="V112" s="332">
        <v>0</v>
      </c>
      <c r="W112" s="332">
        <v>0</v>
      </c>
      <c r="X112" s="332">
        <v>0</v>
      </c>
      <c r="Y112" s="332">
        <v>0</v>
      </c>
      <c r="Z112" s="332">
        <v>0</v>
      </c>
      <c r="AA112" s="332">
        <v>0</v>
      </c>
      <c r="AB112" s="332">
        <v>0</v>
      </c>
      <c r="AC112" s="332">
        <v>0</v>
      </c>
      <c r="AD112" s="332">
        <v>0</v>
      </c>
      <c r="AE112" s="332">
        <v>0</v>
      </c>
      <c r="AF112" s="332">
        <v>0</v>
      </c>
      <c r="AG112" s="332">
        <v>0</v>
      </c>
      <c r="AH112" s="332">
        <v>0</v>
      </c>
      <c r="AI112" s="332">
        <v>0</v>
      </c>
      <c r="AJ112" s="332">
        <v>0</v>
      </c>
      <c r="AK112" s="332">
        <v>0</v>
      </c>
      <c r="AL112" s="332">
        <v>0</v>
      </c>
      <c r="AM112" s="332">
        <v>0</v>
      </c>
      <c r="AN112" s="332">
        <v>0</v>
      </c>
      <c r="AO112" s="332">
        <v>0</v>
      </c>
      <c r="AP112" s="332">
        <v>0</v>
      </c>
    </row>
    <row r="113" spans="1:42" s="119" customFormat="1">
      <c r="A113" s="338" t="s">
        <v>36</v>
      </c>
      <c r="B113" s="234">
        <v>0</v>
      </c>
      <c r="C113" s="234">
        <v>0</v>
      </c>
      <c r="D113" s="234">
        <v>0</v>
      </c>
      <c r="E113" s="234">
        <v>0</v>
      </c>
      <c r="F113" s="234">
        <v>0</v>
      </c>
      <c r="G113" s="234">
        <v>0</v>
      </c>
      <c r="H113" s="234">
        <v>0</v>
      </c>
      <c r="I113" s="234">
        <v>0</v>
      </c>
      <c r="J113" s="234">
        <v>0</v>
      </c>
      <c r="K113" s="234">
        <v>0</v>
      </c>
      <c r="L113" s="234">
        <v>0</v>
      </c>
      <c r="M113" s="234">
        <v>0</v>
      </c>
      <c r="N113" s="234">
        <v>0</v>
      </c>
      <c r="O113" s="234">
        <v>0</v>
      </c>
      <c r="P113" s="234">
        <v>0</v>
      </c>
      <c r="Q113" s="234">
        <v>0</v>
      </c>
      <c r="R113" s="234">
        <v>0</v>
      </c>
      <c r="S113" s="234">
        <v>0</v>
      </c>
      <c r="T113" s="234">
        <v>0</v>
      </c>
      <c r="U113" s="234">
        <v>0</v>
      </c>
      <c r="V113" s="234">
        <v>0</v>
      </c>
      <c r="W113" s="234">
        <v>0</v>
      </c>
      <c r="X113" s="234">
        <v>0</v>
      </c>
      <c r="Y113" s="234">
        <v>0</v>
      </c>
      <c r="Z113" s="234">
        <v>0</v>
      </c>
      <c r="AA113" s="234">
        <v>0</v>
      </c>
      <c r="AB113" s="234">
        <v>0</v>
      </c>
      <c r="AC113" s="234">
        <v>0</v>
      </c>
      <c r="AD113" s="234">
        <v>0</v>
      </c>
      <c r="AE113" s="234">
        <v>0</v>
      </c>
      <c r="AF113" s="234">
        <v>0</v>
      </c>
      <c r="AG113" s="234">
        <v>0</v>
      </c>
      <c r="AH113" s="234">
        <v>0</v>
      </c>
      <c r="AI113" s="234">
        <v>0</v>
      </c>
      <c r="AJ113" s="234">
        <v>0</v>
      </c>
      <c r="AK113" s="234">
        <v>0</v>
      </c>
      <c r="AL113" s="234">
        <v>0</v>
      </c>
      <c r="AM113" s="234">
        <v>0</v>
      </c>
      <c r="AN113" s="234">
        <v>0</v>
      </c>
      <c r="AO113" s="234">
        <v>0</v>
      </c>
      <c r="AP113" s="234">
        <v>0</v>
      </c>
    </row>
    <row r="114" spans="1:42" s="119" customFormat="1">
      <c r="A114" s="338" t="s">
        <v>53</v>
      </c>
      <c r="B114" s="332">
        <f>SUM(B112:B113)</f>
        <v>0</v>
      </c>
      <c r="C114" s="332">
        <f>SUM(C112:C113)</f>
        <v>0</v>
      </c>
      <c r="D114" s="332">
        <f>SUM(D112:D113)</f>
        <v>0</v>
      </c>
      <c r="E114" s="332">
        <f t="shared" ref="E114:AP114" si="69">SUM(E112:E113)</f>
        <v>0</v>
      </c>
      <c r="F114" s="332">
        <f t="shared" si="69"/>
        <v>0</v>
      </c>
      <c r="G114" s="332">
        <f t="shared" si="69"/>
        <v>0</v>
      </c>
      <c r="H114" s="332">
        <f t="shared" si="69"/>
        <v>0</v>
      </c>
      <c r="I114" s="332">
        <f t="shared" si="69"/>
        <v>0</v>
      </c>
      <c r="J114" s="332">
        <f t="shared" si="69"/>
        <v>0</v>
      </c>
      <c r="K114" s="332">
        <f t="shared" si="69"/>
        <v>0</v>
      </c>
      <c r="L114" s="332">
        <f t="shared" si="69"/>
        <v>0</v>
      </c>
      <c r="M114" s="332">
        <f t="shared" si="69"/>
        <v>0</v>
      </c>
      <c r="N114" s="332">
        <f t="shared" si="69"/>
        <v>0</v>
      </c>
      <c r="O114" s="332">
        <f t="shared" si="69"/>
        <v>0</v>
      </c>
      <c r="P114" s="332">
        <f t="shared" si="69"/>
        <v>0</v>
      </c>
      <c r="Q114" s="332">
        <f t="shared" si="69"/>
        <v>0</v>
      </c>
      <c r="R114" s="332">
        <f t="shared" si="69"/>
        <v>0</v>
      </c>
      <c r="S114" s="332">
        <f t="shared" si="69"/>
        <v>0</v>
      </c>
      <c r="T114" s="332">
        <f t="shared" si="69"/>
        <v>0</v>
      </c>
      <c r="U114" s="332">
        <f t="shared" si="69"/>
        <v>0</v>
      </c>
      <c r="V114" s="332">
        <f t="shared" si="69"/>
        <v>0</v>
      </c>
      <c r="W114" s="332">
        <f t="shared" si="69"/>
        <v>0</v>
      </c>
      <c r="X114" s="332">
        <f t="shared" si="69"/>
        <v>0</v>
      </c>
      <c r="Y114" s="332">
        <f t="shared" si="69"/>
        <v>0</v>
      </c>
      <c r="Z114" s="332">
        <f t="shared" si="69"/>
        <v>0</v>
      </c>
      <c r="AA114" s="332">
        <f t="shared" si="69"/>
        <v>0</v>
      </c>
      <c r="AB114" s="332">
        <f t="shared" si="69"/>
        <v>0</v>
      </c>
      <c r="AC114" s="332">
        <f t="shared" si="69"/>
        <v>0</v>
      </c>
      <c r="AD114" s="332">
        <f t="shared" si="69"/>
        <v>0</v>
      </c>
      <c r="AE114" s="332">
        <f t="shared" si="69"/>
        <v>0</v>
      </c>
      <c r="AF114" s="332">
        <f t="shared" si="69"/>
        <v>0</v>
      </c>
      <c r="AG114" s="332">
        <f t="shared" si="69"/>
        <v>0</v>
      </c>
      <c r="AH114" s="332">
        <f t="shared" si="69"/>
        <v>0</v>
      </c>
      <c r="AI114" s="332">
        <f t="shared" si="69"/>
        <v>0</v>
      </c>
      <c r="AJ114" s="332">
        <f t="shared" si="69"/>
        <v>0</v>
      </c>
      <c r="AK114" s="332">
        <f t="shared" si="69"/>
        <v>0</v>
      </c>
      <c r="AL114" s="332">
        <f t="shared" si="69"/>
        <v>0</v>
      </c>
      <c r="AM114" s="332">
        <f t="shared" si="69"/>
        <v>0</v>
      </c>
      <c r="AN114" s="332">
        <f t="shared" si="69"/>
        <v>0</v>
      </c>
      <c r="AO114" s="332">
        <f t="shared" si="69"/>
        <v>0</v>
      </c>
      <c r="AP114" s="332">
        <f t="shared" si="69"/>
        <v>0</v>
      </c>
    </row>
    <row r="115" spans="1:42" s="119" customFormat="1">
      <c r="A115" s="334" t="s">
        <v>38</v>
      </c>
      <c r="B115" s="332"/>
      <c r="C115" s="332"/>
      <c r="D115" s="332"/>
      <c r="E115" s="332"/>
      <c r="F115" s="332"/>
      <c r="G115" s="333"/>
      <c r="H115" s="333"/>
      <c r="I115" s="333"/>
      <c r="J115" s="333"/>
      <c r="K115" s="333"/>
      <c r="L115" s="333"/>
      <c r="M115" s="333"/>
      <c r="N115" s="333"/>
      <c r="O115" s="333"/>
      <c r="P115" s="333"/>
      <c r="Q115" s="333"/>
      <c r="R115" s="333"/>
      <c r="S115" s="333"/>
      <c r="T115" s="333"/>
      <c r="U115" s="333"/>
      <c r="V115" s="333"/>
      <c r="W115" s="333"/>
      <c r="X115" s="333"/>
      <c r="Y115" s="333"/>
      <c r="Z115" s="333"/>
      <c r="AA115" s="333"/>
      <c r="AB115" s="333"/>
      <c r="AC115" s="333"/>
      <c r="AD115" s="333"/>
      <c r="AE115" s="333"/>
      <c r="AF115" s="333"/>
      <c r="AG115" s="333"/>
      <c r="AH115" s="333"/>
      <c r="AI115" s="333"/>
      <c r="AJ115" s="333"/>
      <c r="AK115" s="333"/>
      <c r="AL115" s="333"/>
      <c r="AM115" s="333"/>
      <c r="AN115" s="333"/>
      <c r="AO115" s="333"/>
      <c r="AP115" s="333"/>
    </row>
    <row r="116" spans="1:42" s="119" customFormat="1">
      <c r="A116" s="338" t="s">
        <v>37</v>
      </c>
      <c r="B116" s="332">
        <v>0</v>
      </c>
      <c r="C116" s="332">
        <v>0</v>
      </c>
      <c r="D116" s="332">
        <v>0</v>
      </c>
      <c r="E116" s="332">
        <v>0</v>
      </c>
      <c r="F116" s="332">
        <v>0</v>
      </c>
      <c r="G116" s="332">
        <v>0</v>
      </c>
      <c r="H116" s="332">
        <v>0</v>
      </c>
      <c r="I116" s="332">
        <v>0</v>
      </c>
      <c r="J116" s="332">
        <v>0</v>
      </c>
      <c r="K116" s="332">
        <v>0</v>
      </c>
      <c r="L116" s="332">
        <v>0</v>
      </c>
      <c r="M116" s="332">
        <v>0</v>
      </c>
      <c r="N116" s="332">
        <v>0</v>
      </c>
      <c r="O116" s="332">
        <v>0</v>
      </c>
      <c r="P116" s="332">
        <v>0</v>
      </c>
      <c r="Q116" s="332">
        <v>0</v>
      </c>
      <c r="R116" s="332">
        <v>0</v>
      </c>
      <c r="S116" s="332">
        <v>0</v>
      </c>
      <c r="T116" s="332">
        <v>0</v>
      </c>
      <c r="U116" s="332">
        <v>0</v>
      </c>
      <c r="V116" s="332">
        <v>0</v>
      </c>
      <c r="W116" s="332">
        <v>0</v>
      </c>
      <c r="X116" s="332">
        <v>0</v>
      </c>
      <c r="Y116" s="332">
        <v>0</v>
      </c>
      <c r="Z116" s="332">
        <v>0</v>
      </c>
      <c r="AA116" s="332">
        <v>0</v>
      </c>
      <c r="AB116" s="332">
        <v>0</v>
      </c>
      <c r="AC116" s="332">
        <v>0</v>
      </c>
      <c r="AD116" s="332">
        <v>0</v>
      </c>
      <c r="AE116" s="332">
        <v>0</v>
      </c>
      <c r="AF116" s="332">
        <v>0</v>
      </c>
      <c r="AG116" s="332">
        <v>0</v>
      </c>
      <c r="AH116" s="332">
        <v>0</v>
      </c>
      <c r="AI116" s="332">
        <v>0</v>
      </c>
      <c r="AJ116" s="332">
        <v>0</v>
      </c>
      <c r="AK116" s="332">
        <v>0</v>
      </c>
      <c r="AL116" s="332">
        <v>0</v>
      </c>
      <c r="AM116" s="332">
        <v>0</v>
      </c>
      <c r="AN116" s="332">
        <v>0</v>
      </c>
      <c r="AO116" s="332">
        <v>0</v>
      </c>
      <c r="AP116" s="332">
        <v>0</v>
      </c>
    </row>
    <row r="117" spans="1:42" s="119" customFormat="1">
      <c r="A117" s="338" t="s">
        <v>36</v>
      </c>
      <c r="B117" s="234">
        <v>0</v>
      </c>
      <c r="C117" s="234">
        <v>0</v>
      </c>
      <c r="D117" s="234">
        <v>0</v>
      </c>
      <c r="E117" s="234">
        <v>0</v>
      </c>
      <c r="F117" s="234">
        <v>0</v>
      </c>
      <c r="G117" s="234">
        <v>0</v>
      </c>
      <c r="H117" s="234">
        <v>0</v>
      </c>
      <c r="I117" s="234">
        <v>0</v>
      </c>
      <c r="J117" s="234">
        <v>0</v>
      </c>
      <c r="K117" s="234">
        <v>0</v>
      </c>
      <c r="L117" s="234">
        <v>0</v>
      </c>
      <c r="M117" s="234">
        <v>0</v>
      </c>
      <c r="N117" s="234">
        <v>0</v>
      </c>
      <c r="O117" s="234">
        <v>0</v>
      </c>
      <c r="P117" s="234">
        <v>0</v>
      </c>
      <c r="Q117" s="234">
        <v>0</v>
      </c>
      <c r="R117" s="234">
        <v>0</v>
      </c>
      <c r="S117" s="234">
        <v>0</v>
      </c>
      <c r="T117" s="234">
        <v>0</v>
      </c>
      <c r="U117" s="234">
        <v>0</v>
      </c>
      <c r="V117" s="234">
        <v>0</v>
      </c>
      <c r="W117" s="234">
        <v>0</v>
      </c>
      <c r="X117" s="234">
        <v>0</v>
      </c>
      <c r="Y117" s="234">
        <v>0</v>
      </c>
      <c r="Z117" s="234">
        <v>0</v>
      </c>
      <c r="AA117" s="234">
        <v>0</v>
      </c>
      <c r="AB117" s="234">
        <v>0</v>
      </c>
      <c r="AC117" s="234">
        <v>0</v>
      </c>
      <c r="AD117" s="234">
        <v>0</v>
      </c>
      <c r="AE117" s="234">
        <v>0</v>
      </c>
      <c r="AF117" s="234">
        <v>0</v>
      </c>
      <c r="AG117" s="234">
        <v>0</v>
      </c>
      <c r="AH117" s="234">
        <v>0</v>
      </c>
      <c r="AI117" s="234">
        <v>0</v>
      </c>
      <c r="AJ117" s="234">
        <v>0</v>
      </c>
      <c r="AK117" s="234">
        <v>0</v>
      </c>
      <c r="AL117" s="234">
        <v>0</v>
      </c>
      <c r="AM117" s="234">
        <v>0</v>
      </c>
      <c r="AN117" s="234">
        <v>0</v>
      </c>
      <c r="AO117" s="234">
        <v>0</v>
      </c>
      <c r="AP117" s="234">
        <v>0</v>
      </c>
    </row>
    <row r="118" spans="1:42" s="119" customFormat="1">
      <c r="A118" s="338" t="s">
        <v>53</v>
      </c>
      <c r="B118" s="332">
        <f>SUM(B116:B117)</f>
        <v>0</v>
      </c>
      <c r="C118" s="332">
        <f>SUM(C116:C117)</f>
        <v>0</v>
      </c>
      <c r="D118" s="332">
        <f>SUM(D116:D117)</f>
        <v>0</v>
      </c>
      <c r="E118" s="332">
        <f t="shared" ref="E118:AP118" si="70">SUM(E116:E117)</f>
        <v>0</v>
      </c>
      <c r="F118" s="332">
        <f t="shared" si="70"/>
        <v>0</v>
      </c>
      <c r="G118" s="332">
        <f t="shared" si="70"/>
        <v>0</v>
      </c>
      <c r="H118" s="332">
        <f t="shared" si="70"/>
        <v>0</v>
      </c>
      <c r="I118" s="332">
        <f t="shared" si="70"/>
        <v>0</v>
      </c>
      <c r="J118" s="332">
        <f t="shared" si="70"/>
        <v>0</v>
      </c>
      <c r="K118" s="332">
        <f t="shared" si="70"/>
        <v>0</v>
      </c>
      <c r="L118" s="332">
        <f t="shared" si="70"/>
        <v>0</v>
      </c>
      <c r="M118" s="332">
        <f t="shared" si="70"/>
        <v>0</v>
      </c>
      <c r="N118" s="332">
        <f t="shared" si="70"/>
        <v>0</v>
      </c>
      <c r="O118" s="332">
        <f t="shared" si="70"/>
        <v>0</v>
      </c>
      <c r="P118" s="332">
        <f t="shared" si="70"/>
        <v>0</v>
      </c>
      <c r="Q118" s="332">
        <f t="shared" si="70"/>
        <v>0</v>
      </c>
      <c r="R118" s="332">
        <f t="shared" si="70"/>
        <v>0</v>
      </c>
      <c r="S118" s="332">
        <f t="shared" si="70"/>
        <v>0</v>
      </c>
      <c r="T118" s="332">
        <f t="shared" si="70"/>
        <v>0</v>
      </c>
      <c r="U118" s="332">
        <f t="shared" si="70"/>
        <v>0</v>
      </c>
      <c r="V118" s="332">
        <f t="shared" si="70"/>
        <v>0</v>
      </c>
      <c r="W118" s="332">
        <f t="shared" si="70"/>
        <v>0</v>
      </c>
      <c r="X118" s="332">
        <f t="shared" si="70"/>
        <v>0</v>
      </c>
      <c r="Y118" s="332">
        <f t="shared" si="70"/>
        <v>0</v>
      </c>
      <c r="Z118" s="332">
        <f t="shared" si="70"/>
        <v>0</v>
      </c>
      <c r="AA118" s="332">
        <f t="shared" si="70"/>
        <v>0</v>
      </c>
      <c r="AB118" s="332">
        <f t="shared" si="70"/>
        <v>0</v>
      </c>
      <c r="AC118" s="332">
        <f t="shared" si="70"/>
        <v>0</v>
      </c>
      <c r="AD118" s="332">
        <f t="shared" si="70"/>
        <v>0</v>
      </c>
      <c r="AE118" s="332">
        <f t="shared" si="70"/>
        <v>0</v>
      </c>
      <c r="AF118" s="332">
        <f t="shared" si="70"/>
        <v>0</v>
      </c>
      <c r="AG118" s="332">
        <f t="shared" si="70"/>
        <v>0</v>
      </c>
      <c r="AH118" s="332">
        <f t="shared" si="70"/>
        <v>0</v>
      </c>
      <c r="AI118" s="332">
        <f t="shared" si="70"/>
        <v>0</v>
      </c>
      <c r="AJ118" s="332">
        <f t="shared" si="70"/>
        <v>0</v>
      </c>
      <c r="AK118" s="332">
        <f t="shared" si="70"/>
        <v>0</v>
      </c>
      <c r="AL118" s="332">
        <f t="shared" si="70"/>
        <v>0</v>
      </c>
      <c r="AM118" s="332">
        <f t="shared" si="70"/>
        <v>0</v>
      </c>
      <c r="AN118" s="332">
        <f t="shared" si="70"/>
        <v>0</v>
      </c>
      <c r="AO118" s="332">
        <f t="shared" si="70"/>
        <v>0</v>
      </c>
      <c r="AP118" s="332">
        <f t="shared" si="70"/>
        <v>0</v>
      </c>
    </row>
    <row r="119" spans="1:42" s="119" customFormat="1">
      <c r="A119" s="334" t="s">
        <v>233</v>
      </c>
      <c r="B119" s="332"/>
      <c r="C119" s="332"/>
      <c r="D119" s="332"/>
      <c r="E119" s="332"/>
      <c r="F119" s="332"/>
      <c r="G119" s="332"/>
      <c r="H119" s="332"/>
      <c r="I119" s="332"/>
      <c r="J119" s="332"/>
      <c r="K119" s="332"/>
      <c r="L119" s="332"/>
      <c r="M119" s="332"/>
      <c r="N119" s="332"/>
      <c r="O119" s="332"/>
      <c r="P119" s="332"/>
      <c r="Q119" s="332"/>
      <c r="R119" s="332"/>
      <c r="S119" s="332"/>
      <c r="T119" s="332"/>
      <c r="U119" s="332"/>
      <c r="V119" s="332"/>
      <c r="W119" s="332"/>
      <c r="X119" s="332"/>
      <c r="Y119" s="332"/>
      <c r="Z119" s="332"/>
      <c r="AA119" s="332"/>
      <c r="AB119" s="332"/>
      <c r="AC119" s="332"/>
      <c r="AD119" s="332"/>
      <c r="AE119" s="332"/>
      <c r="AF119" s="332"/>
      <c r="AG119" s="332"/>
      <c r="AH119" s="332"/>
      <c r="AI119" s="332"/>
      <c r="AJ119" s="332"/>
      <c r="AK119" s="332"/>
      <c r="AL119" s="332"/>
      <c r="AM119" s="332"/>
      <c r="AN119" s="332"/>
      <c r="AO119" s="332"/>
      <c r="AP119" s="332"/>
    </row>
    <row r="120" spans="1:42" s="119" customFormat="1">
      <c r="A120" s="338" t="s">
        <v>37</v>
      </c>
      <c r="B120" s="332">
        <v>0</v>
      </c>
      <c r="C120" s="332">
        <v>0</v>
      </c>
      <c r="D120" s="332">
        <v>0</v>
      </c>
      <c r="E120" s="332">
        <v>0</v>
      </c>
      <c r="F120" s="332">
        <v>0</v>
      </c>
      <c r="G120" s="332">
        <v>0</v>
      </c>
      <c r="H120" s="332">
        <v>0</v>
      </c>
      <c r="I120" s="332">
        <v>0</v>
      </c>
      <c r="J120" s="332">
        <v>0</v>
      </c>
      <c r="K120" s="332">
        <v>0</v>
      </c>
      <c r="L120" s="332">
        <v>0</v>
      </c>
      <c r="M120" s="332">
        <v>0</v>
      </c>
      <c r="N120" s="332">
        <v>0</v>
      </c>
      <c r="O120" s="332">
        <v>0</v>
      </c>
      <c r="P120" s="332">
        <v>0</v>
      </c>
      <c r="Q120" s="332">
        <v>0</v>
      </c>
      <c r="R120" s="332">
        <v>0</v>
      </c>
      <c r="S120" s="332">
        <v>0</v>
      </c>
      <c r="T120" s="332">
        <v>0</v>
      </c>
      <c r="U120" s="332">
        <v>0</v>
      </c>
      <c r="V120" s="332">
        <v>0</v>
      </c>
      <c r="W120" s="332">
        <v>0</v>
      </c>
      <c r="X120" s="332">
        <v>0</v>
      </c>
      <c r="Y120" s="332">
        <v>0</v>
      </c>
      <c r="Z120" s="332">
        <v>0</v>
      </c>
      <c r="AA120" s="332">
        <v>0</v>
      </c>
      <c r="AB120" s="332">
        <v>0</v>
      </c>
      <c r="AC120" s="332">
        <v>0</v>
      </c>
      <c r="AD120" s="332">
        <v>0</v>
      </c>
      <c r="AE120" s="332">
        <v>0</v>
      </c>
      <c r="AF120" s="332">
        <v>0</v>
      </c>
      <c r="AG120" s="332">
        <v>0</v>
      </c>
      <c r="AH120" s="332">
        <v>0</v>
      </c>
      <c r="AI120" s="332">
        <v>0</v>
      </c>
      <c r="AJ120" s="332">
        <v>0</v>
      </c>
      <c r="AK120" s="332">
        <v>0</v>
      </c>
      <c r="AL120" s="332">
        <v>0</v>
      </c>
      <c r="AM120" s="332">
        <v>0</v>
      </c>
      <c r="AN120" s="332">
        <v>0</v>
      </c>
      <c r="AO120" s="332">
        <v>0</v>
      </c>
      <c r="AP120" s="332">
        <v>0</v>
      </c>
    </row>
    <row r="121" spans="1:42" s="119" customFormat="1">
      <c r="A121" s="338" t="s">
        <v>36</v>
      </c>
      <c r="B121" s="234">
        <v>0</v>
      </c>
      <c r="C121" s="234">
        <v>0</v>
      </c>
      <c r="D121" s="234">
        <v>0</v>
      </c>
      <c r="E121" s="234">
        <v>0</v>
      </c>
      <c r="F121" s="234">
        <v>0</v>
      </c>
      <c r="G121" s="234">
        <v>0</v>
      </c>
      <c r="H121" s="234">
        <v>0</v>
      </c>
      <c r="I121" s="234">
        <v>0</v>
      </c>
      <c r="J121" s="234">
        <v>0</v>
      </c>
      <c r="K121" s="234">
        <v>0</v>
      </c>
      <c r="L121" s="234">
        <v>0</v>
      </c>
      <c r="M121" s="234">
        <v>0</v>
      </c>
      <c r="N121" s="234">
        <v>0</v>
      </c>
      <c r="O121" s="234">
        <v>0</v>
      </c>
      <c r="P121" s="234">
        <v>0</v>
      </c>
      <c r="Q121" s="234">
        <v>0</v>
      </c>
      <c r="R121" s="234">
        <v>0</v>
      </c>
      <c r="S121" s="234">
        <v>0</v>
      </c>
      <c r="T121" s="234">
        <v>0</v>
      </c>
      <c r="U121" s="234">
        <v>0</v>
      </c>
      <c r="V121" s="234">
        <v>0</v>
      </c>
      <c r="W121" s="234">
        <v>0</v>
      </c>
      <c r="X121" s="234">
        <v>0</v>
      </c>
      <c r="Y121" s="234">
        <v>0</v>
      </c>
      <c r="Z121" s="234">
        <v>0</v>
      </c>
      <c r="AA121" s="234">
        <v>0</v>
      </c>
      <c r="AB121" s="234">
        <v>0</v>
      </c>
      <c r="AC121" s="234">
        <v>0</v>
      </c>
      <c r="AD121" s="234">
        <v>0</v>
      </c>
      <c r="AE121" s="234">
        <v>0</v>
      </c>
      <c r="AF121" s="234">
        <v>0</v>
      </c>
      <c r="AG121" s="234">
        <v>0</v>
      </c>
      <c r="AH121" s="234">
        <v>0</v>
      </c>
      <c r="AI121" s="234">
        <v>0</v>
      </c>
      <c r="AJ121" s="234">
        <v>0</v>
      </c>
      <c r="AK121" s="234">
        <v>0</v>
      </c>
      <c r="AL121" s="234">
        <v>0</v>
      </c>
      <c r="AM121" s="234">
        <v>0</v>
      </c>
      <c r="AN121" s="234">
        <v>0</v>
      </c>
      <c r="AO121" s="234">
        <v>0</v>
      </c>
      <c r="AP121" s="234">
        <v>0</v>
      </c>
    </row>
    <row r="122" spans="1:42" s="119" customFormat="1">
      <c r="A122" s="338" t="s">
        <v>53</v>
      </c>
      <c r="B122" s="339">
        <f>SUM(B120:B121)</f>
        <v>0</v>
      </c>
      <c r="C122" s="339">
        <f>SUM(C120:C121)</f>
        <v>0</v>
      </c>
      <c r="D122" s="339">
        <f>SUM(D120:D121)</f>
        <v>0</v>
      </c>
      <c r="E122" s="339">
        <f t="shared" ref="E122:AP122" si="71">SUM(E120:E121)</f>
        <v>0</v>
      </c>
      <c r="F122" s="339">
        <f t="shared" si="71"/>
        <v>0</v>
      </c>
      <c r="G122" s="339">
        <f t="shared" si="71"/>
        <v>0</v>
      </c>
      <c r="H122" s="339">
        <f t="shared" si="71"/>
        <v>0</v>
      </c>
      <c r="I122" s="339">
        <f t="shared" si="71"/>
        <v>0</v>
      </c>
      <c r="J122" s="339">
        <f t="shared" si="71"/>
        <v>0</v>
      </c>
      <c r="K122" s="339">
        <f t="shared" si="71"/>
        <v>0</v>
      </c>
      <c r="L122" s="339">
        <f t="shared" si="71"/>
        <v>0</v>
      </c>
      <c r="M122" s="339">
        <f t="shared" si="71"/>
        <v>0</v>
      </c>
      <c r="N122" s="339">
        <f t="shared" si="71"/>
        <v>0</v>
      </c>
      <c r="O122" s="339">
        <f t="shared" si="71"/>
        <v>0</v>
      </c>
      <c r="P122" s="339">
        <f t="shared" si="71"/>
        <v>0</v>
      </c>
      <c r="Q122" s="339">
        <f t="shared" si="71"/>
        <v>0</v>
      </c>
      <c r="R122" s="339">
        <f t="shared" si="71"/>
        <v>0</v>
      </c>
      <c r="S122" s="339">
        <f t="shared" si="71"/>
        <v>0</v>
      </c>
      <c r="T122" s="339">
        <f t="shared" si="71"/>
        <v>0</v>
      </c>
      <c r="U122" s="339">
        <f t="shared" si="71"/>
        <v>0</v>
      </c>
      <c r="V122" s="339">
        <f t="shared" si="71"/>
        <v>0</v>
      </c>
      <c r="W122" s="339">
        <f t="shared" si="71"/>
        <v>0</v>
      </c>
      <c r="X122" s="339">
        <f t="shared" si="71"/>
        <v>0</v>
      </c>
      <c r="Y122" s="339">
        <f t="shared" si="71"/>
        <v>0</v>
      </c>
      <c r="Z122" s="339">
        <f t="shared" si="71"/>
        <v>0</v>
      </c>
      <c r="AA122" s="339">
        <f t="shared" si="71"/>
        <v>0</v>
      </c>
      <c r="AB122" s="339">
        <f t="shared" si="71"/>
        <v>0</v>
      </c>
      <c r="AC122" s="339">
        <f t="shared" si="71"/>
        <v>0</v>
      </c>
      <c r="AD122" s="339">
        <f t="shared" si="71"/>
        <v>0</v>
      </c>
      <c r="AE122" s="339">
        <f t="shared" si="71"/>
        <v>0</v>
      </c>
      <c r="AF122" s="339">
        <f t="shared" si="71"/>
        <v>0</v>
      </c>
      <c r="AG122" s="339">
        <f t="shared" si="71"/>
        <v>0</v>
      </c>
      <c r="AH122" s="339">
        <f t="shared" si="71"/>
        <v>0</v>
      </c>
      <c r="AI122" s="339">
        <f t="shared" si="71"/>
        <v>0</v>
      </c>
      <c r="AJ122" s="339">
        <f t="shared" si="71"/>
        <v>0</v>
      </c>
      <c r="AK122" s="339">
        <f t="shared" si="71"/>
        <v>0</v>
      </c>
      <c r="AL122" s="339">
        <f t="shared" si="71"/>
        <v>0</v>
      </c>
      <c r="AM122" s="339">
        <f t="shared" si="71"/>
        <v>0</v>
      </c>
      <c r="AN122" s="339">
        <f t="shared" si="71"/>
        <v>0</v>
      </c>
      <c r="AO122" s="339">
        <f t="shared" si="71"/>
        <v>0</v>
      </c>
      <c r="AP122" s="339">
        <f t="shared" si="71"/>
        <v>0</v>
      </c>
    </row>
    <row r="123" spans="1:42" s="119" customFormat="1">
      <c r="A123" s="334" t="s">
        <v>53</v>
      </c>
      <c r="B123" s="332">
        <f>B110+B114+B118+B122</f>
        <v>0</v>
      </c>
      <c r="C123" s="332">
        <f t="shared" ref="C123:AP123" si="72">C110+C114+C118+C122</f>
        <v>0</v>
      </c>
      <c r="D123" s="332">
        <f t="shared" si="72"/>
        <v>0</v>
      </c>
      <c r="E123" s="332">
        <f t="shared" si="72"/>
        <v>0</v>
      </c>
      <c r="F123" s="332">
        <f t="shared" si="72"/>
        <v>0</v>
      </c>
      <c r="G123" s="332">
        <f t="shared" si="72"/>
        <v>0</v>
      </c>
      <c r="H123" s="332">
        <f t="shared" si="72"/>
        <v>0</v>
      </c>
      <c r="I123" s="332">
        <f t="shared" si="72"/>
        <v>0</v>
      </c>
      <c r="J123" s="332">
        <f t="shared" si="72"/>
        <v>0</v>
      </c>
      <c r="K123" s="332">
        <f t="shared" si="72"/>
        <v>0</v>
      </c>
      <c r="L123" s="332">
        <f t="shared" si="72"/>
        <v>0</v>
      </c>
      <c r="M123" s="332">
        <f t="shared" si="72"/>
        <v>0</v>
      </c>
      <c r="N123" s="332">
        <f t="shared" si="72"/>
        <v>0</v>
      </c>
      <c r="O123" s="332">
        <f t="shared" si="72"/>
        <v>0</v>
      </c>
      <c r="P123" s="332">
        <f t="shared" si="72"/>
        <v>0</v>
      </c>
      <c r="Q123" s="332">
        <f t="shared" si="72"/>
        <v>0</v>
      </c>
      <c r="R123" s="332">
        <f t="shared" si="72"/>
        <v>0</v>
      </c>
      <c r="S123" s="332">
        <f t="shared" si="72"/>
        <v>0</v>
      </c>
      <c r="T123" s="332">
        <f t="shared" si="72"/>
        <v>0</v>
      </c>
      <c r="U123" s="332">
        <f t="shared" si="72"/>
        <v>0</v>
      </c>
      <c r="V123" s="332">
        <f t="shared" si="72"/>
        <v>0</v>
      </c>
      <c r="W123" s="332">
        <f t="shared" si="72"/>
        <v>0</v>
      </c>
      <c r="X123" s="332">
        <f t="shared" si="72"/>
        <v>0</v>
      </c>
      <c r="Y123" s="332">
        <f t="shared" si="72"/>
        <v>0</v>
      </c>
      <c r="Z123" s="332">
        <f t="shared" si="72"/>
        <v>0</v>
      </c>
      <c r="AA123" s="332">
        <f t="shared" si="72"/>
        <v>0</v>
      </c>
      <c r="AB123" s="332">
        <f t="shared" si="72"/>
        <v>0</v>
      </c>
      <c r="AC123" s="332">
        <f t="shared" si="72"/>
        <v>0</v>
      </c>
      <c r="AD123" s="332">
        <f t="shared" si="72"/>
        <v>0</v>
      </c>
      <c r="AE123" s="332">
        <f t="shared" si="72"/>
        <v>0</v>
      </c>
      <c r="AF123" s="332">
        <f t="shared" si="72"/>
        <v>0</v>
      </c>
      <c r="AG123" s="332">
        <f t="shared" si="72"/>
        <v>0</v>
      </c>
      <c r="AH123" s="332">
        <f t="shared" si="72"/>
        <v>0</v>
      </c>
      <c r="AI123" s="332">
        <f t="shared" si="72"/>
        <v>0</v>
      </c>
      <c r="AJ123" s="332">
        <f t="shared" si="72"/>
        <v>0</v>
      </c>
      <c r="AK123" s="332">
        <f t="shared" si="72"/>
        <v>0</v>
      </c>
      <c r="AL123" s="332">
        <f t="shared" si="72"/>
        <v>0</v>
      </c>
      <c r="AM123" s="332">
        <f t="shared" si="72"/>
        <v>0</v>
      </c>
      <c r="AN123" s="332">
        <f t="shared" si="72"/>
        <v>0</v>
      </c>
      <c r="AO123" s="332">
        <f t="shared" si="72"/>
        <v>0</v>
      </c>
      <c r="AP123" s="332">
        <f t="shared" si="72"/>
        <v>0</v>
      </c>
    </row>
    <row r="124" spans="1:42" s="119" customFormat="1">
      <c r="A124" s="338"/>
      <c r="B124" s="332"/>
      <c r="C124" s="332"/>
      <c r="D124" s="332"/>
      <c r="E124" s="332"/>
      <c r="F124" s="332"/>
      <c r="G124" s="332"/>
      <c r="H124" s="332"/>
      <c r="I124" s="332"/>
      <c r="J124" s="332"/>
      <c r="K124" s="332"/>
      <c r="L124" s="332"/>
      <c r="M124" s="332"/>
      <c r="N124" s="332"/>
      <c r="O124" s="332"/>
      <c r="P124" s="332"/>
      <c r="Q124" s="332"/>
      <c r="R124" s="332"/>
      <c r="S124" s="332"/>
      <c r="T124" s="332"/>
      <c r="U124" s="332"/>
      <c r="V124" s="332"/>
      <c r="W124" s="332"/>
      <c r="X124" s="332"/>
      <c r="Y124" s="332"/>
      <c r="Z124" s="332"/>
      <c r="AA124" s="332"/>
      <c r="AB124" s="332"/>
      <c r="AC124" s="332"/>
      <c r="AD124" s="332"/>
      <c r="AE124" s="332"/>
      <c r="AF124" s="332"/>
      <c r="AG124" s="332"/>
      <c r="AH124" s="332"/>
      <c r="AI124" s="332"/>
      <c r="AJ124" s="332"/>
      <c r="AK124" s="332"/>
      <c r="AL124" s="332"/>
      <c r="AM124" s="332"/>
      <c r="AN124" s="332"/>
      <c r="AO124" s="332"/>
      <c r="AP124" s="332"/>
    </row>
    <row r="125" spans="1:42" s="119" customFormat="1">
      <c r="A125" s="334" t="s">
        <v>418</v>
      </c>
      <c r="B125" s="335">
        <f>ROUND(IF(ISERROR(IRR($B123:B123)),0,IRR($B123:B123)),4)</f>
        <v>0</v>
      </c>
      <c r="C125" s="335">
        <f>ROUND(IF(ISERROR(IRR($B123:C123)),0,IRR($B123:C123)),4)</f>
        <v>0</v>
      </c>
      <c r="D125" s="335">
        <f>ROUND(IF(ISERROR(IRR($B123:D123)),0,IRR($B123:D123)),4)</f>
        <v>0</v>
      </c>
      <c r="E125" s="335">
        <f>ROUND(IF(ISERROR(IRR($B123:E123)),0,IRR($B123:E123)),4)</f>
        <v>0</v>
      </c>
      <c r="F125" s="335">
        <f>ROUND(IF(ISERROR(IRR($B123:F123)),0,IRR($B123:F123)),4)</f>
        <v>0</v>
      </c>
      <c r="G125" s="335">
        <f>ROUND(IF(ISERROR(IRR($B123:G123)),0,IRR($B123:G123)),4)</f>
        <v>0</v>
      </c>
      <c r="H125" s="335">
        <f>ROUND(IF(ISERROR(IRR($B123:H123)),0,IRR($B123:H123)),4)</f>
        <v>0</v>
      </c>
      <c r="I125" s="335">
        <f>ROUND(IF(ISERROR(IRR($B123:I123)),0,IRR($B123:I123)),4)</f>
        <v>0</v>
      </c>
      <c r="J125" s="335">
        <f>ROUND(IF(ISERROR(IRR($B123:J123)),0,IRR($B123:J123)),4)</f>
        <v>0</v>
      </c>
      <c r="K125" s="335">
        <f>ROUND(IF(ISERROR(IRR($B123:K123)),0,IRR($B123:K123)),4)</f>
        <v>0</v>
      </c>
      <c r="L125" s="335">
        <f>ROUND(IF(ISERROR(IRR($B123:L123)),0,IRR($B123:L123)),4)</f>
        <v>0</v>
      </c>
      <c r="M125" s="335">
        <f>ROUND(IF(ISERROR(IRR($B123:M123)),0,IRR($B123:M123)),4)</f>
        <v>0</v>
      </c>
      <c r="N125" s="335">
        <f>ROUND(IF(ISERROR(IRR($B123:N123)),0,IRR($B123:N123)),4)</f>
        <v>0</v>
      </c>
      <c r="O125" s="335">
        <f>ROUND(IF(ISERROR(IRR($B123:O123)),0,IRR($B123:O123)),4)</f>
        <v>0</v>
      </c>
      <c r="P125" s="335">
        <f>ROUND(IF(ISERROR(IRR($B123:P123)),0,IRR($B123:P123)),4)</f>
        <v>0</v>
      </c>
      <c r="Q125" s="335">
        <f>ROUND(IF(ISERROR(IRR($B123:Q123)),0,IRR($B123:Q123)),4)</f>
        <v>0</v>
      </c>
      <c r="R125" s="335">
        <f>ROUND(IF(ISERROR(IRR($B123:R123)),0,IRR($B123:R123)),4)</f>
        <v>0</v>
      </c>
      <c r="S125" s="335">
        <f>ROUND(IF(ISERROR(IRR($B123:S123)),0,IRR($B123:S123)),4)</f>
        <v>0</v>
      </c>
      <c r="T125" s="335">
        <f>ROUND(IF(ISERROR(IRR($B123:T123)),0,IRR($B123:T123)),4)</f>
        <v>0</v>
      </c>
      <c r="U125" s="335">
        <f>ROUND(IF(ISERROR(IRR($B123:U123)),0,IRR($B123:U123)),4)</f>
        <v>0</v>
      </c>
      <c r="V125" s="335">
        <f>ROUND(IF(ISERROR(IRR($B123:V123)),0,IRR($B123:V123)),4)</f>
        <v>0</v>
      </c>
      <c r="W125" s="335">
        <f>ROUND(IF(ISERROR(IRR($B123:W123)),0,IRR($B123:W123)),4)</f>
        <v>0</v>
      </c>
      <c r="X125" s="335">
        <f>ROUND(IF(ISERROR(IRR($B123:X123)),0,IRR($B123:X123)),4)</f>
        <v>0</v>
      </c>
      <c r="Y125" s="335">
        <f>ROUND(IF(ISERROR(IRR($B123:Y123)),0,IRR($B123:Y123)),4)</f>
        <v>0</v>
      </c>
      <c r="Z125" s="335">
        <f>ROUND(IF(ISERROR(IRR($B123:Z123)),0,IRR($B123:Z123)),4)</f>
        <v>0</v>
      </c>
      <c r="AA125" s="335">
        <f>ROUND(IF(ISERROR(IRR($B123:AA123)),0,IRR($B123:AA123)),4)</f>
        <v>0</v>
      </c>
      <c r="AB125" s="335">
        <f>ROUND(IF(ISERROR(IRR($B123:AB123)),0,IRR($B123:AB123)),4)</f>
        <v>0</v>
      </c>
      <c r="AC125" s="335">
        <f>ROUND(IF(ISERROR(IRR($B123:AC123)),0,IRR($B123:AC123)),4)</f>
        <v>0</v>
      </c>
      <c r="AD125" s="335">
        <f>ROUND(IF(ISERROR(IRR($B123:AD123)),0,IRR($B123:AD123)),4)</f>
        <v>0</v>
      </c>
      <c r="AE125" s="335">
        <f>ROUND(IF(ISERROR(IRR($B123:AE123)),0,IRR($B123:AE123)),4)</f>
        <v>0</v>
      </c>
      <c r="AF125" s="335">
        <f>ROUND(IF(ISERROR(IRR($B123:AF123)),0,IRR($B123:AF123)),4)</f>
        <v>0</v>
      </c>
      <c r="AG125" s="335">
        <f>ROUND(IF(ISERROR(IRR($B123:AG123)),0,IRR($B123:AG123)),4)</f>
        <v>0</v>
      </c>
      <c r="AH125" s="335">
        <f>ROUND(IF(ISERROR(IRR($B123:AH123)),0,IRR($B123:AH123)),4)</f>
        <v>0</v>
      </c>
      <c r="AI125" s="335">
        <f>ROUND(IF(ISERROR(IRR($B123:AI123)),0,IRR($B123:AI123)),4)</f>
        <v>0</v>
      </c>
      <c r="AJ125" s="335">
        <f>ROUND(IF(ISERROR(IRR($B123:AJ123)),0,IRR($B123:AJ123)),4)</f>
        <v>0</v>
      </c>
      <c r="AK125" s="335">
        <f>ROUND(IF(ISERROR(IRR($B123:AK123)),0,IRR($B123:AK123)),4)</f>
        <v>0</v>
      </c>
      <c r="AL125" s="335">
        <f>ROUND(IF(ISERROR(IRR($B123:AL123)),0,IRR($B123:AL123)),4)</f>
        <v>0</v>
      </c>
      <c r="AM125" s="335">
        <f>ROUND(IF(ISERROR(IRR($B123:AM123)),0,IRR($B123:AM123)),4)</f>
        <v>0</v>
      </c>
      <c r="AN125" s="335">
        <f>ROUND(IF(ISERROR(IRR($B123:AN123)),0,IRR($B123:AN123)),4)</f>
        <v>0</v>
      </c>
      <c r="AO125" s="335">
        <f>ROUND(IF(ISERROR(IRR($B123:AO123)),0,IRR($B123:AO123)),4)</f>
        <v>0</v>
      </c>
      <c r="AP125" s="335">
        <f>ROUND(IF(ISERROR(IRR($B123:AP123)),0,IRR($B123:AP123)),4)</f>
        <v>0</v>
      </c>
    </row>
    <row r="126" spans="1:42" s="119" customFormat="1">
      <c r="A126" s="334" t="s">
        <v>419</v>
      </c>
      <c r="B126" s="336">
        <f>B123</f>
        <v>0</v>
      </c>
      <c r="C126" s="336">
        <f>NPV(DiscountRate,$C123:C123)+$B123</f>
        <v>0</v>
      </c>
      <c r="D126" s="336">
        <f>NPV(DiscountRate,$C123:D123)+$B123</f>
        <v>0</v>
      </c>
      <c r="E126" s="336">
        <f>NPV(DiscountRate,$C123:E123)+$B123</f>
        <v>0</v>
      </c>
      <c r="F126" s="336">
        <f>NPV(DiscountRate,$C123:F123)+$B123</f>
        <v>0</v>
      </c>
      <c r="G126" s="336">
        <f>NPV(DiscountRate,$C123:G123)+$B123</f>
        <v>0</v>
      </c>
      <c r="H126" s="336">
        <f>NPV(DiscountRate,$C123:H123)+$B123</f>
        <v>0</v>
      </c>
      <c r="I126" s="336">
        <f>NPV(DiscountRate,$C123:I123)+$B123</f>
        <v>0</v>
      </c>
      <c r="J126" s="336">
        <f>NPV(DiscountRate,$C123:J123)+$B123</f>
        <v>0</v>
      </c>
      <c r="K126" s="336">
        <f>NPV(DiscountRate,$C123:K123)+$B123</f>
        <v>0</v>
      </c>
      <c r="L126" s="336">
        <f>NPV(DiscountRate,$C123:L123)+$B123</f>
        <v>0</v>
      </c>
      <c r="M126" s="336">
        <f>NPV(DiscountRate,$C123:M123)+$B123</f>
        <v>0</v>
      </c>
      <c r="N126" s="336">
        <f>NPV(DiscountRate,$C123:N123)+$B123</f>
        <v>0</v>
      </c>
      <c r="O126" s="336">
        <f>NPV(DiscountRate,$C123:O123)+$B123</f>
        <v>0</v>
      </c>
      <c r="P126" s="336">
        <f>NPV(DiscountRate,$C123:P123)+$B123</f>
        <v>0</v>
      </c>
      <c r="Q126" s="336">
        <f>NPV(DiscountRate,$C123:Q123)+$B123</f>
        <v>0</v>
      </c>
      <c r="R126" s="336">
        <f>NPV(DiscountRate,$C123:R123)+$B123</f>
        <v>0</v>
      </c>
      <c r="S126" s="336">
        <f>NPV(DiscountRate,$C123:S123)+$B123</f>
        <v>0</v>
      </c>
      <c r="T126" s="336">
        <f>NPV(DiscountRate,$C123:T123)+$B123</f>
        <v>0</v>
      </c>
      <c r="U126" s="336">
        <f>NPV(DiscountRate,$C123:U123)+$B123</f>
        <v>0</v>
      </c>
      <c r="V126" s="336">
        <f>NPV(DiscountRate,$C123:V123)+$B123</f>
        <v>0</v>
      </c>
      <c r="W126" s="336">
        <f>NPV(DiscountRate,$C123:W123)+$B123</f>
        <v>0</v>
      </c>
      <c r="X126" s="336">
        <f>NPV(DiscountRate,$C123:X123)+$B123</f>
        <v>0</v>
      </c>
      <c r="Y126" s="336">
        <f>NPV(DiscountRate,$C123:Y123)+$B123</f>
        <v>0</v>
      </c>
      <c r="Z126" s="336">
        <f>NPV(DiscountRate,$C123:Z123)+$B123</f>
        <v>0</v>
      </c>
      <c r="AA126" s="336">
        <f>NPV(DiscountRate,$C123:AA123)+$B123</f>
        <v>0</v>
      </c>
      <c r="AB126" s="336">
        <f>NPV(DiscountRate,$C123:AB123)+$B123</f>
        <v>0</v>
      </c>
      <c r="AC126" s="336">
        <f>NPV(DiscountRate,$C123:AC123)+$B123</f>
        <v>0</v>
      </c>
      <c r="AD126" s="336">
        <f>NPV(DiscountRate,$C123:AD123)+$B123</f>
        <v>0</v>
      </c>
      <c r="AE126" s="336">
        <f>NPV(DiscountRate,$C123:AE123)+$B123</f>
        <v>0</v>
      </c>
      <c r="AF126" s="336">
        <f>NPV(DiscountRate,$C123:AF123)+$B123</f>
        <v>0</v>
      </c>
      <c r="AG126" s="336">
        <f>NPV(DiscountRate,$C123:AG123)+$B123</f>
        <v>0</v>
      </c>
      <c r="AH126" s="336">
        <f>NPV(DiscountRate,$C123:AH123)+$B123</f>
        <v>0</v>
      </c>
      <c r="AI126" s="336">
        <f>NPV(DiscountRate,$C123:AI123)+$B123</f>
        <v>0</v>
      </c>
      <c r="AJ126" s="336">
        <f>NPV(DiscountRate,$C123:AJ123)+$B123</f>
        <v>0</v>
      </c>
      <c r="AK126" s="336">
        <f>NPV(DiscountRate,$C123:AK123)+$B123</f>
        <v>0</v>
      </c>
      <c r="AL126" s="336">
        <f>NPV(DiscountRate,$C123:AL123)+$B123</f>
        <v>0</v>
      </c>
      <c r="AM126" s="336">
        <f>NPV(DiscountRate,$C123:AM123)+$B123</f>
        <v>0</v>
      </c>
      <c r="AN126" s="336">
        <f>NPV(DiscountRate,$C123:AN123)+$B123</f>
        <v>0</v>
      </c>
      <c r="AO126" s="336">
        <f>NPV(DiscountRate,$C123:AO123)+$B123</f>
        <v>0</v>
      </c>
      <c r="AP126" s="336">
        <f>NPV(DiscountRate,$C123:AP123)+$B123</f>
        <v>0</v>
      </c>
    </row>
    <row r="127" spans="1:42" s="119" customFormat="1">
      <c r="A127" s="338"/>
      <c r="B127" s="332"/>
      <c r="C127" s="332"/>
      <c r="D127" s="332"/>
      <c r="E127" s="332"/>
      <c r="F127" s="332"/>
      <c r="G127" s="332"/>
      <c r="H127" s="332"/>
      <c r="I127" s="332"/>
      <c r="J127" s="332"/>
      <c r="K127" s="332"/>
      <c r="L127" s="332"/>
      <c r="M127" s="332"/>
      <c r="N127" s="332"/>
      <c r="O127" s="332"/>
      <c r="P127" s="332"/>
      <c r="Q127" s="332"/>
      <c r="R127" s="332"/>
      <c r="S127" s="332"/>
      <c r="T127" s="332"/>
      <c r="U127" s="332"/>
      <c r="V127" s="332"/>
      <c r="W127" s="332"/>
      <c r="X127" s="332"/>
      <c r="Y127" s="332"/>
      <c r="Z127" s="332"/>
      <c r="AA127" s="332"/>
      <c r="AB127" s="332"/>
      <c r="AC127" s="332"/>
      <c r="AD127" s="332"/>
      <c r="AE127" s="332"/>
      <c r="AF127" s="332"/>
      <c r="AG127" s="332"/>
      <c r="AH127" s="332"/>
      <c r="AI127" s="332"/>
      <c r="AJ127" s="332"/>
      <c r="AK127" s="332"/>
      <c r="AL127" s="332"/>
      <c r="AM127" s="332"/>
      <c r="AN127" s="332"/>
      <c r="AO127" s="332"/>
      <c r="AP127" s="332"/>
    </row>
    <row r="128" spans="1:42">
      <c r="A128" s="201" t="s">
        <v>261</v>
      </c>
      <c r="B128" s="164"/>
      <c r="C128" s="164"/>
      <c r="D128" s="164"/>
      <c r="E128" s="164"/>
      <c r="F128" s="164"/>
      <c r="G128" s="208"/>
      <c r="H128" s="208"/>
      <c r="I128" s="208"/>
      <c r="J128" s="208"/>
      <c r="K128" s="208"/>
      <c r="L128" s="208"/>
      <c r="M128" s="208"/>
      <c r="N128" s="208"/>
      <c r="O128" s="208"/>
      <c r="P128" s="208"/>
      <c r="Q128" s="208"/>
      <c r="R128" s="208"/>
      <c r="S128" s="208"/>
      <c r="T128" s="208"/>
      <c r="U128" s="208"/>
      <c r="V128" s="208"/>
      <c r="W128" s="208"/>
      <c r="X128" s="208"/>
      <c r="Y128" s="208"/>
      <c r="Z128" s="208"/>
      <c r="AA128" s="208"/>
      <c r="AB128" s="208"/>
      <c r="AC128" s="208"/>
      <c r="AD128" s="208"/>
      <c r="AE128" s="208"/>
      <c r="AF128" s="208"/>
      <c r="AG128" s="208"/>
      <c r="AH128" s="208"/>
      <c r="AI128" s="208"/>
      <c r="AJ128" s="208"/>
      <c r="AK128" s="208"/>
      <c r="AL128" s="208"/>
      <c r="AM128" s="208"/>
      <c r="AN128" s="208"/>
      <c r="AO128" s="208"/>
      <c r="AP128" s="208"/>
    </row>
    <row r="129" spans="1:42">
      <c r="A129" s="202" t="s">
        <v>459</v>
      </c>
      <c r="B129" s="218">
        <f>SUM(C129:AP129)</f>
        <v>253173781.40433294</v>
      </c>
      <c r="C129" s="164">
        <f t="shared" ref="C129:AP129" si="73">C12</f>
        <v>7848855.1499275891</v>
      </c>
      <c r="D129" s="164">
        <f t="shared" si="73"/>
        <v>7887706.9829197302</v>
      </c>
      <c r="E129" s="164">
        <f t="shared" si="73"/>
        <v>7926751.132485182</v>
      </c>
      <c r="F129" s="164">
        <f t="shared" si="73"/>
        <v>7965988.5505909836</v>
      </c>
      <c r="G129" s="164">
        <f t="shared" si="73"/>
        <v>8005420.1939164102</v>
      </c>
      <c r="H129" s="164">
        <f t="shared" si="73"/>
        <v>8045047.0238762954</v>
      </c>
      <c r="I129" s="164">
        <f t="shared" si="73"/>
        <v>8084870.0066444837</v>
      </c>
      <c r="J129" s="164">
        <f t="shared" si="73"/>
        <v>8124890.1131773721</v>
      </c>
      <c r="K129" s="164">
        <f t="shared" si="73"/>
        <v>8165108.3192376019</v>
      </c>
      <c r="L129" s="164">
        <f t="shared" si="73"/>
        <v>8205525.6054178299</v>
      </c>
      <c r="M129" s="164">
        <f t="shared" si="73"/>
        <v>8246142.957164648</v>
      </c>
      <c r="N129" s="164">
        <f t="shared" si="73"/>
        <v>8286961.3648026111</v>
      </c>
      <c r="O129" s="164">
        <f t="shared" si="73"/>
        <v>8327981.8235583846</v>
      </c>
      <c r="P129" s="164">
        <f t="shared" si="73"/>
        <v>8369205.3335849987</v>
      </c>
      <c r="Q129" s="164">
        <f t="shared" si="73"/>
        <v>8410632.8999862447</v>
      </c>
      <c r="R129" s="164">
        <f t="shared" si="73"/>
        <v>8452265.5328411739</v>
      </c>
      <c r="S129" s="164">
        <f t="shared" si="73"/>
        <v>8494104.2472287398</v>
      </c>
      <c r="T129" s="164">
        <f t="shared" si="73"/>
        <v>8536150.0632525235</v>
      </c>
      <c r="U129" s="164">
        <f t="shared" si="73"/>
        <v>8578404.0060656238</v>
      </c>
      <c r="V129" s="164">
        <f t="shared" si="73"/>
        <v>8620867.1058956459</v>
      </c>
      <c r="W129" s="164">
        <f t="shared" si="73"/>
        <v>8663540.3980698306</v>
      </c>
      <c r="X129" s="164">
        <f t="shared" si="73"/>
        <v>8706424.9230402745</v>
      </c>
      <c r="Y129" s="164">
        <f t="shared" si="73"/>
        <v>8749521.7264093254</v>
      </c>
      <c r="Z129" s="164">
        <f t="shared" si="73"/>
        <v>8792831.8589550499</v>
      </c>
      <c r="AA129" s="164">
        <f t="shared" si="73"/>
        <v>8836356.3766568806</v>
      </c>
      <c r="AB129" s="164">
        <f t="shared" si="73"/>
        <v>8880096.3407213334</v>
      </c>
      <c r="AC129" s="164">
        <f t="shared" si="73"/>
        <v>8924052.8176079039</v>
      </c>
      <c r="AD129" s="164">
        <f t="shared" si="73"/>
        <v>8968226.8790550586</v>
      </c>
      <c r="AE129" s="164">
        <f t="shared" si="73"/>
        <v>9012619.6021063812</v>
      </c>
      <c r="AF129" s="164">
        <f t="shared" si="73"/>
        <v>9057232.0691368077</v>
      </c>
      <c r="AG129" s="164">
        <f t="shared" si="73"/>
        <v>0</v>
      </c>
      <c r="AH129" s="164">
        <f t="shared" si="73"/>
        <v>0</v>
      </c>
      <c r="AI129" s="164">
        <f t="shared" si="73"/>
        <v>0</v>
      </c>
      <c r="AJ129" s="164">
        <f t="shared" si="73"/>
        <v>0</v>
      </c>
      <c r="AK129" s="164">
        <f t="shared" si="73"/>
        <v>0</v>
      </c>
      <c r="AL129" s="164">
        <f t="shared" si="73"/>
        <v>0</v>
      </c>
      <c r="AM129" s="164">
        <f t="shared" si="73"/>
        <v>0</v>
      </c>
      <c r="AN129" s="164">
        <f t="shared" si="73"/>
        <v>0</v>
      </c>
      <c r="AO129" s="164">
        <f t="shared" si="73"/>
        <v>0</v>
      </c>
      <c r="AP129" s="164">
        <f t="shared" si="73"/>
        <v>0</v>
      </c>
    </row>
    <row r="130" spans="1:42">
      <c r="A130" s="202" t="s">
        <v>128</v>
      </c>
      <c r="B130" s="218">
        <f>SUM(C130:AP130)</f>
        <v>474693747.49003303</v>
      </c>
      <c r="C130" s="164">
        <f t="shared" ref="C130:AP130" si="74">C5</f>
        <v>17000000</v>
      </c>
      <c r="D130" s="164">
        <f t="shared" si="74"/>
        <v>16915000</v>
      </c>
      <c r="E130" s="164">
        <f t="shared" si="74"/>
        <v>16830425</v>
      </c>
      <c r="F130" s="164">
        <f t="shared" si="74"/>
        <v>16746272.875</v>
      </c>
      <c r="G130" s="164">
        <f t="shared" si="74"/>
        <v>16662541.510624999</v>
      </c>
      <c r="H130" s="164">
        <f t="shared" si="74"/>
        <v>16579228.803071873</v>
      </c>
      <c r="I130" s="164">
        <f t="shared" si="74"/>
        <v>16496332.659056515</v>
      </c>
      <c r="J130" s="164">
        <f t="shared" si="74"/>
        <v>16413850.995761232</v>
      </c>
      <c r="K130" s="164">
        <f t="shared" si="74"/>
        <v>16331781.740782427</v>
      </c>
      <c r="L130" s="164">
        <f t="shared" si="74"/>
        <v>16250122.832078515</v>
      </c>
      <c r="M130" s="164">
        <f t="shared" si="74"/>
        <v>16168872.217918122</v>
      </c>
      <c r="N130" s="164">
        <f t="shared" si="74"/>
        <v>16088027.856828531</v>
      </c>
      <c r="O130" s="164">
        <f t="shared" si="74"/>
        <v>16007587.717544388</v>
      </c>
      <c r="P130" s="164">
        <f t="shared" si="74"/>
        <v>15927549.778956667</v>
      </c>
      <c r="Q130" s="164">
        <f t="shared" si="74"/>
        <v>15847912.030061884</v>
      </c>
      <c r="R130" s="164">
        <f t="shared" si="74"/>
        <v>15768672.469911573</v>
      </c>
      <c r="S130" s="164">
        <f t="shared" si="74"/>
        <v>15689829.107562015</v>
      </c>
      <c r="T130" s="164">
        <f t="shared" si="74"/>
        <v>15611379.962024204</v>
      </c>
      <c r="U130" s="164">
        <f t="shared" si="74"/>
        <v>15533323.062214084</v>
      </c>
      <c r="V130" s="164">
        <f t="shared" si="74"/>
        <v>15455656.446903013</v>
      </c>
      <c r="W130" s="164">
        <f t="shared" si="74"/>
        <v>15378378.164668497</v>
      </c>
      <c r="X130" s="164">
        <f t="shared" si="74"/>
        <v>15301486.273845155</v>
      </c>
      <c r="Y130" s="164">
        <f t="shared" si="74"/>
        <v>15224978.842475928</v>
      </c>
      <c r="Z130" s="164">
        <f t="shared" si="74"/>
        <v>15148853.948263548</v>
      </c>
      <c r="AA130" s="164">
        <f t="shared" si="74"/>
        <v>15073109.678522231</v>
      </c>
      <c r="AB130" s="164">
        <f t="shared" si="74"/>
        <v>14997744.13012962</v>
      </c>
      <c r="AC130" s="164">
        <f t="shared" si="74"/>
        <v>14922755.409478972</v>
      </c>
      <c r="AD130" s="164">
        <f t="shared" si="74"/>
        <v>14848141.632431576</v>
      </c>
      <c r="AE130" s="164">
        <f t="shared" si="74"/>
        <v>14773900.924269417</v>
      </c>
      <c r="AF130" s="164">
        <f t="shared" si="74"/>
        <v>14700031.41964807</v>
      </c>
      <c r="AG130" s="164">
        <f t="shared" si="74"/>
        <v>0</v>
      </c>
      <c r="AH130" s="164">
        <f t="shared" si="74"/>
        <v>0</v>
      </c>
      <c r="AI130" s="164">
        <f t="shared" si="74"/>
        <v>0</v>
      </c>
      <c r="AJ130" s="164">
        <f t="shared" si="74"/>
        <v>0</v>
      </c>
      <c r="AK130" s="164">
        <f t="shared" si="74"/>
        <v>0</v>
      </c>
      <c r="AL130" s="164">
        <f t="shared" si="74"/>
        <v>0</v>
      </c>
      <c r="AM130" s="164">
        <f t="shared" si="74"/>
        <v>0</v>
      </c>
      <c r="AN130" s="164">
        <f t="shared" si="74"/>
        <v>0</v>
      </c>
      <c r="AO130" s="164">
        <f t="shared" si="74"/>
        <v>0</v>
      </c>
      <c r="AP130" s="164">
        <f t="shared" si="74"/>
        <v>0</v>
      </c>
    </row>
    <row r="131" spans="1:42">
      <c r="B131" s="164"/>
      <c r="C131" s="164"/>
      <c r="D131" s="164"/>
      <c r="E131" s="164"/>
      <c r="F131" s="164"/>
      <c r="G131" s="208"/>
      <c r="H131" s="208"/>
      <c r="I131" s="208"/>
      <c r="J131" s="208"/>
      <c r="K131" s="208"/>
      <c r="L131" s="208"/>
      <c r="M131" s="208"/>
      <c r="N131" s="208"/>
      <c r="O131" s="208"/>
      <c r="P131" s="208"/>
      <c r="Q131" s="208"/>
      <c r="R131" s="208"/>
      <c r="S131" s="208"/>
      <c r="T131" s="208"/>
      <c r="U131" s="208"/>
      <c r="V131" s="208"/>
      <c r="W131" s="208"/>
      <c r="X131" s="208"/>
      <c r="Y131" s="208"/>
      <c r="Z131" s="208"/>
      <c r="AA131" s="208"/>
      <c r="AB131" s="208"/>
      <c r="AC131" s="208"/>
      <c r="AD131" s="208"/>
      <c r="AE131" s="208"/>
      <c r="AF131" s="208"/>
      <c r="AG131" s="208"/>
      <c r="AH131" s="208"/>
      <c r="AI131" s="208"/>
      <c r="AJ131" s="208"/>
      <c r="AK131" s="208"/>
      <c r="AL131" s="208"/>
      <c r="AM131" s="208"/>
      <c r="AN131" s="208"/>
      <c r="AO131" s="208"/>
      <c r="AP131" s="208"/>
    </row>
    <row r="132" spans="1:42">
      <c r="A132" s="37" t="s">
        <v>457</v>
      </c>
      <c r="B132" s="218">
        <f>NPV(DiscountRate,C129:AP129)</f>
        <v>92529196.175534129</v>
      </c>
      <c r="C132" s="164"/>
      <c r="D132" s="164"/>
      <c r="E132" s="164"/>
      <c r="F132" s="164"/>
      <c r="G132" s="208"/>
      <c r="H132" s="208"/>
      <c r="I132" s="208"/>
      <c r="J132" s="208"/>
      <c r="K132" s="208"/>
      <c r="L132" s="208"/>
      <c r="M132" s="208"/>
      <c r="N132" s="208"/>
      <c r="O132" s="208"/>
      <c r="P132" s="208"/>
      <c r="Q132" s="208"/>
      <c r="R132" s="208"/>
      <c r="S132" s="208"/>
      <c r="T132" s="208"/>
      <c r="U132" s="208"/>
      <c r="V132" s="208"/>
      <c r="W132" s="208"/>
      <c r="X132" s="208"/>
      <c r="Y132" s="208"/>
      <c r="Z132" s="208"/>
      <c r="AA132" s="208"/>
      <c r="AB132" s="208"/>
      <c r="AC132" s="208"/>
      <c r="AD132" s="208"/>
      <c r="AE132" s="208"/>
      <c r="AF132" s="208"/>
      <c r="AG132" s="208"/>
      <c r="AH132" s="208"/>
      <c r="AI132" s="208"/>
      <c r="AJ132" s="208"/>
      <c r="AK132" s="208"/>
      <c r="AL132" s="208"/>
      <c r="AM132" s="208"/>
      <c r="AN132" s="208"/>
      <c r="AO132" s="208"/>
      <c r="AP132" s="208"/>
    </row>
    <row r="133" spans="1:42">
      <c r="A133" s="37" t="s">
        <v>458</v>
      </c>
      <c r="B133" s="218">
        <f>NPV(DiscountRate,C130:AP130)</f>
        <v>182899462.80790007</v>
      </c>
      <c r="C133" s="164"/>
      <c r="D133" s="164"/>
      <c r="E133" s="164"/>
      <c r="F133" s="164"/>
      <c r="G133" s="208"/>
      <c r="H133" s="208"/>
      <c r="I133" s="208"/>
      <c r="J133" s="208"/>
      <c r="K133" s="208"/>
      <c r="L133" s="208"/>
      <c r="M133" s="208"/>
      <c r="N133" s="208"/>
      <c r="O133" s="208"/>
      <c r="P133" s="208"/>
      <c r="Q133" s="208"/>
      <c r="R133" s="208"/>
      <c r="S133" s="208"/>
      <c r="T133" s="208"/>
      <c r="U133" s="208"/>
      <c r="V133" s="208"/>
      <c r="W133" s="208"/>
      <c r="X133" s="208"/>
      <c r="Y133" s="208"/>
      <c r="Z133" s="208"/>
      <c r="AA133" s="208"/>
      <c r="AB133" s="208"/>
      <c r="AC133" s="208"/>
      <c r="AD133" s="208"/>
      <c r="AE133" s="208"/>
      <c r="AF133" s="208"/>
      <c r="AG133" s="208"/>
      <c r="AH133" s="208"/>
      <c r="AI133" s="208"/>
      <c r="AJ133" s="208"/>
      <c r="AK133" s="208"/>
      <c r="AL133" s="208"/>
      <c r="AM133" s="208"/>
      <c r="AN133" s="208"/>
      <c r="AO133" s="208"/>
      <c r="AP133" s="208"/>
    </row>
    <row r="134" spans="1:42">
      <c r="A134" s="37" t="s">
        <v>389</v>
      </c>
      <c r="B134" s="221">
        <f>B132/B133</f>
        <v>0.50590195703700813</v>
      </c>
      <c r="C134" s="164"/>
      <c r="D134" s="164"/>
      <c r="E134" s="164"/>
      <c r="F134" s="164"/>
      <c r="G134" s="208"/>
      <c r="H134" s="208"/>
      <c r="I134" s="208"/>
      <c r="J134" s="208"/>
      <c r="K134" s="208"/>
      <c r="L134" s="208"/>
      <c r="M134" s="208"/>
      <c r="N134" s="208"/>
      <c r="O134" s="208"/>
      <c r="P134" s="208"/>
      <c r="Q134" s="208"/>
      <c r="R134" s="208"/>
      <c r="S134" s="208"/>
      <c r="T134" s="208"/>
      <c r="U134" s="208"/>
      <c r="V134" s="208"/>
      <c r="W134" s="208"/>
      <c r="X134" s="208"/>
      <c r="Y134" s="208"/>
      <c r="Z134" s="208"/>
      <c r="AA134" s="208"/>
      <c r="AB134" s="208"/>
      <c r="AC134" s="208"/>
      <c r="AD134" s="208"/>
      <c r="AE134" s="208"/>
      <c r="AF134" s="208"/>
      <c r="AG134" s="208"/>
      <c r="AH134" s="208"/>
      <c r="AI134" s="208"/>
      <c r="AJ134" s="208"/>
      <c r="AK134" s="208"/>
      <c r="AL134" s="208"/>
      <c r="AM134" s="208"/>
      <c r="AN134" s="208"/>
      <c r="AO134" s="208"/>
      <c r="AP134" s="208"/>
    </row>
    <row r="135" spans="1:42">
      <c r="B135" s="164"/>
      <c r="C135" s="164"/>
      <c r="D135" s="164"/>
      <c r="E135" s="164"/>
      <c r="F135" s="164"/>
      <c r="G135" s="208"/>
      <c r="H135" s="208"/>
      <c r="I135" s="208"/>
      <c r="J135" s="208"/>
      <c r="K135" s="208"/>
      <c r="L135" s="208"/>
      <c r="M135" s="208"/>
      <c r="N135" s="208"/>
      <c r="O135" s="208"/>
      <c r="P135" s="208"/>
      <c r="Q135" s="208"/>
      <c r="R135" s="208"/>
      <c r="S135" s="208"/>
      <c r="T135" s="208"/>
      <c r="U135" s="208"/>
      <c r="V135" s="208"/>
      <c r="W135" s="208"/>
      <c r="X135" s="208"/>
      <c r="Y135" s="208"/>
      <c r="Z135" s="208"/>
      <c r="AA135" s="208"/>
      <c r="AB135" s="208"/>
      <c r="AC135" s="208"/>
      <c r="AD135" s="208"/>
      <c r="AE135" s="208"/>
      <c r="AF135" s="208"/>
      <c r="AG135" s="208"/>
      <c r="AH135" s="208"/>
      <c r="AI135" s="208"/>
      <c r="AJ135" s="208"/>
      <c r="AK135" s="208"/>
      <c r="AL135" s="208"/>
      <c r="AM135" s="208"/>
      <c r="AN135" s="208"/>
      <c r="AO135" s="208"/>
      <c r="AP135" s="208"/>
    </row>
    <row r="136" spans="1:42" ht="13.5" customHeight="1">
      <c r="A136" s="201" t="s">
        <v>448</v>
      </c>
      <c r="B136" s="220"/>
      <c r="C136" s="220"/>
      <c r="D136" s="220"/>
      <c r="E136" s="220"/>
      <c r="F136" s="220"/>
      <c r="G136" s="146"/>
      <c r="H136" s="146"/>
      <c r="I136" s="146"/>
      <c r="J136" s="146"/>
      <c r="K136" s="146"/>
      <c r="L136" s="208"/>
      <c r="M136" s="208"/>
      <c r="N136" s="208"/>
      <c r="O136" s="208"/>
      <c r="P136" s="208"/>
      <c r="Q136" s="208"/>
      <c r="R136" s="208"/>
      <c r="S136" s="208"/>
      <c r="T136" s="208"/>
      <c r="U136" s="208"/>
      <c r="V136" s="208"/>
      <c r="W136" s="208"/>
      <c r="X136" s="208"/>
      <c r="Y136" s="208"/>
      <c r="Z136" s="208"/>
      <c r="AA136" s="208"/>
      <c r="AB136" s="208"/>
      <c r="AC136" s="208"/>
      <c r="AD136" s="208"/>
      <c r="AE136" s="208"/>
      <c r="AF136" s="208"/>
      <c r="AG136" s="208"/>
      <c r="AH136" s="208"/>
      <c r="AI136" s="208"/>
      <c r="AJ136" s="208"/>
      <c r="AK136" s="208"/>
      <c r="AL136" s="208"/>
      <c r="AM136" s="208"/>
      <c r="AN136" s="208"/>
      <c r="AO136" s="208"/>
      <c r="AP136" s="208"/>
    </row>
    <row r="137" spans="1:42" s="119" customFormat="1">
      <c r="A137" s="217" t="s">
        <v>473</v>
      </c>
      <c r="B137" s="220"/>
      <c r="C137" s="220"/>
      <c r="D137" s="220"/>
      <c r="E137" s="220"/>
      <c r="F137" s="220"/>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46"/>
      <c r="AK137" s="146"/>
      <c r="AL137" s="146"/>
      <c r="AM137" s="146"/>
      <c r="AN137" s="146"/>
      <c r="AO137" s="146"/>
      <c r="AP137" s="146"/>
    </row>
    <row r="138" spans="1:42" s="119" customFormat="1">
      <c r="A138" s="309" t="s">
        <v>481</v>
      </c>
      <c r="B138" s="146">
        <f>-'Inputs &amp; Results'!D155</f>
        <v>-46247293.24621512</v>
      </c>
      <c r="C138" s="146">
        <f t="shared" ref="C138:AP138" si="75">C150</f>
        <v>0</v>
      </c>
      <c r="D138" s="146">
        <f t="shared" si="75"/>
        <v>0</v>
      </c>
      <c r="E138" s="146">
        <f t="shared" si="75"/>
        <v>0</v>
      </c>
      <c r="F138" s="146">
        <f t="shared" si="75"/>
        <v>0</v>
      </c>
      <c r="G138" s="146">
        <f t="shared" si="75"/>
        <v>0</v>
      </c>
      <c r="H138" s="146">
        <f t="shared" si="75"/>
        <v>0</v>
      </c>
      <c r="I138" s="146">
        <f t="shared" si="75"/>
        <v>0</v>
      </c>
      <c r="J138" s="146">
        <f t="shared" si="75"/>
        <v>0</v>
      </c>
      <c r="K138" s="146">
        <f t="shared" si="75"/>
        <v>0</v>
      </c>
      <c r="L138" s="146">
        <f t="shared" si="75"/>
        <v>0</v>
      </c>
      <c r="M138" s="146">
        <f t="shared" si="75"/>
        <v>0</v>
      </c>
      <c r="N138" s="146">
        <f t="shared" si="75"/>
        <v>0</v>
      </c>
      <c r="O138" s="146">
        <f t="shared" si="75"/>
        <v>0</v>
      </c>
      <c r="P138" s="146">
        <f t="shared" si="75"/>
        <v>0</v>
      </c>
      <c r="Q138" s="146">
        <f t="shared" si="75"/>
        <v>0</v>
      </c>
      <c r="R138" s="146">
        <f t="shared" si="75"/>
        <v>0</v>
      </c>
      <c r="S138" s="146">
        <f t="shared" si="75"/>
        <v>0</v>
      </c>
      <c r="T138" s="146">
        <f t="shared" si="75"/>
        <v>0</v>
      </c>
      <c r="U138" s="146">
        <f t="shared" si="75"/>
        <v>0</v>
      </c>
      <c r="V138" s="146">
        <f t="shared" si="75"/>
        <v>0</v>
      </c>
      <c r="W138" s="146">
        <f t="shared" si="75"/>
        <v>0</v>
      </c>
      <c r="X138" s="146">
        <f t="shared" si="75"/>
        <v>0</v>
      </c>
      <c r="Y138" s="146">
        <f t="shared" si="75"/>
        <v>0</v>
      </c>
      <c r="Z138" s="146">
        <f t="shared" si="75"/>
        <v>0</v>
      </c>
      <c r="AA138" s="146">
        <f t="shared" si="75"/>
        <v>0</v>
      </c>
      <c r="AB138" s="146">
        <f t="shared" si="75"/>
        <v>0</v>
      </c>
      <c r="AC138" s="146">
        <f t="shared" si="75"/>
        <v>0</v>
      </c>
      <c r="AD138" s="146">
        <f t="shared" si="75"/>
        <v>0</v>
      </c>
      <c r="AE138" s="146">
        <f t="shared" si="75"/>
        <v>0</v>
      </c>
      <c r="AF138" s="146">
        <f t="shared" si="75"/>
        <v>0</v>
      </c>
      <c r="AG138" s="146">
        <f t="shared" si="75"/>
        <v>0</v>
      </c>
      <c r="AH138" s="146">
        <f t="shared" si="75"/>
        <v>0</v>
      </c>
      <c r="AI138" s="146">
        <f t="shared" si="75"/>
        <v>0</v>
      </c>
      <c r="AJ138" s="146">
        <f t="shared" si="75"/>
        <v>0</v>
      </c>
      <c r="AK138" s="146">
        <f t="shared" si="75"/>
        <v>0</v>
      </c>
      <c r="AL138" s="146">
        <f t="shared" si="75"/>
        <v>0</v>
      </c>
      <c r="AM138" s="146">
        <f t="shared" si="75"/>
        <v>0</v>
      </c>
      <c r="AN138" s="146">
        <f t="shared" si="75"/>
        <v>0</v>
      </c>
      <c r="AO138" s="146">
        <f t="shared" si="75"/>
        <v>0</v>
      </c>
      <c r="AP138" s="146">
        <f t="shared" si="75"/>
        <v>0</v>
      </c>
    </row>
    <row r="139" spans="1:42" s="119" customFormat="1">
      <c r="A139" s="309" t="s">
        <v>215</v>
      </c>
      <c r="B139" s="146">
        <f>B91</f>
        <v>6641229.75</v>
      </c>
      <c r="C139" s="146">
        <v>0</v>
      </c>
      <c r="D139" s="146">
        <v>0</v>
      </c>
      <c r="E139" s="146">
        <v>0</v>
      </c>
      <c r="F139" s="146">
        <v>0</v>
      </c>
      <c r="G139" s="146">
        <v>0</v>
      </c>
      <c r="H139" s="146">
        <v>0</v>
      </c>
      <c r="I139" s="146">
        <v>0</v>
      </c>
      <c r="J139" s="146">
        <v>0</v>
      </c>
      <c r="K139" s="146">
        <v>0</v>
      </c>
      <c r="L139" s="146">
        <v>0</v>
      </c>
      <c r="M139" s="146">
        <v>0</v>
      </c>
      <c r="N139" s="146">
        <v>0</v>
      </c>
      <c r="O139" s="146">
        <v>0</v>
      </c>
      <c r="P139" s="146">
        <v>0</v>
      </c>
      <c r="Q139" s="146">
        <v>0</v>
      </c>
      <c r="R139" s="146">
        <v>0</v>
      </c>
      <c r="S139" s="146">
        <v>0</v>
      </c>
      <c r="T139" s="146">
        <v>0</v>
      </c>
      <c r="U139" s="146">
        <v>0</v>
      </c>
      <c r="V139" s="146">
        <v>0</v>
      </c>
      <c r="W139" s="146">
        <v>0</v>
      </c>
      <c r="X139" s="146">
        <v>0</v>
      </c>
      <c r="Y139" s="146">
        <v>0</v>
      </c>
      <c r="Z139" s="146">
        <v>0</v>
      </c>
      <c r="AA139" s="146">
        <v>0</v>
      </c>
      <c r="AB139" s="146">
        <v>0</v>
      </c>
      <c r="AC139" s="146">
        <v>0</v>
      </c>
      <c r="AD139" s="146">
        <v>0</v>
      </c>
      <c r="AE139" s="146">
        <v>0</v>
      </c>
      <c r="AF139" s="146">
        <v>0</v>
      </c>
      <c r="AG139" s="146">
        <v>0</v>
      </c>
      <c r="AH139" s="146">
        <v>0</v>
      </c>
      <c r="AI139" s="146">
        <v>0</v>
      </c>
      <c r="AJ139" s="146">
        <v>0</v>
      </c>
      <c r="AK139" s="146">
        <v>0</v>
      </c>
      <c r="AL139" s="146">
        <v>0</v>
      </c>
      <c r="AM139" s="146">
        <v>0</v>
      </c>
      <c r="AN139" s="146">
        <v>0</v>
      </c>
      <c r="AO139" s="146">
        <v>0</v>
      </c>
      <c r="AP139" s="146">
        <v>0</v>
      </c>
    </row>
    <row r="140" spans="1:42" s="119" customFormat="1">
      <c r="A140" s="309" t="s">
        <v>189</v>
      </c>
      <c r="B140" s="146">
        <f>B92</f>
        <v>7150000</v>
      </c>
      <c r="C140" s="146">
        <v>0</v>
      </c>
      <c r="D140" s="146">
        <v>0</v>
      </c>
      <c r="E140" s="146">
        <v>0</v>
      </c>
      <c r="F140" s="146">
        <v>0</v>
      </c>
      <c r="G140" s="146">
        <v>0</v>
      </c>
      <c r="H140" s="146">
        <v>0</v>
      </c>
      <c r="I140" s="146">
        <v>0</v>
      </c>
      <c r="J140" s="146">
        <v>0</v>
      </c>
      <c r="K140" s="146">
        <v>0</v>
      </c>
      <c r="L140" s="146">
        <v>0</v>
      </c>
      <c r="M140" s="146">
        <v>0</v>
      </c>
      <c r="N140" s="146">
        <v>0</v>
      </c>
      <c r="O140" s="146">
        <v>0</v>
      </c>
      <c r="P140" s="146">
        <v>0</v>
      </c>
      <c r="Q140" s="146">
        <v>0</v>
      </c>
      <c r="R140" s="146">
        <v>0</v>
      </c>
      <c r="S140" s="146">
        <v>0</v>
      </c>
      <c r="T140" s="146">
        <v>0</v>
      </c>
      <c r="U140" s="146">
        <v>0</v>
      </c>
      <c r="V140" s="146">
        <v>0</v>
      </c>
      <c r="W140" s="146">
        <v>0</v>
      </c>
      <c r="X140" s="146">
        <v>0</v>
      </c>
      <c r="Y140" s="146">
        <v>0</v>
      </c>
      <c r="Z140" s="146">
        <v>0</v>
      </c>
      <c r="AA140" s="146">
        <v>0</v>
      </c>
      <c r="AB140" s="146">
        <v>0</v>
      </c>
      <c r="AC140" s="146">
        <v>0</v>
      </c>
      <c r="AD140" s="146">
        <v>0</v>
      </c>
      <c r="AE140" s="146">
        <v>0</v>
      </c>
      <c r="AF140" s="146">
        <v>0</v>
      </c>
      <c r="AG140" s="146">
        <v>0</v>
      </c>
      <c r="AH140" s="146">
        <v>0</v>
      </c>
      <c r="AI140" s="146">
        <v>0</v>
      </c>
      <c r="AJ140" s="146">
        <v>0</v>
      </c>
      <c r="AK140" s="146">
        <v>0</v>
      </c>
      <c r="AL140" s="146">
        <v>0</v>
      </c>
      <c r="AM140" s="146">
        <v>0</v>
      </c>
      <c r="AN140" s="146">
        <v>0</v>
      </c>
      <c r="AO140" s="146">
        <v>0</v>
      </c>
      <c r="AP140" s="146">
        <v>0</v>
      </c>
    </row>
    <row r="141" spans="1:42" s="119" customFormat="1">
      <c r="A141" s="309" t="s">
        <v>464</v>
      </c>
      <c r="B141" s="146">
        <v>0</v>
      </c>
      <c r="C141" s="146">
        <f>C$19</f>
        <v>0</v>
      </c>
      <c r="D141" s="146">
        <f t="shared" ref="D141:AP141" si="76">D$19</f>
        <v>0</v>
      </c>
      <c r="E141" s="146">
        <f t="shared" si="76"/>
        <v>0</v>
      </c>
      <c r="F141" s="146">
        <f t="shared" si="76"/>
        <v>0</v>
      </c>
      <c r="G141" s="146">
        <f t="shared" si="76"/>
        <v>0</v>
      </c>
      <c r="H141" s="146">
        <f t="shared" si="76"/>
        <v>0</v>
      </c>
      <c r="I141" s="146">
        <f t="shared" si="76"/>
        <v>0</v>
      </c>
      <c r="J141" s="146">
        <f t="shared" si="76"/>
        <v>0</v>
      </c>
      <c r="K141" s="146">
        <f t="shared" si="76"/>
        <v>0</v>
      </c>
      <c r="L141" s="146">
        <f t="shared" si="76"/>
        <v>0</v>
      </c>
      <c r="M141" s="146">
        <f t="shared" si="76"/>
        <v>0</v>
      </c>
      <c r="N141" s="146">
        <f t="shared" si="76"/>
        <v>0</v>
      </c>
      <c r="O141" s="146">
        <f t="shared" si="76"/>
        <v>0</v>
      </c>
      <c r="P141" s="146">
        <f t="shared" si="76"/>
        <v>0</v>
      </c>
      <c r="Q141" s="146">
        <f t="shared" si="76"/>
        <v>0</v>
      </c>
      <c r="R141" s="146">
        <f t="shared" si="76"/>
        <v>0</v>
      </c>
      <c r="S141" s="146">
        <f t="shared" si="76"/>
        <v>0</v>
      </c>
      <c r="T141" s="146">
        <f t="shared" si="76"/>
        <v>0</v>
      </c>
      <c r="U141" s="146">
        <f t="shared" si="76"/>
        <v>0</v>
      </c>
      <c r="V141" s="146">
        <f t="shared" si="76"/>
        <v>0</v>
      </c>
      <c r="W141" s="146">
        <f t="shared" si="76"/>
        <v>0</v>
      </c>
      <c r="X141" s="146">
        <f t="shared" si="76"/>
        <v>0</v>
      </c>
      <c r="Y141" s="146">
        <f t="shared" si="76"/>
        <v>0</v>
      </c>
      <c r="Z141" s="146">
        <f t="shared" si="76"/>
        <v>0</v>
      </c>
      <c r="AA141" s="146">
        <f t="shared" si="76"/>
        <v>0</v>
      </c>
      <c r="AB141" s="146">
        <f t="shared" si="76"/>
        <v>0</v>
      </c>
      <c r="AC141" s="146">
        <f t="shared" si="76"/>
        <v>0</v>
      </c>
      <c r="AD141" s="146">
        <f t="shared" si="76"/>
        <v>0</v>
      </c>
      <c r="AE141" s="146">
        <f t="shared" si="76"/>
        <v>0</v>
      </c>
      <c r="AF141" s="146">
        <f t="shared" si="76"/>
        <v>4022715</v>
      </c>
      <c r="AG141" s="146">
        <f t="shared" si="76"/>
        <v>0</v>
      </c>
      <c r="AH141" s="146">
        <f t="shared" si="76"/>
        <v>0</v>
      </c>
      <c r="AI141" s="146">
        <f t="shared" si="76"/>
        <v>0</v>
      </c>
      <c r="AJ141" s="146">
        <f t="shared" si="76"/>
        <v>0</v>
      </c>
      <c r="AK141" s="146">
        <f t="shared" si="76"/>
        <v>0</v>
      </c>
      <c r="AL141" s="146">
        <f t="shared" si="76"/>
        <v>0</v>
      </c>
      <c r="AM141" s="146">
        <f t="shared" si="76"/>
        <v>0</v>
      </c>
      <c r="AN141" s="146">
        <f t="shared" si="76"/>
        <v>0</v>
      </c>
      <c r="AO141" s="146">
        <f t="shared" si="76"/>
        <v>0</v>
      </c>
      <c r="AP141" s="146">
        <f t="shared" si="76"/>
        <v>0</v>
      </c>
    </row>
    <row r="142" spans="1:42">
      <c r="A142" s="202" t="s">
        <v>444</v>
      </c>
      <c r="B142" s="225">
        <f>B76</f>
        <v>-1.3969838619232178E-9</v>
      </c>
      <c r="C142" s="209">
        <f t="shared" ref="C142:AP142" si="77">C76</f>
        <v>5983893.8506544931</v>
      </c>
      <c r="D142" s="209">
        <f t="shared" si="77"/>
        <v>6032349.8439307883</v>
      </c>
      <c r="E142" s="209">
        <f t="shared" si="77"/>
        <v>6080669.4121519579</v>
      </c>
      <c r="F142" s="209">
        <f t="shared" si="77"/>
        <v>6125475.3808803037</v>
      </c>
      <c r="G142" s="209">
        <f t="shared" si="77"/>
        <v>6173532.4780647149</v>
      </c>
      <c r="H142" s="209">
        <f t="shared" si="77"/>
        <v>6221435.8147255545</v>
      </c>
      <c r="I142" s="209">
        <f t="shared" si="77"/>
        <v>6265653.8111253129</v>
      </c>
      <c r="J142" s="209">
        <f t="shared" si="77"/>
        <v>6313260.0529650943</v>
      </c>
      <c r="K142" s="209">
        <f t="shared" si="77"/>
        <v>6360693.9748202581</v>
      </c>
      <c r="L142" s="209">
        <f t="shared" si="77"/>
        <v>6404262.5308044394</v>
      </c>
      <c r="M142" s="209">
        <f t="shared" si="77"/>
        <v>6451362.2644623602</v>
      </c>
      <c r="N142" s="209">
        <f t="shared" si="77"/>
        <v>6498269.8146820012</v>
      </c>
      <c r="O142" s="209">
        <f t="shared" si="77"/>
        <v>6441582.1409549024</v>
      </c>
      <c r="P142" s="209">
        <f t="shared" si="77"/>
        <v>6488955.8803881053</v>
      </c>
      <c r="Q142" s="209">
        <f t="shared" si="77"/>
        <v>6536116.1837513605</v>
      </c>
      <c r="R142" s="209">
        <f t="shared" si="77"/>
        <v>6368504.3629438328</v>
      </c>
      <c r="S142" s="209">
        <f t="shared" si="77"/>
        <v>6417046.1999075841</v>
      </c>
      <c r="T142" s="209">
        <f t="shared" si="77"/>
        <v>6465351.8682830613</v>
      </c>
      <c r="U142" s="209">
        <f t="shared" si="77"/>
        <v>6509198.2537472229</v>
      </c>
      <c r="V142" s="209">
        <f t="shared" si="77"/>
        <v>6557041.9576680055</v>
      </c>
      <c r="W142" s="209">
        <f t="shared" si="77"/>
        <v>6604625.1840036679</v>
      </c>
      <c r="X142" s="209">
        <f t="shared" si="77"/>
        <v>6633200.8051192528</v>
      </c>
      <c r="Y142" s="209">
        <f t="shared" si="77"/>
        <v>6665942.4387558578</v>
      </c>
      <c r="Z142" s="209">
        <f t="shared" si="77"/>
        <v>6698397.6064732186</v>
      </c>
      <c r="AA142" s="209">
        <f t="shared" si="77"/>
        <v>6957743.5875912076</v>
      </c>
      <c r="AB142" s="209">
        <f t="shared" si="77"/>
        <v>6984501.2752953907</v>
      </c>
      <c r="AC142" s="209">
        <f t="shared" si="77"/>
        <v>7010944.7198745152</v>
      </c>
      <c r="AD142" s="209">
        <f t="shared" si="77"/>
        <v>7032244.6371543296</v>
      </c>
      <c r="AE142" s="209">
        <f t="shared" si="77"/>
        <v>7058069.5910931258</v>
      </c>
      <c r="AF142" s="209">
        <f t="shared" si="77"/>
        <v>7083550.6191835348</v>
      </c>
      <c r="AG142" s="209">
        <f t="shared" si="77"/>
        <v>0</v>
      </c>
      <c r="AH142" s="209">
        <f t="shared" si="77"/>
        <v>0</v>
      </c>
      <c r="AI142" s="209">
        <f t="shared" si="77"/>
        <v>0</v>
      </c>
      <c r="AJ142" s="209">
        <f t="shared" si="77"/>
        <v>0</v>
      </c>
      <c r="AK142" s="209">
        <f t="shared" si="77"/>
        <v>0</v>
      </c>
      <c r="AL142" s="209">
        <f t="shared" si="77"/>
        <v>0</v>
      </c>
      <c r="AM142" s="209">
        <f t="shared" si="77"/>
        <v>0</v>
      </c>
      <c r="AN142" s="209">
        <f t="shared" si="77"/>
        <v>0</v>
      </c>
      <c r="AO142" s="209">
        <f t="shared" si="77"/>
        <v>0</v>
      </c>
      <c r="AP142" s="209">
        <f t="shared" si="77"/>
        <v>0</v>
      </c>
    </row>
    <row r="143" spans="1:42">
      <c r="A143" s="202" t="s">
        <v>53</v>
      </c>
      <c r="B143" s="164">
        <f t="shared" ref="B143:AP143" si="78">SUM(B138:B142)</f>
        <v>-32456063.49621512</v>
      </c>
      <c r="C143" s="164">
        <f t="shared" si="78"/>
        <v>5983893.8506544931</v>
      </c>
      <c r="D143" s="164">
        <f t="shared" si="78"/>
        <v>6032349.8439307883</v>
      </c>
      <c r="E143" s="164">
        <f t="shared" si="78"/>
        <v>6080669.4121519579</v>
      </c>
      <c r="F143" s="164">
        <f t="shared" si="78"/>
        <v>6125475.3808803037</v>
      </c>
      <c r="G143" s="164">
        <f t="shared" si="78"/>
        <v>6173532.4780647149</v>
      </c>
      <c r="H143" s="164">
        <f t="shared" si="78"/>
        <v>6221435.8147255545</v>
      </c>
      <c r="I143" s="164">
        <f t="shared" si="78"/>
        <v>6265653.8111253129</v>
      </c>
      <c r="J143" s="164">
        <f t="shared" si="78"/>
        <v>6313260.0529650943</v>
      </c>
      <c r="K143" s="164">
        <f t="shared" si="78"/>
        <v>6360693.9748202581</v>
      </c>
      <c r="L143" s="164">
        <f t="shared" si="78"/>
        <v>6404262.5308044394</v>
      </c>
      <c r="M143" s="164">
        <f t="shared" si="78"/>
        <v>6451362.2644623602</v>
      </c>
      <c r="N143" s="164">
        <f t="shared" si="78"/>
        <v>6498269.8146820012</v>
      </c>
      <c r="O143" s="164">
        <f t="shared" si="78"/>
        <v>6441582.1409549024</v>
      </c>
      <c r="P143" s="164">
        <f t="shared" si="78"/>
        <v>6488955.8803881053</v>
      </c>
      <c r="Q143" s="164">
        <f t="shared" si="78"/>
        <v>6536116.1837513605</v>
      </c>
      <c r="R143" s="164">
        <f t="shared" si="78"/>
        <v>6368504.3629438328</v>
      </c>
      <c r="S143" s="164">
        <f t="shared" si="78"/>
        <v>6417046.1999075841</v>
      </c>
      <c r="T143" s="164">
        <f t="shared" si="78"/>
        <v>6465351.8682830613</v>
      </c>
      <c r="U143" s="164">
        <f t="shared" si="78"/>
        <v>6509198.2537472229</v>
      </c>
      <c r="V143" s="164">
        <f t="shared" si="78"/>
        <v>6557041.9576680055</v>
      </c>
      <c r="W143" s="164">
        <f t="shared" si="78"/>
        <v>6604625.1840036679</v>
      </c>
      <c r="X143" s="164">
        <f t="shared" si="78"/>
        <v>6633200.8051192528</v>
      </c>
      <c r="Y143" s="164">
        <f t="shared" si="78"/>
        <v>6665942.4387558578</v>
      </c>
      <c r="Z143" s="164">
        <f t="shared" si="78"/>
        <v>6698397.6064732186</v>
      </c>
      <c r="AA143" s="164">
        <f t="shared" si="78"/>
        <v>6957743.5875912076</v>
      </c>
      <c r="AB143" s="164">
        <f t="shared" si="78"/>
        <v>6984501.2752953907</v>
      </c>
      <c r="AC143" s="164">
        <f t="shared" si="78"/>
        <v>7010944.7198745152</v>
      </c>
      <c r="AD143" s="164">
        <f t="shared" si="78"/>
        <v>7032244.6371543296</v>
      </c>
      <c r="AE143" s="164">
        <f t="shared" si="78"/>
        <v>7058069.5910931258</v>
      </c>
      <c r="AF143" s="164">
        <f t="shared" si="78"/>
        <v>11106265.619183535</v>
      </c>
      <c r="AG143" s="164">
        <f t="shared" si="78"/>
        <v>0</v>
      </c>
      <c r="AH143" s="164">
        <f t="shared" si="78"/>
        <v>0</v>
      </c>
      <c r="AI143" s="164">
        <f t="shared" si="78"/>
        <v>0</v>
      </c>
      <c r="AJ143" s="164">
        <f t="shared" si="78"/>
        <v>0</v>
      </c>
      <c r="AK143" s="164">
        <f t="shared" si="78"/>
        <v>0</v>
      </c>
      <c r="AL143" s="164">
        <f t="shared" si="78"/>
        <v>0</v>
      </c>
      <c r="AM143" s="164">
        <f t="shared" si="78"/>
        <v>0</v>
      </c>
      <c r="AN143" s="164">
        <f t="shared" si="78"/>
        <v>0</v>
      </c>
      <c r="AO143" s="164">
        <f t="shared" si="78"/>
        <v>0</v>
      </c>
      <c r="AP143" s="164">
        <f t="shared" si="78"/>
        <v>0</v>
      </c>
    </row>
    <row r="144" spans="1:42">
      <c r="A144" s="202"/>
      <c r="B144" s="164"/>
      <c r="C144" s="164"/>
      <c r="D144" s="164"/>
      <c r="E144" s="164"/>
      <c r="F144" s="164"/>
      <c r="G144" s="208"/>
      <c r="H144" s="208"/>
      <c r="I144" s="208"/>
      <c r="J144" s="208"/>
      <c r="K144" s="208"/>
      <c r="L144" s="208"/>
      <c r="M144" s="208"/>
      <c r="N144" s="208"/>
      <c r="O144" s="208"/>
      <c r="P144" s="208"/>
      <c r="Q144" s="208"/>
      <c r="R144" s="208"/>
      <c r="S144" s="208"/>
      <c r="T144" s="208"/>
      <c r="U144" s="208"/>
      <c r="V144" s="208"/>
      <c r="W144" s="208"/>
      <c r="X144" s="208"/>
      <c r="Y144" s="208"/>
      <c r="Z144" s="208"/>
      <c r="AA144" s="208"/>
      <c r="AB144" s="208"/>
      <c r="AC144" s="208"/>
      <c r="AD144" s="208"/>
      <c r="AE144" s="208"/>
      <c r="AF144" s="208"/>
      <c r="AG144" s="208"/>
      <c r="AH144" s="208"/>
      <c r="AI144" s="208"/>
      <c r="AJ144" s="208"/>
      <c r="AK144" s="208"/>
      <c r="AL144" s="208"/>
      <c r="AM144" s="208"/>
      <c r="AN144" s="208"/>
      <c r="AO144" s="208"/>
      <c r="AP144" s="208"/>
    </row>
    <row r="145" spans="1:42">
      <c r="A145" s="202" t="s">
        <v>418</v>
      </c>
      <c r="B145" s="223">
        <f>ROUND(IF(ISERROR(IRR($B143:B143)),0,IRR($B143:B143)),4)</f>
        <v>0</v>
      </c>
      <c r="C145" s="223">
        <f>ROUND(IF(ISERROR(IRR($B143:C143)),0,IRR($B143:C143)),4)</f>
        <v>0</v>
      </c>
      <c r="D145" s="223">
        <f>ROUND(IF(ISERROR(IRR($B143:D143)),0,IRR($B143:D143)),4)</f>
        <v>0</v>
      </c>
      <c r="E145" s="223">
        <f>ROUND(IF(ISERROR(IRR($B143:E143)),0,IRR($B143:E143)),4)</f>
        <v>-0.24310000000000001</v>
      </c>
      <c r="F145" s="223">
        <f>ROUND(IF(ISERROR(IRR($B143:F143)),0,IRR($B143:F143)),4)</f>
        <v>-0.1072</v>
      </c>
      <c r="G145" s="223">
        <f>ROUND(IF(ISERROR(IRR($B143:G143)),0,IRR($B143:G143)),4)</f>
        <v>-2.1399999999999999E-2</v>
      </c>
      <c r="H145" s="223">
        <f>ROUND(IF(ISERROR(IRR($B143:H143)),0,IRR($B143:H143)),4)</f>
        <v>3.5400000000000001E-2</v>
      </c>
      <c r="I145" s="223">
        <f>ROUND(IF(ISERROR(IRR($B143:I143)),0,IRR($B143:I143)),4)</f>
        <v>7.4300000000000005E-2</v>
      </c>
      <c r="J145" s="223">
        <f>ROUND(IF(ISERROR(IRR($B143:J143)),0,IRR($B143:J143)),4)</f>
        <v>0.1019</v>
      </c>
      <c r="K145" s="223">
        <f>ROUND(IF(ISERROR(IRR($B143:K143)),0,IRR($B143:K143)),4)</f>
        <v>0.122</v>
      </c>
      <c r="L145" s="223">
        <f>ROUND(IF(ISERROR(IRR($B143:L143)),0,IRR($B143:L143)),4)</f>
        <v>0.13689999999999999</v>
      </c>
      <c r="M145" s="223">
        <f>ROUND(IF(ISERROR(IRR($B143:M143)),0,IRR($B143:M143)),4)</f>
        <v>0.1482</v>
      </c>
      <c r="N145" s="223">
        <f>ROUND(IF(ISERROR(IRR($B143:N143)),0,IRR($B143:N143)),4)</f>
        <v>0.15690000000000001</v>
      </c>
      <c r="O145" s="223">
        <f>ROUND(IF(ISERROR(IRR($B143:O143)),0,IRR($B143:O143)),4)</f>
        <v>0.1636</v>
      </c>
      <c r="P145" s="223">
        <f>ROUND(IF(ISERROR(IRR($B143:P143)),0,IRR($B143:P143)),4)</f>
        <v>0.16880000000000001</v>
      </c>
      <c r="Q145" s="223">
        <f>ROUND(IF(ISERROR(IRR($B143:Q143)),0,IRR($B143:Q143)),4)</f>
        <v>0.17299999999999999</v>
      </c>
      <c r="R145" s="223">
        <f>ROUND(IF(ISERROR(IRR($B143:R143)),0,IRR($B143:R143)),4)</f>
        <v>0.1762</v>
      </c>
      <c r="S145" s="223">
        <f>ROUND(IF(ISERROR(IRR($B143:S143)),0,IRR($B143:S143)),4)</f>
        <v>0.17879999999999999</v>
      </c>
      <c r="T145" s="223">
        <f>ROUND(IF(ISERROR(IRR($B143:T143)),0,IRR($B143:T143)),4)</f>
        <v>0.18099999999999999</v>
      </c>
      <c r="U145" s="223">
        <f>ROUND(IF(ISERROR(IRR($B143:U143)),0,IRR($B143:U143)),4)</f>
        <v>0.1827</v>
      </c>
      <c r="V145" s="223">
        <f>ROUND(IF(ISERROR(IRR($B143:V143)),0,IRR($B143:V143)),4)</f>
        <v>0.18410000000000001</v>
      </c>
      <c r="W145" s="223">
        <f>ROUND(IF(ISERROR(IRR($B143:W143)),0,IRR($B143:W143)),4)</f>
        <v>0.18529999999999999</v>
      </c>
      <c r="X145" s="223">
        <f>ROUND(IF(ISERROR(IRR($B143:X143)),0,IRR($B143:X143)),4)</f>
        <v>0.1862</v>
      </c>
      <c r="Y145" s="223">
        <f>ROUND(IF(ISERROR(IRR($B143:Y143)),0,IRR($B143:Y143)),4)</f>
        <v>0.187</v>
      </c>
      <c r="Z145" s="223">
        <f>ROUND(IF(ISERROR(IRR($B143:Z143)),0,IRR($B143:Z143)),4)</f>
        <v>0.18770000000000001</v>
      </c>
      <c r="AA145" s="223">
        <f>ROUND(IF(ISERROR(IRR($B143:AA143)),0,IRR($B143:AA143)),4)</f>
        <v>0.18820000000000001</v>
      </c>
      <c r="AB145" s="223">
        <f>ROUND(IF(ISERROR(IRR($B143:AB143)),0,IRR($B143:AB143)),4)</f>
        <v>0.18870000000000001</v>
      </c>
      <c r="AC145" s="223">
        <f>ROUND(IF(ISERROR(IRR($B143:AC143)),0,IRR($B143:AC143)),4)</f>
        <v>0.18909999999999999</v>
      </c>
      <c r="AD145" s="223">
        <f>ROUND(IF(ISERROR(IRR($B143:AD143)),0,IRR($B143:AD143)),4)</f>
        <v>0.18940000000000001</v>
      </c>
      <c r="AE145" s="223">
        <f>ROUND(IF(ISERROR(IRR($B143:AE143)),0,IRR($B143:AE143)),4)</f>
        <v>0.18970000000000001</v>
      </c>
      <c r="AF145" s="223">
        <f>ROUND(IF(ISERROR(IRR($B143:AF143)),0,IRR($B143:AF143)),4)</f>
        <v>0.19009999999999999</v>
      </c>
      <c r="AG145" s="223">
        <f>ROUND(IF(ISERROR(IRR($B143:AG143)),0,IRR($B143:AG143)),4)</f>
        <v>0.19009999999999999</v>
      </c>
      <c r="AH145" s="223">
        <f>ROUND(IF(ISERROR(IRR($B143:AH143)),0,IRR($B143:AH143)),4)</f>
        <v>0.19009999999999999</v>
      </c>
      <c r="AI145" s="223">
        <f>ROUND(IF(ISERROR(IRR($B143:AI143)),0,IRR($B143:AI143)),4)</f>
        <v>0.19009999999999999</v>
      </c>
      <c r="AJ145" s="223">
        <f>ROUND(IF(ISERROR(IRR($B143:AJ143)),0,IRR($B143:AJ143)),4)</f>
        <v>0.19009999999999999</v>
      </c>
      <c r="AK145" s="223">
        <f>ROUND(IF(ISERROR(IRR($B143:AK143)),0,IRR($B143:AK143)),4)</f>
        <v>0.19009999999999999</v>
      </c>
      <c r="AL145" s="223">
        <f>ROUND(IF(ISERROR(IRR($B143:AL143)),0,IRR($B143:AL143)),4)</f>
        <v>0.19009999999999999</v>
      </c>
      <c r="AM145" s="223">
        <f>ROUND(IF(ISERROR(IRR($B143:AM143)),0,IRR($B143:AM143)),4)</f>
        <v>0.19009999999999999</v>
      </c>
      <c r="AN145" s="223">
        <f>ROUND(IF(ISERROR(IRR($B143:AN143)),0,IRR($B143:AN143)),4)</f>
        <v>0.19009999999999999</v>
      </c>
      <c r="AO145" s="223">
        <f>ROUND(IF(ISERROR(IRR($B143:AO143)),0,IRR($B143:AO143)),4)</f>
        <v>0.19009999999999999</v>
      </c>
      <c r="AP145" s="223">
        <f>ROUND(IF(ISERROR(IRR($B143:AP143)),0,IRR($B143:AP143)),4)</f>
        <v>0.19009999999999999</v>
      </c>
    </row>
    <row r="146" spans="1:42">
      <c r="A146" s="202" t="s">
        <v>419</v>
      </c>
      <c r="B146" s="291">
        <f>B143</f>
        <v>-32456063.49621512</v>
      </c>
      <c r="C146" s="291">
        <f>NPV(DiscountRate,$C143:C143)+$B$143</f>
        <v>-26915421.041905403</v>
      </c>
      <c r="D146" s="291">
        <f>NPV(DiscountRate,$C143:D143)+$B$143</f>
        <v>-21743653.34306214</v>
      </c>
      <c r="E146" s="291">
        <f>NPV(DiscountRate,$C143:E143)+$B$143</f>
        <v>-16916621.916710749</v>
      </c>
      <c r="F146" s="291">
        <f>NPV(DiscountRate,$C143:F143)+$B$143</f>
        <v>-12414214.649194002</v>
      </c>
      <c r="G146" s="291">
        <f>NPV(DiscountRate,$C143:G143)+$B$143</f>
        <v>-8212612.1782810129</v>
      </c>
      <c r="H146" s="291">
        <f>NPV(DiscountRate,$C143:H143)+$B$143</f>
        <v>-4292052.2922382243</v>
      </c>
      <c r="I146" s="291">
        <f>NPV(DiscountRate,$C143:I143)+$B$143</f>
        <v>-636103.47340902314</v>
      </c>
      <c r="J146" s="291">
        <f>NPV(DiscountRate,$C143:J143)+$B$143</f>
        <v>2774754.4929773137</v>
      </c>
      <c r="K146" s="291">
        <f>NPV(DiscountRate,$C143:K143)+$B$143</f>
        <v>5956685.0841204375</v>
      </c>
      <c r="L146" s="291">
        <f>NPV(DiscountRate,$C143:L143)+$B$143</f>
        <v>8923097.78437379</v>
      </c>
      <c r="M146" s="291">
        <f>NPV(DiscountRate,$C143:M143)+$B$143</f>
        <v>11689976.478979558</v>
      </c>
      <c r="N146" s="291">
        <f>NPV(DiscountRate,$C143:N143)+$B$143</f>
        <v>14270528.829783723</v>
      </c>
      <c r="O146" s="291">
        <f>NPV(DiscountRate,$C143:O143)+$B$143</f>
        <v>16639085.214618437</v>
      </c>
      <c r="P146" s="291">
        <f>NPV(DiscountRate,$C143:P143)+$B$143</f>
        <v>18848321.891014978</v>
      </c>
      <c r="Q146" s="291">
        <f>NPV(DiscountRate,$C143:Q143)+$B$143</f>
        <v>20908778.300635897</v>
      </c>
      <c r="R146" s="291">
        <f>NPV(DiscountRate,$C143:R143)+$B$143</f>
        <v>22767684.016799897</v>
      </c>
      <c r="S146" s="291">
        <f>NPV(DiscountRate,$C143:S143)+$B$143</f>
        <v>24502012.364625476</v>
      </c>
      <c r="T146" s="291">
        <f>NPV(DiscountRate,$C143:T143)+$B$143</f>
        <v>26119960.392557226</v>
      </c>
      <c r="U146" s="291">
        <f>NPV(DiscountRate,$C143:U143)+$B$143</f>
        <v>27628220.154894635</v>
      </c>
      <c r="V146" s="291">
        <f>NPV(DiscountRate,$C143:V143)+$B$143</f>
        <v>29035021.752785489</v>
      </c>
      <c r="W146" s="291">
        <f>NPV(DiscountRate,$C143:W143)+$B$143</f>
        <v>30347068.506307408</v>
      </c>
      <c r="X146" s="291">
        <f>NPV(DiscountRate,$C143:X143)+$B$143</f>
        <v>31567182.825657099</v>
      </c>
      <c r="Y146" s="291">
        <f>NPV(DiscountRate,$C143:Y143)+$B$143</f>
        <v>32702494.707177393</v>
      </c>
      <c r="Z146" s="291">
        <f>NPV(DiscountRate,$C143:Z143)+$B$143</f>
        <v>33758827.570729956</v>
      </c>
      <c r="AA146" s="291">
        <f>NPV(DiscountRate,$C143:AA143)+$B$143</f>
        <v>34774782.712311298</v>
      </c>
      <c r="AB146" s="291">
        <f>NPV(DiscountRate,$C143:AB143)+$B$143</f>
        <v>35719099.604052216</v>
      </c>
      <c r="AC146" s="291">
        <f>NPV(DiscountRate,$C143:AC143)+$B$143</f>
        <v>36596777.467097759</v>
      </c>
      <c r="AD146" s="291">
        <f>NPV(DiscountRate,$C143:AD143)+$B$143</f>
        <v>37411911.107765123</v>
      </c>
      <c r="AE146" s="291">
        <f>NPV(DiscountRate,$C143:AE143)+$B$143</f>
        <v>38169436.206991911</v>
      </c>
      <c r="AF146" s="291">
        <f>NPV(DiscountRate,$C143:AF143)+$B$143</f>
        <v>39273147.258815929</v>
      </c>
      <c r="AG146" s="291">
        <f>NPV(DiscountRate,$C143:AG143)+$B$143</f>
        <v>39273147.258815929</v>
      </c>
      <c r="AH146" s="291">
        <f>NPV(DiscountRate,$C143:AH143)+$B$143</f>
        <v>39273147.258815929</v>
      </c>
      <c r="AI146" s="291">
        <f>NPV(DiscountRate,$C143:AI143)+$B$143</f>
        <v>39273147.258815929</v>
      </c>
      <c r="AJ146" s="291">
        <f>NPV(DiscountRate,$C143:AJ143)+$B$143</f>
        <v>39273147.258815929</v>
      </c>
      <c r="AK146" s="291">
        <f>NPV(DiscountRate,$C143:AK143)+$B$143</f>
        <v>39273147.258815929</v>
      </c>
      <c r="AL146" s="291">
        <f>NPV(DiscountRate,$C143:AL143)+$B$143</f>
        <v>39273147.258815929</v>
      </c>
      <c r="AM146" s="291">
        <f>NPV(DiscountRate,$C143:AM143)+$B$143</f>
        <v>39273147.258815929</v>
      </c>
      <c r="AN146" s="291">
        <f>NPV(DiscountRate,$C143:AN143)+$B$143</f>
        <v>39273147.258815929</v>
      </c>
      <c r="AO146" s="291">
        <f>NPV(DiscountRate,$C143:AO143)+$B$143</f>
        <v>39273147.258815929</v>
      </c>
      <c r="AP146" s="291">
        <f>NPV(DiscountRate,$C143:AP143)+$B$143</f>
        <v>39273147.258815929</v>
      </c>
    </row>
    <row r="147" spans="1:42">
      <c r="A147" s="202"/>
      <c r="B147" s="164"/>
      <c r="C147" s="164"/>
      <c r="D147" s="164"/>
      <c r="E147" s="164"/>
      <c r="F147" s="164"/>
      <c r="G147" s="164"/>
      <c r="H147" s="164"/>
      <c r="I147" s="164"/>
      <c r="J147" s="164"/>
      <c r="K147" s="164"/>
      <c r="L147" s="164"/>
      <c r="M147" s="164"/>
      <c r="N147" s="164"/>
      <c r="O147" s="164"/>
      <c r="P147" s="164"/>
      <c r="Q147" s="164"/>
      <c r="R147" s="164"/>
      <c r="S147" s="164"/>
      <c r="T147" s="164"/>
      <c r="U147" s="164"/>
      <c r="V147" s="164"/>
      <c r="W147" s="164"/>
      <c r="X147" s="164"/>
      <c r="Y147" s="164"/>
      <c r="Z147" s="164"/>
      <c r="AA147" s="164"/>
      <c r="AB147" s="164"/>
      <c r="AC147" s="164"/>
      <c r="AD147" s="164"/>
      <c r="AE147" s="164"/>
      <c r="AF147" s="164"/>
      <c r="AG147" s="164"/>
      <c r="AH147" s="164"/>
      <c r="AI147" s="164"/>
      <c r="AJ147" s="164"/>
      <c r="AK147" s="164"/>
      <c r="AL147" s="164"/>
      <c r="AM147" s="164"/>
      <c r="AN147" s="164"/>
      <c r="AO147" s="164"/>
      <c r="AP147" s="164"/>
    </row>
    <row r="148" spans="1:42" s="119" customFormat="1">
      <c r="A148" s="328" t="s">
        <v>443</v>
      </c>
      <c r="B148" s="220"/>
      <c r="C148" s="273"/>
      <c r="D148" s="273"/>
      <c r="E148" s="273"/>
      <c r="F148" s="273"/>
      <c r="G148" s="273"/>
      <c r="H148" s="273"/>
      <c r="I148" s="273"/>
      <c r="J148" s="273"/>
      <c r="K148" s="273"/>
      <c r="L148" s="273"/>
      <c r="M148" s="273"/>
      <c r="N148" s="273"/>
      <c r="O148" s="273"/>
      <c r="P148" s="273"/>
      <c r="Q148" s="146"/>
      <c r="R148" s="146"/>
      <c r="S148" s="146"/>
      <c r="T148" s="146"/>
      <c r="U148" s="146"/>
      <c r="V148" s="146"/>
      <c r="W148" s="146"/>
      <c r="X148" s="146"/>
      <c r="Y148" s="146"/>
      <c r="Z148" s="146"/>
      <c r="AA148" s="146"/>
      <c r="AB148" s="146"/>
      <c r="AC148" s="146"/>
      <c r="AD148" s="146"/>
      <c r="AE148" s="146"/>
      <c r="AF148" s="146"/>
      <c r="AG148" s="146"/>
      <c r="AH148" s="146"/>
      <c r="AI148" s="146"/>
      <c r="AJ148" s="146"/>
      <c r="AK148" s="146"/>
      <c r="AL148" s="146"/>
      <c r="AM148" s="146"/>
      <c r="AN148" s="146"/>
      <c r="AO148" s="146"/>
      <c r="AP148" s="146"/>
    </row>
    <row r="149" spans="1:42" s="119" customFormat="1">
      <c r="A149" s="219" t="s">
        <v>229</v>
      </c>
      <c r="B149" s="220"/>
      <c r="C149" s="220"/>
      <c r="D149" s="220"/>
      <c r="E149" s="220"/>
      <c r="F149" s="220"/>
      <c r="G149" s="148"/>
      <c r="H149" s="148"/>
      <c r="I149" s="148"/>
      <c r="J149" s="148"/>
      <c r="K149" s="148"/>
      <c r="L149" s="148"/>
      <c r="M149" s="148"/>
      <c r="N149" s="148"/>
      <c r="O149" s="148"/>
      <c r="P149" s="148"/>
      <c r="Q149" s="148"/>
      <c r="R149" s="146"/>
      <c r="S149" s="146"/>
      <c r="T149" s="146"/>
      <c r="U149" s="146"/>
      <c r="V149" s="146"/>
      <c r="W149" s="146"/>
      <c r="X149" s="146"/>
      <c r="Y149" s="146"/>
      <c r="Z149" s="146"/>
      <c r="AA149" s="146"/>
      <c r="AB149" s="146"/>
      <c r="AC149" s="146"/>
      <c r="AD149" s="146"/>
      <c r="AE149" s="146"/>
      <c r="AF149" s="146"/>
      <c r="AG149" s="146"/>
      <c r="AH149" s="146"/>
      <c r="AI149" s="146"/>
      <c r="AJ149" s="146"/>
      <c r="AK149" s="146"/>
      <c r="AL149" s="146"/>
      <c r="AM149" s="146"/>
      <c r="AN149" s="146"/>
      <c r="AO149" s="146"/>
      <c r="AP149" s="146"/>
    </row>
    <row r="150" spans="1:42" s="119" customFormat="1">
      <c r="A150" s="297" t="s">
        <v>481</v>
      </c>
      <c r="B150" s="146">
        <f>B138</f>
        <v>-46247293.24621512</v>
      </c>
      <c r="C150" s="146">
        <v>0</v>
      </c>
      <c r="D150" s="146">
        <v>0</v>
      </c>
      <c r="E150" s="146">
        <v>0</v>
      </c>
      <c r="F150" s="146">
        <v>0</v>
      </c>
      <c r="G150" s="146">
        <v>0</v>
      </c>
      <c r="H150" s="146">
        <v>0</v>
      </c>
      <c r="I150" s="146">
        <v>0</v>
      </c>
      <c r="J150" s="146">
        <v>0</v>
      </c>
      <c r="K150" s="146">
        <v>0</v>
      </c>
      <c r="L150" s="146">
        <v>0</v>
      </c>
      <c r="M150" s="146">
        <v>0</v>
      </c>
      <c r="N150" s="146">
        <v>0</v>
      </c>
      <c r="O150" s="146">
        <v>0</v>
      </c>
      <c r="P150" s="146">
        <v>0</v>
      </c>
      <c r="Q150" s="146">
        <v>0</v>
      </c>
      <c r="R150" s="146">
        <v>0</v>
      </c>
      <c r="S150" s="146">
        <v>0</v>
      </c>
      <c r="T150" s="146">
        <v>0</v>
      </c>
      <c r="U150" s="146">
        <v>0</v>
      </c>
      <c r="V150" s="146">
        <v>0</v>
      </c>
      <c r="W150" s="146">
        <v>0</v>
      </c>
      <c r="X150" s="146">
        <v>0</v>
      </c>
      <c r="Y150" s="146">
        <v>0</v>
      </c>
      <c r="Z150" s="146">
        <v>0</v>
      </c>
      <c r="AA150" s="146">
        <v>0</v>
      </c>
      <c r="AB150" s="146">
        <v>0</v>
      </c>
      <c r="AC150" s="146">
        <v>0</v>
      </c>
      <c r="AD150" s="146">
        <v>0</v>
      </c>
      <c r="AE150" s="146">
        <v>0</v>
      </c>
      <c r="AF150" s="146">
        <v>0</v>
      </c>
      <c r="AG150" s="146">
        <v>0</v>
      </c>
      <c r="AH150" s="146">
        <v>0</v>
      </c>
      <c r="AI150" s="146">
        <v>0</v>
      </c>
      <c r="AJ150" s="146">
        <v>0</v>
      </c>
      <c r="AK150" s="146">
        <v>0</v>
      </c>
      <c r="AL150" s="146">
        <v>0</v>
      </c>
      <c r="AM150" s="146">
        <v>0</v>
      </c>
      <c r="AN150" s="146">
        <v>0</v>
      </c>
      <c r="AO150" s="146">
        <v>0</v>
      </c>
      <c r="AP150" s="146">
        <v>0</v>
      </c>
    </row>
    <row r="151" spans="1:42" s="119" customFormat="1">
      <c r="A151" s="297" t="s">
        <v>215</v>
      </c>
      <c r="B151" s="146">
        <f>B139</f>
        <v>6641229.75</v>
      </c>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46"/>
      <c r="AK151" s="146"/>
      <c r="AL151" s="146"/>
      <c r="AM151" s="146"/>
      <c r="AN151" s="146"/>
      <c r="AO151" s="146"/>
      <c r="AP151" s="146"/>
    </row>
    <row r="152" spans="1:42" s="119" customFormat="1">
      <c r="A152" s="297" t="s">
        <v>189</v>
      </c>
      <c r="B152" s="146">
        <f>B140</f>
        <v>7150000</v>
      </c>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46"/>
      <c r="AK152" s="146"/>
      <c r="AL152" s="146"/>
      <c r="AM152" s="146"/>
      <c r="AN152" s="146"/>
      <c r="AO152" s="146"/>
      <c r="AP152" s="146"/>
    </row>
    <row r="153" spans="1:42" s="119" customFormat="1">
      <c r="A153" s="297" t="s">
        <v>464</v>
      </c>
      <c r="B153" s="146"/>
      <c r="C153" s="146">
        <f>C141</f>
        <v>0</v>
      </c>
      <c r="D153" s="146">
        <f t="shared" ref="D153:AP153" si="79">D141</f>
        <v>0</v>
      </c>
      <c r="E153" s="146">
        <f t="shared" si="79"/>
        <v>0</v>
      </c>
      <c r="F153" s="146">
        <f t="shared" si="79"/>
        <v>0</v>
      </c>
      <c r="G153" s="146">
        <f t="shared" si="79"/>
        <v>0</v>
      </c>
      <c r="H153" s="146">
        <f t="shared" si="79"/>
        <v>0</v>
      </c>
      <c r="I153" s="146">
        <f t="shared" si="79"/>
        <v>0</v>
      </c>
      <c r="J153" s="146">
        <f t="shared" si="79"/>
        <v>0</v>
      </c>
      <c r="K153" s="146">
        <f t="shared" si="79"/>
        <v>0</v>
      </c>
      <c r="L153" s="146">
        <f t="shared" si="79"/>
        <v>0</v>
      </c>
      <c r="M153" s="146">
        <f t="shared" si="79"/>
        <v>0</v>
      </c>
      <c r="N153" s="146">
        <f t="shared" si="79"/>
        <v>0</v>
      </c>
      <c r="O153" s="146">
        <f t="shared" si="79"/>
        <v>0</v>
      </c>
      <c r="P153" s="146">
        <f t="shared" si="79"/>
        <v>0</v>
      </c>
      <c r="Q153" s="146">
        <f t="shared" si="79"/>
        <v>0</v>
      </c>
      <c r="R153" s="146">
        <f t="shared" si="79"/>
        <v>0</v>
      </c>
      <c r="S153" s="146">
        <f t="shared" si="79"/>
        <v>0</v>
      </c>
      <c r="T153" s="146">
        <f t="shared" si="79"/>
        <v>0</v>
      </c>
      <c r="U153" s="146">
        <f t="shared" si="79"/>
        <v>0</v>
      </c>
      <c r="V153" s="146">
        <f t="shared" si="79"/>
        <v>0</v>
      </c>
      <c r="W153" s="146">
        <f t="shared" si="79"/>
        <v>0</v>
      </c>
      <c r="X153" s="146">
        <f t="shared" si="79"/>
        <v>0</v>
      </c>
      <c r="Y153" s="146">
        <f t="shared" si="79"/>
        <v>0</v>
      </c>
      <c r="Z153" s="146">
        <f t="shared" si="79"/>
        <v>0</v>
      </c>
      <c r="AA153" s="146">
        <f t="shared" si="79"/>
        <v>0</v>
      </c>
      <c r="AB153" s="146">
        <f t="shared" si="79"/>
        <v>0</v>
      </c>
      <c r="AC153" s="146">
        <f t="shared" si="79"/>
        <v>0</v>
      </c>
      <c r="AD153" s="146">
        <f t="shared" si="79"/>
        <v>0</v>
      </c>
      <c r="AE153" s="146">
        <f t="shared" si="79"/>
        <v>0</v>
      </c>
      <c r="AF153" s="146">
        <f t="shared" si="79"/>
        <v>4022715</v>
      </c>
      <c r="AG153" s="146">
        <f t="shared" si="79"/>
        <v>0</v>
      </c>
      <c r="AH153" s="146">
        <f t="shared" si="79"/>
        <v>0</v>
      </c>
      <c r="AI153" s="146">
        <f t="shared" si="79"/>
        <v>0</v>
      </c>
      <c r="AJ153" s="146">
        <f t="shared" si="79"/>
        <v>0</v>
      </c>
      <c r="AK153" s="146">
        <f t="shared" si="79"/>
        <v>0</v>
      </c>
      <c r="AL153" s="146">
        <f t="shared" si="79"/>
        <v>0</v>
      </c>
      <c r="AM153" s="146">
        <f t="shared" si="79"/>
        <v>0</v>
      </c>
      <c r="AN153" s="146">
        <f t="shared" si="79"/>
        <v>0</v>
      </c>
      <c r="AO153" s="146">
        <f t="shared" si="79"/>
        <v>0</v>
      </c>
      <c r="AP153" s="146">
        <f t="shared" si="79"/>
        <v>0</v>
      </c>
    </row>
    <row r="154" spans="1:42" s="119" customFormat="1">
      <c r="A154" s="297" t="s">
        <v>444</v>
      </c>
      <c r="B154" s="225">
        <f>B142</f>
        <v>-1.3969838619232178E-9</v>
      </c>
      <c r="C154" s="225">
        <f t="shared" ref="C154:AP154" si="80">C142</f>
        <v>5983893.8506544931</v>
      </c>
      <c r="D154" s="225">
        <f t="shared" si="80"/>
        <v>6032349.8439307883</v>
      </c>
      <c r="E154" s="225">
        <f t="shared" si="80"/>
        <v>6080669.4121519579</v>
      </c>
      <c r="F154" s="225">
        <f t="shared" si="80"/>
        <v>6125475.3808803037</v>
      </c>
      <c r="G154" s="225">
        <f t="shared" si="80"/>
        <v>6173532.4780647149</v>
      </c>
      <c r="H154" s="225">
        <f t="shared" si="80"/>
        <v>6221435.8147255545</v>
      </c>
      <c r="I154" s="225">
        <f t="shared" si="80"/>
        <v>6265653.8111253129</v>
      </c>
      <c r="J154" s="225">
        <f t="shared" si="80"/>
        <v>6313260.0529650943</v>
      </c>
      <c r="K154" s="225">
        <f t="shared" si="80"/>
        <v>6360693.9748202581</v>
      </c>
      <c r="L154" s="225">
        <f t="shared" si="80"/>
        <v>6404262.5308044394</v>
      </c>
      <c r="M154" s="225">
        <f t="shared" si="80"/>
        <v>6451362.2644623602</v>
      </c>
      <c r="N154" s="225">
        <f t="shared" si="80"/>
        <v>6498269.8146820012</v>
      </c>
      <c r="O154" s="225">
        <f t="shared" si="80"/>
        <v>6441582.1409549024</v>
      </c>
      <c r="P154" s="225">
        <f t="shared" si="80"/>
        <v>6488955.8803881053</v>
      </c>
      <c r="Q154" s="225">
        <f t="shared" si="80"/>
        <v>6536116.1837513605</v>
      </c>
      <c r="R154" s="225">
        <f t="shared" si="80"/>
        <v>6368504.3629438328</v>
      </c>
      <c r="S154" s="225">
        <f t="shared" si="80"/>
        <v>6417046.1999075841</v>
      </c>
      <c r="T154" s="225">
        <f t="shared" si="80"/>
        <v>6465351.8682830613</v>
      </c>
      <c r="U154" s="225">
        <f t="shared" si="80"/>
        <v>6509198.2537472229</v>
      </c>
      <c r="V154" s="225">
        <f t="shared" si="80"/>
        <v>6557041.9576680055</v>
      </c>
      <c r="W154" s="225">
        <f t="shared" si="80"/>
        <v>6604625.1840036679</v>
      </c>
      <c r="X154" s="225">
        <f t="shared" si="80"/>
        <v>6633200.8051192528</v>
      </c>
      <c r="Y154" s="225">
        <f t="shared" si="80"/>
        <v>6665942.4387558578</v>
      </c>
      <c r="Z154" s="225">
        <f t="shared" si="80"/>
        <v>6698397.6064732186</v>
      </c>
      <c r="AA154" s="225">
        <f t="shared" si="80"/>
        <v>6957743.5875912076</v>
      </c>
      <c r="AB154" s="225">
        <f t="shared" si="80"/>
        <v>6984501.2752953907</v>
      </c>
      <c r="AC154" s="225">
        <f t="shared" si="80"/>
        <v>7010944.7198745152</v>
      </c>
      <c r="AD154" s="225">
        <f t="shared" si="80"/>
        <v>7032244.6371543296</v>
      </c>
      <c r="AE154" s="225">
        <f t="shared" si="80"/>
        <v>7058069.5910931258</v>
      </c>
      <c r="AF154" s="225">
        <f t="shared" si="80"/>
        <v>7083550.6191835348</v>
      </c>
      <c r="AG154" s="225">
        <f t="shared" si="80"/>
        <v>0</v>
      </c>
      <c r="AH154" s="225">
        <f t="shared" si="80"/>
        <v>0</v>
      </c>
      <c r="AI154" s="225">
        <f t="shared" si="80"/>
        <v>0</v>
      </c>
      <c r="AJ154" s="225">
        <f t="shared" si="80"/>
        <v>0</v>
      </c>
      <c r="AK154" s="225">
        <f t="shared" si="80"/>
        <v>0</v>
      </c>
      <c r="AL154" s="225">
        <f t="shared" si="80"/>
        <v>0</v>
      </c>
      <c r="AM154" s="225">
        <f t="shared" si="80"/>
        <v>0</v>
      </c>
      <c r="AN154" s="225">
        <f t="shared" si="80"/>
        <v>0</v>
      </c>
      <c r="AO154" s="225">
        <f t="shared" si="80"/>
        <v>0</v>
      </c>
      <c r="AP154" s="225">
        <f t="shared" si="80"/>
        <v>0</v>
      </c>
    </row>
    <row r="155" spans="1:42" s="119" customFormat="1">
      <c r="A155" s="297" t="s">
        <v>230</v>
      </c>
      <c r="B155" s="220">
        <f t="shared" ref="B155:AP155" si="81">SUM(B150:B154)</f>
        <v>-32456063.49621512</v>
      </c>
      <c r="C155" s="220">
        <f t="shared" si="81"/>
        <v>5983893.8506544931</v>
      </c>
      <c r="D155" s="220">
        <f t="shared" si="81"/>
        <v>6032349.8439307883</v>
      </c>
      <c r="E155" s="220">
        <f t="shared" si="81"/>
        <v>6080669.4121519579</v>
      </c>
      <c r="F155" s="220">
        <f t="shared" si="81"/>
        <v>6125475.3808803037</v>
      </c>
      <c r="G155" s="220">
        <f t="shared" si="81"/>
        <v>6173532.4780647149</v>
      </c>
      <c r="H155" s="220">
        <f t="shared" si="81"/>
        <v>6221435.8147255545</v>
      </c>
      <c r="I155" s="220">
        <f t="shared" si="81"/>
        <v>6265653.8111253129</v>
      </c>
      <c r="J155" s="220">
        <f t="shared" si="81"/>
        <v>6313260.0529650943</v>
      </c>
      <c r="K155" s="220">
        <f t="shared" si="81"/>
        <v>6360693.9748202581</v>
      </c>
      <c r="L155" s="220">
        <f t="shared" si="81"/>
        <v>6404262.5308044394</v>
      </c>
      <c r="M155" s="220">
        <f t="shared" si="81"/>
        <v>6451362.2644623602</v>
      </c>
      <c r="N155" s="220">
        <f t="shared" si="81"/>
        <v>6498269.8146820012</v>
      </c>
      <c r="O155" s="220">
        <f t="shared" si="81"/>
        <v>6441582.1409549024</v>
      </c>
      <c r="P155" s="220">
        <f t="shared" si="81"/>
        <v>6488955.8803881053</v>
      </c>
      <c r="Q155" s="220">
        <f t="shared" si="81"/>
        <v>6536116.1837513605</v>
      </c>
      <c r="R155" s="220">
        <f t="shared" si="81"/>
        <v>6368504.3629438328</v>
      </c>
      <c r="S155" s="220">
        <f t="shared" si="81"/>
        <v>6417046.1999075841</v>
      </c>
      <c r="T155" s="220">
        <f t="shared" si="81"/>
        <v>6465351.8682830613</v>
      </c>
      <c r="U155" s="220">
        <f t="shared" si="81"/>
        <v>6509198.2537472229</v>
      </c>
      <c r="V155" s="220">
        <f t="shared" si="81"/>
        <v>6557041.9576680055</v>
      </c>
      <c r="W155" s="220">
        <f t="shared" si="81"/>
        <v>6604625.1840036679</v>
      </c>
      <c r="X155" s="220">
        <f t="shared" si="81"/>
        <v>6633200.8051192528</v>
      </c>
      <c r="Y155" s="220">
        <f t="shared" si="81"/>
        <v>6665942.4387558578</v>
      </c>
      <c r="Z155" s="220">
        <f t="shared" si="81"/>
        <v>6698397.6064732186</v>
      </c>
      <c r="AA155" s="220">
        <f t="shared" si="81"/>
        <v>6957743.5875912076</v>
      </c>
      <c r="AB155" s="220">
        <f t="shared" si="81"/>
        <v>6984501.2752953907</v>
      </c>
      <c r="AC155" s="220">
        <f t="shared" si="81"/>
        <v>7010944.7198745152</v>
      </c>
      <c r="AD155" s="220">
        <f t="shared" si="81"/>
        <v>7032244.6371543296</v>
      </c>
      <c r="AE155" s="220">
        <f t="shared" si="81"/>
        <v>7058069.5910931258</v>
      </c>
      <c r="AF155" s="220">
        <f t="shared" si="81"/>
        <v>11106265.619183535</v>
      </c>
      <c r="AG155" s="220">
        <f t="shared" si="81"/>
        <v>0</v>
      </c>
      <c r="AH155" s="220">
        <f t="shared" si="81"/>
        <v>0</v>
      </c>
      <c r="AI155" s="220">
        <f t="shared" si="81"/>
        <v>0</v>
      </c>
      <c r="AJ155" s="220">
        <f t="shared" si="81"/>
        <v>0</v>
      </c>
      <c r="AK155" s="220">
        <f t="shared" si="81"/>
        <v>0</v>
      </c>
      <c r="AL155" s="220">
        <f t="shared" si="81"/>
        <v>0</v>
      </c>
      <c r="AM155" s="220">
        <f t="shared" si="81"/>
        <v>0</v>
      </c>
      <c r="AN155" s="220">
        <f t="shared" si="81"/>
        <v>0</v>
      </c>
      <c r="AO155" s="220">
        <f t="shared" si="81"/>
        <v>0</v>
      </c>
      <c r="AP155" s="220">
        <f t="shared" si="81"/>
        <v>0</v>
      </c>
    </row>
    <row r="156" spans="1:42" s="119" customFormat="1">
      <c r="A156" s="309" t="s">
        <v>33</v>
      </c>
      <c r="B156" s="220"/>
      <c r="C156" s="220"/>
      <c r="D156" s="220"/>
      <c r="E156" s="220"/>
      <c r="F156" s="220"/>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46"/>
      <c r="AK156" s="146"/>
      <c r="AL156" s="146"/>
      <c r="AM156" s="146"/>
      <c r="AN156" s="146"/>
      <c r="AO156" s="146"/>
      <c r="AP156" s="146"/>
    </row>
    <row r="157" spans="1:42" s="119" customFormat="1">
      <c r="A157" s="297" t="s">
        <v>37</v>
      </c>
      <c r="B157" s="220">
        <v>0</v>
      </c>
      <c r="C157" s="220">
        <f>H591+J591</f>
        <v>20000</v>
      </c>
      <c r="D157" s="220">
        <v>0</v>
      </c>
      <c r="E157" s="220">
        <v>0</v>
      </c>
      <c r="F157" s="220">
        <v>0</v>
      </c>
      <c r="G157" s="220">
        <v>0</v>
      </c>
      <c r="H157" s="220">
        <v>0</v>
      </c>
      <c r="I157" s="220">
        <v>0</v>
      </c>
      <c r="J157" s="220">
        <v>0</v>
      </c>
      <c r="K157" s="220">
        <v>0</v>
      </c>
      <c r="L157" s="220">
        <v>0</v>
      </c>
      <c r="M157" s="220">
        <v>0</v>
      </c>
      <c r="N157" s="220">
        <v>0</v>
      </c>
      <c r="O157" s="220">
        <v>0</v>
      </c>
      <c r="P157" s="220">
        <v>0</v>
      </c>
      <c r="Q157" s="220">
        <v>0</v>
      </c>
      <c r="R157" s="220">
        <v>0</v>
      </c>
      <c r="S157" s="220">
        <v>0</v>
      </c>
      <c r="T157" s="220">
        <v>0</v>
      </c>
      <c r="U157" s="220">
        <v>0</v>
      </c>
      <c r="V157" s="220">
        <v>0</v>
      </c>
      <c r="W157" s="220">
        <v>0</v>
      </c>
      <c r="X157" s="220">
        <v>0</v>
      </c>
      <c r="Y157" s="220">
        <v>0</v>
      </c>
      <c r="Z157" s="220">
        <v>0</v>
      </c>
      <c r="AA157" s="220">
        <v>0</v>
      </c>
      <c r="AB157" s="220">
        <v>0</v>
      </c>
      <c r="AC157" s="220">
        <v>0</v>
      </c>
      <c r="AD157" s="220">
        <v>0</v>
      </c>
      <c r="AE157" s="220">
        <v>0</v>
      </c>
      <c r="AF157" s="220">
        <v>0</v>
      </c>
      <c r="AG157" s="220">
        <v>0</v>
      </c>
      <c r="AH157" s="220">
        <v>0</v>
      </c>
      <c r="AI157" s="220">
        <v>0</v>
      </c>
      <c r="AJ157" s="220">
        <v>0</v>
      </c>
      <c r="AK157" s="220">
        <v>0</v>
      </c>
      <c r="AL157" s="220">
        <v>0</v>
      </c>
      <c r="AM157" s="220">
        <v>0</v>
      </c>
      <c r="AN157" s="220">
        <v>0</v>
      </c>
      <c r="AO157" s="220">
        <v>0</v>
      </c>
      <c r="AP157" s="220">
        <v>0</v>
      </c>
    </row>
    <row r="158" spans="1:42" s="119" customFormat="1">
      <c r="A158" s="297" t="s">
        <v>36</v>
      </c>
      <c r="B158" s="225">
        <v>0</v>
      </c>
      <c r="C158" s="225">
        <f>H626+J626</f>
        <v>10000</v>
      </c>
      <c r="D158" s="225">
        <v>0</v>
      </c>
      <c r="E158" s="225">
        <v>0</v>
      </c>
      <c r="F158" s="225">
        <v>0</v>
      </c>
      <c r="G158" s="225">
        <v>0</v>
      </c>
      <c r="H158" s="225">
        <v>0</v>
      </c>
      <c r="I158" s="225">
        <v>0</v>
      </c>
      <c r="J158" s="225">
        <v>0</v>
      </c>
      <c r="K158" s="225">
        <v>0</v>
      </c>
      <c r="L158" s="225">
        <v>0</v>
      </c>
      <c r="M158" s="225">
        <v>0</v>
      </c>
      <c r="N158" s="225">
        <v>0</v>
      </c>
      <c r="O158" s="225">
        <v>0</v>
      </c>
      <c r="P158" s="225">
        <v>0</v>
      </c>
      <c r="Q158" s="225">
        <v>0</v>
      </c>
      <c r="R158" s="225">
        <v>0</v>
      </c>
      <c r="S158" s="225">
        <v>0</v>
      </c>
      <c r="T158" s="225">
        <v>0</v>
      </c>
      <c r="U158" s="225">
        <v>0</v>
      </c>
      <c r="V158" s="225">
        <v>0</v>
      </c>
      <c r="W158" s="225">
        <v>0</v>
      </c>
      <c r="X158" s="225">
        <v>0</v>
      </c>
      <c r="Y158" s="225">
        <v>0</v>
      </c>
      <c r="Z158" s="225">
        <v>0</v>
      </c>
      <c r="AA158" s="225">
        <v>0</v>
      </c>
      <c r="AB158" s="225">
        <v>0</v>
      </c>
      <c r="AC158" s="225">
        <v>0</v>
      </c>
      <c r="AD158" s="225">
        <v>0</v>
      </c>
      <c r="AE158" s="225">
        <v>0</v>
      </c>
      <c r="AF158" s="225">
        <v>0</v>
      </c>
      <c r="AG158" s="225">
        <v>0</v>
      </c>
      <c r="AH158" s="225">
        <v>0</v>
      </c>
      <c r="AI158" s="225">
        <v>0</v>
      </c>
      <c r="AJ158" s="225">
        <v>0</v>
      </c>
      <c r="AK158" s="225">
        <v>0</v>
      </c>
      <c r="AL158" s="225">
        <v>0</v>
      </c>
      <c r="AM158" s="225">
        <v>0</v>
      </c>
      <c r="AN158" s="225">
        <v>0</v>
      </c>
      <c r="AO158" s="225">
        <v>0</v>
      </c>
      <c r="AP158" s="225">
        <v>0</v>
      </c>
    </row>
    <row r="159" spans="1:42" s="119" customFormat="1">
      <c r="A159" s="297" t="s">
        <v>53</v>
      </c>
      <c r="B159" s="220">
        <f>SUM(B157:B158)</f>
        <v>0</v>
      </c>
      <c r="C159" s="220">
        <f>SUM(C157:C158)</f>
        <v>30000</v>
      </c>
      <c r="D159" s="220">
        <f>SUM(D157:D158)</f>
        <v>0</v>
      </c>
      <c r="E159" s="220">
        <f t="shared" ref="E159:AP159" si="82">SUM(E157:E158)</f>
        <v>0</v>
      </c>
      <c r="F159" s="220">
        <f t="shared" si="82"/>
        <v>0</v>
      </c>
      <c r="G159" s="220">
        <f t="shared" si="82"/>
        <v>0</v>
      </c>
      <c r="H159" s="220">
        <f t="shared" si="82"/>
        <v>0</v>
      </c>
      <c r="I159" s="220">
        <f t="shared" si="82"/>
        <v>0</v>
      </c>
      <c r="J159" s="220">
        <f t="shared" si="82"/>
        <v>0</v>
      </c>
      <c r="K159" s="220">
        <f t="shared" si="82"/>
        <v>0</v>
      </c>
      <c r="L159" s="220">
        <f t="shared" si="82"/>
        <v>0</v>
      </c>
      <c r="M159" s="220">
        <f t="shared" si="82"/>
        <v>0</v>
      </c>
      <c r="N159" s="220">
        <f t="shared" si="82"/>
        <v>0</v>
      </c>
      <c r="O159" s="220">
        <f t="shared" si="82"/>
        <v>0</v>
      </c>
      <c r="P159" s="220">
        <f t="shared" si="82"/>
        <v>0</v>
      </c>
      <c r="Q159" s="220">
        <f t="shared" si="82"/>
        <v>0</v>
      </c>
      <c r="R159" s="220">
        <f t="shared" si="82"/>
        <v>0</v>
      </c>
      <c r="S159" s="220">
        <f t="shared" si="82"/>
        <v>0</v>
      </c>
      <c r="T159" s="220">
        <f t="shared" si="82"/>
        <v>0</v>
      </c>
      <c r="U159" s="220">
        <f t="shared" si="82"/>
        <v>0</v>
      </c>
      <c r="V159" s="220">
        <f t="shared" si="82"/>
        <v>0</v>
      </c>
      <c r="W159" s="220">
        <f t="shared" si="82"/>
        <v>0</v>
      </c>
      <c r="X159" s="220">
        <f t="shared" si="82"/>
        <v>0</v>
      </c>
      <c r="Y159" s="220">
        <f t="shared" si="82"/>
        <v>0</v>
      </c>
      <c r="Z159" s="220">
        <f t="shared" si="82"/>
        <v>0</v>
      </c>
      <c r="AA159" s="220">
        <f t="shared" si="82"/>
        <v>0</v>
      </c>
      <c r="AB159" s="220">
        <f t="shared" si="82"/>
        <v>0</v>
      </c>
      <c r="AC159" s="220">
        <f t="shared" si="82"/>
        <v>0</v>
      </c>
      <c r="AD159" s="220">
        <f t="shared" si="82"/>
        <v>0</v>
      </c>
      <c r="AE159" s="220">
        <f t="shared" si="82"/>
        <v>0</v>
      </c>
      <c r="AF159" s="220">
        <f t="shared" si="82"/>
        <v>0</v>
      </c>
      <c r="AG159" s="220">
        <f t="shared" si="82"/>
        <v>0</v>
      </c>
      <c r="AH159" s="220">
        <f t="shared" si="82"/>
        <v>0</v>
      </c>
      <c r="AI159" s="220">
        <f t="shared" si="82"/>
        <v>0</v>
      </c>
      <c r="AJ159" s="220">
        <f t="shared" si="82"/>
        <v>0</v>
      </c>
      <c r="AK159" s="220">
        <f t="shared" si="82"/>
        <v>0</v>
      </c>
      <c r="AL159" s="220">
        <f t="shared" si="82"/>
        <v>0</v>
      </c>
      <c r="AM159" s="220">
        <f t="shared" si="82"/>
        <v>0</v>
      </c>
      <c r="AN159" s="220">
        <f t="shared" si="82"/>
        <v>0</v>
      </c>
      <c r="AO159" s="220">
        <f t="shared" si="82"/>
        <v>0</v>
      </c>
      <c r="AP159" s="220">
        <f t="shared" si="82"/>
        <v>0</v>
      </c>
    </row>
    <row r="160" spans="1:42" s="119" customFormat="1">
      <c r="A160" s="309" t="s">
        <v>38</v>
      </c>
      <c r="B160" s="220"/>
      <c r="C160" s="220"/>
      <c r="D160" s="220"/>
      <c r="E160" s="220"/>
      <c r="F160" s="220"/>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46"/>
      <c r="AK160" s="146"/>
      <c r="AL160" s="146"/>
      <c r="AM160" s="146"/>
      <c r="AN160" s="146"/>
      <c r="AO160" s="146"/>
      <c r="AP160" s="146"/>
    </row>
    <row r="161" spans="1:42" s="119" customFormat="1">
      <c r="A161" s="297" t="s">
        <v>37</v>
      </c>
      <c r="B161" s="220">
        <f>B656</f>
        <v>0</v>
      </c>
      <c r="C161" s="220">
        <f t="shared" ref="C161:AP161" si="83">C656</f>
        <v>0</v>
      </c>
      <c r="D161" s="220">
        <f t="shared" si="83"/>
        <v>0</v>
      </c>
      <c r="E161" s="220">
        <f t="shared" si="83"/>
        <v>0</v>
      </c>
      <c r="F161" s="220">
        <f t="shared" si="83"/>
        <v>0</v>
      </c>
      <c r="G161" s="220">
        <f t="shared" si="83"/>
        <v>0</v>
      </c>
      <c r="H161" s="220">
        <f t="shared" si="83"/>
        <v>0</v>
      </c>
      <c r="I161" s="220">
        <f t="shared" si="83"/>
        <v>0</v>
      </c>
      <c r="J161" s="220">
        <f t="shared" si="83"/>
        <v>0</v>
      </c>
      <c r="K161" s="220">
        <f t="shared" si="83"/>
        <v>0</v>
      </c>
      <c r="L161" s="220">
        <f t="shared" si="83"/>
        <v>0</v>
      </c>
      <c r="M161" s="220">
        <f t="shared" si="83"/>
        <v>0</v>
      </c>
      <c r="N161" s="220">
        <f t="shared" si="83"/>
        <v>0</v>
      </c>
      <c r="O161" s="220">
        <f t="shared" si="83"/>
        <v>0</v>
      </c>
      <c r="P161" s="220">
        <f t="shared" si="83"/>
        <v>0</v>
      </c>
      <c r="Q161" s="220">
        <f t="shared" si="83"/>
        <v>0</v>
      </c>
      <c r="R161" s="220">
        <f t="shared" si="83"/>
        <v>0</v>
      </c>
      <c r="S161" s="220">
        <f t="shared" si="83"/>
        <v>0</v>
      </c>
      <c r="T161" s="220">
        <f t="shared" si="83"/>
        <v>0</v>
      </c>
      <c r="U161" s="220">
        <f t="shared" si="83"/>
        <v>0</v>
      </c>
      <c r="V161" s="220">
        <f t="shared" si="83"/>
        <v>0</v>
      </c>
      <c r="W161" s="220">
        <f t="shared" si="83"/>
        <v>0</v>
      </c>
      <c r="X161" s="220">
        <f t="shared" si="83"/>
        <v>0</v>
      </c>
      <c r="Y161" s="220">
        <f t="shared" si="83"/>
        <v>0</v>
      </c>
      <c r="Z161" s="220">
        <f t="shared" si="83"/>
        <v>0</v>
      </c>
      <c r="AA161" s="220">
        <f t="shared" si="83"/>
        <v>0</v>
      </c>
      <c r="AB161" s="220">
        <f t="shared" si="83"/>
        <v>0</v>
      </c>
      <c r="AC161" s="220">
        <f t="shared" si="83"/>
        <v>0</v>
      </c>
      <c r="AD161" s="220">
        <f t="shared" si="83"/>
        <v>0</v>
      </c>
      <c r="AE161" s="220">
        <f t="shared" si="83"/>
        <v>0</v>
      </c>
      <c r="AF161" s="220">
        <f t="shared" si="83"/>
        <v>0</v>
      </c>
      <c r="AG161" s="220">
        <f t="shared" si="83"/>
        <v>0</v>
      </c>
      <c r="AH161" s="220">
        <f t="shared" si="83"/>
        <v>0</v>
      </c>
      <c r="AI161" s="220">
        <f t="shared" si="83"/>
        <v>0</v>
      </c>
      <c r="AJ161" s="220">
        <f t="shared" si="83"/>
        <v>0</v>
      </c>
      <c r="AK161" s="220">
        <f t="shared" si="83"/>
        <v>0</v>
      </c>
      <c r="AL161" s="220">
        <f t="shared" si="83"/>
        <v>0</v>
      </c>
      <c r="AM161" s="220">
        <f t="shared" si="83"/>
        <v>0</v>
      </c>
      <c r="AN161" s="220">
        <f t="shared" si="83"/>
        <v>0</v>
      </c>
      <c r="AO161" s="220">
        <f t="shared" si="83"/>
        <v>0</v>
      </c>
      <c r="AP161" s="220">
        <f t="shared" si="83"/>
        <v>0</v>
      </c>
    </row>
    <row r="162" spans="1:42" s="119" customFormat="1">
      <c r="A162" s="297" t="s">
        <v>36</v>
      </c>
      <c r="B162" s="225">
        <f>B662</f>
        <v>0</v>
      </c>
      <c r="C162" s="225">
        <f t="shared" ref="C162:AP162" si="84">C662</f>
        <v>0</v>
      </c>
      <c r="D162" s="225">
        <f t="shared" si="84"/>
        <v>0</v>
      </c>
      <c r="E162" s="225">
        <f t="shared" si="84"/>
        <v>0</v>
      </c>
      <c r="F162" s="225">
        <f t="shared" si="84"/>
        <v>0</v>
      </c>
      <c r="G162" s="225">
        <f t="shared" si="84"/>
        <v>0</v>
      </c>
      <c r="H162" s="225">
        <f t="shared" si="84"/>
        <v>0</v>
      </c>
      <c r="I162" s="225">
        <f t="shared" si="84"/>
        <v>0</v>
      </c>
      <c r="J162" s="225">
        <f t="shared" si="84"/>
        <v>0</v>
      </c>
      <c r="K162" s="225">
        <f t="shared" si="84"/>
        <v>0</v>
      </c>
      <c r="L162" s="225">
        <f t="shared" si="84"/>
        <v>0</v>
      </c>
      <c r="M162" s="225">
        <f t="shared" si="84"/>
        <v>0</v>
      </c>
      <c r="N162" s="225">
        <f t="shared" si="84"/>
        <v>0</v>
      </c>
      <c r="O162" s="225">
        <f t="shared" si="84"/>
        <v>0</v>
      </c>
      <c r="P162" s="225">
        <f t="shared" si="84"/>
        <v>0</v>
      </c>
      <c r="Q162" s="225">
        <f t="shared" si="84"/>
        <v>0</v>
      </c>
      <c r="R162" s="225">
        <f t="shared" si="84"/>
        <v>0</v>
      </c>
      <c r="S162" s="225">
        <f t="shared" si="84"/>
        <v>0</v>
      </c>
      <c r="T162" s="225">
        <f t="shared" si="84"/>
        <v>0</v>
      </c>
      <c r="U162" s="225">
        <f t="shared" si="84"/>
        <v>0</v>
      </c>
      <c r="V162" s="225">
        <f t="shared" si="84"/>
        <v>0</v>
      </c>
      <c r="W162" s="225">
        <f t="shared" si="84"/>
        <v>0</v>
      </c>
      <c r="X162" s="225">
        <f t="shared" si="84"/>
        <v>0</v>
      </c>
      <c r="Y162" s="225">
        <f t="shared" si="84"/>
        <v>0</v>
      </c>
      <c r="Z162" s="225">
        <f t="shared" si="84"/>
        <v>0</v>
      </c>
      <c r="AA162" s="225">
        <f t="shared" si="84"/>
        <v>0</v>
      </c>
      <c r="AB162" s="225">
        <f t="shared" si="84"/>
        <v>0</v>
      </c>
      <c r="AC162" s="225">
        <f t="shared" si="84"/>
        <v>0</v>
      </c>
      <c r="AD162" s="225">
        <f t="shared" si="84"/>
        <v>0</v>
      </c>
      <c r="AE162" s="225">
        <f t="shared" si="84"/>
        <v>0</v>
      </c>
      <c r="AF162" s="225">
        <f t="shared" si="84"/>
        <v>0</v>
      </c>
      <c r="AG162" s="225">
        <f t="shared" si="84"/>
        <v>0</v>
      </c>
      <c r="AH162" s="225">
        <f t="shared" si="84"/>
        <v>0</v>
      </c>
      <c r="AI162" s="225">
        <f t="shared" si="84"/>
        <v>0</v>
      </c>
      <c r="AJ162" s="225">
        <f t="shared" si="84"/>
        <v>0</v>
      </c>
      <c r="AK162" s="225">
        <f t="shared" si="84"/>
        <v>0</v>
      </c>
      <c r="AL162" s="225">
        <f t="shared" si="84"/>
        <v>0</v>
      </c>
      <c r="AM162" s="225">
        <f t="shared" si="84"/>
        <v>0</v>
      </c>
      <c r="AN162" s="225">
        <f t="shared" si="84"/>
        <v>0</v>
      </c>
      <c r="AO162" s="225">
        <f t="shared" si="84"/>
        <v>0</v>
      </c>
      <c r="AP162" s="225">
        <f t="shared" si="84"/>
        <v>0</v>
      </c>
    </row>
    <row r="163" spans="1:42" s="119" customFormat="1">
      <c r="A163" s="297" t="s">
        <v>53</v>
      </c>
      <c r="B163" s="220">
        <f>SUM(B161:B162)</f>
        <v>0</v>
      </c>
      <c r="C163" s="220">
        <f>SUM(C161:C162)</f>
        <v>0</v>
      </c>
      <c r="D163" s="220">
        <f>SUM(D161:D162)</f>
        <v>0</v>
      </c>
      <c r="E163" s="220">
        <f t="shared" ref="E163:AP163" si="85">SUM(E161:E162)</f>
        <v>0</v>
      </c>
      <c r="F163" s="220">
        <f t="shared" si="85"/>
        <v>0</v>
      </c>
      <c r="G163" s="220">
        <f t="shared" si="85"/>
        <v>0</v>
      </c>
      <c r="H163" s="220">
        <f t="shared" si="85"/>
        <v>0</v>
      </c>
      <c r="I163" s="220">
        <f t="shared" si="85"/>
        <v>0</v>
      </c>
      <c r="J163" s="220">
        <f t="shared" si="85"/>
        <v>0</v>
      </c>
      <c r="K163" s="220">
        <f t="shared" si="85"/>
        <v>0</v>
      </c>
      <c r="L163" s="220">
        <f t="shared" si="85"/>
        <v>0</v>
      </c>
      <c r="M163" s="220">
        <f t="shared" si="85"/>
        <v>0</v>
      </c>
      <c r="N163" s="220">
        <f t="shared" si="85"/>
        <v>0</v>
      </c>
      <c r="O163" s="220">
        <f t="shared" si="85"/>
        <v>0</v>
      </c>
      <c r="P163" s="220">
        <f t="shared" si="85"/>
        <v>0</v>
      </c>
      <c r="Q163" s="220">
        <f t="shared" si="85"/>
        <v>0</v>
      </c>
      <c r="R163" s="220">
        <f t="shared" si="85"/>
        <v>0</v>
      </c>
      <c r="S163" s="220">
        <f t="shared" si="85"/>
        <v>0</v>
      </c>
      <c r="T163" s="220">
        <f t="shared" si="85"/>
        <v>0</v>
      </c>
      <c r="U163" s="220">
        <f t="shared" si="85"/>
        <v>0</v>
      </c>
      <c r="V163" s="220">
        <f t="shared" si="85"/>
        <v>0</v>
      </c>
      <c r="W163" s="220">
        <f t="shared" si="85"/>
        <v>0</v>
      </c>
      <c r="X163" s="220">
        <f t="shared" si="85"/>
        <v>0</v>
      </c>
      <c r="Y163" s="220">
        <f t="shared" si="85"/>
        <v>0</v>
      </c>
      <c r="Z163" s="220">
        <f t="shared" si="85"/>
        <v>0</v>
      </c>
      <c r="AA163" s="220">
        <f t="shared" si="85"/>
        <v>0</v>
      </c>
      <c r="AB163" s="220">
        <f t="shared" si="85"/>
        <v>0</v>
      </c>
      <c r="AC163" s="220">
        <f t="shared" si="85"/>
        <v>0</v>
      </c>
      <c r="AD163" s="220">
        <f t="shared" si="85"/>
        <v>0</v>
      </c>
      <c r="AE163" s="220">
        <f t="shared" si="85"/>
        <v>0</v>
      </c>
      <c r="AF163" s="220">
        <f t="shared" si="85"/>
        <v>0</v>
      </c>
      <c r="AG163" s="220">
        <f t="shared" si="85"/>
        <v>0</v>
      </c>
      <c r="AH163" s="220">
        <f t="shared" si="85"/>
        <v>0</v>
      </c>
      <c r="AI163" s="220">
        <f t="shared" si="85"/>
        <v>0</v>
      </c>
      <c r="AJ163" s="220">
        <f t="shared" si="85"/>
        <v>0</v>
      </c>
      <c r="AK163" s="220">
        <f t="shared" si="85"/>
        <v>0</v>
      </c>
      <c r="AL163" s="220">
        <f t="shared" si="85"/>
        <v>0</v>
      </c>
      <c r="AM163" s="220">
        <f t="shared" si="85"/>
        <v>0</v>
      </c>
      <c r="AN163" s="220">
        <f t="shared" si="85"/>
        <v>0</v>
      </c>
      <c r="AO163" s="220">
        <f t="shared" si="85"/>
        <v>0</v>
      </c>
      <c r="AP163" s="220">
        <f t="shared" si="85"/>
        <v>0</v>
      </c>
    </row>
    <row r="164" spans="1:42" s="119" customFormat="1">
      <c r="A164" s="309" t="s">
        <v>233</v>
      </c>
      <c r="B164" s="220"/>
      <c r="C164" s="220"/>
      <c r="D164" s="220"/>
      <c r="E164" s="220"/>
      <c r="F164" s="220"/>
      <c r="G164" s="220"/>
      <c r="H164" s="220"/>
      <c r="I164" s="220"/>
      <c r="J164" s="220"/>
      <c r="K164" s="220"/>
      <c r="L164" s="220"/>
      <c r="M164" s="220"/>
      <c r="N164" s="220"/>
      <c r="O164" s="220"/>
      <c r="P164" s="220"/>
      <c r="Q164" s="220"/>
      <c r="R164" s="220"/>
      <c r="S164" s="220"/>
      <c r="T164" s="220"/>
      <c r="U164" s="220"/>
      <c r="V164" s="220"/>
      <c r="W164" s="220"/>
      <c r="X164" s="220"/>
      <c r="Y164" s="220"/>
      <c r="Z164" s="220"/>
      <c r="AA164" s="220"/>
      <c r="AB164" s="220"/>
      <c r="AC164" s="220"/>
      <c r="AD164" s="220"/>
      <c r="AE164" s="220"/>
      <c r="AF164" s="220"/>
      <c r="AG164" s="220"/>
      <c r="AH164" s="220"/>
      <c r="AI164" s="220"/>
      <c r="AJ164" s="220"/>
      <c r="AK164" s="220"/>
      <c r="AL164" s="220"/>
      <c r="AM164" s="220"/>
      <c r="AN164" s="220"/>
      <c r="AO164" s="220"/>
      <c r="AP164" s="220"/>
    </row>
    <row r="165" spans="1:42" s="119" customFormat="1">
      <c r="A165" s="297" t="s">
        <v>37</v>
      </c>
      <c r="B165" s="220">
        <v>0</v>
      </c>
      <c r="C165" s="220">
        <f t="shared" ref="C165:AP165" si="86">C241</f>
        <v>-549630.37979557028</v>
      </c>
      <c r="D165" s="220">
        <f t="shared" si="86"/>
        <v>352418.86658627033</v>
      </c>
      <c r="E165" s="220">
        <f t="shared" si="86"/>
        <v>79959.79459643802</v>
      </c>
      <c r="F165" s="220">
        <f t="shared" si="86"/>
        <v>-84492.262373620615</v>
      </c>
      <c r="G165" s="220">
        <f t="shared" si="86"/>
        <v>-88154.467049109822</v>
      </c>
      <c r="H165" s="220">
        <f t="shared" si="86"/>
        <v>-212063.90935426296</v>
      </c>
      <c r="I165" s="220">
        <f t="shared" si="86"/>
        <v>-335668.32600413176</v>
      </c>
      <c r="J165" s="220">
        <f t="shared" si="86"/>
        <v>-339375.26792574715</v>
      </c>
      <c r="K165" s="220">
        <f t="shared" si="86"/>
        <v>-341518.78102238144</v>
      </c>
      <c r="L165" s="220">
        <f t="shared" si="86"/>
        <v>-343179.19729774416</v>
      </c>
      <c r="M165" s="220">
        <f t="shared" si="86"/>
        <v>-346896.38619893783</v>
      </c>
      <c r="N165" s="220">
        <f t="shared" si="86"/>
        <v>-316611.70669575711</v>
      </c>
      <c r="O165" s="220">
        <f t="shared" si="86"/>
        <v>-293272.65007158805</v>
      </c>
      <c r="P165" s="220">
        <f t="shared" si="86"/>
        <v>-317803.88674541243</v>
      </c>
      <c r="Q165" s="220">
        <f t="shared" si="86"/>
        <v>-264582.15539661574</v>
      </c>
      <c r="R165" s="220">
        <f t="shared" si="86"/>
        <v>-216306.31042351513</v>
      </c>
      <c r="S165" s="220">
        <f t="shared" si="86"/>
        <v>-275299.67128202436</v>
      </c>
      <c r="T165" s="220">
        <f t="shared" si="86"/>
        <v>-312777.16513920185</v>
      </c>
      <c r="U165" s="220">
        <f t="shared" si="86"/>
        <v>-314338.62292135722</v>
      </c>
      <c r="V165" s="220">
        <f t="shared" si="86"/>
        <v>-337778.02393960819</v>
      </c>
      <c r="W165" s="220">
        <f t="shared" si="86"/>
        <v>-359994.75194043521</v>
      </c>
      <c r="X165" s="220">
        <f t="shared" si="86"/>
        <v>-361313.38707960478</v>
      </c>
      <c r="Y165" s="220">
        <f t="shared" si="86"/>
        <v>-364470.40769504861</v>
      </c>
      <c r="Z165" s="220">
        <f t="shared" si="86"/>
        <v>-326952.81169324712</v>
      </c>
      <c r="AA165" s="220">
        <f t="shared" si="86"/>
        <v>-317049.08868163114</v>
      </c>
      <c r="AB165" s="220">
        <f t="shared" si="86"/>
        <v>-344726.38060941536</v>
      </c>
      <c r="AC165" s="220">
        <f t="shared" si="86"/>
        <v>-360454.83450226818</v>
      </c>
      <c r="AD165" s="220">
        <f t="shared" si="86"/>
        <v>-360654.34165994107</v>
      </c>
      <c r="AE165" s="220">
        <f t="shared" si="86"/>
        <v>-374712.02258589683</v>
      </c>
      <c r="AF165" s="220">
        <f t="shared" si="86"/>
        <v>-523192.49081728235</v>
      </c>
      <c r="AG165" s="220">
        <f t="shared" si="86"/>
        <v>0</v>
      </c>
      <c r="AH165" s="220">
        <f t="shared" si="86"/>
        <v>0</v>
      </c>
      <c r="AI165" s="220">
        <f t="shared" si="86"/>
        <v>0</v>
      </c>
      <c r="AJ165" s="220">
        <f t="shared" si="86"/>
        <v>0</v>
      </c>
      <c r="AK165" s="220">
        <f t="shared" si="86"/>
        <v>0</v>
      </c>
      <c r="AL165" s="220">
        <f t="shared" si="86"/>
        <v>0</v>
      </c>
      <c r="AM165" s="220">
        <f t="shared" si="86"/>
        <v>0</v>
      </c>
      <c r="AN165" s="220">
        <f t="shared" si="86"/>
        <v>0</v>
      </c>
      <c r="AO165" s="220">
        <f t="shared" si="86"/>
        <v>0</v>
      </c>
      <c r="AP165" s="220">
        <f t="shared" si="86"/>
        <v>0</v>
      </c>
    </row>
    <row r="166" spans="1:42" s="119" customFormat="1">
      <c r="A166" s="297" t="s">
        <v>36</v>
      </c>
      <c r="B166" s="225">
        <v>0</v>
      </c>
      <c r="C166" s="225">
        <f t="shared" ref="C166:AP166" si="87">C270</f>
        <v>-2738397.8962317719</v>
      </c>
      <c r="D166" s="225">
        <f t="shared" si="87"/>
        <v>1893267.1744282527</v>
      </c>
      <c r="E166" s="225">
        <f t="shared" si="87"/>
        <v>345218.08627016121</v>
      </c>
      <c r="F166" s="225">
        <f t="shared" si="87"/>
        <v>-589484.36674223328</v>
      </c>
      <c r="G166" s="225">
        <f t="shared" si="87"/>
        <v>-611507.53394983429</v>
      </c>
      <c r="H166" s="225">
        <f t="shared" si="87"/>
        <v>-1315964.5493508433</v>
      </c>
      <c r="I166" s="225">
        <f t="shared" si="87"/>
        <v>-2018587.2513793923</v>
      </c>
      <c r="J166" s="225">
        <f t="shared" si="87"/>
        <v>-2040879.4521171066</v>
      </c>
      <c r="K166" s="225">
        <f t="shared" si="87"/>
        <v>-2053769.7604209576</v>
      </c>
      <c r="L166" s="225">
        <f t="shared" si="87"/>
        <v>-2063754.9001132522</v>
      </c>
      <c r="M166" s="225">
        <f t="shared" si="87"/>
        <v>-2086108.7224599759</v>
      </c>
      <c r="N166" s="225">
        <f t="shared" si="87"/>
        <v>-1903987.6725385757</v>
      </c>
      <c r="O166" s="225">
        <f t="shared" si="87"/>
        <v>-1763635.0729305041</v>
      </c>
      <c r="P166" s="225">
        <f t="shared" si="87"/>
        <v>-1911157.0098371846</v>
      </c>
      <c r="Q166" s="225">
        <f t="shared" si="87"/>
        <v>-1591100.8708623755</v>
      </c>
      <c r="R166" s="225">
        <f t="shared" si="87"/>
        <v>-1300787.494046866</v>
      </c>
      <c r="S166" s="225">
        <f t="shared" si="87"/>
        <v>-1655552.1141187192</v>
      </c>
      <c r="T166" s="225">
        <f t="shared" si="87"/>
        <v>-1880928.1339962</v>
      </c>
      <c r="U166" s="225">
        <f t="shared" si="87"/>
        <v>-1890318.1732952527</v>
      </c>
      <c r="V166" s="225">
        <f t="shared" si="87"/>
        <v>-2031274.2076004616</v>
      </c>
      <c r="W166" s="225">
        <f t="shared" si="87"/>
        <v>-2164877.5309872534</v>
      </c>
      <c r="X166" s="225">
        <f t="shared" si="87"/>
        <v>-2172807.3232105323</v>
      </c>
      <c r="Y166" s="225">
        <f t="shared" si="87"/>
        <v>-2191792.4971843148</v>
      </c>
      <c r="Z166" s="225">
        <f t="shared" si="87"/>
        <v>-1966175.3175916632</v>
      </c>
      <c r="AA166" s="225">
        <f t="shared" si="87"/>
        <v>-1906617.9287536272</v>
      </c>
      <c r="AB166" s="225">
        <f t="shared" si="87"/>
        <v>-2073059.0979375297</v>
      </c>
      <c r="AC166" s="225">
        <f t="shared" si="87"/>
        <v>-2167644.3002113672</v>
      </c>
      <c r="AD166" s="225">
        <f t="shared" si="87"/>
        <v>-2168844.0637095547</v>
      </c>
      <c r="AE166" s="225">
        <f t="shared" si="87"/>
        <v>-2253381.8449142794</v>
      </c>
      <c r="AF166" s="225">
        <f t="shared" si="87"/>
        <v>-3146289.3879602933</v>
      </c>
      <c r="AG166" s="225">
        <f t="shared" si="87"/>
        <v>0</v>
      </c>
      <c r="AH166" s="225">
        <f t="shared" si="87"/>
        <v>0</v>
      </c>
      <c r="AI166" s="225">
        <f t="shared" si="87"/>
        <v>0</v>
      </c>
      <c r="AJ166" s="225">
        <f t="shared" si="87"/>
        <v>0</v>
      </c>
      <c r="AK166" s="225">
        <f t="shared" si="87"/>
        <v>0</v>
      </c>
      <c r="AL166" s="225">
        <f t="shared" si="87"/>
        <v>0</v>
      </c>
      <c r="AM166" s="225">
        <f t="shared" si="87"/>
        <v>0</v>
      </c>
      <c r="AN166" s="225">
        <f t="shared" si="87"/>
        <v>0</v>
      </c>
      <c r="AO166" s="225">
        <f t="shared" si="87"/>
        <v>0</v>
      </c>
      <c r="AP166" s="225">
        <f t="shared" si="87"/>
        <v>0</v>
      </c>
    </row>
    <row r="167" spans="1:42" s="119" customFormat="1">
      <c r="A167" s="297" t="s">
        <v>53</v>
      </c>
      <c r="B167" s="326">
        <f>SUM(B165:B166)</f>
        <v>0</v>
      </c>
      <c r="C167" s="326">
        <f>SUM(C165:C166)</f>
        <v>-3288028.2760273423</v>
      </c>
      <c r="D167" s="326">
        <f>SUM(D165:D166)</f>
        <v>2245686.0410145232</v>
      </c>
      <c r="E167" s="326">
        <f t="shared" ref="E167:AP167" si="88">SUM(E165:E166)</f>
        <v>425177.88086659921</v>
      </c>
      <c r="F167" s="326">
        <f t="shared" si="88"/>
        <v>-673976.62911585392</v>
      </c>
      <c r="G167" s="326">
        <f t="shared" si="88"/>
        <v>-699662.00099894416</v>
      </c>
      <c r="H167" s="326">
        <f t="shared" si="88"/>
        <v>-1528028.4587051063</v>
      </c>
      <c r="I167" s="326">
        <f t="shared" si="88"/>
        <v>-2354255.5773835243</v>
      </c>
      <c r="J167" s="326">
        <f t="shared" si="88"/>
        <v>-2380254.7200428536</v>
      </c>
      <c r="K167" s="326">
        <f t="shared" si="88"/>
        <v>-2395288.5414433391</v>
      </c>
      <c r="L167" s="326">
        <f t="shared" si="88"/>
        <v>-2406934.0974109964</v>
      </c>
      <c r="M167" s="326">
        <f t="shared" si="88"/>
        <v>-2433005.1086589135</v>
      </c>
      <c r="N167" s="326">
        <f t="shared" si="88"/>
        <v>-2220599.3792343326</v>
      </c>
      <c r="O167" s="326">
        <f t="shared" si="88"/>
        <v>-2056907.7230020922</v>
      </c>
      <c r="P167" s="326">
        <f t="shared" si="88"/>
        <v>-2228960.8965825969</v>
      </c>
      <c r="Q167" s="326">
        <f t="shared" si="88"/>
        <v>-1855683.0262589911</v>
      </c>
      <c r="R167" s="326">
        <f t="shared" si="88"/>
        <v>-1517093.804470381</v>
      </c>
      <c r="S167" s="326">
        <f t="shared" si="88"/>
        <v>-1930851.7854007436</v>
      </c>
      <c r="T167" s="326">
        <f t="shared" si="88"/>
        <v>-2193705.2991354018</v>
      </c>
      <c r="U167" s="326">
        <f t="shared" si="88"/>
        <v>-2204656.7962166099</v>
      </c>
      <c r="V167" s="326">
        <f t="shared" si="88"/>
        <v>-2369052.2315400699</v>
      </c>
      <c r="W167" s="326">
        <f t="shared" si="88"/>
        <v>-2524872.2829276887</v>
      </c>
      <c r="X167" s="326">
        <f t="shared" si="88"/>
        <v>-2534120.7102901372</v>
      </c>
      <c r="Y167" s="326">
        <f t="shared" si="88"/>
        <v>-2556262.9048793633</v>
      </c>
      <c r="Z167" s="326">
        <f t="shared" si="88"/>
        <v>-2293128.1292849104</v>
      </c>
      <c r="AA167" s="326">
        <f t="shared" si="88"/>
        <v>-2223667.0174352583</v>
      </c>
      <c r="AB167" s="326">
        <f t="shared" si="88"/>
        <v>-2417785.4785469449</v>
      </c>
      <c r="AC167" s="326">
        <f t="shared" si="88"/>
        <v>-2528099.1347136353</v>
      </c>
      <c r="AD167" s="326">
        <f t="shared" si="88"/>
        <v>-2529498.405369496</v>
      </c>
      <c r="AE167" s="326">
        <f t="shared" si="88"/>
        <v>-2628093.8675001762</v>
      </c>
      <c r="AF167" s="326">
        <f t="shared" si="88"/>
        <v>-3669481.8787775757</v>
      </c>
      <c r="AG167" s="326">
        <f t="shared" si="88"/>
        <v>0</v>
      </c>
      <c r="AH167" s="326">
        <f t="shared" si="88"/>
        <v>0</v>
      </c>
      <c r="AI167" s="326">
        <f t="shared" si="88"/>
        <v>0</v>
      </c>
      <c r="AJ167" s="326">
        <f t="shared" si="88"/>
        <v>0</v>
      </c>
      <c r="AK167" s="326">
        <f t="shared" si="88"/>
        <v>0</v>
      </c>
      <c r="AL167" s="326">
        <f t="shared" si="88"/>
        <v>0</v>
      </c>
      <c r="AM167" s="326">
        <f t="shared" si="88"/>
        <v>0</v>
      </c>
      <c r="AN167" s="326">
        <f t="shared" si="88"/>
        <v>0</v>
      </c>
      <c r="AO167" s="326">
        <f t="shared" si="88"/>
        <v>0</v>
      </c>
      <c r="AP167" s="326">
        <f t="shared" si="88"/>
        <v>0</v>
      </c>
    </row>
    <row r="168" spans="1:42" s="119" customFormat="1">
      <c r="A168" s="309" t="s">
        <v>53</v>
      </c>
      <c r="B168" s="220">
        <f>B155+B159+B163+B167</f>
        <v>-32456063.49621512</v>
      </c>
      <c r="C168" s="220">
        <f t="shared" ref="C168:AP168" si="89">C155+C159+C163+C167</f>
        <v>2725865.5746271508</v>
      </c>
      <c r="D168" s="220">
        <f t="shared" si="89"/>
        <v>8278035.8849453116</v>
      </c>
      <c r="E168" s="220">
        <f t="shared" si="89"/>
        <v>6505847.2930185571</v>
      </c>
      <c r="F168" s="220">
        <f t="shared" si="89"/>
        <v>5451498.7517644502</v>
      </c>
      <c r="G168" s="220">
        <f t="shared" si="89"/>
        <v>5473870.4770657709</v>
      </c>
      <c r="H168" s="220">
        <f t="shared" si="89"/>
        <v>4693407.3560204487</v>
      </c>
      <c r="I168" s="220">
        <f t="shared" si="89"/>
        <v>3911398.2337417887</v>
      </c>
      <c r="J168" s="220">
        <f t="shared" si="89"/>
        <v>3933005.3329222407</v>
      </c>
      <c r="K168" s="220">
        <f t="shared" si="89"/>
        <v>3965405.433376919</v>
      </c>
      <c r="L168" s="220">
        <f t="shared" si="89"/>
        <v>3997328.433393443</v>
      </c>
      <c r="M168" s="220">
        <f t="shared" si="89"/>
        <v>4018357.1558034467</v>
      </c>
      <c r="N168" s="220">
        <f t="shared" si="89"/>
        <v>4277670.4354476687</v>
      </c>
      <c r="O168" s="220">
        <f t="shared" si="89"/>
        <v>4384674.4179528104</v>
      </c>
      <c r="P168" s="220">
        <f t="shared" si="89"/>
        <v>4259994.9838055084</v>
      </c>
      <c r="Q168" s="220">
        <f t="shared" si="89"/>
        <v>4680433.1574923694</v>
      </c>
      <c r="R168" s="220">
        <f t="shared" si="89"/>
        <v>4851410.558473452</v>
      </c>
      <c r="S168" s="220">
        <f t="shared" si="89"/>
        <v>4486194.4145068405</v>
      </c>
      <c r="T168" s="220">
        <f t="shared" si="89"/>
        <v>4271646.5691476595</v>
      </c>
      <c r="U168" s="220">
        <f t="shared" si="89"/>
        <v>4304541.4575306131</v>
      </c>
      <c r="V168" s="220">
        <f t="shared" si="89"/>
        <v>4187989.7261279356</v>
      </c>
      <c r="W168" s="220">
        <f t="shared" si="89"/>
        <v>4079752.9010759792</v>
      </c>
      <c r="X168" s="220">
        <f t="shared" si="89"/>
        <v>4099080.0948291156</v>
      </c>
      <c r="Y168" s="220">
        <f t="shared" si="89"/>
        <v>4109679.5338764945</v>
      </c>
      <c r="Z168" s="220">
        <f t="shared" si="89"/>
        <v>4405269.4771883078</v>
      </c>
      <c r="AA168" s="220">
        <f t="shared" si="89"/>
        <v>4734076.5701559493</v>
      </c>
      <c r="AB168" s="220">
        <f t="shared" si="89"/>
        <v>4566715.7967484463</v>
      </c>
      <c r="AC168" s="220">
        <f t="shared" si="89"/>
        <v>4482845.5851608794</v>
      </c>
      <c r="AD168" s="220">
        <f t="shared" si="89"/>
        <v>4502746.2317848336</v>
      </c>
      <c r="AE168" s="220">
        <f t="shared" si="89"/>
        <v>4429975.72359295</v>
      </c>
      <c r="AF168" s="220">
        <f t="shared" si="89"/>
        <v>7436783.7404059591</v>
      </c>
      <c r="AG168" s="220">
        <f t="shared" si="89"/>
        <v>0</v>
      </c>
      <c r="AH168" s="220">
        <f t="shared" si="89"/>
        <v>0</v>
      </c>
      <c r="AI168" s="220">
        <f t="shared" si="89"/>
        <v>0</v>
      </c>
      <c r="AJ168" s="220">
        <f t="shared" si="89"/>
        <v>0</v>
      </c>
      <c r="AK168" s="220">
        <f t="shared" si="89"/>
        <v>0</v>
      </c>
      <c r="AL168" s="220">
        <f t="shared" si="89"/>
        <v>0</v>
      </c>
      <c r="AM168" s="220">
        <f t="shared" si="89"/>
        <v>0</v>
      </c>
      <c r="AN168" s="220">
        <f t="shared" si="89"/>
        <v>0</v>
      </c>
      <c r="AO168" s="220">
        <f t="shared" si="89"/>
        <v>0</v>
      </c>
      <c r="AP168" s="220">
        <f t="shared" si="89"/>
        <v>0</v>
      </c>
    </row>
    <row r="169" spans="1:42">
      <c r="A169" s="222"/>
      <c r="B169" s="164"/>
      <c r="C169" s="164"/>
      <c r="D169" s="164"/>
      <c r="E169" s="164"/>
      <c r="F169" s="164"/>
      <c r="G169" s="164"/>
      <c r="H169" s="164"/>
      <c r="I169" s="164"/>
      <c r="J169" s="164"/>
      <c r="K169" s="164"/>
      <c r="L169" s="164"/>
      <c r="M169" s="164"/>
      <c r="N169" s="164"/>
      <c r="O169" s="164"/>
      <c r="P169" s="164"/>
      <c r="Q169" s="164"/>
      <c r="R169" s="164"/>
      <c r="S169" s="164"/>
      <c r="T169" s="164"/>
      <c r="U169" s="164"/>
      <c r="V169" s="164"/>
      <c r="W169" s="164"/>
      <c r="X169" s="164"/>
      <c r="Y169" s="164"/>
      <c r="Z169" s="164"/>
      <c r="AA169" s="164"/>
      <c r="AB169" s="164"/>
      <c r="AC169" s="164"/>
      <c r="AD169" s="164"/>
      <c r="AE169" s="164"/>
      <c r="AF169" s="164"/>
      <c r="AG169" s="164"/>
      <c r="AH169" s="164"/>
      <c r="AI169" s="164"/>
      <c r="AJ169" s="164"/>
      <c r="AK169" s="164"/>
      <c r="AL169" s="164"/>
      <c r="AM169" s="164"/>
      <c r="AN169" s="164"/>
      <c r="AO169" s="164"/>
      <c r="AP169" s="164"/>
    </row>
    <row r="170" spans="1:42">
      <c r="A170" s="202" t="s">
        <v>418</v>
      </c>
      <c r="B170" s="223">
        <f>ROUND(IF(ISERROR(IRR($B$168:B168)),0,IRR($B$168:B168)),4)</f>
        <v>0</v>
      </c>
      <c r="C170" s="223">
        <f>ROUND(IF(ISERROR(IRR($B$168:C168)),0,IRR($B$168:C168)),4)</f>
        <v>0</v>
      </c>
      <c r="D170" s="223">
        <f>ROUND(IF(ISERROR(IRR($B$168:D168)),0,IRR($B$168:D168)),4)</f>
        <v>0</v>
      </c>
      <c r="E170" s="223">
        <f>ROUND(IF(ISERROR(IRR($B$168:E168)),0,IRR($B$168:E168)),4)</f>
        <v>-0.23719999999999999</v>
      </c>
      <c r="F170" s="223">
        <f>ROUND(IF(ISERROR(IRR($B$168:F168)),0,IRR($B$168:F168)),4)</f>
        <v>-0.1203</v>
      </c>
      <c r="G170" s="223">
        <f>ROUND(IF(ISERROR(IRR($B$168:G168)),0,IRR($B$168:G168)),4)</f>
        <v>-4.1399999999999999E-2</v>
      </c>
      <c r="H170" s="223">
        <f>ROUND(IF(ISERROR(IRR($B$168:H168)),0,IRR($B$168:H168)),4)</f>
        <v>5.8999999999999999E-3</v>
      </c>
      <c r="I170" s="223">
        <f>ROUND(IF(ISERROR(IRR($B$168:I168)),0,IRR($B$168:I168)),4)</f>
        <v>3.5200000000000002E-2</v>
      </c>
      <c r="J170" s="223">
        <f>ROUND(IF(ISERROR(IRR($B$168:J168)),0,IRR($B$168:J168)),4)</f>
        <v>5.7799999999999997E-2</v>
      </c>
      <c r="K170" s="223">
        <f>ROUND(IF(ISERROR(IRR($B$168:K168)),0,IRR($B$168:K168)),4)</f>
        <v>7.5399999999999995E-2</v>
      </c>
      <c r="L170" s="223">
        <f>ROUND(IF(ISERROR(IRR($B$168:L168)),0,IRR($B$168:L168)),4)</f>
        <v>8.9099999999999999E-2</v>
      </c>
      <c r="M170" s="223">
        <f>ROUND(IF(ISERROR(IRR($B$168:M168)),0,IRR($B$168:M168)),4)</f>
        <v>0.1</v>
      </c>
      <c r="N170" s="223">
        <f>ROUND(IF(ISERROR(IRR($B$168:N168)),0,IRR($B$168:N168)),4)</f>
        <v>0.1091</v>
      </c>
      <c r="O170" s="223">
        <f>ROUND(IF(ISERROR(IRR($B$168:O168)),0,IRR($B$168:O168)),4)</f>
        <v>0.11650000000000001</v>
      </c>
      <c r="P170" s="223">
        <f>ROUND(IF(ISERROR(IRR($B$168:P168)),0,IRR($B$168:P168)),4)</f>
        <v>0.12230000000000001</v>
      </c>
      <c r="Q170" s="223">
        <f>ROUND(IF(ISERROR(IRR($B$168:Q168)),0,IRR($B$168:Q168)),4)</f>
        <v>0.1275</v>
      </c>
      <c r="R170" s="223">
        <f>ROUND(IF(ISERROR(IRR($B$168:R168)),0,IRR($B$168:R168)),4)</f>
        <v>0.1318</v>
      </c>
      <c r="S170" s="223">
        <f>ROUND(IF(ISERROR(IRR($B$168:S168)),0,IRR($B$168:S168)),4)</f>
        <v>0.13500000000000001</v>
      </c>
      <c r="T170" s="223">
        <f>ROUND(IF(ISERROR(IRR($B$168:T168)),0,IRR($B$168:T168)),4)</f>
        <v>0.1376</v>
      </c>
      <c r="U170" s="223">
        <f>ROUND(IF(ISERROR(IRR($B$168:U168)),0,IRR($B$168:U168)),4)</f>
        <v>0.13980000000000001</v>
      </c>
      <c r="V170" s="223">
        <f>ROUND(IF(ISERROR(IRR($B$168:V168)),0,IRR($B$168:V168)),4)</f>
        <v>0.14149999999999999</v>
      </c>
      <c r="W170" s="223">
        <f>ROUND(IF(ISERROR(IRR($B$168:W168)),0,IRR($B$168:W168)),4)</f>
        <v>0.1429</v>
      </c>
      <c r="X170" s="223">
        <f>ROUND(IF(ISERROR(IRR($B$168:X168)),0,IRR($B$168:X168)),4)</f>
        <v>0.14410000000000001</v>
      </c>
      <c r="Y170" s="223">
        <f>ROUND(IF(ISERROR(IRR($B$168:Y168)),0,IRR($B$168:Y168)),4)</f>
        <v>0.1452</v>
      </c>
      <c r="Z170" s="223">
        <f>ROUND(IF(ISERROR(IRR($B$168:Z168)),0,IRR($B$168:Z168)),4)</f>
        <v>0.14610000000000001</v>
      </c>
      <c r="AA170" s="223">
        <f>ROUND(IF(ISERROR(IRR($B$168:AA168)),0,IRR($B$168:AA168)),4)</f>
        <v>0.14699999999999999</v>
      </c>
      <c r="AB170" s="223">
        <f>ROUND(IF(ISERROR(IRR($B$168:AB168)),0,IRR($B$168:AB168)),4)</f>
        <v>0.1477</v>
      </c>
      <c r="AC170" s="223">
        <f>ROUND(IF(ISERROR(IRR($B$168:AC168)),0,IRR($B$168:AC168)),4)</f>
        <v>0.1482</v>
      </c>
      <c r="AD170" s="223">
        <f>ROUND(IF(ISERROR(IRR($B$168:AD168)),0,IRR($B$168:AD168)),4)</f>
        <v>0.1487</v>
      </c>
      <c r="AE170" s="223">
        <f>ROUND(IF(ISERROR(IRR($B$168:AE168)),0,IRR($B$168:AE168)),4)</f>
        <v>0.1492</v>
      </c>
      <c r="AF170" s="223">
        <f>ROUND(IF(ISERROR(IRR($B$168:AF168)),0,IRR($B$168:AF168)),4)</f>
        <v>0.14979999999999999</v>
      </c>
      <c r="AG170" s="223">
        <f>ROUND(IF(ISERROR(IRR($B$168:AG168)),0,IRR($B$168:AG168)),4)</f>
        <v>0.14979999999999999</v>
      </c>
      <c r="AH170" s="223">
        <f>ROUND(IF(ISERROR(IRR($B$168:AH168)),0,IRR($B$168:AH168)),4)</f>
        <v>0.14979999999999999</v>
      </c>
      <c r="AI170" s="223">
        <f>ROUND(IF(ISERROR(IRR($B$168:AI168)),0,IRR($B$168:AI168)),4)</f>
        <v>0.14979999999999999</v>
      </c>
      <c r="AJ170" s="223">
        <f>ROUND(IF(ISERROR(IRR($B$168:AJ168)),0,IRR($B$168:AJ168)),4)</f>
        <v>0.14979999999999999</v>
      </c>
      <c r="AK170" s="223">
        <f>ROUND(IF(ISERROR(IRR($B$168:AK168)),0,IRR($B$168:AK168)),4)</f>
        <v>0.14979999999999999</v>
      </c>
      <c r="AL170" s="223">
        <f>ROUND(IF(ISERROR(IRR($B$168:AL168)),0,IRR($B$168:AL168)),4)</f>
        <v>0.14979999999999999</v>
      </c>
      <c r="AM170" s="223">
        <f>ROUND(IF(ISERROR(IRR($B$168:AM168)),0,IRR($B$168:AM168)),4)</f>
        <v>0.14979999999999999</v>
      </c>
      <c r="AN170" s="223">
        <f>ROUND(IF(ISERROR(IRR($B$168:AN168)),0,IRR($B$168:AN168)),4)</f>
        <v>0.14979999999999999</v>
      </c>
      <c r="AO170" s="223">
        <f>ROUND(IF(ISERROR(IRR($B$168:AO168)),0,IRR($B$168:AO168)),4)</f>
        <v>0.14979999999999999</v>
      </c>
      <c r="AP170" s="223">
        <f>ROUND(IF(ISERROR(IRR($B$168:AP168)),0,IRR($B$168:AP168)),4)</f>
        <v>0.14979999999999999</v>
      </c>
    </row>
    <row r="171" spans="1:42">
      <c r="A171" s="202" t="s">
        <v>247</v>
      </c>
      <c r="B171" s="224">
        <f>MAX($B$170:B170)</f>
        <v>0</v>
      </c>
      <c r="C171" s="224">
        <f>MAX($B$170:C170)</f>
        <v>0</v>
      </c>
      <c r="D171" s="224">
        <f>MAX($B$170:D170)</f>
        <v>0</v>
      </c>
      <c r="E171" s="224">
        <f>MAX($B$170:E170)</f>
        <v>0</v>
      </c>
      <c r="F171" s="224">
        <f>MAX($B$170:F170)</f>
        <v>0</v>
      </c>
      <c r="G171" s="224">
        <f>MAX($B$170:G170)</f>
        <v>0</v>
      </c>
      <c r="H171" s="224">
        <f>MAX($B$170:H170)</f>
        <v>5.8999999999999999E-3</v>
      </c>
      <c r="I171" s="224">
        <f>MAX($B$170:I170)</f>
        <v>3.5200000000000002E-2</v>
      </c>
      <c r="J171" s="224">
        <f>MAX($B$170:J170)</f>
        <v>5.7799999999999997E-2</v>
      </c>
      <c r="K171" s="224">
        <f>MAX($B$170:K170)</f>
        <v>7.5399999999999995E-2</v>
      </c>
      <c r="L171" s="224">
        <f>MAX($B$170:L170)</f>
        <v>8.9099999999999999E-2</v>
      </c>
      <c r="M171" s="224">
        <f>MAX($B$170:M170)</f>
        <v>0.1</v>
      </c>
      <c r="N171" s="224">
        <f>MAX($B$170:N170)</f>
        <v>0.1091</v>
      </c>
      <c r="O171" s="224">
        <f>MAX($B$170:O170)</f>
        <v>0.11650000000000001</v>
      </c>
      <c r="P171" s="224">
        <f>MAX($B$170:P170)</f>
        <v>0.12230000000000001</v>
      </c>
      <c r="Q171" s="224">
        <f>MAX($B$170:Q170)</f>
        <v>0.1275</v>
      </c>
      <c r="R171" s="224">
        <f>MAX($B$170:R170)</f>
        <v>0.1318</v>
      </c>
      <c r="S171" s="224">
        <f>MAX($B$170:S170)</f>
        <v>0.13500000000000001</v>
      </c>
      <c r="T171" s="224">
        <f>MAX($B$170:T170)</f>
        <v>0.1376</v>
      </c>
      <c r="U171" s="224">
        <f>MAX($B$170:U170)</f>
        <v>0.13980000000000001</v>
      </c>
      <c r="V171" s="224">
        <f>MAX($B$170:V170)</f>
        <v>0.14149999999999999</v>
      </c>
      <c r="W171" s="224">
        <f>MAX($B$170:W170)</f>
        <v>0.1429</v>
      </c>
      <c r="X171" s="224">
        <f>MAX($B$170:X170)</f>
        <v>0.14410000000000001</v>
      </c>
      <c r="Y171" s="224">
        <f>MAX($B$170:Y170)</f>
        <v>0.1452</v>
      </c>
      <c r="Z171" s="224">
        <f>MAX($B$170:Z170)</f>
        <v>0.14610000000000001</v>
      </c>
      <c r="AA171" s="224">
        <f>MAX($B$170:AA170)</f>
        <v>0.14699999999999999</v>
      </c>
      <c r="AB171" s="224">
        <f>MAX($B$170:AB170)</f>
        <v>0.1477</v>
      </c>
      <c r="AC171" s="224">
        <f>MAX($B$170:AC170)</f>
        <v>0.1482</v>
      </c>
      <c r="AD171" s="224">
        <f>MAX($B$170:AD170)</f>
        <v>0.1487</v>
      </c>
      <c r="AE171" s="224">
        <f>MAX($B$170:AE170)</f>
        <v>0.1492</v>
      </c>
      <c r="AF171" s="224">
        <f>MAX($B$170:AF170)</f>
        <v>0.14979999999999999</v>
      </c>
      <c r="AG171" s="224">
        <f>MAX($B$170:AG170)</f>
        <v>0.14979999999999999</v>
      </c>
      <c r="AH171" s="224">
        <f>MAX($B$170:AH170)</f>
        <v>0.14979999999999999</v>
      </c>
      <c r="AI171" s="224">
        <f>MAX($B$170:AI170)</f>
        <v>0.14979999999999999</v>
      </c>
      <c r="AJ171" s="224">
        <f>MAX($B$170:AJ170)</f>
        <v>0.14979999999999999</v>
      </c>
      <c r="AK171" s="224">
        <f>MAX($B$170:AK170)</f>
        <v>0.14979999999999999</v>
      </c>
      <c r="AL171" s="224">
        <f>MAX($B$170:AL170)</f>
        <v>0.14979999999999999</v>
      </c>
      <c r="AM171" s="224">
        <f>MAX($B$170:AM170)</f>
        <v>0.14979999999999999</v>
      </c>
      <c r="AN171" s="224">
        <f>MAX($B$170:AN170)</f>
        <v>0.14979999999999999</v>
      </c>
      <c r="AO171" s="224">
        <f>MAX($B$170:AO170)</f>
        <v>0.14979999999999999</v>
      </c>
      <c r="AP171" s="224">
        <f>MAX($B$170:AP170)</f>
        <v>0.14979999999999999</v>
      </c>
    </row>
    <row r="172" spans="1:42">
      <c r="A172" s="202" t="s">
        <v>419</v>
      </c>
      <c r="B172" s="291">
        <f>B168</f>
        <v>-32456063.49621512</v>
      </c>
      <c r="C172" s="291">
        <f>NPV(DiscountRate,$C168:C168)+$B168</f>
        <v>-29932113.890078869</v>
      </c>
      <c r="D172" s="291">
        <f>NPV(DiscountRate,$C168:D168)+$B168</f>
        <v>-22835032.370064028</v>
      </c>
      <c r="E172" s="291">
        <f>NPV(DiscountRate,$C168:E168)+$B168</f>
        <v>-17670481.033712104</v>
      </c>
      <c r="F172" s="291">
        <f>NPV(DiscountRate,$C168:F168)+$B168</f>
        <v>-13663466.70868263</v>
      </c>
      <c r="G172" s="291">
        <f>NPV(DiscountRate,$C168:G168)+$B168</f>
        <v>-9938042.439252533</v>
      </c>
      <c r="H172" s="291">
        <f>NPV(DiscountRate,$C168:H168)+$B168</f>
        <v>-6980399.6768987067</v>
      </c>
      <c r="I172" s="291">
        <f>NPV(DiscountRate,$C168:I168)+$B168</f>
        <v>-4698136.375465095</v>
      </c>
      <c r="J172" s="291">
        <f>NPV(DiscountRate,$C168:J168)+$B168</f>
        <v>-2573255.9715068787</v>
      </c>
      <c r="K172" s="291">
        <f>NPV(DiscountRate,$C168:K168)+$B168</f>
        <v>-589565.99920260161</v>
      </c>
      <c r="L172" s="291">
        <f>NPV(DiscountRate,$C168:L168)+$B168</f>
        <v>1261970.5008809939</v>
      </c>
      <c r="M172" s="291">
        <f>NPV(DiscountRate,$C168:M168)+$B168</f>
        <v>2985375.0077019632</v>
      </c>
      <c r="N172" s="291">
        <f>NPV(DiscountRate,$C168:N168)+$B168</f>
        <v>4684096.792571418</v>
      </c>
      <c r="O172" s="291">
        <f>NPV(DiscountRate,$C168:O168)+$B168</f>
        <v>6296332.4764160216</v>
      </c>
      <c r="P172" s="291">
        <f>NPV(DiscountRate,$C168:P168)+$B168</f>
        <v>7746694.8048042804</v>
      </c>
      <c r="Q172" s="291">
        <f>NPV(DiscountRate,$C168:Q168)+$B168</f>
        <v>9222162.5333510637</v>
      </c>
      <c r="R172" s="291">
        <f>NPV(DiscountRate,$C168:R168)+$B168</f>
        <v>10638243.029594302</v>
      </c>
      <c r="S172" s="291">
        <f>NPV(DiscountRate,$C168:S168)+$B168</f>
        <v>11850722.08998318</v>
      </c>
      <c r="T172" s="291">
        <f>NPV(DiscountRate,$C168:T168)+$B168</f>
        <v>12919697.49663946</v>
      </c>
      <c r="U172" s="291">
        <f>NPV(DiscountRate,$C168:U168)+$B168</f>
        <v>13917111.682321869</v>
      </c>
      <c r="V172" s="291">
        <f>NPV(DiscountRate,$C168:V168)+$B168</f>
        <v>14815637.370689221</v>
      </c>
      <c r="W172" s="291">
        <f>NPV(DiscountRate,$C168:W168)+$B168</f>
        <v>15626103.73326084</v>
      </c>
      <c r="X172" s="291">
        <f>NPV(DiscountRate,$C168:X168)+$B168</f>
        <v>16380090.604275271</v>
      </c>
      <c r="Y172" s="291">
        <f>NPV(DiscountRate,$C168:Y168)+$B168</f>
        <v>17080031.842429981</v>
      </c>
      <c r="Z172" s="291">
        <f>NPV(DiscountRate,$C168:Z168)+$B168</f>
        <v>17774739.919636689</v>
      </c>
      <c r="AA172" s="291">
        <f>NPV(DiscountRate,$C168:AA168)+$B168</f>
        <v>18465999.862108171</v>
      </c>
      <c r="AB172" s="291">
        <f>NPV(DiscountRate,$C168:AB168)+$B168</f>
        <v>19083427.892639577</v>
      </c>
      <c r="AC172" s="291">
        <f>NPV(DiscountRate,$C168:AC168)+$B168</f>
        <v>19644621.068559751</v>
      </c>
      <c r="AD172" s="291">
        <f>NPV(DiscountRate,$C168:AD168)+$B168</f>
        <v>20166551.137591198</v>
      </c>
      <c r="AE172" s="291">
        <f>NPV(DiscountRate,$C168:AE168)+$B168</f>
        <v>20642009.441915922</v>
      </c>
      <c r="AF172" s="291">
        <f>NPV(DiscountRate,$C168:AF168)+$B168</f>
        <v>21381057.172787197</v>
      </c>
      <c r="AG172" s="291">
        <f>NPV(DiscountRate,$C168:AG168)+$B168</f>
        <v>21381057.172787197</v>
      </c>
      <c r="AH172" s="291">
        <f>NPV(DiscountRate,$C168:AH168)+$B168</f>
        <v>21381057.172787197</v>
      </c>
      <c r="AI172" s="291">
        <f>NPV(DiscountRate,$C168:AI168)+$B168</f>
        <v>21381057.172787197</v>
      </c>
      <c r="AJ172" s="291">
        <f>NPV(DiscountRate,$C168:AJ168)+$B168</f>
        <v>21381057.172787197</v>
      </c>
      <c r="AK172" s="291">
        <f>NPV(DiscountRate,$C168:AK168)+$B168</f>
        <v>21381057.172787197</v>
      </c>
      <c r="AL172" s="291">
        <f>NPV(DiscountRate,$C168:AL168)+$B168</f>
        <v>21381057.172787197</v>
      </c>
      <c r="AM172" s="291">
        <f>NPV(DiscountRate,$C168:AM168)+$B168</f>
        <v>21381057.172787197</v>
      </c>
      <c r="AN172" s="291">
        <f>NPV(DiscountRate,$C168:AN168)+$B168</f>
        <v>21381057.172787197</v>
      </c>
      <c r="AO172" s="291">
        <f>NPV(DiscountRate,$C168:AO168)+$B168</f>
        <v>21381057.172787197</v>
      </c>
      <c r="AP172" s="291">
        <f>NPV(DiscountRate,$C168:AP168)+$B168</f>
        <v>21381057.172787197</v>
      </c>
    </row>
    <row r="173" spans="1:42">
      <c r="A173" s="202"/>
      <c r="B173" s="164"/>
      <c r="C173" s="164"/>
      <c r="D173" s="164"/>
      <c r="E173" s="164"/>
      <c r="F173" s="164"/>
      <c r="G173" s="208"/>
      <c r="H173" s="208"/>
      <c r="I173" s="208"/>
      <c r="J173" s="208"/>
      <c r="K173" s="208"/>
      <c r="L173" s="208"/>
      <c r="M173" s="208"/>
      <c r="N173" s="208"/>
      <c r="O173" s="208"/>
      <c r="P173" s="208"/>
      <c r="Q173" s="208"/>
      <c r="R173" s="208"/>
      <c r="S173" s="208"/>
      <c r="T173" s="208"/>
      <c r="U173" s="208"/>
      <c r="V173" s="208"/>
      <c r="W173" s="208"/>
      <c r="X173" s="208"/>
      <c r="Y173" s="208"/>
      <c r="Z173" s="208"/>
      <c r="AA173" s="208"/>
      <c r="AB173" s="208"/>
      <c r="AC173" s="208"/>
      <c r="AD173" s="208"/>
      <c r="AE173" s="208"/>
      <c r="AF173" s="208"/>
      <c r="AG173" s="208"/>
      <c r="AH173" s="208"/>
      <c r="AI173" s="208"/>
      <c r="AJ173" s="208"/>
      <c r="AK173" s="208"/>
      <c r="AL173" s="208"/>
      <c r="AM173" s="208"/>
      <c r="AN173" s="208"/>
      <c r="AO173" s="208"/>
      <c r="AP173" s="208"/>
    </row>
    <row r="174" spans="1:42">
      <c r="A174" s="37" t="s">
        <v>362</v>
      </c>
      <c r="B174" s="218">
        <f>SUM(C174:AP174)</f>
        <v>20</v>
      </c>
      <c r="C174" s="164">
        <f t="shared" ref="C174:AP174" si="90">IF(AND(B171&lt;SLReturnTarget,C171&gt;=SLReturnTarget),C$2,0)</f>
        <v>0</v>
      </c>
      <c r="D174" s="164">
        <f t="shared" si="90"/>
        <v>0</v>
      </c>
      <c r="E174" s="164">
        <f t="shared" si="90"/>
        <v>0</v>
      </c>
      <c r="F174" s="164">
        <f t="shared" si="90"/>
        <v>0</v>
      </c>
      <c r="G174" s="164">
        <f t="shared" si="90"/>
        <v>0</v>
      </c>
      <c r="H174" s="164">
        <f t="shared" si="90"/>
        <v>0</v>
      </c>
      <c r="I174" s="164">
        <f t="shared" si="90"/>
        <v>0</v>
      </c>
      <c r="J174" s="164">
        <f t="shared" si="90"/>
        <v>0</v>
      </c>
      <c r="K174" s="164">
        <f t="shared" si="90"/>
        <v>0</v>
      </c>
      <c r="L174" s="164">
        <f t="shared" si="90"/>
        <v>0</v>
      </c>
      <c r="M174" s="164">
        <f t="shared" si="90"/>
        <v>0</v>
      </c>
      <c r="N174" s="164">
        <f t="shared" si="90"/>
        <v>0</v>
      </c>
      <c r="O174" s="164">
        <f t="shared" si="90"/>
        <v>0</v>
      </c>
      <c r="P174" s="164">
        <f t="shared" si="90"/>
        <v>0</v>
      </c>
      <c r="Q174" s="164">
        <f t="shared" si="90"/>
        <v>0</v>
      </c>
      <c r="R174" s="164">
        <f t="shared" si="90"/>
        <v>0</v>
      </c>
      <c r="S174" s="164">
        <f t="shared" si="90"/>
        <v>0</v>
      </c>
      <c r="T174" s="164">
        <f t="shared" si="90"/>
        <v>0</v>
      </c>
      <c r="U174" s="164">
        <f t="shared" si="90"/>
        <v>0</v>
      </c>
      <c r="V174" s="164">
        <f t="shared" si="90"/>
        <v>20</v>
      </c>
      <c r="W174" s="164">
        <f t="shared" si="90"/>
        <v>0</v>
      </c>
      <c r="X174" s="164">
        <f t="shared" si="90"/>
        <v>0</v>
      </c>
      <c r="Y174" s="164">
        <f t="shared" si="90"/>
        <v>0</v>
      </c>
      <c r="Z174" s="164">
        <f t="shared" si="90"/>
        <v>0</v>
      </c>
      <c r="AA174" s="164">
        <f t="shared" si="90"/>
        <v>0</v>
      </c>
      <c r="AB174" s="164">
        <f t="shared" si="90"/>
        <v>0</v>
      </c>
      <c r="AC174" s="164">
        <f t="shared" si="90"/>
        <v>0</v>
      </c>
      <c r="AD174" s="164">
        <f t="shared" si="90"/>
        <v>0</v>
      </c>
      <c r="AE174" s="164">
        <f t="shared" si="90"/>
        <v>0</v>
      </c>
      <c r="AF174" s="164">
        <f t="shared" si="90"/>
        <v>0</v>
      </c>
      <c r="AG174" s="164">
        <f t="shared" si="90"/>
        <v>0</v>
      </c>
      <c r="AH174" s="164">
        <f t="shared" si="90"/>
        <v>0</v>
      </c>
      <c r="AI174" s="164">
        <f t="shared" si="90"/>
        <v>0</v>
      </c>
      <c r="AJ174" s="164">
        <f t="shared" si="90"/>
        <v>0</v>
      </c>
      <c r="AK174" s="164">
        <f t="shared" si="90"/>
        <v>0</v>
      </c>
      <c r="AL174" s="164">
        <f t="shared" si="90"/>
        <v>0</v>
      </c>
      <c r="AM174" s="164">
        <f t="shared" si="90"/>
        <v>0</v>
      </c>
      <c r="AN174" s="164">
        <f t="shared" si="90"/>
        <v>0</v>
      </c>
      <c r="AO174" s="164">
        <f t="shared" si="90"/>
        <v>0</v>
      </c>
      <c r="AP174" s="164">
        <f t="shared" si="90"/>
        <v>0</v>
      </c>
    </row>
    <row r="175" spans="1:42">
      <c r="B175" s="164"/>
      <c r="C175" s="164"/>
      <c r="D175" s="164"/>
      <c r="E175" s="164"/>
      <c r="F175" s="164"/>
      <c r="G175" s="208"/>
      <c r="H175" s="208"/>
      <c r="I175" s="208"/>
      <c r="J175" s="208"/>
      <c r="K175" s="208"/>
      <c r="L175" s="208"/>
      <c r="M175" s="208"/>
      <c r="N175" s="208"/>
      <c r="O175" s="208"/>
      <c r="P175" s="208"/>
      <c r="Q175" s="208"/>
      <c r="R175" s="208"/>
      <c r="S175" s="208"/>
      <c r="T175" s="208"/>
      <c r="U175" s="208"/>
      <c r="V175" s="208"/>
      <c r="W175" s="208"/>
      <c r="X175" s="208"/>
      <c r="Y175" s="208"/>
      <c r="Z175" s="208"/>
      <c r="AA175" s="208"/>
      <c r="AB175" s="208"/>
      <c r="AC175" s="208"/>
      <c r="AD175" s="208"/>
      <c r="AE175" s="208"/>
      <c r="AF175" s="208"/>
      <c r="AG175" s="208"/>
      <c r="AH175" s="208"/>
      <c r="AI175" s="208"/>
      <c r="AJ175" s="208"/>
      <c r="AK175" s="208"/>
      <c r="AL175" s="208"/>
      <c r="AM175" s="208"/>
      <c r="AN175" s="208"/>
      <c r="AO175" s="208"/>
      <c r="AP175" s="208"/>
    </row>
    <row r="176" spans="1:42" s="119" customFormat="1">
      <c r="A176" s="217" t="s">
        <v>471</v>
      </c>
      <c r="B176" s="220"/>
      <c r="C176" s="220"/>
      <c r="D176" s="220"/>
      <c r="E176" s="220"/>
      <c r="F176" s="220"/>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46"/>
      <c r="AK176" s="146"/>
      <c r="AL176" s="146"/>
      <c r="AM176" s="146"/>
      <c r="AN176" s="146"/>
      <c r="AO176" s="146"/>
      <c r="AP176" s="146"/>
    </row>
    <row r="177" spans="1:42">
      <c r="A177" s="202" t="s">
        <v>224</v>
      </c>
      <c r="B177" s="208">
        <f>-'Inputs &amp; Results'!D180</f>
        <v>0</v>
      </c>
      <c r="C177" s="208">
        <f t="shared" ref="C177:AP177" si="91">C108-C138</f>
        <v>0</v>
      </c>
      <c r="D177" s="208">
        <f t="shared" si="91"/>
        <v>0</v>
      </c>
      <c r="E177" s="208">
        <f t="shared" si="91"/>
        <v>0</v>
      </c>
      <c r="F177" s="208">
        <f t="shared" si="91"/>
        <v>0</v>
      </c>
      <c r="G177" s="208">
        <f t="shared" si="91"/>
        <v>0</v>
      </c>
      <c r="H177" s="208">
        <f t="shared" si="91"/>
        <v>0</v>
      </c>
      <c r="I177" s="208">
        <f t="shared" si="91"/>
        <v>0</v>
      </c>
      <c r="J177" s="208">
        <f t="shared" si="91"/>
        <v>0</v>
      </c>
      <c r="K177" s="208">
        <f t="shared" si="91"/>
        <v>0</v>
      </c>
      <c r="L177" s="208">
        <f t="shared" si="91"/>
        <v>0</v>
      </c>
      <c r="M177" s="208">
        <f t="shared" si="91"/>
        <v>0</v>
      </c>
      <c r="N177" s="208">
        <f t="shared" si="91"/>
        <v>0</v>
      </c>
      <c r="O177" s="208">
        <f t="shared" si="91"/>
        <v>0</v>
      </c>
      <c r="P177" s="208">
        <f t="shared" si="91"/>
        <v>0</v>
      </c>
      <c r="Q177" s="208">
        <f t="shared" si="91"/>
        <v>0</v>
      </c>
      <c r="R177" s="208">
        <f t="shared" si="91"/>
        <v>0</v>
      </c>
      <c r="S177" s="208">
        <f t="shared" si="91"/>
        <v>0</v>
      </c>
      <c r="T177" s="208">
        <f t="shared" si="91"/>
        <v>0</v>
      </c>
      <c r="U177" s="208">
        <f t="shared" si="91"/>
        <v>0</v>
      </c>
      <c r="V177" s="208">
        <f t="shared" si="91"/>
        <v>0</v>
      </c>
      <c r="W177" s="208">
        <f t="shared" si="91"/>
        <v>0</v>
      </c>
      <c r="X177" s="208">
        <f t="shared" si="91"/>
        <v>0</v>
      </c>
      <c r="Y177" s="208">
        <f t="shared" si="91"/>
        <v>0</v>
      </c>
      <c r="Z177" s="208">
        <f t="shared" si="91"/>
        <v>0</v>
      </c>
      <c r="AA177" s="208">
        <f t="shared" si="91"/>
        <v>0</v>
      </c>
      <c r="AB177" s="208">
        <f t="shared" si="91"/>
        <v>0</v>
      </c>
      <c r="AC177" s="208">
        <f t="shared" si="91"/>
        <v>0</v>
      </c>
      <c r="AD177" s="208">
        <f t="shared" si="91"/>
        <v>0</v>
      </c>
      <c r="AE177" s="208">
        <f t="shared" si="91"/>
        <v>0</v>
      </c>
      <c r="AF177" s="208">
        <f t="shared" si="91"/>
        <v>0</v>
      </c>
      <c r="AG177" s="208">
        <f t="shared" si="91"/>
        <v>0</v>
      </c>
      <c r="AH177" s="208">
        <f t="shared" si="91"/>
        <v>0</v>
      </c>
      <c r="AI177" s="208">
        <f t="shared" si="91"/>
        <v>0</v>
      </c>
      <c r="AJ177" s="208">
        <f t="shared" si="91"/>
        <v>0</v>
      </c>
      <c r="AK177" s="208">
        <f t="shared" si="91"/>
        <v>0</v>
      </c>
      <c r="AL177" s="208">
        <f t="shared" si="91"/>
        <v>0</v>
      </c>
      <c r="AM177" s="208">
        <f t="shared" si="91"/>
        <v>0</v>
      </c>
      <c r="AN177" s="208">
        <f t="shared" si="91"/>
        <v>0</v>
      </c>
      <c r="AO177" s="208">
        <f t="shared" si="91"/>
        <v>0</v>
      </c>
      <c r="AP177" s="208">
        <f t="shared" si="91"/>
        <v>0</v>
      </c>
    </row>
    <row r="178" spans="1:42">
      <c r="A178" s="202" t="s">
        <v>480</v>
      </c>
      <c r="B178" s="208">
        <f>'Inputs &amp; Results'!D141</f>
        <v>1206814.5</v>
      </c>
      <c r="C178" s="208"/>
      <c r="D178" s="208"/>
      <c r="E178" s="208"/>
      <c r="F178" s="208"/>
      <c r="G178" s="208"/>
      <c r="H178" s="208"/>
      <c r="I178" s="208"/>
      <c r="J178" s="208"/>
      <c r="K178" s="208"/>
      <c r="L178" s="208"/>
      <c r="M178" s="208"/>
      <c r="N178" s="208"/>
      <c r="O178" s="208"/>
      <c r="P178" s="208"/>
      <c r="Q178" s="208"/>
      <c r="R178" s="208"/>
      <c r="S178" s="208"/>
      <c r="T178" s="208"/>
      <c r="U178" s="208"/>
      <c r="V178" s="208"/>
      <c r="W178" s="208"/>
      <c r="X178" s="208"/>
      <c r="Y178" s="208"/>
      <c r="Z178" s="208"/>
      <c r="AA178" s="208"/>
      <c r="AB178" s="208"/>
      <c r="AC178" s="208"/>
      <c r="AD178" s="208"/>
      <c r="AE178" s="208"/>
      <c r="AF178" s="208"/>
      <c r="AG178" s="208"/>
      <c r="AH178" s="208"/>
      <c r="AI178" s="208"/>
      <c r="AJ178" s="208"/>
      <c r="AK178" s="208"/>
      <c r="AL178" s="208"/>
      <c r="AM178" s="208"/>
      <c r="AN178" s="208"/>
      <c r="AO178" s="208"/>
      <c r="AP178" s="208"/>
    </row>
    <row r="179" spans="1:42" s="119" customFormat="1">
      <c r="A179" s="309" t="s">
        <v>467</v>
      </c>
      <c r="B179" s="146">
        <f t="shared" ref="B179:AP179" si="92">(-B720-B752-B784)+B68</f>
        <v>0</v>
      </c>
      <c r="C179" s="146">
        <f t="shared" si="92"/>
        <v>0</v>
      </c>
      <c r="D179" s="146">
        <f t="shared" si="92"/>
        <v>0</v>
      </c>
      <c r="E179" s="146">
        <f t="shared" si="92"/>
        <v>0</v>
      </c>
      <c r="F179" s="146">
        <f t="shared" si="92"/>
        <v>0</v>
      </c>
      <c r="G179" s="146">
        <f t="shared" si="92"/>
        <v>0</v>
      </c>
      <c r="H179" s="146">
        <f t="shared" si="92"/>
        <v>0</v>
      </c>
      <c r="I179" s="146">
        <f t="shared" si="92"/>
        <v>0</v>
      </c>
      <c r="J179" s="146">
        <f t="shared" si="92"/>
        <v>0</v>
      </c>
      <c r="K179" s="146">
        <f t="shared" si="92"/>
        <v>0</v>
      </c>
      <c r="L179" s="146">
        <f t="shared" si="92"/>
        <v>0</v>
      </c>
      <c r="M179" s="146">
        <f t="shared" si="92"/>
        <v>0</v>
      </c>
      <c r="N179" s="146">
        <f t="shared" si="92"/>
        <v>0</v>
      </c>
      <c r="O179" s="146">
        <f t="shared" si="92"/>
        <v>0</v>
      </c>
      <c r="P179" s="146">
        <f t="shared" si="92"/>
        <v>0</v>
      </c>
      <c r="Q179" s="146">
        <f t="shared" si="92"/>
        <v>0</v>
      </c>
      <c r="R179" s="146">
        <f t="shared" si="92"/>
        <v>0</v>
      </c>
      <c r="S179" s="146">
        <f t="shared" si="92"/>
        <v>0</v>
      </c>
      <c r="T179" s="146">
        <f t="shared" si="92"/>
        <v>0</v>
      </c>
      <c r="U179" s="146">
        <f t="shared" si="92"/>
        <v>0</v>
      </c>
      <c r="V179" s="146">
        <f t="shared" si="92"/>
        <v>0</v>
      </c>
      <c r="W179" s="146">
        <f t="shared" si="92"/>
        <v>0</v>
      </c>
      <c r="X179" s="146">
        <f t="shared" si="92"/>
        <v>0</v>
      </c>
      <c r="Y179" s="146">
        <f t="shared" si="92"/>
        <v>0</v>
      </c>
      <c r="Z179" s="146">
        <f t="shared" si="92"/>
        <v>0</v>
      </c>
      <c r="AA179" s="146">
        <f t="shared" si="92"/>
        <v>0</v>
      </c>
      <c r="AB179" s="146">
        <f t="shared" si="92"/>
        <v>0</v>
      </c>
      <c r="AC179" s="146">
        <f t="shared" si="92"/>
        <v>0</v>
      </c>
      <c r="AD179" s="146">
        <f t="shared" si="92"/>
        <v>0</v>
      </c>
      <c r="AE179" s="146">
        <f t="shared" si="92"/>
        <v>0</v>
      </c>
      <c r="AF179" s="146">
        <f t="shared" si="92"/>
        <v>0</v>
      </c>
      <c r="AG179" s="146">
        <f t="shared" si="92"/>
        <v>0</v>
      </c>
      <c r="AH179" s="146">
        <f t="shared" si="92"/>
        <v>0</v>
      </c>
      <c r="AI179" s="146">
        <f t="shared" si="92"/>
        <v>0</v>
      </c>
      <c r="AJ179" s="146">
        <f t="shared" si="92"/>
        <v>0</v>
      </c>
      <c r="AK179" s="146">
        <f t="shared" si="92"/>
        <v>0</v>
      </c>
      <c r="AL179" s="146">
        <f t="shared" si="92"/>
        <v>0</v>
      </c>
      <c r="AM179" s="146">
        <f t="shared" si="92"/>
        <v>0</v>
      </c>
      <c r="AN179" s="146">
        <f t="shared" si="92"/>
        <v>0</v>
      </c>
      <c r="AO179" s="146">
        <f t="shared" si="92"/>
        <v>0</v>
      </c>
      <c r="AP179" s="146">
        <f t="shared" si="92"/>
        <v>0</v>
      </c>
    </row>
    <row r="180" spans="1:42" s="119" customFormat="1">
      <c r="A180" s="309" t="s">
        <v>465</v>
      </c>
      <c r="B180" s="146">
        <v>0</v>
      </c>
      <c r="C180" s="146">
        <f t="shared" ref="C180:AP180" si="93">-C708</f>
        <v>0</v>
      </c>
      <c r="D180" s="146">
        <f t="shared" si="93"/>
        <v>0</v>
      </c>
      <c r="E180" s="146">
        <f t="shared" si="93"/>
        <v>0</v>
      </c>
      <c r="F180" s="146">
        <f t="shared" si="93"/>
        <v>0</v>
      </c>
      <c r="G180" s="146">
        <f t="shared" si="93"/>
        <v>0</v>
      </c>
      <c r="H180" s="146">
        <f t="shared" si="93"/>
        <v>0</v>
      </c>
      <c r="I180" s="146">
        <f t="shared" si="93"/>
        <v>0</v>
      </c>
      <c r="J180" s="146">
        <f t="shared" si="93"/>
        <v>0</v>
      </c>
      <c r="K180" s="146">
        <f t="shared" si="93"/>
        <v>0</v>
      </c>
      <c r="L180" s="146">
        <f t="shared" si="93"/>
        <v>0</v>
      </c>
      <c r="M180" s="146">
        <f t="shared" si="93"/>
        <v>0</v>
      </c>
      <c r="N180" s="146">
        <f t="shared" si="93"/>
        <v>0</v>
      </c>
      <c r="O180" s="146">
        <f t="shared" si="93"/>
        <v>0</v>
      </c>
      <c r="P180" s="146">
        <f t="shared" si="93"/>
        <v>0</v>
      </c>
      <c r="Q180" s="146">
        <f t="shared" si="93"/>
        <v>0</v>
      </c>
      <c r="R180" s="146">
        <f t="shared" si="93"/>
        <v>0</v>
      </c>
      <c r="S180" s="146">
        <f t="shared" si="93"/>
        <v>0</v>
      </c>
      <c r="T180" s="146">
        <f t="shared" si="93"/>
        <v>0</v>
      </c>
      <c r="U180" s="146">
        <f t="shared" si="93"/>
        <v>0</v>
      </c>
      <c r="V180" s="146">
        <f t="shared" si="93"/>
        <v>0</v>
      </c>
      <c r="W180" s="146">
        <f t="shared" si="93"/>
        <v>0</v>
      </c>
      <c r="X180" s="146">
        <f t="shared" si="93"/>
        <v>0</v>
      </c>
      <c r="Y180" s="146">
        <f t="shared" si="93"/>
        <v>0</v>
      </c>
      <c r="Z180" s="146">
        <f t="shared" si="93"/>
        <v>0</v>
      </c>
      <c r="AA180" s="146">
        <f t="shared" si="93"/>
        <v>0</v>
      </c>
      <c r="AB180" s="146">
        <f t="shared" si="93"/>
        <v>0</v>
      </c>
      <c r="AC180" s="146">
        <f t="shared" si="93"/>
        <v>0</v>
      </c>
      <c r="AD180" s="146">
        <f t="shared" si="93"/>
        <v>0</v>
      </c>
      <c r="AE180" s="146">
        <f t="shared" si="93"/>
        <v>0</v>
      </c>
      <c r="AF180" s="146">
        <f t="shared" si="93"/>
        <v>150000</v>
      </c>
      <c r="AG180" s="146">
        <f t="shared" si="93"/>
        <v>0</v>
      </c>
      <c r="AH180" s="146">
        <f t="shared" si="93"/>
        <v>0</v>
      </c>
      <c r="AI180" s="146">
        <f t="shared" si="93"/>
        <v>0</v>
      </c>
      <c r="AJ180" s="146">
        <f t="shared" si="93"/>
        <v>0</v>
      </c>
      <c r="AK180" s="146">
        <f t="shared" si="93"/>
        <v>0</v>
      </c>
      <c r="AL180" s="146">
        <f t="shared" si="93"/>
        <v>0</v>
      </c>
      <c r="AM180" s="146">
        <f t="shared" si="93"/>
        <v>0</v>
      </c>
      <c r="AN180" s="146">
        <f t="shared" si="93"/>
        <v>0</v>
      </c>
      <c r="AO180" s="146">
        <f t="shared" si="93"/>
        <v>0</v>
      </c>
      <c r="AP180" s="146">
        <f t="shared" si="93"/>
        <v>0</v>
      </c>
    </row>
    <row r="181" spans="1:42" s="119" customFormat="1">
      <c r="A181" s="309" t="s">
        <v>466</v>
      </c>
      <c r="B181" s="146">
        <v>0</v>
      </c>
      <c r="C181" s="146">
        <f t="shared" ref="C181:AP181" si="94">-C714</f>
        <v>0</v>
      </c>
      <c r="D181" s="146">
        <f t="shared" si="94"/>
        <v>0</v>
      </c>
      <c r="E181" s="146">
        <f t="shared" si="94"/>
        <v>0</v>
      </c>
      <c r="F181" s="146">
        <f t="shared" si="94"/>
        <v>0</v>
      </c>
      <c r="G181" s="146">
        <f t="shared" si="94"/>
        <v>0</v>
      </c>
      <c r="H181" s="146">
        <f t="shared" si="94"/>
        <v>0</v>
      </c>
      <c r="I181" s="146">
        <f t="shared" si="94"/>
        <v>0</v>
      </c>
      <c r="J181" s="146">
        <f t="shared" si="94"/>
        <v>0</v>
      </c>
      <c r="K181" s="146">
        <f t="shared" si="94"/>
        <v>0</v>
      </c>
      <c r="L181" s="146">
        <f t="shared" si="94"/>
        <v>0</v>
      </c>
      <c r="M181" s="146">
        <f t="shared" si="94"/>
        <v>0</v>
      </c>
      <c r="N181" s="146">
        <f t="shared" si="94"/>
        <v>0</v>
      </c>
      <c r="O181" s="146">
        <f t="shared" si="94"/>
        <v>0</v>
      </c>
      <c r="P181" s="146">
        <f t="shared" si="94"/>
        <v>0</v>
      </c>
      <c r="Q181" s="146">
        <f t="shared" si="94"/>
        <v>0</v>
      </c>
      <c r="R181" s="146">
        <f t="shared" si="94"/>
        <v>0</v>
      </c>
      <c r="S181" s="146">
        <f t="shared" si="94"/>
        <v>0</v>
      </c>
      <c r="T181" s="146">
        <f t="shared" si="94"/>
        <v>0</v>
      </c>
      <c r="U181" s="146">
        <f t="shared" si="94"/>
        <v>0</v>
      </c>
      <c r="V181" s="146">
        <f t="shared" si="94"/>
        <v>0</v>
      </c>
      <c r="W181" s="146">
        <f t="shared" si="94"/>
        <v>0</v>
      </c>
      <c r="X181" s="146">
        <f t="shared" si="94"/>
        <v>0</v>
      </c>
      <c r="Y181" s="146">
        <f t="shared" si="94"/>
        <v>0</v>
      </c>
      <c r="Z181" s="146">
        <f t="shared" si="94"/>
        <v>0</v>
      </c>
      <c r="AA181" s="146">
        <f t="shared" si="94"/>
        <v>0</v>
      </c>
      <c r="AB181" s="146">
        <f t="shared" si="94"/>
        <v>0</v>
      </c>
      <c r="AC181" s="146">
        <f t="shared" si="94"/>
        <v>0</v>
      </c>
      <c r="AD181" s="146">
        <f t="shared" si="94"/>
        <v>0</v>
      </c>
      <c r="AE181" s="146">
        <f t="shared" si="94"/>
        <v>0</v>
      </c>
      <c r="AF181" s="146">
        <f t="shared" si="94"/>
        <v>3490604.7462151214</v>
      </c>
      <c r="AG181" s="146">
        <f t="shared" si="94"/>
        <v>0</v>
      </c>
      <c r="AH181" s="146">
        <f t="shared" si="94"/>
        <v>0</v>
      </c>
      <c r="AI181" s="146">
        <f t="shared" si="94"/>
        <v>0</v>
      </c>
      <c r="AJ181" s="146">
        <f t="shared" si="94"/>
        <v>0</v>
      </c>
      <c r="AK181" s="146">
        <f t="shared" si="94"/>
        <v>0</v>
      </c>
      <c r="AL181" s="146">
        <f t="shared" si="94"/>
        <v>0</v>
      </c>
      <c r="AM181" s="146">
        <f t="shared" si="94"/>
        <v>0</v>
      </c>
      <c r="AN181" s="146">
        <f t="shared" si="94"/>
        <v>0</v>
      </c>
      <c r="AO181" s="146">
        <f t="shared" si="94"/>
        <v>0</v>
      </c>
      <c r="AP181" s="146">
        <f t="shared" si="94"/>
        <v>0</v>
      </c>
    </row>
    <row r="182" spans="1:42" s="119" customFormat="1">
      <c r="A182" s="309" t="s">
        <v>496</v>
      </c>
      <c r="B182" s="146">
        <f>B819</f>
        <v>0</v>
      </c>
      <c r="C182" s="146">
        <f t="shared" ref="C182:AP182" si="95">C819</f>
        <v>61085.583058764627</v>
      </c>
      <c r="D182" s="146">
        <f t="shared" si="95"/>
        <v>61085.583058764627</v>
      </c>
      <c r="E182" s="146">
        <f t="shared" si="95"/>
        <v>61085.583058764627</v>
      </c>
      <c r="F182" s="146">
        <f t="shared" si="95"/>
        <v>61085.583058764627</v>
      </c>
      <c r="G182" s="146">
        <f t="shared" si="95"/>
        <v>61085.583058764627</v>
      </c>
      <c r="H182" s="146">
        <f t="shared" si="95"/>
        <v>61085.583058764627</v>
      </c>
      <c r="I182" s="146">
        <f t="shared" si="95"/>
        <v>61085.583058764627</v>
      </c>
      <c r="J182" s="146">
        <f t="shared" si="95"/>
        <v>61085.583058764627</v>
      </c>
      <c r="K182" s="146">
        <f t="shared" si="95"/>
        <v>61085.583058764627</v>
      </c>
      <c r="L182" s="146">
        <f t="shared" si="95"/>
        <v>61085.583058764627</v>
      </c>
      <c r="M182" s="146">
        <f t="shared" si="95"/>
        <v>61085.583058764627</v>
      </c>
      <c r="N182" s="146">
        <f t="shared" si="95"/>
        <v>61085.583058764627</v>
      </c>
      <c r="O182" s="146">
        <f t="shared" si="95"/>
        <v>61085.583058764627</v>
      </c>
      <c r="P182" s="146">
        <f t="shared" si="95"/>
        <v>61085.583058764627</v>
      </c>
      <c r="Q182" s="146">
        <f t="shared" si="95"/>
        <v>61085.583058764627</v>
      </c>
      <c r="R182" s="146">
        <f t="shared" si="95"/>
        <v>61085.583058764627</v>
      </c>
      <c r="S182" s="146">
        <f t="shared" si="95"/>
        <v>61085.583058764627</v>
      </c>
      <c r="T182" s="146">
        <f t="shared" si="95"/>
        <v>61085.583058764627</v>
      </c>
      <c r="U182" s="146">
        <f t="shared" si="95"/>
        <v>61085.583058764627</v>
      </c>
      <c r="V182" s="146">
        <f t="shared" si="95"/>
        <v>61085.583058764627</v>
      </c>
      <c r="W182" s="146">
        <f t="shared" si="95"/>
        <v>61085.583058764627</v>
      </c>
      <c r="X182" s="146">
        <f t="shared" si="95"/>
        <v>61085.583058764627</v>
      </c>
      <c r="Y182" s="146">
        <f t="shared" si="95"/>
        <v>61085.583058764627</v>
      </c>
      <c r="Z182" s="146">
        <f t="shared" si="95"/>
        <v>61085.583058764627</v>
      </c>
      <c r="AA182" s="146">
        <f t="shared" si="95"/>
        <v>61085.583058764627</v>
      </c>
      <c r="AB182" s="146">
        <f t="shared" si="95"/>
        <v>61085.583058764627</v>
      </c>
      <c r="AC182" s="146">
        <f t="shared" si="95"/>
        <v>61085.583058764627</v>
      </c>
      <c r="AD182" s="146">
        <f t="shared" si="95"/>
        <v>61085.583058764627</v>
      </c>
      <c r="AE182" s="146">
        <f t="shared" si="95"/>
        <v>61085.583058764627</v>
      </c>
      <c r="AF182" s="146">
        <f t="shared" si="95"/>
        <v>61085.583058764627</v>
      </c>
      <c r="AG182" s="146">
        <f t="shared" si="95"/>
        <v>0</v>
      </c>
      <c r="AH182" s="146">
        <f t="shared" si="95"/>
        <v>0</v>
      </c>
      <c r="AI182" s="146">
        <f t="shared" si="95"/>
        <v>0</v>
      </c>
      <c r="AJ182" s="146">
        <f t="shared" si="95"/>
        <v>0</v>
      </c>
      <c r="AK182" s="146">
        <f t="shared" si="95"/>
        <v>0</v>
      </c>
      <c r="AL182" s="146">
        <f t="shared" si="95"/>
        <v>0</v>
      </c>
      <c r="AM182" s="146">
        <f t="shared" si="95"/>
        <v>0</v>
      </c>
      <c r="AN182" s="146">
        <f t="shared" si="95"/>
        <v>0</v>
      </c>
      <c r="AO182" s="146">
        <f t="shared" si="95"/>
        <v>0</v>
      </c>
      <c r="AP182" s="146">
        <f t="shared" si="95"/>
        <v>0</v>
      </c>
    </row>
    <row r="183" spans="1:42" s="119" customFormat="1">
      <c r="A183" s="309" t="s">
        <v>445</v>
      </c>
      <c r="B183" s="225">
        <f>B41</f>
        <v>0</v>
      </c>
      <c r="C183" s="225">
        <f t="shared" ref="C183:AP183" si="96">C41</f>
        <v>400000</v>
      </c>
      <c r="D183" s="225">
        <f t="shared" si="96"/>
        <v>408000</v>
      </c>
      <c r="E183" s="225">
        <f t="shared" si="96"/>
        <v>416160</v>
      </c>
      <c r="F183" s="225">
        <f t="shared" si="96"/>
        <v>424483.19999999995</v>
      </c>
      <c r="G183" s="225">
        <f t="shared" si="96"/>
        <v>432972.864</v>
      </c>
      <c r="H183" s="225">
        <f t="shared" si="96"/>
        <v>441632.32128000003</v>
      </c>
      <c r="I183" s="225">
        <f t="shared" si="96"/>
        <v>450464.96770560002</v>
      </c>
      <c r="J183" s="225">
        <f t="shared" si="96"/>
        <v>459474.26705971191</v>
      </c>
      <c r="K183" s="225">
        <f t="shared" si="96"/>
        <v>468663.75240090623</v>
      </c>
      <c r="L183" s="225">
        <f t="shared" si="96"/>
        <v>478037.02744892432</v>
      </c>
      <c r="M183" s="225">
        <f t="shared" si="96"/>
        <v>487597.76799790282</v>
      </c>
      <c r="N183" s="225">
        <f t="shared" si="96"/>
        <v>497349.72335786081</v>
      </c>
      <c r="O183" s="225">
        <f t="shared" si="96"/>
        <v>507296.7178250181</v>
      </c>
      <c r="P183" s="225">
        <f t="shared" si="96"/>
        <v>517442.65218151844</v>
      </c>
      <c r="Q183" s="225">
        <f t="shared" si="96"/>
        <v>527791.50522514887</v>
      </c>
      <c r="R183" s="225">
        <f t="shared" si="96"/>
        <v>538347.33532965172</v>
      </c>
      <c r="S183" s="225">
        <f t="shared" si="96"/>
        <v>549114.28203624487</v>
      </c>
      <c r="T183" s="225">
        <f t="shared" si="96"/>
        <v>560096.5676769698</v>
      </c>
      <c r="U183" s="225">
        <f t="shared" si="96"/>
        <v>571298.49903050903</v>
      </c>
      <c r="V183" s="225">
        <f t="shared" si="96"/>
        <v>582724.46901111922</v>
      </c>
      <c r="W183" s="225">
        <f t="shared" si="96"/>
        <v>594378.95839134173</v>
      </c>
      <c r="X183" s="225">
        <f t="shared" si="96"/>
        <v>606266.53755916853</v>
      </c>
      <c r="Y183" s="225">
        <f t="shared" si="96"/>
        <v>618391.86831035186</v>
      </c>
      <c r="Z183" s="225">
        <f t="shared" si="96"/>
        <v>630759.70567655878</v>
      </c>
      <c r="AA183" s="225">
        <f t="shared" si="96"/>
        <v>643374.89979009004</v>
      </c>
      <c r="AB183" s="225">
        <f t="shared" si="96"/>
        <v>656242.39778589178</v>
      </c>
      <c r="AC183" s="225">
        <f t="shared" si="96"/>
        <v>669367.24574160972</v>
      </c>
      <c r="AD183" s="225">
        <f t="shared" si="96"/>
        <v>682754.59065644175</v>
      </c>
      <c r="AE183" s="225">
        <f t="shared" si="96"/>
        <v>696409.68246957078</v>
      </c>
      <c r="AF183" s="225">
        <f t="shared" si="96"/>
        <v>710337.87611896207</v>
      </c>
      <c r="AG183" s="225">
        <f t="shared" si="96"/>
        <v>0</v>
      </c>
      <c r="AH183" s="225">
        <f t="shared" si="96"/>
        <v>0</v>
      </c>
      <c r="AI183" s="225">
        <f t="shared" si="96"/>
        <v>0</v>
      </c>
      <c r="AJ183" s="225">
        <f t="shared" si="96"/>
        <v>0</v>
      </c>
      <c r="AK183" s="225">
        <f t="shared" si="96"/>
        <v>0</v>
      </c>
      <c r="AL183" s="225">
        <f t="shared" si="96"/>
        <v>0</v>
      </c>
      <c r="AM183" s="225">
        <f t="shared" si="96"/>
        <v>0</v>
      </c>
      <c r="AN183" s="225">
        <f t="shared" si="96"/>
        <v>0</v>
      </c>
      <c r="AO183" s="225">
        <f t="shared" si="96"/>
        <v>0</v>
      </c>
      <c r="AP183" s="225">
        <f t="shared" si="96"/>
        <v>0</v>
      </c>
    </row>
    <row r="184" spans="1:42" s="119" customFormat="1">
      <c r="A184" s="309" t="s">
        <v>53</v>
      </c>
      <c r="B184" s="220">
        <f t="shared" ref="B184:AP184" si="97">SUM(B177:B183)</f>
        <v>1206814.5</v>
      </c>
      <c r="C184" s="220">
        <f t="shared" si="97"/>
        <v>461085.58305876463</v>
      </c>
      <c r="D184" s="220">
        <f t="shared" si="97"/>
        <v>469085.58305876463</v>
      </c>
      <c r="E184" s="220">
        <f t="shared" si="97"/>
        <v>477245.58305876463</v>
      </c>
      <c r="F184" s="220">
        <f t="shared" si="97"/>
        <v>485568.78305876459</v>
      </c>
      <c r="G184" s="220">
        <f t="shared" si="97"/>
        <v>494058.44705876464</v>
      </c>
      <c r="H184" s="220">
        <f t="shared" si="97"/>
        <v>502717.90433876467</v>
      </c>
      <c r="I184" s="220">
        <f t="shared" si="97"/>
        <v>511550.55076436466</v>
      </c>
      <c r="J184" s="220">
        <f t="shared" si="97"/>
        <v>520559.85011847655</v>
      </c>
      <c r="K184" s="220">
        <f t="shared" si="97"/>
        <v>529749.33545967087</v>
      </c>
      <c r="L184" s="220">
        <f t="shared" si="97"/>
        <v>539122.61050768895</v>
      </c>
      <c r="M184" s="220">
        <f t="shared" si="97"/>
        <v>548683.35105666739</v>
      </c>
      <c r="N184" s="220">
        <f t="shared" si="97"/>
        <v>558435.30641662539</v>
      </c>
      <c r="O184" s="220">
        <f t="shared" si="97"/>
        <v>568382.30088378268</v>
      </c>
      <c r="P184" s="220">
        <f t="shared" si="97"/>
        <v>578528.23524028307</v>
      </c>
      <c r="Q184" s="220">
        <f t="shared" si="97"/>
        <v>588877.08828391344</v>
      </c>
      <c r="R184" s="220">
        <f t="shared" si="97"/>
        <v>599432.91838841629</v>
      </c>
      <c r="S184" s="220">
        <f t="shared" si="97"/>
        <v>610199.86509500945</v>
      </c>
      <c r="T184" s="220">
        <f t="shared" si="97"/>
        <v>621182.15073573438</v>
      </c>
      <c r="U184" s="220">
        <f t="shared" si="97"/>
        <v>632384.08208927361</v>
      </c>
      <c r="V184" s="220">
        <f t="shared" si="97"/>
        <v>643810.05206988379</v>
      </c>
      <c r="W184" s="220">
        <f t="shared" si="97"/>
        <v>655464.54145010631</v>
      </c>
      <c r="X184" s="220">
        <f t="shared" si="97"/>
        <v>667352.12061793311</v>
      </c>
      <c r="Y184" s="220">
        <f t="shared" si="97"/>
        <v>679477.45136911643</v>
      </c>
      <c r="Z184" s="220">
        <f t="shared" si="97"/>
        <v>691845.28873532335</v>
      </c>
      <c r="AA184" s="220">
        <f t="shared" si="97"/>
        <v>704460.48284885462</v>
      </c>
      <c r="AB184" s="220">
        <f t="shared" si="97"/>
        <v>717327.98084465635</v>
      </c>
      <c r="AC184" s="220">
        <f t="shared" si="97"/>
        <v>730452.82880037429</v>
      </c>
      <c r="AD184" s="220">
        <f t="shared" si="97"/>
        <v>743840.17371520633</v>
      </c>
      <c r="AE184" s="220">
        <f t="shared" si="97"/>
        <v>757495.26552833535</v>
      </c>
      <c r="AF184" s="220">
        <f t="shared" si="97"/>
        <v>4412028.2053928478</v>
      </c>
      <c r="AG184" s="220">
        <f t="shared" si="97"/>
        <v>0</v>
      </c>
      <c r="AH184" s="220">
        <f t="shared" si="97"/>
        <v>0</v>
      </c>
      <c r="AI184" s="220">
        <f t="shared" si="97"/>
        <v>0</v>
      </c>
      <c r="AJ184" s="220">
        <f t="shared" si="97"/>
        <v>0</v>
      </c>
      <c r="AK184" s="220">
        <f t="shared" si="97"/>
        <v>0</v>
      </c>
      <c r="AL184" s="220">
        <f t="shared" si="97"/>
        <v>0</v>
      </c>
      <c r="AM184" s="220">
        <f t="shared" si="97"/>
        <v>0</v>
      </c>
      <c r="AN184" s="220">
        <f t="shared" si="97"/>
        <v>0</v>
      </c>
      <c r="AO184" s="220">
        <f t="shared" si="97"/>
        <v>0</v>
      </c>
      <c r="AP184" s="220">
        <f t="shared" si="97"/>
        <v>0</v>
      </c>
    </row>
    <row r="185" spans="1:42" s="119" customFormat="1">
      <c r="A185" s="309"/>
      <c r="B185" s="220"/>
      <c r="C185" s="220"/>
      <c r="D185" s="220"/>
      <c r="E185" s="220"/>
      <c r="F185" s="220"/>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46"/>
      <c r="AK185" s="146"/>
      <c r="AL185" s="146"/>
      <c r="AM185" s="146"/>
      <c r="AN185" s="146"/>
      <c r="AO185" s="146"/>
      <c r="AP185" s="146"/>
    </row>
    <row r="186" spans="1:42" s="119" customFormat="1">
      <c r="A186" s="309" t="s">
        <v>418</v>
      </c>
      <c r="B186" s="310" t="str">
        <f>IF(ISERROR(IRR($B184:B184)),"N/A",ROUND(IRR($B184:B184),4))</f>
        <v>N/A</v>
      </c>
      <c r="C186" s="310" t="str">
        <f>IF(ISERROR(IRR($B184:C184)),"N/A",ROUND(IRR($B184:C184),4))</f>
        <v>N/A</v>
      </c>
      <c r="D186" s="310" t="str">
        <f>IF(ISERROR(IRR($B184:D184)),"N/A",ROUND(IRR($B184:D184),4))</f>
        <v>N/A</v>
      </c>
      <c r="E186" s="310" t="str">
        <f>IF(ISERROR(IRR($B184:E184)),"N/A",ROUND(IRR($B184:E184),4))</f>
        <v>N/A</v>
      </c>
      <c r="F186" s="310" t="str">
        <f>IF(ISERROR(IRR($B184:F184)),"N/A",ROUND(IRR($B184:F184),4))</f>
        <v>N/A</v>
      </c>
      <c r="G186" s="310" t="str">
        <f>IF(ISERROR(IRR($B184:G184)),"N/A",ROUND(IRR($B184:G184),4))</f>
        <v>N/A</v>
      </c>
      <c r="H186" s="310" t="str">
        <f>IF(ISERROR(IRR($B184:H184)),"N/A",ROUND(IRR($B184:H184),4))</f>
        <v>N/A</v>
      </c>
      <c r="I186" s="310" t="str">
        <f>IF(ISERROR(IRR($B184:I184)),"N/A",ROUND(IRR($B184:I184),4))</f>
        <v>N/A</v>
      </c>
      <c r="J186" s="310" t="str">
        <f>IF(ISERROR(IRR($B184:J184)),"N/A",ROUND(IRR($B184:J184),4))</f>
        <v>N/A</v>
      </c>
      <c r="K186" s="310" t="str">
        <f>IF(ISERROR(IRR($B184:K184)),"N/A",ROUND(IRR($B184:K184),4))</f>
        <v>N/A</v>
      </c>
      <c r="L186" s="310" t="str">
        <f>IF(ISERROR(IRR($B184:L184)),"N/A",ROUND(IRR($B184:L184),4))</f>
        <v>N/A</v>
      </c>
      <c r="M186" s="310" t="str">
        <f>IF(ISERROR(IRR($B184:M184)),"N/A",ROUND(IRR($B184:M184),4))</f>
        <v>N/A</v>
      </c>
      <c r="N186" s="310" t="str">
        <f>IF(ISERROR(IRR($B184:N184)),"N/A",ROUND(IRR($B184:N184),4))</f>
        <v>N/A</v>
      </c>
      <c r="O186" s="310" t="str">
        <f>IF(ISERROR(IRR($B184:O184)),"N/A",ROUND(IRR($B184:O184),4))</f>
        <v>N/A</v>
      </c>
      <c r="P186" s="310" t="str">
        <f>IF(ISERROR(IRR($B184:P184)),"N/A",ROUND(IRR($B184:P184),4))</f>
        <v>N/A</v>
      </c>
      <c r="Q186" s="310" t="str">
        <f>IF(ISERROR(IRR($B184:Q184)),"N/A",ROUND(IRR($B184:Q184),4))</f>
        <v>N/A</v>
      </c>
      <c r="R186" s="310" t="str">
        <f>IF(ISERROR(IRR($B184:R184)),"N/A",ROUND(IRR($B184:R184),4))</f>
        <v>N/A</v>
      </c>
      <c r="S186" s="310" t="str">
        <f>IF(ISERROR(IRR($B184:S184)),"N/A",ROUND(IRR($B184:S184),4))</f>
        <v>N/A</v>
      </c>
      <c r="T186" s="310" t="str">
        <f>IF(ISERROR(IRR($B184:T184)),"N/A",ROUND(IRR($B184:T184),4))</f>
        <v>N/A</v>
      </c>
      <c r="U186" s="310" t="str">
        <f>IF(ISERROR(IRR($B184:U184)),"N/A",ROUND(IRR($B184:U184),4))</f>
        <v>N/A</v>
      </c>
      <c r="V186" s="310" t="str">
        <f>IF(ISERROR(IRR($B184:V184)),"N/A",ROUND(IRR($B184:V184),4))</f>
        <v>N/A</v>
      </c>
      <c r="W186" s="310" t="str">
        <f>IF(ISERROR(IRR($B184:W184)),"N/A",ROUND(IRR($B184:W184),4))</f>
        <v>N/A</v>
      </c>
      <c r="X186" s="310" t="str">
        <f>IF(ISERROR(IRR($B184:X184)),"N/A",ROUND(IRR($B184:X184),4))</f>
        <v>N/A</v>
      </c>
      <c r="Y186" s="310" t="str">
        <f>IF(ISERROR(IRR($B184:Y184)),"N/A",ROUND(IRR($B184:Y184),4))</f>
        <v>N/A</v>
      </c>
      <c r="Z186" s="310" t="str">
        <f>IF(ISERROR(IRR($B184:Z184)),"N/A",ROUND(IRR($B184:Z184),4))</f>
        <v>N/A</v>
      </c>
      <c r="AA186" s="310" t="str">
        <f>IF(ISERROR(IRR($B184:AA184)),"N/A",ROUND(IRR($B184:AA184),4))</f>
        <v>N/A</v>
      </c>
      <c r="AB186" s="310" t="str">
        <f>IF(ISERROR(IRR($B184:AB184)),"N/A",ROUND(IRR($B184:AB184),4))</f>
        <v>N/A</v>
      </c>
      <c r="AC186" s="310" t="str">
        <f>IF(ISERROR(IRR($B184:AC184)),"N/A",ROUND(IRR($B184:AC184),4))</f>
        <v>N/A</v>
      </c>
      <c r="AD186" s="310" t="str">
        <f>IF(ISERROR(IRR($B184:AD184)),"N/A",ROUND(IRR($B184:AD184),4))</f>
        <v>N/A</v>
      </c>
      <c r="AE186" s="310" t="str">
        <f>IF(ISERROR(IRR($B184:AE184)),"N/A",ROUND(IRR($B184:AE184),4))</f>
        <v>N/A</v>
      </c>
      <c r="AF186" s="310" t="str">
        <f>IF(ISERROR(IRR($B184:AF184)),"N/A",ROUND(IRR($B184:AF184),4))</f>
        <v>N/A</v>
      </c>
      <c r="AG186" s="310" t="str">
        <f>IF(ISERROR(IRR($B184:AG184)),"N/A",ROUND(IRR($B184:AG184),4))</f>
        <v>N/A</v>
      </c>
      <c r="AH186" s="310" t="str">
        <f>IF(ISERROR(IRR($B184:AH184)),"N/A",ROUND(IRR($B184:AH184),4))</f>
        <v>N/A</v>
      </c>
      <c r="AI186" s="310" t="str">
        <f>IF(ISERROR(IRR($B184:AI184)),"N/A",ROUND(IRR($B184:AI184),4))</f>
        <v>N/A</v>
      </c>
      <c r="AJ186" s="310" t="str">
        <f>IF(ISERROR(IRR($B184:AJ184)),"N/A",ROUND(IRR($B184:AJ184),4))</f>
        <v>N/A</v>
      </c>
      <c r="AK186" s="310" t="str">
        <f>IF(ISERROR(IRR($B184:AK184)),"N/A",ROUND(IRR($B184:AK184),4))</f>
        <v>N/A</v>
      </c>
      <c r="AL186" s="310" t="str">
        <f>IF(ISERROR(IRR($B184:AL184)),"N/A",ROUND(IRR($B184:AL184),4))</f>
        <v>N/A</v>
      </c>
      <c r="AM186" s="310" t="str">
        <f>IF(ISERROR(IRR($B184:AM184)),"N/A",ROUND(IRR($B184:AM184),4))</f>
        <v>N/A</v>
      </c>
      <c r="AN186" s="310" t="str">
        <f>IF(ISERROR(IRR($B184:AN184)),"N/A",ROUND(IRR($B184:AN184),4))</f>
        <v>N/A</v>
      </c>
      <c r="AO186" s="310" t="str">
        <f>IF(ISERROR(IRR($B184:AO184)),"N/A",ROUND(IRR($B184:AO184),4))</f>
        <v>N/A</v>
      </c>
      <c r="AP186" s="310" t="str">
        <f>IF(ISERROR(IRR($B184:AP184)),"N/A",ROUND(IRR($B184:AP184),4))</f>
        <v>N/A</v>
      </c>
    </row>
    <row r="187" spans="1:42" s="119" customFormat="1">
      <c r="A187" s="309" t="s">
        <v>419</v>
      </c>
      <c r="B187" s="311">
        <f>B184</f>
        <v>1206814.5</v>
      </c>
      <c r="C187" s="311">
        <f>NPV(DiscountRate,$C184:C184)+$B184</f>
        <v>1633745.595424782</v>
      </c>
      <c r="D187" s="311">
        <f>NPV(DiscountRate,$C184:D184)+$B184</f>
        <v>2035910.8758249576</v>
      </c>
      <c r="E187" s="311">
        <f>NPV(DiscountRate,$C184:E184)+$B184</f>
        <v>2414763.8065414741</v>
      </c>
      <c r="F187" s="311">
        <f>NPV(DiscountRate,$C184:F184)+$B184</f>
        <v>2771671.3576757107</v>
      </c>
      <c r="G187" s="311">
        <f>NPV(DiscountRate,$C184:G184)+$B184</f>
        <v>3107919.2350964961</v>
      </c>
      <c r="H187" s="311">
        <f>NPV(DiscountRate,$C184:H184)+$B184</f>
        <v>3424716.7893011114</v>
      </c>
      <c r="I187" s="311">
        <f>NPV(DiscountRate,$C184:I184)+$B184</f>
        <v>3723201.6223631729</v>
      </c>
      <c r="J187" s="311">
        <f>NPV(DiscountRate,$C184:J184)+$B184</f>
        <v>4004443.9119031979</v>
      </c>
      <c r="K187" s="311">
        <f>NPV(DiscountRate,$C184:K184)+$B184</f>
        <v>4269450.4698054753</v>
      </c>
      <c r="L187" s="311">
        <f>NPV(DiscountRate,$C184:L184)+$B184</f>
        <v>4519168.5522718523</v>
      </c>
      <c r="M187" s="311">
        <f>NPV(DiscountRate,$C184:M184)+$B184</f>
        <v>4754489.4367440101</v>
      </c>
      <c r="N187" s="311">
        <f>NPV(DiscountRate,$C184:N184)+$B184</f>
        <v>4976251.7802357422</v>
      </c>
      <c r="O187" s="311">
        <f>NPV(DiscountRate,$C184:O184)+$B184</f>
        <v>5185244.7726911269</v>
      </c>
      <c r="P187" s="311">
        <f>NPV(DiscountRate,$C184:P184)+$B184</f>
        <v>5382211.098119026</v>
      </c>
      <c r="Q187" s="311">
        <f>NPV(DiscountRate,$C184:Q184)+$B184</f>
        <v>5567849.715444996</v>
      </c>
      <c r="R187" s="311">
        <f>NPV(DiscountRate,$C184:R184)+$B184</f>
        <v>5742818.4702648511</v>
      </c>
      <c r="S187" s="311">
        <f>NPV(DiscountRate,$C184:S184)+$B184</f>
        <v>5907736.5479761912</v>
      </c>
      <c r="T187" s="311">
        <f>NPV(DiscountRate,$C184:T184)+$B184</f>
        <v>6063186.7781020543</v>
      </c>
      <c r="U187" s="311">
        <f>NPV(DiscountRate,$C184:U184)+$B184</f>
        <v>6209717.7990014171</v>
      </c>
      <c r="V187" s="311">
        <f>NPV(DiscountRate,$C184:V184)+$B184</f>
        <v>6347846.0915817227</v>
      </c>
      <c r="W187" s="311">
        <f>NPV(DiscountRate,$C184:W184)+$B184</f>
        <v>6478057.890086391</v>
      </c>
      <c r="X187" s="311">
        <f>NPV(DiscountRate,$C184:X184)+$B184</f>
        <v>6600810.9775228398</v>
      </c>
      <c r="Y187" s="311">
        <f>NPV(DiscountRate,$C184:Y184)+$B184</f>
        <v>6716536.3728217026</v>
      </c>
      <c r="Z187" s="311">
        <f>NPV(DiscountRate,$C184:Z184)+$B184</f>
        <v>6825639.9163735043</v>
      </c>
      <c r="AA187" s="311">
        <f>NPV(DiscountRate,$C184:AA184)+$B184</f>
        <v>6928503.760173033</v>
      </c>
      <c r="AB187" s="311">
        <f>NPV(DiscountRate,$C184:AB184)+$B184</f>
        <v>7025487.7684122436</v>
      </c>
      <c r="AC187" s="311">
        <f>NPV(DiscountRate,$C184:AC184)+$B184</f>
        <v>7116930.8339979276</v>
      </c>
      <c r="AD187" s="311">
        <f>NPV(DiscountRate,$C184:AD184)+$B184</f>
        <v>7203152.1161290435</v>
      </c>
      <c r="AE187" s="311">
        <f>NPV(DiscountRate,$C184:AE184)+$B184</f>
        <v>7284452.2037489368</v>
      </c>
      <c r="AF187" s="311">
        <f>NPV(DiscountRate,$C184:AF184)+$B184</f>
        <v>7722907.7979353648</v>
      </c>
      <c r="AG187" s="311">
        <f>NPV(DiscountRate,$C184:AG184)+$B184</f>
        <v>7722907.7979353648</v>
      </c>
      <c r="AH187" s="311">
        <f>NPV(DiscountRate,$C184:AH184)+$B184</f>
        <v>7722907.7979353648</v>
      </c>
      <c r="AI187" s="311">
        <f>NPV(DiscountRate,$C184:AI184)+$B184</f>
        <v>7722907.7979353648</v>
      </c>
      <c r="AJ187" s="311">
        <f>NPV(DiscountRate,$C184:AJ184)+$B184</f>
        <v>7722907.7979353648</v>
      </c>
      <c r="AK187" s="311">
        <f>NPV(DiscountRate,$C184:AK184)+$B184</f>
        <v>7722907.7979353648</v>
      </c>
      <c r="AL187" s="311">
        <f>NPV(DiscountRate,$C184:AL184)+$B184</f>
        <v>7722907.7979353648</v>
      </c>
      <c r="AM187" s="311">
        <f>NPV(DiscountRate,$C184:AM184)+$B184</f>
        <v>7722907.7979353648</v>
      </c>
      <c r="AN187" s="311">
        <f>NPV(DiscountRate,$C184:AN184)+$B184</f>
        <v>7722907.7979353648</v>
      </c>
      <c r="AO187" s="311">
        <f>NPV(DiscountRate,$C184:AO184)+$B184</f>
        <v>7722907.7979353648</v>
      </c>
      <c r="AP187" s="311">
        <f>NPV(DiscountRate,$C184:AP184)+$B184</f>
        <v>7722907.7979353648</v>
      </c>
    </row>
    <row r="188" spans="1:42" s="119" customFormat="1">
      <c r="A188" s="309"/>
      <c r="B188" s="220"/>
      <c r="C188" s="220"/>
      <c r="D188" s="220"/>
      <c r="E188" s="220"/>
      <c r="F188" s="220"/>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46"/>
      <c r="AK188" s="146"/>
      <c r="AL188" s="146"/>
      <c r="AM188" s="146"/>
      <c r="AN188" s="146"/>
      <c r="AO188" s="146"/>
      <c r="AP188" s="146"/>
    </row>
    <row r="189" spans="1:42" s="119" customFormat="1">
      <c r="A189" s="309" t="s">
        <v>226</v>
      </c>
      <c r="B189" s="340" t="str">
        <f>IF(ISERROR(IRR(B184:AP184)),"N/A",IRR(B184:AP184))</f>
        <v>N/A</v>
      </c>
      <c r="C189" s="220"/>
      <c r="D189" s="220"/>
      <c r="E189" s="220"/>
      <c r="F189" s="220"/>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46"/>
      <c r="AK189" s="146"/>
      <c r="AL189" s="146"/>
      <c r="AM189" s="146"/>
      <c r="AN189" s="146"/>
      <c r="AO189" s="146"/>
      <c r="AP189" s="146"/>
    </row>
    <row r="190" spans="1:42" s="119" customFormat="1">
      <c r="A190" s="309" t="s">
        <v>227</v>
      </c>
      <c r="B190" s="341">
        <f>NPV(DiscountRate,$C184:$AP184)+B184</f>
        <v>7722907.7979353648</v>
      </c>
      <c r="C190" s="220"/>
      <c r="D190" s="220"/>
      <c r="E190" s="220"/>
      <c r="F190" s="220"/>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46"/>
      <c r="AK190" s="146"/>
      <c r="AL190" s="146"/>
      <c r="AM190" s="146"/>
      <c r="AN190" s="146"/>
      <c r="AO190" s="146"/>
      <c r="AP190" s="146"/>
    </row>
    <row r="191" spans="1:42" s="119" customFormat="1">
      <c r="A191" s="42"/>
      <c r="B191" s="220"/>
      <c r="C191" s="220"/>
      <c r="D191" s="220"/>
      <c r="E191" s="220"/>
      <c r="F191" s="220"/>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46"/>
      <c r="AK191" s="146"/>
      <c r="AL191" s="146"/>
      <c r="AM191" s="146"/>
      <c r="AN191" s="146"/>
      <c r="AO191" s="146"/>
      <c r="AP191" s="146"/>
    </row>
    <row r="192" spans="1:42" s="119" customFormat="1">
      <c r="A192" s="328" t="s">
        <v>472</v>
      </c>
      <c r="B192" s="220"/>
      <c r="C192" s="220"/>
      <c r="D192" s="220"/>
      <c r="E192" s="220"/>
      <c r="F192" s="220"/>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46"/>
      <c r="AK192" s="146"/>
      <c r="AL192" s="146"/>
      <c r="AM192" s="146"/>
      <c r="AN192" s="146"/>
      <c r="AO192" s="146"/>
      <c r="AP192" s="146"/>
    </row>
    <row r="193" spans="1:42" s="119" customFormat="1">
      <c r="A193" s="219" t="s">
        <v>229</v>
      </c>
      <c r="B193" s="220"/>
      <c r="C193" s="220"/>
      <c r="D193" s="220"/>
      <c r="E193" s="220"/>
      <c r="F193" s="220"/>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46"/>
      <c r="AK193" s="146"/>
      <c r="AL193" s="146"/>
      <c r="AM193" s="146"/>
      <c r="AN193" s="146"/>
      <c r="AO193" s="146"/>
      <c r="AP193" s="146"/>
    </row>
    <row r="194" spans="1:42" s="119" customFormat="1">
      <c r="A194" s="297" t="s">
        <v>224</v>
      </c>
      <c r="B194" s="146">
        <f>B177</f>
        <v>0</v>
      </c>
      <c r="C194" s="146">
        <f t="shared" ref="C194:AP194" si="98">C108-C150</f>
        <v>0</v>
      </c>
      <c r="D194" s="146">
        <f t="shared" si="98"/>
        <v>0</v>
      </c>
      <c r="E194" s="146">
        <f t="shared" si="98"/>
        <v>0</v>
      </c>
      <c r="F194" s="146">
        <f t="shared" si="98"/>
        <v>0</v>
      </c>
      <c r="G194" s="146">
        <f t="shared" si="98"/>
        <v>0</v>
      </c>
      <c r="H194" s="146">
        <f t="shared" si="98"/>
        <v>0</v>
      </c>
      <c r="I194" s="146">
        <f t="shared" si="98"/>
        <v>0</v>
      </c>
      <c r="J194" s="146">
        <f t="shared" si="98"/>
        <v>0</v>
      </c>
      <c r="K194" s="146">
        <f t="shared" si="98"/>
        <v>0</v>
      </c>
      <c r="L194" s="146">
        <f t="shared" si="98"/>
        <v>0</v>
      </c>
      <c r="M194" s="146">
        <f t="shared" si="98"/>
        <v>0</v>
      </c>
      <c r="N194" s="146">
        <f t="shared" si="98"/>
        <v>0</v>
      </c>
      <c r="O194" s="146">
        <f t="shared" si="98"/>
        <v>0</v>
      </c>
      <c r="P194" s="146">
        <f t="shared" si="98"/>
        <v>0</v>
      </c>
      <c r="Q194" s="146">
        <f t="shared" si="98"/>
        <v>0</v>
      </c>
      <c r="R194" s="146">
        <f t="shared" si="98"/>
        <v>0</v>
      </c>
      <c r="S194" s="146">
        <f t="shared" si="98"/>
        <v>0</v>
      </c>
      <c r="T194" s="146">
        <f t="shared" si="98"/>
        <v>0</v>
      </c>
      <c r="U194" s="146">
        <f t="shared" si="98"/>
        <v>0</v>
      </c>
      <c r="V194" s="146">
        <f t="shared" si="98"/>
        <v>0</v>
      </c>
      <c r="W194" s="146">
        <f t="shared" si="98"/>
        <v>0</v>
      </c>
      <c r="X194" s="146">
        <f t="shared" si="98"/>
        <v>0</v>
      </c>
      <c r="Y194" s="146">
        <f t="shared" si="98"/>
        <v>0</v>
      </c>
      <c r="Z194" s="146">
        <f t="shared" si="98"/>
        <v>0</v>
      </c>
      <c r="AA194" s="146">
        <f t="shared" si="98"/>
        <v>0</v>
      </c>
      <c r="AB194" s="146">
        <f t="shared" si="98"/>
        <v>0</v>
      </c>
      <c r="AC194" s="146">
        <f t="shared" si="98"/>
        <v>0</v>
      </c>
      <c r="AD194" s="146">
        <f t="shared" si="98"/>
        <v>0</v>
      </c>
      <c r="AE194" s="146">
        <f t="shared" si="98"/>
        <v>0</v>
      </c>
      <c r="AF194" s="146">
        <f t="shared" si="98"/>
        <v>0</v>
      </c>
      <c r="AG194" s="146">
        <f t="shared" si="98"/>
        <v>0</v>
      </c>
      <c r="AH194" s="146">
        <f t="shared" si="98"/>
        <v>0</v>
      </c>
      <c r="AI194" s="146">
        <f t="shared" si="98"/>
        <v>0</v>
      </c>
      <c r="AJ194" s="146">
        <f t="shared" si="98"/>
        <v>0</v>
      </c>
      <c r="AK194" s="146">
        <f t="shared" si="98"/>
        <v>0</v>
      </c>
      <c r="AL194" s="146">
        <f t="shared" si="98"/>
        <v>0</v>
      </c>
      <c r="AM194" s="146">
        <f t="shared" si="98"/>
        <v>0</v>
      </c>
      <c r="AN194" s="146">
        <f t="shared" si="98"/>
        <v>0</v>
      </c>
      <c r="AO194" s="146">
        <f t="shared" si="98"/>
        <v>0</v>
      </c>
      <c r="AP194" s="146">
        <f t="shared" si="98"/>
        <v>0</v>
      </c>
    </row>
    <row r="195" spans="1:42" s="119" customFormat="1">
      <c r="A195" s="297" t="s">
        <v>402</v>
      </c>
      <c r="B195" s="146">
        <f>'Inputs &amp; Results'!D141</f>
        <v>1206814.5</v>
      </c>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46"/>
      <c r="AK195" s="146"/>
      <c r="AL195" s="146"/>
      <c r="AM195" s="146"/>
      <c r="AN195" s="146"/>
      <c r="AO195" s="146"/>
      <c r="AP195" s="146"/>
    </row>
    <row r="196" spans="1:42" s="119" customFormat="1">
      <c r="A196" s="297" t="s">
        <v>467</v>
      </c>
      <c r="B196" s="146">
        <f>B179</f>
        <v>0</v>
      </c>
      <c r="C196" s="146">
        <f t="shared" ref="C196:AP196" si="99">C179</f>
        <v>0</v>
      </c>
      <c r="D196" s="146">
        <f t="shared" si="99"/>
        <v>0</v>
      </c>
      <c r="E196" s="146">
        <f t="shared" si="99"/>
        <v>0</v>
      </c>
      <c r="F196" s="146">
        <f t="shared" si="99"/>
        <v>0</v>
      </c>
      <c r="G196" s="146">
        <f t="shared" si="99"/>
        <v>0</v>
      </c>
      <c r="H196" s="146">
        <f t="shared" si="99"/>
        <v>0</v>
      </c>
      <c r="I196" s="146">
        <f t="shared" si="99"/>
        <v>0</v>
      </c>
      <c r="J196" s="146">
        <f t="shared" si="99"/>
        <v>0</v>
      </c>
      <c r="K196" s="146">
        <f t="shared" si="99"/>
        <v>0</v>
      </c>
      <c r="L196" s="146">
        <f t="shared" si="99"/>
        <v>0</v>
      </c>
      <c r="M196" s="146">
        <f t="shared" si="99"/>
        <v>0</v>
      </c>
      <c r="N196" s="146">
        <f t="shared" si="99"/>
        <v>0</v>
      </c>
      <c r="O196" s="146">
        <f t="shared" si="99"/>
        <v>0</v>
      </c>
      <c r="P196" s="146">
        <f t="shared" si="99"/>
        <v>0</v>
      </c>
      <c r="Q196" s="146">
        <f t="shared" si="99"/>
        <v>0</v>
      </c>
      <c r="R196" s="146">
        <f t="shared" si="99"/>
        <v>0</v>
      </c>
      <c r="S196" s="146">
        <f t="shared" si="99"/>
        <v>0</v>
      </c>
      <c r="T196" s="146">
        <f t="shared" si="99"/>
        <v>0</v>
      </c>
      <c r="U196" s="146">
        <f t="shared" si="99"/>
        <v>0</v>
      </c>
      <c r="V196" s="146">
        <f t="shared" si="99"/>
        <v>0</v>
      </c>
      <c r="W196" s="146">
        <f t="shared" si="99"/>
        <v>0</v>
      </c>
      <c r="X196" s="146">
        <f t="shared" si="99"/>
        <v>0</v>
      </c>
      <c r="Y196" s="146">
        <f t="shared" si="99"/>
        <v>0</v>
      </c>
      <c r="Z196" s="146">
        <f t="shared" si="99"/>
        <v>0</v>
      </c>
      <c r="AA196" s="146">
        <f t="shared" si="99"/>
        <v>0</v>
      </c>
      <c r="AB196" s="146">
        <f t="shared" si="99"/>
        <v>0</v>
      </c>
      <c r="AC196" s="146">
        <f t="shared" si="99"/>
        <v>0</v>
      </c>
      <c r="AD196" s="146">
        <f t="shared" si="99"/>
        <v>0</v>
      </c>
      <c r="AE196" s="146">
        <f t="shared" si="99"/>
        <v>0</v>
      </c>
      <c r="AF196" s="146">
        <f t="shared" si="99"/>
        <v>0</v>
      </c>
      <c r="AG196" s="146">
        <f t="shared" si="99"/>
        <v>0</v>
      </c>
      <c r="AH196" s="146">
        <f t="shared" si="99"/>
        <v>0</v>
      </c>
      <c r="AI196" s="146">
        <f t="shared" si="99"/>
        <v>0</v>
      </c>
      <c r="AJ196" s="146">
        <f t="shared" si="99"/>
        <v>0</v>
      </c>
      <c r="AK196" s="146">
        <f t="shared" si="99"/>
        <v>0</v>
      </c>
      <c r="AL196" s="146">
        <f t="shared" si="99"/>
        <v>0</v>
      </c>
      <c r="AM196" s="146">
        <f t="shared" si="99"/>
        <v>0</v>
      </c>
      <c r="AN196" s="146">
        <f t="shared" si="99"/>
        <v>0</v>
      </c>
      <c r="AO196" s="146">
        <f t="shared" si="99"/>
        <v>0</v>
      </c>
      <c r="AP196" s="146">
        <f t="shared" si="99"/>
        <v>0</v>
      </c>
    </row>
    <row r="197" spans="1:42" s="119" customFormat="1">
      <c r="A197" s="297" t="s">
        <v>465</v>
      </c>
      <c r="B197" s="146">
        <v>0</v>
      </c>
      <c r="C197" s="146">
        <f t="shared" ref="C197:AP197" si="100">C180</f>
        <v>0</v>
      </c>
      <c r="D197" s="146">
        <f t="shared" si="100"/>
        <v>0</v>
      </c>
      <c r="E197" s="146">
        <f t="shared" si="100"/>
        <v>0</v>
      </c>
      <c r="F197" s="146">
        <f t="shared" si="100"/>
        <v>0</v>
      </c>
      <c r="G197" s="146">
        <f t="shared" si="100"/>
        <v>0</v>
      </c>
      <c r="H197" s="146">
        <f t="shared" si="100"/>
        <v>0</v>
      </c>
      <c r="I197" s="146">
        <f t="shared" si="100"/>
        <v>0</v>
      </c>
      <c r="J197" s="146">
        <f t="shared" si="100"/>
        <v>0</v>
      </c>
      <c r="K197" s="146">
        <f t="shared" si="100"/>
        <v>0</v>
      </c>
      <c r="L197" s="146">
        <f t="shared" si="100"/>
        <v>0</v>
      </c>
      <c r="M197" s="146">
        <f t="shared" si="100"/>
        <v>0</v>
      </c>
      <c r="N197" s="146">
        <f t="shared" si="100"/>
        <v>0</v>
      </c>
      <c r="O197" s="146">
        <f t="shared" si="100"/>
        <v>0</v>
      </c>
      <c r="P197" s="146">
        <f t="shared" si="100"/>
        <v>0</v>
      </c>
      <c r="Q197" s="146">
        <f t="shared" si="100"/>
        <v>0</v>
      </c>
      <c r="R197" s="146">
        <f t="shared" si="100"/>
        <v>0</v>
      </c>
      <c r="S197" s="146">
        <f t="shared" si="100"/>
        <v>0</v>
      </c>
      <c r="T197" s="146">
        <f t="shared" si="100"/>
        <v>0</v>
      </c>
      <c r="U197" s="146">
        <f t="shared" si="100"/>
        <v>0</v>
      </c>
      <c r="V197" s="146">
        <f t="shared" si="100"/>
        <v>0</v>
      </c>
      <c r="W197" s="146">
        <f t="shared" si="100"/>
        <v>0</v>
      </c>
      <c r="X197" s="146">
        <f t="shared" si="100"/>
        <v>0</v>
      </c>
      <c r="Y197" s="146">
        <f t="shared" si="100"/>
        <v>0</v>
      </c>
      <c r="Z197" s="146">
        <f t="shared" si="100"/>
        <v>0</v>
      </c>
      <c r="AA197" s="146">
        <f t="shared" si="100"/>
        <v>0</v>
      </c>
      <c r="AB197" s="146">
        <f t="shared" si="100"/>
        <v>0</v>
      </c>
      <c r="AC197" s="146">
        <f t="shared" si="100"/>
        <v>0</v>
      </c>
      <c r="AD197" s="146">
        <f t="shared" si="100"/>
        <v>0</v>
      </c>
      <c r="AE197" s="146">
        <f t="shared" si="100"/>
        <v>0</v>
      </c>
      <c r="AF197" s="146">
        <f t="shared" si="100"/>
        <v>150000</v>
      </c>
      <c r="AG197" s="146">
        <f t="shared" si="100"/>
        <v>0</v>
      </c>
      <c r="AH197" s="146">
        <f t="shared" si="100"/>
        <v>0</v>
      </c>
      <c r="AI197" s="146">
        <f t="shared" si="100"/>
        <v>0</v>
      </c>
      <c r="AJ197" s="146">
        <f t="shared" si="100"/>
        <v>0</v>
      </c>
      <c r="AK197" s="146">
        <f t="shared" si="100"/>
        <v>0</v>
      </c>
      <c r="AL197" s="146">
        <f t="shared" si="100"/>
        <v>0</v>
      </c>
      <c r="AM197" s="146">
        <f t="shared" si="100"/>
        <v>0</v>
      </c>
      <c r="AN197" s="146">
        <f t="shared" si="100"/>
        <v>0</v>
      </c>
      <c r="AO197" s="146">
        <f t="shared" si="100"/>
        <v>0</v>
      </c>
      <c r="AP197" s="146">
        <f t="shared" si="100"/>
        <v>0</v>
      </c>
    </row>
    <row r="198" spans="1:42" s="119" customFormat="1">
      <c r="A198" s="297" t="s">
        <v>466</v>
      </c>
      <c r="B198" s="146">
        <v>0</v>
      </c>
      <c r="C198" s="146">
        <f t="shared" ref="C198:AP198" si="101">C181</f>
        <v>0</v>
      </c>
      <c r="D198" s="146">
        <f t="shared" si="101"/>
        <v>0</v>
      </c>
      <c r="E198" s="146">
        <f t="shared" si="101"/>
        <v>0</v>
      </c>
      <c r="F198" s="146">
        <f t="shared" si="101"/>
        <v>0</v>
      </c>
      <c r="G198" s="146">
        <f t="shared" si="101"/>
        <v>0</v>
      </c>
      <c r="H198" s="146">
        <f t="shared" si="101"/>
        <v>0</v>
      </c>
      <c r="I198" s="146">
        <f t="shared" si="101"/>
        <v>0</v>
      </c>
      <c r="J198" s="146">
        <f t="shared" si="101"/>
        <v>0</v>
      </c>
      <c r="K198" s="146">
        <f t="shared" si="101"/>
        <v>0</v>
      </c>
      <c r="L198" s="146">
        <f t="shared" si="101"/>
        <v>0</v>
      </c>
      <c r="M198" s="146">
        <f t="shared" si="101"/>
        <v>0</v>
      </c>
      <c r="N198" s="146">
        <f t="shared" si="101"/>
        <v>0</v>
      </c>
      <c r="O198" s="146">
        <f t="shared" si="101"/>
        <v>0</v>
      </c>
      <c r="P198" s="146">
        <f t="shared" si="101"/>
        <v>0</v>
      </c>
      <c r="Q198" s="146">
        <f t="shared" si="101"/>
        <v>0</v>
      </c>
      <c r="R198" s="146">
        <f t="shared" si="101"/>
        <v>0</v>
      </c>
      <c r="S198" s="146">
        <f t="shared" si="101"/>
        <v>0</v>
      </c>
      <c r="T198" s="146">
        <f t="shared" si="101"/>
        <v>0</v>
      </c>
      <c r="U198" s="146">
        <f t="shared" si="101"/>
        <v>0</v>
      </c>
      <c r="V198" s="146">
        <f t="shared" si="101"/>
        <v>0</v>
      </c>
      <c r="W198" s="146">
        <f t="shared" si="101"/>
        <v>0</v>
      </c>
      <c r="X198" s="146">
        <f t="shared" si="101"/>
        <v>0</v>
      </c>
      <c r="Y198" s="146">
        <f t="shared" si="101"/>
        <v>0</v>
      </c>
      <c r="Z198" s="146">
        <f t="shared" si="101"/>
        <v>0</v>
      </c>
      <c r="AA198" s="146">
        <f t="shared" si="101"/>
        <v>0</v>
      </c>
      <c r="AB198" s="146">
        <f t="shared" si="101"/>
        <v>0</v>
      </c>
      <c r="AC198" s="146">
        <f t="shared" si="101"/>
        <v>0</v>
      </c>
      <c r="AD198" s="146">
        <f t="shared" si="101"/>
        <v>0</v>
      </c>
      <c r="AE198" s="146">
        <f t="shared" si="101"/>
        <v>0</v>
      </c>
      <c r="AF198" s="146">
        <f t="shared" si="101"/>
        <v>3490604.7462151214</v>
      </c>
      <c r="AG198" s="146">
        <f t="shared" si="101"/>
        <v>0</v>
      </c>
      <c r="AH198" s="146">
        <f t="shared" si="101"/>
        <v>0</v>
      </c>
      <c r="AI198" s="146">
        <f t="shared" si="101"/>
        <v>0</v>
      </c>
      <c r="AJ198" s="146">
        <f t="shared" si="101"/>
        <v>0</v>
      </c>
      <c r="AK198" s="146">
        <f t="shared" si="101"/>
        <v>0</v>
      </c>
      <c r="AL198" s="146">
        <f t="shared" si="101"/>
        <v>0</v>
      </c>
      <c r="AM198" s="146">
        <f t="shared" si="101"/>
        <v>0</v>
      </c>
      <c r="AN198" s="146">
        <f t="shared" si="101"/>
        <v>0</v>
      </c>
      <c r="AO198" s="146">
        <f t="shared" si="101"/>
        <v>0</v>
      </c>
      <c r="AP198" s="146">
        <f t="shared" si="101"/>
        <v>0</v>
      </c>
    </row>
    <row r="199" spans="1:42" s="119" customFormat="1">
      <c r="A199" s="297" t="s">
        <v>496</v>
      </c>
      <c r="B199" s="146">
        <f>B182</f>
        <v>0</v>
      </c>
      <c r="C199" s="146">
        <f t="shared" ref="C199:AP199" si="102">C182</f>
        <v>61085.583058764627</v>
      </c>
      <c r="D199" s="146">
        <f t="shared" si="102"/>
        <v>61085.583058764627</v>
      </c>
      <c r="E199" s="146">
        <f t="shared" si="102"/>
        <v>61085.583058764627</v>
      </c>
      <c r="F199" s="146">
        <f t="shared" si="102"/>
        <v>61085.583058764627</v>
      </c>
      <c r="G199" s="146">
        <f t="shared" si="102"/>
        <v>61085.583058764627</v>
      </c>
      <c r="H199" s="146">
        <f t="shared" si="102"/>
        <v>61085.583058764627</v>
      </c>
      <c r="I199" s="146">
        <f t="shared" si="102"/>
        <v>61085.583058764627</v>
      </c>
      <c r="J199" s="146">
        <f t="shared" si="102"/>
        <v>61085.583058764627</v>
      </c>
      <c r="K199" s="146">
        <f t="shared" si="102"/>
        <v>61085.583058764627</v>
      </c>
      <c r="L199" s="146">
        <f t="shared" si="102"/>
        <v>61085.583058764627</v>
      </c>
      <c r="M199" s="146">
        <f t="shared" si="102"/>
        <v>61085.583058764627</v>
      </c>
      <c r="N199" s="146">
        <f t="shared" si="102"/>
        <v>61085.583058764627</v>
      </c>
      <c r="O199" s="146">
        <f t="shared" si="102"/>
        <v>61085.583058764627</v>
      </c>
      <c r="P199" s="146">
        <f t="shared" si="102"/>
        <v>61085.583058764627</v>
      </c>
      <c r="Q199" s="146">
        <f t="shared" si="102"/>
        <v>61085.583058764627</v>
      </c>
      <c r="R199" s="146">
        <f t="shared" si="102"/>
        <v>61085.583058764627</v>
      </c>
      <c r="S199" s="146">
        <f t="shared" si="102"/>
        <v>61085.583058764627</v>
      </c>
      <c r="T199" s="146">
        <f t="shared" si="102"/>
        <v>61085.583058764627</v>
      </c>
      <c r="U199" s="146">
        <f t="shared" si="102"/>
        <v>61085.583058764627</v>
      </c>
      <c r="V199" s="146">
        <f t="shared" si="102"/>
        <v>61085.583058764627</v>
      </c>
      <c r="W199" s="146">
        <f t="shared" si="102"/>
        <v>61085.583058764627</v>
      </c>
      <c r="X199" s="146">
        <f t="shared" si="102"/>
        <v>61085.583058764627</v>
      </c>
      <c r="Y199" s="146">
        <f t="shared" si="102"/>
        <v>61085.583058764627</v>
      </c>
      <c r="Z199" s="146">
        <f t="shared" si="102"/>
        <v>61085.583058764627</v>
      </c>
      <c r="AA199" s="146">
        <f t="shared" si="102"/>
        <v>61085.583058764627</v>
      </c>
      <c r="AB199" s="146">
        <f t="shared" si="102"/>
        <v>61085.583058764627</v>
      </c>
      <c r="AC199" s="146">
        <f t="shared" si="102"/>
        <v>61085.583058764627</v>
      </c>
      <c r="AD199" s="146">
        <f t="shared" si="102"/>
        <v>61085.583058764627</v>
      </c>
      <c r="AE199" s="146">
        <f t="shared" si="102"/>
        <v>61085.583058764627</v>
      </c>
      <c r="AF199" s="146">
        <f t="shared" si="102"/>
        <v>61085.583058764627</v>
      </c>
      <c r="AG199" s="146">
        <f t="shared" si="102"/>
        <v>0</v>
      </c>
      <c r="AH199" s="146">
        <f t="shared" si="102"/>
        <v>0</v>
      </c>
      <c r="AI199" s="146">
        <f t="shared" si="102"/>
        <v>0</v>
      </c>
      <c r="AJ199" s="146">
        <f t="shared" si="102"/>
        <v>0</v>
      </c>
      <c r="AK199" s="146">
        <f t="shared" si="102"/>
        <v>0</v>
      </c>
      <c r="AL199" s="146">
        <f t="shared" si="102"/>
        <v>0</v>
      </c>
      <c r="AM199" s="146">
        <f t="shared" si="102"/>
        <v>0</v>
      </c>
      <c r="AN199" s="146">
        <f t="shared" si="102"/>
        <v>0</v>
      </c>
      <c r="AO199" s="146">
        <f t="shared" si="102"/>
        <v>0</v>
      </c>
      <c r="AP199" s="146">
        <f t="shared" si="102"/>
        <v>0</v>
      </c>
    </row>
    <row r="200" spans="1:42" s="119" customFormat="1">
      <c r="A200" s="297" t="s">
        <v>445</v>
      </c>
      <c r="B200" s="225">
        <f>B183</f>
        <v>0</v>
      </c>
      <c r="C200" s="225">
        <f t="shared" ref="C200:AP200" si="103">C183</f>
        <v>400000</v>
      </c>
      <c r="D200" s="225">
        <f t="shared" si="103"/>
        <v>408000</v>
      </c>
      <c r="E200" s="225">
        <f t="shared" si="103"/>
        <v>416160</v>
      </c>
      <c r="F200" s="225">
        <f t="shared" si="103"/>
        <v>424483.19999999995</v>
      </c>
      <c r="G200" s="225">
        <f t="shared" si="103"/>
        <v>432972.864</v>
      </c>
      <c r="H200" s="225">
        <f t="shared" si="103"/>
        <v>441632.32128000003</v>
      </c>
      <c r="I200" s="225">
        <f t="shared" si="103"/>
        <v>450464.96770560002</v>
      </c>
      <c r="J200" s="225">
        <f t="shared" si="103"/>
        <v>459474.26705971191</v>
      </c>
      <c r="K200" s="225">
        <f t="shared" si="103"/>
        <v>468663.75240090623</v>
      </c>
      <c r="L200" s="225">
        <f t="shared" si="103"/>
        <v>478037.02744892432</v>
      </c>
      <c r="M200" s="225">
        <f t="shared" si="103"/>
        <v>487597.76799790282</v>
      </c>
      <c r="N200" s="225">
        <f t="shared" si="103"/>
        <v>497349.72335786081</v>
      </c>
      <c r="O200" s="225">
        <f t="shared" si="103"/>
        <v>507296.7178250181</v>
      </c>
      <c r="P200" s="225">
        <f t="shared" si="103"/>
        <v>517442.65218151844</v>
      </c>
      <c r="Q200" s="225">
        <f t="shared" si="103"/>
        <v>527791.50522514887</v>
      </c>
      <c r="R200" s="225">
        <f t="shared" si="103"/>
        <v>538347.33532965172</v>
      </c>
      <c r="S200" s="225">
        <f t="shared" si="103"/>
        <v>549114.28203624487</v>
      </c>
      <c r="T200" s="225">
        <f t="shared" si="103"/>
        <v>560096.5676769698</v>
      </c>
      <c r="U200" s="225">
        <f t="shared" si="103"/>
        <v>571298.49903050903</v>
      </c>
      <c r="V200" s="225">
        <f t="shared" si="103"/>
        <v>582724.46901111922</v>
      </c>
      <c r="W200" s="225">
        <f t="shared" si="103"/>
        <v>594378.95839134173</v>
      </c>
      <c r="X200" s="225">
        <f t="shared" si="103"/>
        <v>606266.53755916853</v>
      </c>
      <c r="Y200" s="225">
        <f t="shared" si="103"/>
        <v>618391.86831035186</v>
      </c>
      <c r="Z200" s="225">
        <f t="shared" si="103"/>
        <v>630759.70567655878</v>
      </c>
      <c r="AA200" s="225">
        <f t="shared" si="103"/>
        <v>643374.89979009004</v>
      </c>
      <c r="AB200" s="225">
        <f t="shared" si="103"/>
        <v>656242.39778589178</v>
      </c>
      <c r="AC200" s="225">
        <f t="shared" si="103"/>
        <v>669367.24574160972</v>
      </c>
      <c r="AD200" s="225">
        <f t="shared" si="103"/>
        <v>682754.59065644175</v>
      </c>
      <c r="AE200" s="225">
        <f t="shared" si="103"/>
        <v>696409.68246957078</v>
      </c>
      <c r="AF200" s="225">
        <f t="shared" si="103"/>
        <v>710337.87611896207</v>
      </c>
      <c r="AG200" s="225">
        <f t="shared" si="103"/>
        <v>0</v>
      </c>
      <c r="AH200" s="225">
        <f t="shared" si="103"/>
        <v>0</v>
      </c>
      <c r="AI200" s="225">
        <f t="shared" si="103"/>
        <v>0</v>
      </c>
      <c r="AJ200" s="225">
        <f t="shared" si="103"/>
        <v>0</v>
      </c>
      <c r="AK200" s="225">
        <f t="shared" si="103"/>
        <v>0</v>
      </c>
      <c r="AL200" s="225">
        <f t="shared" si="103"/>
        <v>0</v>
      </c>
      <c r="AM200" s="225">
        <f t="shared" si="103"/>
        <v>0</v>
      </c>
      <c r="AN200" s="225">
        <f t="shared" si="103"/>
        <v>0</v>
      </c>
      <c r="AO200" s="225">
        <f t="shared" si="103"/>
        <v>0</v>
      </c>
      <c r="AP200" s="225">
        <f t="shared" si="103"/>
        <v>0</v>
      </c>
    </row>
    <row r="201" spans="1:42">
      <c r="A201" s="206" t="s">
        <v>230</v>
      </c>
      <c r="B201" s="164">
        <f t="shared" ref="B201:AP201" si="104">SUM(B194:B200)</f>
        <v>1206814.5</v>
      </c>
      <c r="C201" s="164">
        <f t="shared" si="104"/>
        <v>461085.58305876463</v>
      </c>
      <c r="D201" s="164">
        <f t="shared" si="104"/>
        <v>469085.58305876463</v>
      </c>
      <c r="E201" s="164">
        <f t="shared" si="104"/>
        <v>477245.58305876463</v>
      </c>
      <c r="F201" s="164">
        <f t="shared" si="104"/>
        <v>485568.78305876459</v>
      </c>
      <c r="G201" s="164">
        <f t="shared" si="104"/>
        <v>494058.44705876464</v>
      </c>
      <c r="H201" s="164">
        <f t="shared" si="104"/>
        <v>502717.90433876467</v>
      </c>
      <c r="I201" s="164">
        <f t="shared" si="104"/>
        <v>511550.55076436466</v>
      </c>
      <c r="J201" s="164">
        <f t="shared" si="104"/>
        <v>520559.85011847655</v>
      </c>
      <c r="K201" s="164">
        <f t="shared" si="104"/>
        <v>529749.33545967087</v>
      </c>
      <c r="L201" s="164">
        <f t="shared" si="104"/>
        <v>539122.61050768895</v>
      </c>
      <c r="M201" s="164">
        <f t="shared" si="104"/>
        <v>548683.35105666739</v>
      </c>
      <c r="N201" s="164">
        <f t="shared" si="104"/>
        <v>558435.30641662539</v>
      </c>
      <c r="O201" s="164">
        <f t="shared" si="104"/>
        <v>568382.30088378268</v>
      </c>
      <c r="P201" s="164">
        <f t="shared" si="104"/>
        <v>578528.23524028307</v>
      </c>
      <c r="Q201" s="164">
        <f t="shared" si="104"/>
        <v>588877.08828391344</v>
      </c>
      <c r="R201" s="164">
        <f t="shared" si="104"/>
        <v>599432.91838841629</v>
      </c>
      <c r="S201" s="164">
        <f t="shared" si="104"/>
        <v>610199.86509500945</v>
      </c>
      <c r="T201" s="164">
        <f t="shared" si="104"/>
        <v>621182.15073573438</v>
      </c>
      <c r="U201" s="164">
        <f t="shared" si="104"/>
        <v>632384.08208927361</v>
      </c>
      <c r="V201" s="164">
        <f t="shared" si="104"/>
        <v>643810.05206988379</v>
      </c>
      <c r="W201" s="164">
        <f t="shared" si="104"/>
        <v>655464.54145010631</v>
      </c>
      <c r="X201" s="164">
        <f t="shared" si="104"/>
        <v>667352.12061793311</v>
      </c>
      <c r="Y201" s="164">
        <f t="shared" si="104"/>
        <v>679477.45136911643</v>
      </c>
      <c r="Z201" s="164">
        <f t="shared" si="104"/>
        <v>691845.28873532335</v>
      </c>
      <c r="AA201" s="164">
        <f t="shared" si="104"/>
        <v>704460.48284885462</v>
      </c>
      <c r="AB201" s="164">
        <f t="shared" si="104"/>
        <v>717327.98084465635</v>
      </c>
      <c r="AC201" s="164">
        <f t="shared" si="104"/>
        <v>730452.82880037429</v>
      </c>
      <c r="AD201" s="164">
        <f t="shared" si="104"/>
        <v>743840.17371520633</v>
      </c>
      <c r="AE201" s="164">
        <f t="shared" si="104"/>
        <v>757495.26552833535</v>
      </c>
      <c r="AF201" s="164">
        <f t="shared" si="104"/>
        <v>4412028.2053928478</v>
      </c>
      <c r="AG201" s="164">
        <f t="shared" si="104"/>
        <v>0</v>
      </c>
      <c r="AH201" s="164">
        <f t="shared" si="104"/>
        <v>0</v>
      </c>
      <c r="AI201" s="164">
        <f t="shared" si="104"/>
        <v>0</v>
      </c>
      <c r="AJ201" s="164">
        <f t="shared" si="104"/>
        <v>0</v>
      </c>
      <c r="AK201" s="164">
        <f t="shared" si="104"/>
        <v>0</v>
      </c>
      <c r="AL201" s="164">
        <f t="shared" si="104"/>
        <v>0</v>
      </c>
      <c r="AM201" s="164">
        <f t="shared" si="104"/>
        <v>0</v>
      </c>
      <c r="AN201" s="164">
        <f t="shared" si="104"/>
        <v>0</v>
      </c>
      <c r="AO201" s="164">
        <f t="shared" si="104"/>
        <v>0</v>
      </c>
      <c r="AP201" s="164">
        <f t="shared" si="104"/>
        <v>0</v>
      </c>
    </row>
    <row r="202" spans="1:42">
      <c r="A202" s="202" t="s">
        <v>447</v>
      </c>
      <c r="B202" s="164"/>
      <c r="C202" s="164"/>
      <c r="D202" s="164"/>
      <c r="E202" s="164"/>
      <c r="F202" s="164"/>
      <c r="G202" s="164"/>
      <c r="H202" s="164"/>
      <c r="I202" s="164"/>
      <c r="J202" s="164"/>
      <c r="K202" s="164"/>
      <c r="L202" s="164"/>
      <c r="M202" s="164"/>
      <c r="N202" s="164"/>
      <c r="O202" s="164"/>
      <c r="P202" s="164"/>
      <c r="Q202" s="164"/>
      <c r="R202" s="164"/>
      <c r="S202" s="164"/>
      <c r="T202" s="164"/>
      <c r="U202" s="164"/>
      <c r="V202" s="164"/>
      <c r="W202" s="164"/>
      <c r="X202" s="164"/>
      <c r="Y202" s="164"/>
      <c r="Z202" s="164"/>
      <c r="AA202" s="164"/>
      <c r="AB202" s="164"/>
      <c r="AC202" s="164"/>
      <c r="AD202" s="164"/>
      <c r="AE202" s="164"/>
      <c r="AF202" s="164"/>
      <c r="AG202" s="164"/>
      <c r="AH202" s="164"/>
      <c r="AI202" s="164"/>
      <c r="AJ202" s="164"/>
      <c r="AK202" s="164"/>
      <c r="AL202" s="164"/>
      <c r="AM202" s="164"/>
      <c r="AN202" s="164"/>
      <c r="AO202" s="164"/>
      <c r="AP202" s="164"/>
    </row>
    <row r="203" spans="1:42">
      <c r="A203" s="206" t="s">
        <v>37</v>
      </c>
      <c r="B203" s="208">
        <f>B289</f>
        <v>0</v>
      </c>
      <c r="C203" s="208">
        <f>C289</f>
        <v>-329936.03141383402</v>
      </c>
      <c r="D203" s="208">
        <f t="shared" ref="D203:AP203" si="105">D289</f>
        <v>-63767.972872002283</v>
      </c>
      <c r="E203" s="208">
        <f t="shared" si="105"/>
        <v>-64216.772872002286</v>
      </c>
      <c r="F203" s="208">
        <f t="shared" si="105"/>
        <v>-64760.823712456993</v>
      </c>
      <c r="G203" s="208">
        <f t="shared" si="105"/>
        <v>-65227.755232456992</v>
      </c>
      <c r="H203" s="208">
        <f t="shared" si="105"/>
        <v>-65704.025382856969</v>
      </c>
      <c r="I203" s="208">
        <f t="shared" si="105"/>
        <v>-66280.036671234993</v>
      </c>
      <c r="J203" s="208">
        <f t="shared" si="105"/>
        <v>-66775.548135711142</v>
      </c>
      <c r="K203" s="208">
        <f t="shared" si="105"/>
        <v>-67280.969829476817</v>
      </c>
      <c r="L203" s="208">
        <f t="shared" si="105"/>
        <v>-67890.836600260751</v>
      </c>
      <c r="M203" s="208">
        <f t="shared" si="105"/>
        <v>-68416.677330454564</v>
      </c>
      <c r="N203" s="208">
        <f t="shared" si="105"/>
        <v>-68953.034875252255</v>
      </c>
      <c r="O203" s="208">
        <f t="shared" si="105"/>
        <v>-72239.08868084097</v>
      </c>
      <c r="P203" s="208">
        <f t="shared" si="105"/>
        <v>-72797.115070448534</v>
      </c>
      <c r="Q203" s="208">
        <f t="shared" si="105"/>
        <v>-73366.30198784807</v>
      </c>
      <c r="R203" s="208">
        <f t="shared" si="105"/>
        <v>-79700.812082506673</v>
      </c>
      <c r="S203" s="208">
        <f t="shared" si="105"/>
        <v>-80292.994151369392</v>
      </c>
      <c r="T203" s="208">
        <f t="shared" si="105"/>
        <v>-80897.019861609326</v>
      </c>
      <c r="U203" s="208">
        <f t="shared" si="105"/>
        <v>-81620.98965813579</v>
      </c>
      <c r="V203" s="208">
        <f t="shared" si="105"/>
        <v>-82249.418007069369</v>
      </c>
      <c r="W203" s="208">
        <f t="shared" si="105"/>
        <v>-82890.414922981567</v>
      </c>
      <c r="X203" s="208">
        <f t="shared" si="105"/>
        <v>-83657.022381988427</v>
      </c>
      <c r="Y203" s="208">
        <f t="shared" si="105"/>
        <v>-84323.915573303457</v>
      </c>
      <c r="Z203" s="208">
        <f t="shared" si="105"/>
        <v>-85004.146628444869</v>
      </c>
      <c r="AA203" s="208">
        <f t="shared" si="105"/>
        <v>-69678.270104435505</v>
      </c>
      <c r="AB203" s="208">
        <f t="shared" si="105"/>
        <v>-70385.982494204582</v>
      </c>
      <c r="AC203" s="208">
        <f t="shared" si="105"/>
        <v>-71107.84913176905</v>
      </c>
      <c r="AD203" s="208">
        <f t="shared" si="105"/>
        <v>-71967.48322911351</v>
      </c>
      <c r="AE203" s="208">
        <f t="shared" si="105"/>
        <v>-72718.51327883557</v>
      </c>
      <c r="AF203" s="208">
        <f t="shared" si="105"/>
        <v>-73484.563929552169</v>
      </c>
      <c r="AG203" s="208">
        <f t="shared" si="105"/>
        <v>0</v>
      </c>
      <c r="AH203" s="208">
        <f t="shared" si="105"/>
        <v>0</v>
      </c>
      <c r="AI203" s="208">
        <f t="shared" si="105"/>
        <v>0</v>
      </c>
      <c r="AJ203" s="208">
        <f t="shared" si="105"/>
        <v>0</v>
      </c>
      <c r="AK203" s="208">
        <f t="shared" si="105"/>
        <v>0</v>
      </c>
      <c r="AL203" s="208">
        <f t="shared" si="105"/>
        <v>0</v>
      </c>
      <c r="AM203" s="208">
        <f t="shared" si="105"/>
        <v>0</v>
      </c>
      <c r="AN203" s="208">
        <f t="shared" si="105"/>
        <v>0</v>
      </c>
      <c r="AO203" s="208">
        <f t="shared" si="105"/>
        <v>0</v>
      </c>
      <c r="AP203" s="208">
        <f t="shared" si="105"/>
        <v>0</v>
      </c>
    </row>
    <row r="204" spans="1:42">
      <c r="A204" s="206" t="s">
        <v>36</v>
      </c>
      <c r="B204" s="209">
        <f>B308</f>
        <v>0</v>
      </c>
      <c r="C204" s="209">
        <f>C308</f>
        <v>-1984115.3161841019</v>
      </c>
      <c r="D204" s="209">
        <f t="shared" ref="D204:AP204" si="106">D308</f>
        <v>-383477.40049845009</v>
      </c>
      <c r="E204" s="209">
        <f t="shared" si="106"/>
        <v>-386176.32049845008</v>
      </c>
      <c r="F204" s="209">
        <f t="shared" si="106"/>
        <v>-389448.04441627546</v>
      </c>
      <c r="G204" s="209">
        <f t="shared" si="106"/>
        <v>-392256.00078427535</v>
      </c>
      <c r="H204" s="209">
        <f t="shared" si="106"/>
        <v>-395120.11627963529</v>
      </c>
      <c r="I204" s="209">
        <f t="shared" si="106"/>
        <v>-398584.03870929038</v>
      </c>
      <c r="J204" s="209">
        <f t="shared" si="106"/>
        <v>-401563.86447066284</v>
      </c>
      <c r="K204" s="209">
        <f t="shared" si="106"/>
        <v>-404603.28674726275</v>
      </c>
      <c r="L204" s="209">
        <f t="shared" si="106"/>
        <v>-408270.80373702251</v>
      </c>
      <c r="M204" s="209">
        <f t="shared" si="106"/>
        <v>-411433.01867359719</v>
      </c>
      <c r="N204" s="209">
        <f t="shared" si="106"/>
        <v>-414658.47790890333</v>
      </c>
      <c r="O204" s="209">
        <f t="shared" si="106"/>
        <v>-434419.61056705721</v>
      </c>
      <c r="P204" s="209">
        <f t="shared" si="106"/>
        <v>-437775.37835547008</v>
      </c>
      <c r="Q204" s="209">
        <f t="shared" si="106"/>
        <v>-441198.26149965002</v>
      </c>
      <c r="R204" s="209">
        <f t="shared" si="106"/>
        <v>-479291.70175071055</v>
      </c>
      <c r="S204" s="209">
        <f t="shared" si="106"/>
        <v>-482852.86937391682</v>
      </c>
      <c r="T204" s="209">
        <f t="shared" si="106"/>
        <v>-486485.26034958696</v>
      </c>
      <c r="U204" s="209">
        <f t="shared" si="106"/>
        <v>-490838.95144415292</v>
      </c>
      <c r="V204" s="209">
        <f t="shared" si="106"/>
        <v>-494618.09101523989</v>
      </c>
      <c r="W204" s="209">
        <f t="shared" si="106"/>
        <v>-498472.81337774819</v>
      </c>
      <c r="X204" s="209">
        <f t="shared" si="106"/>
        <v>-503082.91186986672</v>
      </c>
      <c r="Y204" s="209">
        <f t="shared" si="106"/>
        <v>-507093.36501582037</v>
      </c>
      <c r="Z204" s="209">
        <f t="shared" si="106"/>
        <v>-511184.02722469351</v>
      </c>
      <c r="AA204" s="209">
        <f t="shared" si="106"/>
        <v>-419019.77885530988</v>
      </c>
      <c r="AB204" s="209">
        <f t="shared" si="106"/>
        <v>-423275.70381742116</v>
      </c>
      <c r="AC204" s="209">
        <f t="shared" si="106"/>
        <v>-427616.74727877474</v>
      </c>
      <c r="AD204" s="209">
        <f t="shared" si="106"/>
        <v>-432786.27414598712</v>
      </c>
      <c r="AE204" s="209">
        <f t="shared" si="106"/>
        <v>-437302.69576317939</v>
      </c>
      <c r="AF204" s="209">
        <f t="shared" si="106"/>
        <v>-441909.44581271592</v>
      </c>
      <c r="AG204" s="209">
        <f t="shared" si="106"/>
        <v>0</v>
      </c>
      <c r="AH204" s="209">
        <f t="shared" si="106"/>
        <v>0</v>
      </c>
      <c r="AI204" s="209">
        <f t="shared" si="106"/>
        <v>0</v>
      </c>
      <c r="AJ204" s="209">
        <f t="shared" si="106"/>
        <v>0</v>
      </c>
      <c r="AK204" s="209">
        <f t="shared" si="106"/>
        <v>0</v>
      </c>
      <c r="AL204" s="209">
        <f t="shared" si="106"/>
        <v>0</v>
      </c>
      <c r="AM204" s="209">
        <f t="shared" si="106"/>
        <v>0</v>
      </c>
      <c r="AN204" s="209">
        <f t="shared" si="106"/>
        <v>0</v>
      </c>
      <c r="AO204" s="209">
        <f t="shared" si="106"/>
        <v>0</v>
      </c>
      <c r="AP204" s="209">
        <f t="shared" si="106"/>
        <v>0</v>
      </c>
    </row>
    <row r="205" spans="1:42">
      <c r="A205" s="206" t="s">
        <v>53</v>
      </c>
      <c r="B205" s="216">
        <f>SUM(B203:B204)</f>
        <v>0</v>
      </c>
      <c r="C205" s="216">
        <f>SUM(C203:C204)</f>
        <v>-2314051.3475979357</v>
      </c>
      <c r="D205" s="216">
        <f>SUM(D203:D204)</f>
        <v>-447245.37337045238</v>
      </c>
      <c r="E205" s="216">
        <f t="shared" ref="E205:AP205" si="107">SUM(E203:E204)</f>
        <v>-450393.09337045235</v>
      </c>
      <c r="F205" s="216">
        <f t="shared" si="107"/>
        <v>-454208.86812873243</v>
      </c>
      <c r="G205" s="216">
        <f t="shared" si="107"/>
        <v>-457483.75601673237</v>
      </c>
      <c r="H205" s="216">
        <f t="shared" si="107"/>
        <v>-460824.14166249224</v>
      </c>
      <c r="I205" s="216">
        <f t="shared" si="107"/>
        <v>-464864.07538052538</v>
      </c>
      <c r="J205" s="216">
        <f t="shared" si="107"/>
        <v>-468339.41260637401</v>
      </c>
      <c r="K205" s="216">
        <f t="shared" si="107"/>
        <v>-471884.2565767396</v>
      </c>
      <c r="L205" s="216">
        <f t="shared" si="107"/>
        <v>-476161.64033728326</v>
      </c>
      <c r="M205" s="216">
        <f t="shared" si="107"/>
        <v>-479849.69600405177</v>
      </c>
      <c r="N205" s="216">
        <f t="shared" si="107"/>
        <v>-483611.51278415555</v>
      </c>
      <c r="O205" s="216">
        <f t="shared" si="107"/>
        <v>-506658.69924789818</v>
      </c>
      <c r="P205" s="216">
        <f t="shared" si="107"/>
        <v>-510572.49342591863</v>
      </c>
      <c r="Q205" s="216">
        <f t="shared" si="107"/>
        <v>-514564.56348749809</v>
      </c>
      <c r="R205" s="216">
        <f t="shared" si="107"/>
        <v>-558992.51383321721</v>
      </c>
      <c r="S205" s="216">
        <f t="shared" si="107"/>
        <v>-563145.8635252862</v>
      </c>
      <c r="T205" s="216">
        <f t="shared" si="107"/>
        <v>-567382.28021119628</v>
      </c>
      <c r="U205" s="216">
        <f t="shared" si="107"/>
        <v>-572459.94110228866</v>
      </c>
      <c r="V205" s="216">
        <f t="shared" si="107"/>
        <v>-576867.50902230921</v>
      </c>
      <c r="W205" s="216">
        <f t="shared" si="107"/>
        <v>-581363.22830072977</v>
      </c>
      <c r="X205" s="216">
        <f t="shared" si="107"/>
        <v>-586739.93425185513</v>
      </c>
      <c r="Y205" s="216">
        <f t="shared" si="107"/>
        <v>-591417.28058912384</v>
      </c>
      <c r="Z205" s="216">
        <f t="shared" si="107"/>
        <v>-596188.17385313835</v>
      </c>
      <c r="AA205" s="216">
        <f t="shared" si="107"/>
        <v>-488698.04895974539</v>
      </c>
      <c r="AB205" s="216">
        <f t="shared" si="107"/>
        <v>-493661.68631162576</v>
      </c>
      <c r="AC205" s="216">
        <f t="shared" si="107"/>
        <v>-498724.59641054377</v>
      </c>
      <c r="AD205" s="216">
        <f t="shared" si="107"/>
        <v>-504753.75737510063</v>
      </c>
      <c r="AE205" s="216">
        <f t="shared" si="107"/>
        <v>-510021.20904201496</v>
      </c>
      <c r="AF205" s="216">
        <f t="shared" si="107"/>
        <v>-515394.00974226807</v>
      </c>
      <c r="AG205" s="216">
        <f t="shared" si="107"/>
        <v>0</v>
      </c>
      <c r="AH205" s="216">
        <f t="shared" si="107"/>
        <v>0</v>
      </c>
      <c r="AI205" s="216">
        <f t="shared" si="107"/>
        <v>0</v>
      </c>
      <c r="AJ205" s="216">
        <f t="shared" si="107"/>
        <v>0</v>
      </c>
      <c r="AK205" s="216">
        <f t="shared" si="107"/>
        <v>0</v>
      </c>
      <c r="AL205" s="216">
        <f t="shared" si="107"/>
        <v>0</v>
      </c>
      <c r="AM205" s="216">
        <f t="shared" si="107"/>
        <v>0</v>
      </c>
      <c r="AN205" s="216">
        <f t="shared" si="107"/>
        <v>0</v>
      </c>
      <c r="AO205" s="216">
        <f t="shared" si="107"/>
        <v>0</v>
      </c>
      <c r="AP205" s="216">
        <f t="shared" si="107"/>
        <v>0</v>
      </c>
    </row>
    <row r="206" spans="1:42">
      <c r="A206" s="202" t="s">
        <v>53</v>
      </c>
      <c r="B206" s="164">
        <f>B201+B205</f>
        <v>1206814.5</v>
      </c>
      <c r="C206" s="164">
        <f t="shared" ref="C206:AP206" si="108">C201+C205</f>
        <v>-1852965.764539171</v>
      </c>
      <c r="D206" s="164">
        <f t="shared" si="108"/>
        <v>21840.209688312258</v>
      </c>
      <c r="E206" s="164">
        <f t="shared" si="108"/>
        <v>26852.489688312286</v>
      </c>
      <c r="F206" s="164">
        <f t="shared" si="108"/>
        <v>31359.914930032159</v>
      </c>
      <c r="G206" s="164">
        <f t="shared" si="108"/>
        <v>36574.691042032267</v>
      </c>
      <c r="H206" s="164">
        <f t="shared" si="108"/>
        <v>41893.762676272425</v>
      </c>
      <c r="I206" s="164">
        <f t="shared" si="108"/>
        <v>46686.475383839279</v>
      </c>
      <c r="J206" s="164">
        <f t="shared" si="108"/>
        <v>52220.437512102537</v>
      </c>
      <c r="K206" s="164">
        <f t="shared" si="108"/>
        <v>57865.078882931266</v>
      </c>
      <c r="L206" s="164">
        <f t="shared" si="108"/>
        <v>62960.970170405693</v>
      </c>
      <c r="M206" s="164">
        <f t="shared" si="108"/>
        <v>68833.655052615621</v>
      </c>
      <c r="N206" s="164">
        <f t="shared" si="108"/>
        <v>74823.793632469838</v>
      </c>
      <c r="O206" s="164">
        <f t="shared" si="108"/>
        <v>61723.601635884494</v>
      </c>
      <c r="P206" s="164">
        <f t="shared" si="108"/>
        <v>67955.741814364446</v>
      </c>
      <c r="Q206" s="164">
        <f t="shared" si="108"/>
        <v>74312.524796415353</v>
      </c>
      <c r="R206" s="164">
        <f t="shared" si="108"/>
        <v>40440.404555199086</v>
      </c>
      <c r="S206" s="164">
        <f t="shared" si="108"/>
        <v>47054.001569723245</v>
      </c>
      <c r="T206" s="164">
        <f t="shared" si="108"/>
        <v>53799.870524538099</v>
      </c>
      <c r="U206" s="164">
        <f t="shared" si="108"/>
        <v>59924.140986984945</v>
      </c>
      <c r="V206" s="164">
        <f t="shared" si="108"/>
        <v>66942.543047574582</v>
      </c>
      <c r="W206" s="164">
        <f t="shared" si="108"/>
        <v>74101.31314937654</v>
      </c>
      <c r="X206" s="164">
        <f t="shared" si="108"/>
        <v>80612.186366077978</v>
      </c>
      <c r="Y206" s="164">
        <f t="shared" si="108"/>
        <v>88060.170779992593</v>
      </c>
      <c r="Z206" s="164">
        <f t="shared" si="108"/>
        <v>95657.114882185007</v>
      </c>
      <c r="AA206" s="164">
        <f t="shared" si="108"/>
        <v>215762.43388910923</v>
      </c>
      <c r="AB206" s="164">
        <f t="shared" si="108"/>
        <v>223666.2945330306</v>
      </c>
      <c r="AC206" s="164">
        <f t="shared" si="108"/>
        <v>231728.23238983052</v>
      </c>
      <c r="AD206" s="164">
        <f t="shared" si="108"/>
        <v>239086.4163401057</v>
      </c>
      <c r="AE206" s="164">
        <f t="shared" si="108"/>
        <v>247474.05648632039</v>
      </c>
      <c r="AF206" s="164">
        <f t="shared" si="108"/>
        <v>3896634.1956505799</v>
      </c>
      <c r="AG206" s="164">
        <f t="shared" si="108"/>
        <v>0</v>
      </c>
      <c r="AH206" s="164">
        <f t="shared" si="108"/>
        <v>0</v>
      </c>
      <c r="AI206" s="164">
        <f t="shared" si="108"/>
        <v>0</v>
      </c>
      <c r="AJ206" s="164">
        <f t="shared" si="108"/>
        <v>0</v>
      </c>
      <c r="AK206" s="164">
        <f t="shared" si="108"/>
        <v>0</v>
      </c>
      <c r="AL206" s="164">
        <f t="shared" si="108"/>
        <v>0</v>
      </c>
      <c r="AM206" s="164">
        <f t="shared" si="108"/>
        <v>0</v>
      </c>
      <c r="AN206" s="164">
        <f t="shared" si="108"/>
        <v>0</v>
      </c>
      <c r="AO206" s="164">
        <f t="shared" si="108"/>
        <v>0</v>
      </c>
      <c r="AP206" s="164">
        <f t="shared" si="108"/>
        <v>0</v>
      </c>
    </row>
    <row r="207" spans="1:42">
      <c r="A207" s="206"/>
      <c r="B207" s="164"/>
      <c r="C207" s="164"/>
      <c r="D207" s="164"/>
      <c r="E207" s="164"/>
      <c r="F207" s="164"/>
      <c r="G207" s="164"/>
      <c r="H207" s="164"/>
      <c r="I207" s="164"/>
      <c r="J207" s="164"/>
      <c r="K207" s="164"/>
      <c r="L207" s="164"/>
      <c r="M207" s="164"/>
      <c r="N207" s="164"/>
      <c r="O207" s="164"/>
      <c r="P207" s="164"/>
      <c r="Q207" s="164"/>
      <c r="R207" s="164"/>
      <c r="S207" s="164"/>
      <c r="T207" s="164"/>
      <c r="U207" s="164"/>
      <c r="V207" s="164"/>
      <c r="W207" s="164"/>
      <c r="X207" s="164"/>
      <c r="Y207" s="164"/>
      <c r="Z207" s="164"/>
      <c r="AA207" s="164"/>
      <c r="AB207" s="164"/>
      <c r="AC207" s="164"/>
      <c r="AD207" s="164"/>
      <c r="AE207" s="164"/>
      <c r="AF207" s="164"/>
      <c r="AG207" s="164"/>
      <c r="AH207" s="164"/>
      <c r="AI207" s="164"/>
      <c r="AJ207" s="164"/>
      <c r="AK207" s="164"/>
      <c r="AL207" s="164"/>
      <c r="AM207" s="164"/>
      <c r="AN207" s="164"/>
      <c r="AO207" s="164"/>
      <c r="AP207" s="164"/>
    </row>
    <row r="208" spans="1:42" s="119" customFormat="1">
      <c r="A208" s="202" t="s">
        <v>418</v>
      </c>
      <c r="B208" s="310" t="str">
        <f>IF(ISERROR(IRR($B206:B206)),"N/A",ROUND(IRR($B206:B206),4))</f>
        <v>N/A</v>
      </c>
      <c r="C208" s="310">
        <f>IF(ISERROR(IRR($B206:C206)),"N/A",ROUND(IRR($B206:C206),4))</f>
        <v>0.53539999999999999</v>
      </c>
      <c r="D208" s="310">
        <f>IF(ISERROR(IRR($B206:D206)),"N/A",ROUND(IRR($B206:D206),4))</f>
        <v>0.52349999999999997</v>
      </c>
      <c r="E208" s="310">
        <f>IF(ISERROR(IRR($B206:E206)),"N/A",ROUND(IRR($B206:E206),4))</f>
        <v>0.51380000000000003</v>
      </c>
      <c r="F208" s="310">
        <f>IF(ISERROR(IRR($B206:F206)),"N/A",ROUND(IRR($B206:F206),4))</f>
        <v>0.50600000000000001</v>
      </c>
      <c r="G208" s="310">
        <f>IF(ISERROR(IRR($B206:G206)),"N/A",ROUND(IRR($B206:G206),4))</f>
        <v>0.49980000000000002</v>
      </c>
      <c r="H208" s="310">
        <f>IF(ISERROR(IRR($B206:H206)),"N/A",ROUND(IRR($B206:H206),4))</f>
        <v>0.49490000000000001</v>
      </c>
      <c r="I208" s="310">
        <f>IF(ISERROR(IRR($B206:I206)),"N/A",ROUND(IRR($B206:I206),4))</f>
        <v>0.49109999999999998</v>
      </c>
      <c r="J208" s="310">
        <f>IF(ISERROR(IRR($B206:J206)),"N/A",ROUND(IRR($B206:J206),4))</f>
        <v>0.48820000000000002</v>
      </c>
      <c r="K208" s="310">
        <f>IF(ISERROR(IRR($B206:K206)),"N/A",ROUND(IRR($B206:K206),4))</f>
        <v>0.4859</v>
      </c>
      <c r="L208" s="310">
        <f>IF(ISERROR(IRR($B206:L206)),"N/A",ROUND(IRR($B206:L206),4))</f>
        <v>0.48420000000000002</v>
      </c>
      <c r="M208" s="310">
        <f>IF(ISERROR(IRR($B206:M206)),"N/A",ROUND(IRR($B206:M206),4))</f>
        <v>0.48299999999999998</v>
      </c>
      <c r="N208" s="310">
        <f>IF(ISERROR(IRR($B206:N206)),"N/A",ROUND(IRR($B206:N206),4))</f>
        <v>-3.7999999999999999E-2</v>
      </c>
      <c r="O208" s="310">
        <f>IF(ISERROR(IRR($B206:O206)),"N/A",ROUND(IRR($B206:O206),4))</f>
        <v>-1.7100000000000001E-2</v>
      </c>
      <c r="P208" s="310">
        <f>IF(ISERROR(IRR($B206:P206)),"N/A",ROUND(IRR($B206:P206),4))</f>
        <v>1.2999999999999999E-3</v>
      </c>
      <c r="Q208" s="310">
        <f>IF(ISERROR(IRR($B206:Q206)),"N/A",ROUND(IRR($B206:Q206),4))</f>
        <v>1.7399999999999999E-2</v>
      </c>
      <c r="R208" s="310">
        <f>IF(ISERROR(IRR($B206:R206)),"N/A",ROUND(IRR($B206:R206),4))</f>
        <v>2.47E-2</v>
      </c>
      <c r="S208" s="310">
        <f>IF(ISERROR(IRR($B206:S206)),"N/A",ROUND(IRR($B206:S206),4))</f>
        <v>3.2099999999999997E-2</v>
      </c>
      <c r="T208" s="310">
        <f>IF(ISERROR(IRR($B206:T206)),"N/A",ROUND(IRR($B206:T206),4))</f>
        <v>3.9300000000000002E-2</v>
      </c>
      <c r="U208" s="310">
        <f>IF(ISERROR(IRR($B206:U206)),"N/A",ROUND(IRR($B206:U206),4))</f>
        <v>4.6100000000000002E-2</v>
      </c>
      <c r="V208" s="310">
        <f>IF(ISERROR(IRR($B206:V206)),"N/A",ROUND(IRR($B206:V206),4))</f>
        <v>5.2499999999999998E-2</v>
      </c>
      <c r="W208" s="310">
        <f>IF(ISERROR(IRR($B206:W206)),"N/A",ROUND(IRR($B206:W206),4))</f>
        <v>5.8400000000000001E-2</v>
      </c>
      <c r="X208" s="310">
        <f>IF(ISERROR(IRR($B206:X206)),"N/A",ROUND(IRR($B206:X206),4))</f>
        <v>6.3799999999999996E-2</v>
      </c>
      <c r="Y208" s="310">
        <f>IF(ISERROR(IRR($B206:Y206)),"N/A",ROUND(IRR($B206:Y206),4))</f>
        <v>6.8699999999999997E-2</v>
      </c>
      <c r="Z208" s="310">
        <f>IF(ISERROR(IRR($B206:Z206)),"N/A",ROUND(IRR($B206:Z206),4))</f>
        <v>7.3200000000000001E-2</v>
      </c>
      <c r="AA208" s="310">
        <f>IF(ISERROR(IRR($B206:AA206)),"N/A",ROUND(IRR($B206:AA206),4))</f>
        <v>8.1100000000000005E-2</v>
      </c>
      <c r="AB208" s="310">
        <f>IF(ISERROR(IRR($B206:AB206)),"N/A",ROUND(IRR($B206:AB206),4))</f>
        <v>8.7499999999999994E-2</v>
      </c>
      <c r="AC208" s="310">
        <f>IF(ISERROR(IRR($B206:AC206)),"N/A",ROUND(IRR($B206:AC206),4))</f>
        <v>9.2700000000000005E-2</v>
      </c>
      <c r="AD208" s="310">
        <f>IF(ISERROR(IRR($B206:AD206)),"N/A",ROUND(IRR($B206:AD206),4))</f>
        <v>9.69E-2</v>
      </c>
      <c r="AE208" s="310">
        <f>IF(ISERROR(IRR($B206:AE206)),"N/A",ROUND(IRR($B206:AE206),4))</f>
        <v>0.10059999999999999</v>
      </c>
      <c r="AF208" s="310">
        <f>IF(ISERROR(IRR($B206:AF206)),"N/A",ROUND(IRR($B206:AF206),4))</f>
        <v>0.13100000000000001</v>
      </c>
      <c r="AG208" s="310">
        <f>IF(ISERROR(IRR($B206:AG206)),"N/A",ROUND(IRR($B206:AG206),4))</f>
        <v>0.13100000000000001</v>
      </c>
      <c r="AH208" s="310">
        <f>IF(ISERROR(IRR($B206:AH206)),"N/A",ROUND(IRR($B206:AH206),4))</f>
        <v>0.13100000000000001</v>
      </c>
      <c r="AI208" s="310">
        <f>IF(ISERROR(IRR($B206:AI206)),"N/A",ROUND(IRR($B206:AI206),4))</f>
        <v>0.13100000000000001</v>
      </c>
      <c r="AJ208" s="310">
        <f>IF(ISERROR(IRR($B206:AJ206)),"N/A",ROUND(IRR($B206:AJ206),4))</f>
        <v>0.13100000000000001</v>
      </c>
      <c r="AK208" s="310">
        <f>IF(ISERROR(IRR($B206:AK206)),"N/A",ROUND(IRR($B206:AK206),4))</f>
        <v>0.13100000000000001</v>
      </c>
      <c r="AL208" s="310">
        <f>IF(ISERROR(IRR($B206:AL206)),"N/A",ROUND(IRR($B206:AL206),4))</f>
        <v>0.13100000000000001</v>
      </c>
      <c r="AM208" s="310">
        <f>IF(ISERROR(IRR($B206:AM206)),"N/A",ROUND(IRR($B206:AM206),4))</f>
        <v>0.13100000000000001</v>
      </c>
      <c r="AN208" s="310">
        <f>IF(ISERROR(IRR($B206:AN206)),"N/A",ROUND(IRR($B206:AN206),4))</f>
        <v>0.13100000000000001</v>
      </c>
      <c r="AO208" s="310">
        <f>IF(ISERROR(IRR($B206:AO206)),"N/A",ROUND(IRR($B206:AO206),4))</f>
        <v>0.13100000000000001</v>
      </c>
      <c r="AP208" s="310">
        <f>IF(ISERROR(IRR($B206:AP206)),"N/A",ROUND(IRR($B206:AP206),4))</f>
        <v>0.13100000000000001</v>
      </c>
    </row>
    <row r="209" spans="1:42" s="119" customFormat="1">
      <c r="A209" s="202" t="s">
        <v>419</v>
      </c>
      <c r="B209" s="311">
        <f>B206</f>
        <v>1206814.5</v>
      </c>
      <c r="C209" s="311">
        <f>NPV(DiscountRate,$C206:C206)+$B206</f>
        <v>-508894.54123997316</v>
      </c>
      <c r="D209" s="311">
        <f>NPV(DiscountRate,$C206:D206)+$B206</f>
        <v>-490170.08163065184</v>
      </c>
      <c r="E209" s="311">
        <f>NPV(DiscountRate,$C206:E206)+$B206</f>
        <v>-468853.70956440782</v>
      </c>
      <c r="F209" s="311">
        <f>NPV(DiscountRate,$C206:F206)+$B206</f>
        <v>-445803.23590967688</v>
      </c>
      <c r="G209" s="311">
        <f>NPV(DiscountRate,$C206:G206)+$B206</f>
        <v>-420911.11574976891</v>
      </c>
      <c r="H209" s="311">
        <f>NPV(DiscountRate,$C206:H206)+$B206</f>
        <v>-394510.93895533308</v>
      </c>
      <c r="I209" s="311">
        <f>NPV(DiscountRate,$C206:I206)+$B206</f>
        <v>-367269.82898022071</v>
      </c>
      <c r="J209" s="311">
        <f>NPV(DiscountRate,$C206:J206)+$B206</f>
        <v>-339056.75145735196</v>
      </c>
      <c r="K209" s="311">
        <f>NPV(DiscountRate,$C206:K206)+$B206</f>
        <v>-310109.80551318522</v>
      </c>
      <c r="L209" s="311">
        <f>NPV(DiscountRate,$C206:L206)+$B206</f>
        <v>-280946.69412675919</v>
      </c>
      <c r="M209" s="311">
        <f>NPV(DiscountRate,$C206:M206)+$B206</f>
        <v>-251425.11932913051</v>
      </c>
      <c r="N209" s="311">
        <f>NPV(DiscountRate,$C206:N206)+$B206</f>
        <v>-221711.56140358862</v>
      </c>
      <c r="O209" s="311">
        <f>NPV(DiscountRate,$C206:O206)+$B206</f>
        <v>-199015.92117877933</v>
      </c>
      <c r="P209" s="311">
        <f>NPV(DiscountRate,$C206:P206)+$B206</f>
        <v>-175879.63855405455</v>
      </c>
      <c r="Q209" s="311">
        <f>NPV(DiscountRate,$C206:Q206)+$B206</f>
        <v>-152453.23153691273</v>
      </c>
      <c r="R209" s="311">
        <f>NPV(DiscountRate,$C206:R206)+$B206</f>
        <v>-140649.06294293934</v>
      </c>
      <c r="S209" s="311">
        <f>NPV(DiscountRate,$C206:S206)+$B206</f>
        <v>-127931.82727738097</v>
      </c>
      <c r="T209" s="311">
        <f>NPV(DiscountRate,$C206:T206)+$B206</f>
        <v>-114468.46191204363</v>
      </c>
      <c r="U209" s="311">
        <f>NPV(DiscountRate,$C206:U206)+$B206</f>
        <v>-100583.31552073918</v>
      </c>
      <c r="V209" s="311">
        <f>NPV(DiscountRate,$C206:V206)+$B206</f>
        <v>-86220.912910813233</v>
      </c>
      <c r="W209" s="311">
        <f>NPV(DiscountRate,$C206:W206)+$B206</f>
        <v>-71500.261149252532</v>
      </c>
      <c r="X209" s="311">
        <f>NPV(DiscountRate,$C206:X206)+$B206</f>
        <v>-56672.414715984603</v>
      </c>
      <c r="Y209" s="311">
        <f>NPV(DiscountRate,$C206:Y206)+$B206</f>
        <v>-41674.421694926918</v>
      </c>
      <c r="Z209" s="311">
        <f>NPV(DiscountRate,$C206:Z206)+$B206</f>
        <v>-26589.358069407521</v>
      </c>
      <c r="AA209" s="311">
        <f>NPV(DiscountRate,$C206:AA206)+$B206</f>
        <v>4915.820485991193</v>
      </c>
      <c r="AB209" s="311">
        <f>NPV(DiscountRate,$C206:AB206)+$B206</f>
        <v>35155.898011313286</v>
      </c>
      <c r="AC209" s="311">
        <f>NPV(DiscountRate,$C206:AC206)+$B206</f>
        <v>64165.218143974198</v>
      </c>
      <c r="AD209" s="311">
        <f>NPV(DiscountRate,$C206:AD206)+$B206</f>
        <v>91878.614227459067</v>
      </c>
      <c r="AE209" s="311">
        <f>NPV(DiscountRate,$C206:AE206)+$B206</f>
        <v>118439.39076505951</v>
      </c>
      <c r="AF209" s="311">
        <f>NPV(DiscountRate,$C206:AF206)+$B206</f>
        <v>505676.5030511542</v>
      </c>
      <c r="AG209" s="311">
        <f>NPV(DiscountRate,$C206:AG206)+$B206</f>
        <v>505676.5030511542</v>
      </c>
      <c r="AH209" s="311">
        <f>NPV(DiscountRate,$C206:AH206)+$B206</f>
        <v>505676.5030511542</v>
      </c>
      <c r="AI209" s="311">
        <f>NPV(DiscountRate,$C206:AI206)+$B206</f>
        <v>505676.5030511542</v>
      </c>
      <c r="AJ209" s="311">
        <f>NPV(DiscountRate,$C206:AJ206)+$B206</f>
        <v>505676.5030511542</v>
      </c>
      <c r="AK209" s="311">
        <f>NPV(DiscountRate,$C206:AK206)+$B206</f>
        <v>505676.5030511542</v>
      </c>
      <c r="AL209" s="311">
        <f>NPV(DiscountRate,$C206:AL206)+$B206</f>
        <v>505676.5030511542</v>
      </c>
      <c r="AM209" s="311">
        <f>NPV(DiscountRate,$C206:AM206)+$B206</f>
        <v>505676.5030511542</v>
      </c>
      <c r="AN209" s="311">
        <f>NPV(DiscountRate,$C206:AN206)+$B206</f>
        <v>505676.5030511542</v>
      </c>
      <c r="AO209" s="311">
        <f>NPV(DiscountRate,$C206:AO206)+$B206</f>
        <v>505676.5030511542</v>
      </c>
      <c r="AP209" s="311">
        <f>NPV(DiscountRate,$C206:AP206)+$B206</f>
        <v>505676.5030511542</v>
      </c>
    </row>
    <row r="210" spans="1:42" s="119" customFormat="1">
      <c r="A210" s="297"/>
      <c r="B210" s="220"/>
      <c r="C210" s="220"/>
      <c r="D210" s="220"/>
      <c r="E210" s="220"/>
      <c r="F210" s="220"/>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46"/>
      <c r="AK210" s="146"/>
      <c r="AL210" s="146"/>
      <c r="AM210" s="146"/>
      <c r="AN210" s="146"/>
      <c r="AO210" s="146"/>
      <c r="AP210" s="146"/>
    </row>
    <row r="211" spans="1:42">
      <c r="A211" s="202" t="s">
        <v>248</v>
      </c>
      <c r="B211" s="307">
        <f>IF(ISERROR(IRR(B206:AP206)),"N/A",IRR(B206:AP206))</f>
        <v>0.13096914756459568</v>
      </c>
      <c r="C211" s="164"/>
      <c r="D211" s="164"/>
      <c r="E211" s="164"/>
      <c r="F211" s="164"/>
      <c r="G211" s="208"/>
      <c r="H211" s="208"/>
      <c r="I211" s="208"/>
      <c r="J211" s="208"/>
      <c r="K211" s="208"/>
      <c r="L211" s="208"/>
      <c r="M211" s="208"/>
      <c r="N211" s="208"/>
      <c r="O211" s="208"/>
      <c r="P211" s="208"/>
      <c r="Q211" s="208"/>
      <c r="R211" s="208"/>
      <c r="S211" s="208"/>
      <c r="T211" s="208"/>
      <c r="U211" s="208"/>
      <c r="V211" s="208"/>
      <c r="W211" s="208"/>
      <c r="X211" s="208"/>
      <c r="Y211" s="208"/>
      <c r="Z211" s="208"/>
      <c r="AA211" s="208"/>
      <c r="AB211" s="208"/>
      <c r="AC211" s="208"/>
      <c r="AD211" s="208"/>
      <c r="AE211" s="208"/>
      <c r="AF211" s="208"/>
      <c r="AG211" s="208"/>
      <c r="AH211" s="208"/>
      <c r="AI211" s="208"/>
      <c r="AJ211" s="208"/>
      <c r="AK211" s="208"/>
      <c r="AL211" s="208"/>
      <c r="AM211" s="208"/>
      <c r="AN211" s="208"/>
      <c r="AO211" s="208"/>
      <c r="AP211" s="208"/>
    </row>
    <row r="212" spans="1:42">
      <c r="A212" s="202" t="s">
        <v>227</v>
      </c>
      <c r="B212" s="218">
        <f>NPV(DiscountRate,$C206:$AP206)+B206</f>
        <v>505676.5030511542</v>
      </c>
      <c r="C212" s="164"/>
      <c r="D212" s="164"/>
      <c r="E212" s="164"/>
      <c r="F212" s="164"/>
      <c r="G212" s="208"/>
      <c r="H212" s="208"/>
      <c r="I212" s="208"/>
      <c r="J212" s="208"/>
      <c r="K212" s="208"/>
      <c r="L212" s="208"/>
      <c r="M212" s="208"/>
      <c r="N212" s="208"/>
      <c r="O212" s="208"/>
      <c r="P212" s="208"/>
      <c r="Q212" s="208"/>
      <c r="R212" s="208"/>
      <c r="S212" s="208"/>
      <c r="T212" s="208"/>
      <c r="U212" s="208"/>
      <c r="V212" s="208"/>
      <c r="W212" s="208"/>
      <c r="X212" s="208"/>
      <c r="Y212" s="208"/>
      <c r="Z212" s="208"/>
      <c r="AA212" s="208"/>
      <c r="AB212" s="208"/>
      <c r="AC212" s="208"/>
      <c r="AD212" s="208"/>
      <c r="AE212" s="208"/>
      <c r="AF212" s="208"/>
      <c r="AG212" s="208"/>
      <c r="AH212" s="208"/>
      <c r="AI212" s="208"/>
      <c r="AJ212" s="208"/>
      <c r="AK212" s="208"/>
      <c r="AL212" s="208"/>
      <c r="AM212" s="208"/>
      <c r="AN212" s="208"/>
      <c r="AO212" s="208"/>
      <c r="AP212" s="208"/>
    </row>
    <row r="213" spans="1:42">
      <c r="B213" s="220"/>
      <c r="C213" s="220"/>
      <c r="D213" s="220"/>
      <c r="E213" s="220"/>
      <c r="F213" s="220"/>
      <c r="G213" s="220"/>
      <c r="H213" s="220"/>
      <c r="I213" s="220"/>
      <c r="J213" s="220"/>
      <c r="K213" s="220"/>
      <c r="L213" s="220"/>
      <c r="M213" s="220"/>
      <c r="N213" s="220"/>
      <c r="O213" s="220"/>
      <c r="P213" s="220"/>
      <c r="Q213" s="220"/>
      <c r="R213" s="220"/>
      <c r="S213" s="220"/>
      <c r="T213" s="220"/>
      <c r="U213" s="220"/>
      <c r="V213" s="220"/>
      <c r="W213" s="220"/>
      <c r="X213" s="220"/>
      <c r="Y213" s="220"/>
      <c r="Z213" s="220"/>
      <c r="AA213" s="220"/>
      <c r="AB213" s="220"/>
      <c r="AC213" s="220"/>
      <c r="AD213" s="220"/>
      <c r="AE213" s="220"/>
      <c r="AF213" s="220"/>
      <c r="AG213" s="220"/>
      <c r="AH213" s="220"/>
      <c r="AI213" s="220"/>
      <c r="AJ213" s="220"/>
      <c r="AK213" s="220"/>
      <c r="AL213" s="220"/>
      <c r="AM213" s="220"/>
      <c r="AN213" s="208"/>
      <c r="AO213" s="208"/>
      <c r="AP213" s="208"/>
    </row>
    <row r="214" spans="1:42" s="119" customFormat="1">
      <c r="A214" s="201" t="s">
        <v>441</v>
      </c>
      <c r="B214" s="42"/>
    </row>
    <row r="215" spans="1:42" s="119" customFormat="1">
      <c r="A215" s="217" t="s">
        <v>437</v>
      </c>
      <c r="B215" s="42"/>
    </row>
    <row r="216" spans="1:42" s="119" customFormat="1">
      <c r="A216" s="42" t="s">
        <v>438</v>
      </c>
      <c r="C216" s="220">
        <f t="shared" ref="C216:AP216" si="109">C76</f>
        <v>5983893.8506544931</v>
      </c>
      <c r="D216" s="220">
        <f t="shared" si="109"/>
        <v>6032349.8439307883</v>
      </c>
      <c r="E216" s="220">
        <f t="shared" si="109"/>
        <v>6080669.4121519579</v>
      </c>
      <c r="F216" s="220">
        <f t="shared" si="109"/>
        <v>6125475.3808803037</v>
      </c>
      <c r="G216" s="220">
        <f t="shared" si="109"/>
        <v>6173532.4780647149</v>
      </c>
      <c r="H216" s="220">
        <f t="shared" si="109"/>
        <v>6221435.8147255545</v>
      </c>
      <c r="I216" s="220">
        <f t="shared" si="109"/>
        <v>6265653.8111253129</v>
      </c>
      <c r="J216" s="220">
        <f t="shared" si="109"/>
        <v>6313260.0529650943</v>
      </c>
      <c r="K216" s="220">
        <f t="shared" si="109"/>
        <v>6360693.9748202581</v>
      </c>
      <c r="L216" s="220">
        <f t="shared" si="109"/>
        <v>6404262.5308044394</v>
      </c>
      <c r="M216" s="220">
        <f t="shared" si="109"/>
        <v>6451362.2644623602</v>
      </c>
      <c r="N216" s="220">
        <f t="shared" si="109"/>
        <v>6498269.8146820012</v>
      </c>
      <c r="O216" s="220">
        <f t="shared" si="109"/>
        <v>6441582.1409549024</v>
      </c>
      <c r="P216" s="220">
        <f t="shared" si="109"/>
        <v>6488955.8803881053</v>
      </c>
      <c r="Q216" s="220">
        <f t="shared" si="109"/>
        <v>6536116.1837513605</v>
      </c>
      <c r="R216" s="220">
        <f t="shared" si="109"/>
        <v>6368504.3629438328</v>
      </c>
      <c r="S216" s="220">
        <f t="shared" si="109"/>
        <v>6417046.1999075841</v>
      </c>
      <c r="T216" s="220">
        <f t="shared" si="109"/>
        <v>6465351.8682830613</v>
      </c>
      <c r="U216" s="220">
        <f t="shared" si="109"/>
        <v>6509198.2537472229</v>
      </c>
      <c r="V216" s="220">
        <f t="shared" si="109"/>
        <v>6557041.9576680055</v>
      </c>
      <c r="W216" s="220">
        <f t="shared" si="109"/>
        <v>6604625.1840036679</v>
      </c>
      <c r="X216" s="220">
        <f t="shared" si="109"/>
        <v>6633200.8051192528</v>
      </c>
      <c r="Y216" s="220">
        <f t="shared" si="109"/>
        <v>6665942.4387558578</v>
      </c>
      <c r="Z216" s="220">
        <f t="shared" si="109"/>
        <v>6698397.6064732186</v>
      </c>
      <c r="AA216" s="220">
        <f t="shared" si="109"/>
        <v>6957743.5875912076</v>
      </c>
      <c r="AB216" s="220">
        <f t="shared" si="109"/>
        <v>6984501.2752953907</v>
      </c>
      <c r="AC216" s="220">
        <f t="shared" si="109"/>
        <v>7010944.7198745152</v>
      </c>
      <c r="AD216" s="220">
        <f t="shared" si="109"/>
        <v>7032244.6371543296</v>
      </c>
      <c r="AE216" s="220">
        <f t="shared" si="109"/>
        <v>7058069.5910931258</v>
      </c>
      <c r="AF216" s="220">
        <f t="shared" si="109"/>
        <v>7083550.6191835348</v>
      </c>
      <c r="AG216" s="220">
        <f t="shared" si="109"/>
        <v>0</v>
      </c>
      <c r="AH216" s="220">
        <f t="shared" si="109"/>
        <v>0</v>
      </c>
      <c r="AI216" s="220">
        <f t="shared" si="109"/>
        <v>0</v>
      </c>
      <c r="AJ216" s="220">
        <f t="shared" si="109"/>
        <v>0</v>
      </c>
      <c r="AK216" s="220">
        <f t="shared" si="109"/>
        <v>0</v>
      </c>
      <c r="AL216" s="220">
        <f t="shared" si="109"/>
        <v>0</v>
      </c>
      <c r="AM216" s="220">
        <f t="shared" si="109"/>
        <v>0</v>
      </c>
      <c r="AN216" s="220">
        <f t="shared" si="109"/>
        <v>0</v>
      </c>
      <c r="AO216" s="220">
        <f t="shared" si="109"/>
        <v>0</v>
      </c>
      <c r="AP216" s="220">
        <f t="shared" si="109"/>
        <v>0</v>
      </c>
    </row>
    <row r="217" spans="1:42" s="119" customFormat="1">
      <c r="A217" s="42" t="s">
        <v>463</v>
      </c>
      <c r="C217" s="220">
        <f t="shared" ref="C217:AP217" si="110">C19</f>
        <v>0</v>
      </c>
      <c r="D217" s="220">
        <f t="shared" si="110"/>
        <v>0</v>
      </c>
      <c r="E217" s="220">
        <f t="shared" si="110"/>
        <v>0</v>
      </c>
      <c r="F217" s="220">
        <f t="shared" si="110"/>
        <v>0</v>
      </c>
      <c r="G217" s="220">
        <f t="shared" si="110"/>
        <v>0</v>
      </c>
      <c r="H217" s="220">
        <f t="shared" si="110"/>
        <v>0</v>
      </c>
      <c r="I217" s="220">
        <f t="shared" si="110"/>
        <v>0</v>
      </c>
      <c r="J217" s="220">
        <f t="shared" si="110"/>
        <v>0</v>
      </c>
      <c r="K217" s="220">
        <f t="shared" si="110"/>
        <v>0</v>
      </c>
      <c r="L217" s="220">
        <f t="shared" si="110"/>
        <v>0</v>
      </c>
      <c r="M217" s="220">
        <f t="shared" si="110"/>
        <v>0</v>
      </c>
      <c r="N217" s="220">
        <f t="shared" si="110"/>
        <v>0</v>
      </c>
      <c r="O217" s="220">
        <f t="shared" si="110"/>
        <v>0</v>
      </c>
      <c r="P217" s="220">
        <f t="shared" si="110"/>
        <v>0</v>
      </c>
      <c r="Q217" s="220">
        <f t="shared" si="110"/>
        <v>0</v>
      </c>
      <c r="R217" s="220">
        <f t="shared" si="110"/>
        <v>0</v>
      </c>
      <c r="S217" s="220">
        <f t="shared" si="110"/>
        <v>0</v>
      </c>
      <c r="T217" s="220">
        <f t="shared" si="110"/>
        <v>0</v>
      </c>
      <c r="U217" s="220">
        <f t="shared" si="110"/>
        <v>0</v>
      </c>
      <c r="V217" s="220">
        <f t="shared" si="110"/>
        <v>0</v>
      </c>
      <c r="W217" s="220">
        <f t="shared" si="110"/>
        <v>0</v>
      </c>
      <c r="X217" s="220">
        <f t="shared" si="110"/>
        <v>0</v>
      </c>
      <c r="Y217" s="220">
        <f t="shared" si="110"/>
        <v>0</v>
      </c>
      <c r="Z217" s="220">
        <f t="shared" si="110"/>
        <v>0</v>
      </c>
      <c r="AA217" s="220">
        <f t="shared" si="110"/>
        <v>0</v>
      </c>
      <c r="AB217" s="220">
        <f t="shared" si="110"/>
        <v>0</v>
      </c>
      <c r="AC217" s="220">
        <f t="shared" si="110"/>
        <v>0</v>
      </c>
      <c r="AD217" s="220">
        <f t="shared" si="110"/>
        <v>0</v>
      </c>
      <c r="AE217" s="220">
        <f t="shared" si="110"/>
        <v>0</v>
      </c>
      <c r="AF217" s="220">
        <f t="shared" si="110"/>
        <v>4022715</v>
      </c>
      <c r="AG217" s="220">
        <f t="shared" si="110"/>
        <v>0</v>
      </c>
      <c r="AH217" s="220">
        <f t="shared" si="110"/>
        <v>0</v>
      </c>
      <c r="AI217" s="220">
        <f t="shared" si="110"/>
        <v>0</v>
      </c>
      <c r="AJ217" s="220">
        <f t="shared" si="110"/>
        <v>0</v>
      </c>
      <c r="AK217" s="220">
        <f t="shared" si="110"/>
        <v>0</v>
      </c>
      <c r="AL217" s="220">
        <f t="shared" si="110"/>
        <v>0</v>
      </c>
      <c r="AM217" s="220">
        <f t="shared" si="110"/>
        <v>0</v>
      </c>
      <c r="AN217" s="220">
        <f t="shared" si="110"/>
        <v>0</v>
      </c>
      <c r="AO217" s="220">
        <f t="shared" si="110"/>
        <v>0</v>
      </c>
      <c r="AP217" s="220">
        <f t="shared" si="110"/>
        <v>0</v>
      </c>
    </row>
    <row r="218" spans="1:42" s="42" customFormat="1">
      <c r="A218" s="42" t="s">
        <v>121</v>
      </c>
      <c r="B218" s="119"/>
      <c r="C218" s="225">
        <f t="shared" ref="C218:AP218" si="111">IF(C$2&lt;=AnalysisPeriod,-C361-C391-C417-C443,0)</f>
        <v>-9781843.9680077601</v>
      </c>
      <c r="D218" s="225">
        <f t="shared" si="111"/>
        <v>-12439965.600044794</v>
      </c>
      <c r="E218" s="225">
        <f t="shared" si="111"/>
        <v>-7534483.8593599219</v>
      </c>
      <c r="F218" s="225">
        <f t="shared" si="111"/>
        <v>-4589252.4286326561</v>
      </c>
      <c r="G218" s="225">
        <f t="shared" si="111"/>
        <v>-4570723.9862627182</v>
      </c>
      <c r="H218" s="225">
        <f t="shared" si="111"/>
        <v>-2365728.3719207733</v>
      </c>
      <c r="I218" s="225">
        <f t="shared" si="111"/>
        <v>-162593.33832291729</v>
      </c>
      <c r="J218" s="225">
        <f t="shared" si="111"/>
        <v>-142800.63613332799</v>
      </c>
      <c r="K218" s="225">
        <f t="shared" si="111"/>
        <v>-151261.59259514077</v>
      </c>
      <c r="L218" s="225">
        <f t="shared" si="111"/>
        <v>-164640.76175454579</v>
      </c>
      <c r="M218" s="225">
        <f t="shared" si="111"/>
        <v>-144155.24266349053</v>
      </c>
      <c r="N218" s="225">
        <f t="shared" si="111"/>
        <v>-741693.3293045992</v>
      </c>
      <c r="O218" s="225">
        <f t="shared" si="111"/>
        <v>-1109352.139653302</v>
      </c>
      <c r="P218" s="225">
        <f t="shared" si="111"/>
        <v>-710703.39410787937</v>
      </c>
      <c r="Q218" s="225">
        <f t="shared" si="111"/>
        <v>-1725531.540176529</v>
      </c>
      <c r="R218" s="225">
        <f t="shared" si="111"/>
        <v>-2435662.3552435576</v>
      </c>
      <c r="S218" s="225">
        <f t="shared" si="111"/>
        <v>-1411597.631143505</v>
      </c>
      <c r="T218" s="225">
        <f t="shared" si="111"/>
        <v>-778494.32029757265</v>
      </c>
      <c r="U218" s="225">
        <f t="shared" si="111"/>
        <v>-793950.56426800054</v>
      </c>
      <c r="V218" s="225">
        <f t="shared" si="111"/>
        <v>-415623.34058422048</v>
      </c>
      <c r="W218" s="225">
        <f t="shared" si="111"/>
        <v>-59266.057813936815</v>
      </c>
      <c r="X218" s="225">
        <f t="shared" si="111"/>
        <v>-63866.494580983657</v>
      </c>
      <c r="Y218" s="225">
        <f t="shared" si="111"/>
        <v>-39207.753391337581</v>
      </c>
      <c r="Z218" s="225">
        <f t="shared" si="111"/>
        <v>-753801.03023236152</v>
      </c>
      <c r="AA218" s="225">
        <f t="shared" si="111"/>
        <v>-1193214.7024706416</v>
      </c>
      <c r="AB218" s="225">
        <f t="shared" si="111"/>
        <v>-716748.90057874774</v>
      </c>
      <c r="AC218" s="225">
        <f t="shared" si="111"/>
        <v>-457220.45619691163</v>
      </c>
      <c r="AD218" s="225">
        <f t="shared" si="111"/>
        <v>-474892.97060994658</v>
      </c>
      <c r="AE218" s="225">
        <f t="shared" si="111"/>
        <v>-245123.72589500149</v>
      </c>
      <c r="AF218" s="225">
        <f t="shared" si="111"/>
        <v>-1593674.8770511288</v>
      </c>
      <c r="AG218" s="225">
        <f t="shared" si="111"/>
        <v>0</v>
      </c>
      <c r="AH218" s="225">
        <f t="shared" si="111"/>
        <v>0</v>
      </c>
      <c r="AI218" s="225">
        <f t="shared" si="111"/>
        <v>0</v>
      </c>
      <c r="AJ218" s="225">
        <f t="shared" si="111"/>
        <v>0</v>
      </c>
      <c r="AK218" s="225">
        <f t="shared" si="111"/>
        <v>0</v>
      </c>
      <c r="AL218" s="225">
        <f t="shared" si="111"/>
        <v>0</v>
      </c>
      <c r="AM218" s="225">
        <f t="shared" si="111"/>
        <v>0</v>
      </c>
      <c r="AN218" s="225">
        <f t="shared" si="111"/>
        <v>0</v>
      </c>
      <c r="AO218" s="225">
        <f t="shared" si="111"/>
        <v>0</v>
      </c>
      <c r="AP218" s="225">
        <f t="shared" si="111"/>
        <v>0</v>
      </c>
    </row>
    <row r="219" spans="1:42" s="119" customFormat="1">
      <c r="A219" s="42" t="s">
        <v>119</v>
      </c>
      <c r="B219" s="146"/>
      <c r="C219" s="220">
        <f>SUM(C216:C218)</f>
        <v>-3797950.117353267</v>
      </c>
      <c r="D219" s="220">
        <f t="shared" ref="D219:AP219" si="112">SUM(D216:D218)</f>
        <v>-6407615.756114006</v>
      </c>
      <c r="E219" s="220">
        <f t="shared" si="112"/>
        <v>-1453814.447207964</v>
      </c>
      <c r="F219" s="220">
        <f t="shared" si="112"/>
        <v>1536222.9522476476</v>
      </c>
      <c r="G219" s="220">
        <f t="shared" si="112"/>
        <v>1602808.4918019967</v>
      </c>
      <c r="H219" s="220">
        <f t="shared" si="112"/>
        <v>3855707.4428047813</v>
      </c>
      <c r="I219" s="220">
        <f t="shared" si="112"/>
        <v>6103060.4728023959</v>
      </c>
      <c r="J219" s="220">
        <f t="shared" si="112"/>
        <v>6170459.4168317663</v>
      </c>
      <c r="K219" s="220">
        <f t="shared" si="112"/>
        <v>6209432.3822251176</v>
      </c>
      <c r="L219" s="220">
        <f t="shared" si="112"/>
        <v>6239621.7690498941</v>
      </c>
      <c r="M219" s="220">
        <f t="shared" si="112"/>
        <v>6307207.0217988696</v>
      </c>
      <c r="N219" s="220">
        <f t="shared" si="112"/>
        <v>5756576.485377402</v>
      </c>
      <c r="O219" s="220">
        <f t="shared" si="112"/>
        <v>5332230.0013016006</v>
      </c>
      <c r="P219" s="220">
        <f t="shared" si="112"/>
        <v>5778252.4862802261</v>
      </c>
      <c r="Q219" s="220">
        <f t="shared" si="112"/>
        <v>4810584.643574832</v>
      </c>
      <c r="R219" s="220">
        <f t="shared" si="112"/>
        <v>3932842.0077002752</v>
      </c>
      <c r="S219" s="220">
        <f t="shared" si="112"/>
        <v>5005448.5687640794</v>
      </c>
      <c r="T219" s="220">
        <f t="shared" si="112"/>
        <v>5686857.5479854885</v>
      </c>
      <c r="U219" s="220">
        <f t="shared" si="112"/>
        <v>5715247.6894792225</v>
      </c>
      <c r="V219" s="220">
        <f t="shared" si="112"/>
        <v>6141418.6170837851</v>
      </c>
      <c r="W219" s="220">
        <f t="shared" si="112"/>
        <v>6545359.1261897311</v>
      </c>
      <c r="X219" s="220">
        <f t="shared" si="112"/>
        <v>6569334.3105382686</v>
      </c>
      <c r="Y219" s="220">
        <f t="shared" si="112"/>
        <v>6626734.6853645202</v>
      </c>
      <c r="Z219" s="220">
        <f t="shared" si="112"/>
        <v>5944596.5762408571</v>
      </c>
      <c r="AA219" s="220">
        <f t="shared" si="112"/>
        <v>5764528.885120566</v>
      </c>
      <c r="AB219" s="220">
        <f t="shared" si="112"/>
        <v>6267752.3747166432</v>
      </c>
      <c r="AC219" s="220">
        <f t="shared" si="112"/>
        <v>6553724.2636776036</v>
      </c>
      <c r="AD219" s="220">
        <f t="shared" si="112"/>
        <v>6557351.6665443834</v>
      </c>
      <c r="AE219" s="220">
        <f t="shared" si="112"/>
        <v>6812945.8651981242</v>
      </c>
      <c r="AF219" s="220">
        <f t="shared" si="112"/>
        <v>9512590.7421324067</v>
      </c>
      <c r="AG219" s="220">
        <f t="shared" si="112"/>
        <v>0</v>
      </c>
      <c r="AH219" s="220">
        <f t="shared" si="112"/>
        <v>0</v>
      </c>
      <c r="AI219" s="220">
        <f t="shared" si="112"/>
        <v>0</v>
      </c>
      <c r="AJ219" s="220">
        <f t="shared" si="112"/>
        <v>0</v>
      </c>
      <c r="AK219" s="220">
        <f t="shared" si="112"/>
        <v>0</v>
      </c>
      <c r="AL219" s="220">
        <f t="shared" si="112"/>
        <v>0</v>
      </c>
      <c r="AM219" s="220">
        <f t="shared" si="112"/>
        <v>0</v>
      </c>
      <c r="AN219" s="220">
        <f t="shared" si="112"/>
        <v>0</v>
      </c>
      <c r="AO219" s="220">
        <f t="shared" si="112"/>
        <v>0</v>
      </c>
      <c r="AP219" s="220">
        <f t="shared" si="112"/>
        <v>0</v>
      </c>
    </row>
    <row r="220" spans="1:42" s="119" customFormat="1">
      <c r="A220" s="42" t="s">
        <v>439</v>
      </c>
    </row>
    <row r="221" spans="1:42" s="119" customFormat="1">
      <c r="A221" s="226" t="str">
        <f>'Inputs &amp; Results'!A49</f>
        <v>Fixed Amount ($)</v>
      </c>
    </row>
    <row r="222" spans="1:42" s="119" customFormat="1">
      <c r="A222" s="227" t="str">
        <f>'Inputs &amp; Results'!A50</f>
        <v>Federal</v>
      </c>
      <c r="C222" s="220">
        <f>IF(IBIFedFixedStateTax="Yes",C666,0)</f>
        <v>1000</v>
      </c>
    </row>
    <row r="223" spans="1:42" s="119" customFormat="1">
      <c r="A223" s="227" t="str">
        <f>'Inputs &amp; Results'!A51</f>
        <v>State</v>
      </c>
      <c r="C223" s="220">
        <f>IF(IBIStateFixedStateTax="Yes",C667,0)</f>
        <v>2000</v>
      </c>
    </row>
    <row r="224" spans="1:42" s="119" customFormat="1">
      <c r="A224" s="227" t="str">
        <f>'Inputs &amp; Results'!A52</f>
        <v>Utility</v>
      </c>
      <c r="C224" s="220">
        <f>IF(IBIUtilityFixedStateTax="Yes",C668,0)</f>
        <v>500</v>
      </c>
    </row>
    <row r="225" spans="1:52">
      <c r="A225" s="227" t="str">
        <f>'Inputs &amp; Results'!A53</f>
        <v>Other</v>
      </c>
      <c r="C225" s="225">
        <f>IF(IBIOtherFixedStateTax="Yes",C669,0)</f>
        <v>250</v>
      </c>
      <c r="D225" s="208"/>
      <c r="E225" s="208"/>
      <c r="F225" s="208"/>
      <c r="G225" s="208"/>
      <c r="H225" s="208"/>
      <c r="I225" s="208"/>
      <c r="J225" s="208"/>
      <c r="K225" s="208"/>
      <c r="L225" s="208"/>
      <c r="M225" s="208"/>
      <c r="N225" s="208"/>
      <c r="O225" s="208"/>
      <c r="P225" s="208"/>
      <c r="Q225" s="208"/>
      <c r="R225" s="208"/>
      <c r="S225" s="208"/>
      <c r="T225" s="208"/>
      <c r="U225" s="208"/>
      <c r="V225" s="208"/>
      <c r="W225" s="208"/>
      <c r="X225" s="208"/>
      <c r="Y225" s="208"/>
      <c r="Z225" s="208"/>
      <c r="AA225" s="208"/>
      <c r="AB225" s="208"/>
      <c r="AC225" s="208"/>
      <c r="AD225" s="208"/>
      <c r="AE225" s="208"/>
      <c r="AF225" s="208"/>
      <c r="AG225" s="208"/>
      <c r="AH225" s="208"/>
      <c r="AI225" s="208"/>
      <c r="AJ225" s="208"/>
      <c r="AK225" s="208"/>
      <c r="AL225" s="208"/>
      <c r="AM225" s="208"/>
      <c r="AN225" s="208"/>
      <c r="AO225" s="208"/>
      <c r="AP225" s="208"/>
    </row>
    <row r="226" spans="1:52">
      <c r="A226" s="227" t="s">
        <v>53</v>
      </c>
      <c r="C226" s="208">
        <f>SUM(C222:C225)</f>
        <v>3750</v>
      </c>
      <c r="D226" s="208"/>
      <c r="E226" s="208"/>
      <c r="F226" s="208"/>
      <c r="G226" s="208"/>
      <c r="H226" s="208"/>
      <c r="I226" s="208"/>
      <c r="J226" s="208"/>
      <c r="K226" s="208"/>
      <c r="L226" s="208"/>
      <c r="M226" s="208"/>
      <c r="N226" s="208"/>
      <c r="O226" s="208"/>
      <c r="P226" s="208"/>
      <c r="Q226" s="208"/>
      <c r="R226" s="208"/>
      <c r="S226" s="208"/>
      <c r="T226" s="208"/>
      <c r="U226" s="208"/>
      <c r="V226" s="208"/>
      <c r="W226" s="208"/>
      <c r="X226" s="208"/>
      <c r="Y226" s="208"/>
      <c r="Z226" s="208"/>
      <c r="AA226" s="208"/>
      <c r="AB226" s="208"/>
      <c r="AC226" s="208"/>
      <c r="AD226" s="208"/>
      <c r="AE226" s="208"/>
      <c r="AF226" s="208"/>
      <c r="AG226" s="208"/>
      <c r="AH226" s="208"/>
      <c r="AI226" s="208"/>
      <c r="AJ226" s="208"/>
      <c r="AK226" s="208"/>
      <c r="AL226" s="208"/>
      <c r="AM226" s="208"/>
      <c r="AN226" s="208"/>
      <c r="AO226" s="208"/>
      <c r="AP226" s="208"/>
    </row>
    <row r="227" spans="1:52">
      <c r="A227" s="226" t="str">
        <f>'Inputs &amp; Results'!A54</f>
        <v>Percentage of Pre-Financing Costs</v>
      </c>
      <c r="C227" s="208"/>
      <c r="D227" s="208"/>
      <c r="E227" s="208"/>
      <c r="F227" s="208"/>
      <c r="G227" s="208"/>
      <c r="H227" s="208"/>
      <c r="I227" s="208"/>
      <c r="J227" s="208"/>
      <c r="K227" s="208"/>
      <c r="L227" s="208"/>
      <c r="M227" s="208"/>
      <c r="N227" s="208"/>
      <c r="O227" s="208"/>
      <c r="P227" s="208"/>
      <c r="Q227" s="208"/>
      <c r="R227" s="208"/>
      <c r="S227" s="208"/>
      <c r="T227" s="208"/>
      <c r="U227" s="208"/>
      <c r="V227" s="208"/>
      <c r="W227" s="208"/>
      <c r="X227" s="208"/>
      <c r="Y227" s="208"/>
      <c r="Z227" s="208"/>
      <c r="AA227" s="208"/>
      <c r="AB227" s="208"/>
      <c r="AC227" s="208"/>
      <c r="AD227" s="208"/>
      <c r="AE227" s="208"/>
      <c r="AF227" s="208"/>
      <c r="AG227" s="208"/>
      <c r="AH227" s="208"/>
      <c r="AI227" s="208"/>
      <c r="AJ227" s="208"/>
      <c r="AK227" s="208"/>
      <c r="AL227" s="208"/>
      <c r="AM227" s="208"/>
      <c r="AN227" s="208"/>
      <c r="AO227" s="208"/>
      <c r="AP227" s="208"/>
    </row>
    <row r="228" spans="1:52">
      <c r="A228" s="227" t="str">
        <f>'Inputs &amp; Results'!A55</f>
        <v>Federal</v>
      </c>
      <c r="C228" s="220">
        <f>IF(IBIFedPercentStateTax="Yes",C672,0)</f>
        <v>2011357.5</v>
      </c>
      <c r="D228" s="208"/>
      <c r="E228" s="208"/>
      <c r="F228" s="208"/>
      <c r="G228" s="208"/>
      <c r="H228" s="208"/>
      <c r="I228" s="208"/>
      <c r="J228" s="208"/>
      <c r="K228" s="208"/>
      <c r="L228" s="208"/>
      <c r="M228" s="208"/>
      <c r="N228" s="208"/>
      <c r="O228" s="208"/>
      <c r="P228" s="208"/>
      <c r="Q228" s="208"/>
      <c r="R228" s="208"/>
      <c r="S228" s="208"/>
      <c r="T228" s="208"/>
      <c r="U228" s="208"/>
      <c r="V228" s="208"/>
      <c r="W228" s="208"/>
      <c r="X228" s="208"/>
      <c r="Y228" s="208"/>
      <c r="Z228" s="208"/>
      <c r="AA228" s="208"/>
      <c r="AB228" s="208"/>
      <c r="AC228" s="208"/>
      <c r="AD228" s="208"/>
      <c r="AE228" s="208"/>
      <c r="AF228" s="208"/>
      <c r="AG228" s="208"/>
      <c r="AH228" s="208"/>
      <c r="AI228" s="208"/>
      <c r="AJ228" s="208"/>
      <c r="AK228" s="208"/>
      <c r="AL228" s="208"/>
      <c r="AM228" s="208"/>
      <c r="AN228" s="208"/>
      <c r="AO228" s="208"/>
      <c r="AP228" s="208"/>
    </row>
    <row r="229" spans="1:52">
      <c r="A229" s="227" t="str">
        <f>'Inputs &amp; Results'!A56</f>
        <v>State</v>
      </c>
      <c r="C229" s="220">
        <f>IF(IBIStatePercentStateTax="Yes",C673,0)</f>
        <v>4022715</v>
      </c>
      <c r="D229" s="208"/>
      <c r="E229" s="208"/>
      <c r="F229" s="208"/>
      <c r="G229" s="208"/>
      <c r="H229" s="208"/>
      <c r="I229" s="208"/>
      <c r="J229" s="208"/>
      <c r="K229" s="208"/>
      <c r="L229" s="208"/>
      <c r="M229" s="208"/>
      <c r="N229" s="208"/>
      <c r="O229" s="208"/>
      <c r="P229" s="208"/>
      <c r="Q229" s="208"/>
      <c r="R229" s="208"/>
      <c r="S229" s="208"/>
      <c r="T229" s="208"/>
      <c r="U229" s="208"/>
      <c r="V229" s="208"/>
      <c r="W229" s="208"/>
      <c r="X229" s="208"/>
      <c r="Y229" s="208"/>
      <c r="Z229" s="208"/>
      <c r="AA229" s="208"/>
      <c r="AB229" s="208"/>
      <c r="AC229" s="208"/>
      <c r="AD229" s="208"/>
      <c r="AE229" s="208"/>
      <c r="AF229" s="208"/>
      <c r="AG229" s="208"/>
      <c r="AH229" s="208"/>
      <c r="AI229" s="208"/>
      <c r="AJ229" s="208"/>
      <c r="AK229" s="208"/>
      <c r="AL229" s="208"/>
      <c r="AM229" s="208"/>
      <c r="AN229" s="208"/>
      <c r="AO229" s="208"/>
      <c r="AP229" s="208"/>
    </row>
    <row r="230" spans="1:52">
      <c r="A230" s="227" t="str">
        <f>'Inputs &amp; Results'!A57</f>
        <v>Utility</v>
      </c>
      <c r="C230" s="220">
        <f>IF(IBIUtilityPercentStateTax="Yes",C674,0)</f>
        <v>402271.5</v>
      </c>
      <c r="D230" s="208"/>
      <c r="E230" s="208"/>
      <c r="F230" s="208"/>
      <c r="G230" s="208"/>
      <c r="H230" s="208"/>
      <c r="I230" s="208"/>
      <c r="J230" s="208"/>
      <c r="K230" s="208"/>
      <c r="L230" s="208"/>
      <c r="M230" s="208"/>
      <c r="N230" s="208"/>
      <c r="O230" s="208"/>
      <c r="P230" s="208"/>
      <c r="Q230" s="208"/>
      <c r="R230" s="208"/>
      <c r="S230" s="208"/>
      <c r="T230" s="208"/>
      <c r="U230" s="208"/>
      <c r="V230" s="208"/>
      <c r="W230" s="208"/>
      <c r="X230" s="208"/>
      <c r="Y230" s="208"/>
      <c r="Z230" s="208"/>
      <c r="AA230" s="208"/>
      <c r="AB230" s="208"/>
      <c r="AC230" s="208"/>
      <c r="AD230" s="208"/>
      <c r="AE230" s="208"/>
      <c r="AF230" s="208"/>
      <c r="AG230" s="208"/>
      <c r="AH230" s="208"/>
      <c r="AI230" s="208"/>
      <c r="AJ230" s="208"/>
      <c r="AK230" s="208"/>
      <c r="AL230" s="208"/>
      <c r="AM230" s="208"/>
      <c r="AN230" s="208"/>
      <c r="AO230" s="208"/>
      <c r="AP230" s="208"/>
    </row>
    <row r="231" spans="1:52">
      <c r="A231" s="227" t="str">
        <f>'Inputs &amp; Results'!A58</f>
        <v>Other</v>
      </c>
      <c r="C231" s="225">
        <f>IF(IBIOtherPercentStateTax="Yes",C675,0)</f>
        <v>201135.75</v>
      </c>
      <c r="D231" s="208"/>
      <c r="E231" s="208"/>
      <c r="F231" s="208"/>
      <c r="G231" s="208"/>
      <c r="H231" s="208"/>
      <c r="I231" s="208"/>
      <c r="J231" s="208"/>
      <c r="K231" s="208"/>
      <c r="L231" s="208"/>
      <c r="M231" s="208"/>
      <c r="N231" s="208"/>
      <c r="O231" s="208"/>
      <c r="P231" s="208"/>
      <c r="Q231" s="208"/>
      <c r="R231" s="208"/>
      <c r="S231" s="208"/>
      <c r="T231" s="208"/>
      <c r="U231" s="208"/>
      <c r="V231" s="208"/>
      <c r="W231" s="208"/>
      <c r="X231" s="208"/>
      <c r="Y231" s="208"/>
      <c r="Z231" s="208"/>
      <c r="AA231" s="208"/>
      <c r="AB231" s="208"/>
      <c r="AC231" s="208"/>
      <c r="AD231" s="208"/>
      <c r="AE231" s="208"/>
      <c r="AF231" s="208"/>
      <c r="AG231" s="208"/>
      <c r="AH231" s="208"/>
      <c r="AI231" s="208"/>
      <c r="AJ231" s="208"/>
      <c r="AK231" s="208"/>
      <c r="AL231" s="208"/>
      <c r="AM231" s="208"/>
      <c r="AN231" s="208"/>
      <c r="AO231" s="208"/>
      <c r="AP231" s="208"/>
    </row>
    <row r="232" spans="1:52">
      <c r="A232" s="227" t="s">
        <v>53</v>
      </c>
      <c r="C232" s="208">
        <f>SUM(C228:C231)</f>
        <v>6637479.75</v>
      </c>
      <c r="D232" s="208"/>
      <c r="E232" s="208"/>
      <c r="F232" s="208"/>
      <c r="G232" s="208"/>
      <c r="H232" s="208"/>
      <c r="I232" s="208"/>
      <c r="J232" s="208"/>
      <c r="K232" s="208"/>
      <c r="L232" s="208"/>
      <c r="M232" s="208"/>
      <c r="N232" s="208"/>
      <c r="O232" s="208"/>
      <c r="P232" s="208"/>
      <c r="Q232" s="208"/>
      <c r="R232" s="208"/>
      <c r="S232" s="208"/>
      <c r="T232" s="208"/>
      <c r="U232" s="208"/>
      <c r="V232" s="208"/>
      <c r="W232" s="208"/>
      <c r="X232" s="208"/>
      <c r="Y232" s="208"/>
      <c r="Z232" s="208"/>
      <c r="AA232" s="208"/>
      <c r="AB232" s="208"/>
      <c r="AC232" s="208"/>
      <c r="AD232" s="208"/>
      <c r="AE232" s="208"/>
      <c r="AF232" s="208"/>
      <c r="AG232" s="208"/>
      <c r="AH232" s="208"/>
      <c r="AI232" s="208"/>
      <c r="AJ232" s="208"/>
      <c r="AK232" s="208"/>
      <c r="AL232" s="208"/>
      <c r="AM232" s="208"/>
      <c r="AN232" s="208"/>
      <c r="AO232" s="208"/>
      <c r="AP232" s="208"/>
    </row>
    <row r="233" spans="1:52">
      <c r="A233" s="219" t="s">
        <v>440</v>
      </c>
      <c r="C233" s="208"/>
      <c r="D233" s="208"/>
      <c r="E233" s="208"/>
      <c r="F233" s="208"/>
      <c r="G233" s="208"/>
      <c r="H233" s="208"/>
      <c r="I233" s="208"/>
      <c r="J233" s="208"/>
      <c r="K233" s="208"/>
      <c r="L233" s="208"/>
      <c r="M233" s="208"/>
      <c r="N233" s="208"/>
      <c r="O233" s="208"/>
      <c r="P233" s="208"/>
      <c r="Q233" s="208"/>
      <c r="R233" s="208"/>
      <c r="S233" s="208"/>
      <c r="T233" s="208"/>
      <c r="U233" s="208"/>
      <c r="V233" s="208"/>
      <c r="W233" s="208"/>
      <c r="X233" s="208"/>
      <c r="Y233" s="208"/>
      <c r="Z233" s="208"/>
      <c r="AA233" s="208"/>
      <c r="AB233" s="208"/>
      <c r="AC233" s="208"/>
      <c r="AD233" s="208"/>
      <c r="AE233" s="208"/>
      <c r="AF233" s="208"/>
      <c r="AG233" s="208"/>
      <c r="AH233" s="208"/>
      <c r="AI233" s="208"/>
      <c r="AJ233" s="208"/>
      <c r="AK233" s="208"/>
      <c r="AL233" s="208"/>
      <c r="AM233" s="208"/>
      <c r="AN233" s="208"/>
      <c r="AO233" s="208"/>
      <c r="AP233" s="208"/>
    </row>
    <row r="234" spans="1:52">
      <c r="A234" s="226" t="str">
        <f>'Inputs &amp; Results'!A60</f>
        <v>Federal</v>
      </c>
      <c r="C234" s="146">
        <f>IF(CBIFedStateTax="Yes",C678,0)</f>
        <v>5000000</v>
      </c>
      <c r="D234" s="208"/>
      <c r="E234" s="208"/>
      <c r="F234" s="208"/>
      <c r="G234" s="208"/>
      <c r="H234" s="208"/>
      <c r="I234" s="208"/>
      <c r="J234" s="208"/>
      <c r="K234" s="208"/>
      <c r="L234" s="208"/>
      <c r="M234" s="208"/>
      <c r="N234" s="208"/>
      <c r="O234" s="208"/>
      <c r="P234" s="208"/>
      <c r="Q234" s="208"/>
      <c r="R234" s="208"/>
      <c r="S234" s="208"/>
      <c r="T234" s="208"/>
      <c r="U234" s="208"/>
      <c r="V234" s="208"/>
      <c r="W234" s="208"/>
      <c r="X234" s="208"/>
      <c r="Y234" s="208"/>
      <c r="Z234" s="208"/>
      <c r="AA234" s="208"/>
      <c r="AB234" s="208"/>
      <c r="AC234" s="208"/>
      <c r="AD234" s="208"/>
      <c r="AE234" s="208"/>
      <c r="AF234" s="208"/>
      <c r="AG234" s="208"/>
      <c r="AH234" s="208"/>
      <c r="AI234" s="208"/>
      <c r="AJ234" s="208"/>
      <c r="AK234" s="208"/>
      <c r="AL234" s="208"/>
      <c r="AM234" s="208"/>
      <c r="AN234" s="208"/>
      <c r="AO234" s="208"/>
      <c r="AP234" s="208"/>
    </row>
    <row r="235" spans="1:52">
      <c r="A235" s="226" t="str">
        <f>'Inputs &amp; Results'!A61</f>
        <v>State</v>
      </c>
      <c r="C235" s="146">
        <f>IF(CBIStateStateTax="Yes",C679,0)</f>
        <v>2000000</v>
      </c>
      <c r="D235" s="208"/>
      <c r="E235" s="208"/>
      <c r="F235" s="208"/>
      <c r="G235" s="208"/>
      <c r="H235" s="208"/>
      <c r="I235" s="208"/>
      <c r="J235" s="208"/>
      <c r="K235" s="208"/>
      <c r="L235" s="208"/>
      <c r="M235" s="208"/>
      <c r="N235" s="208"/>
      <c r="O235" s="208"/>
      <c r="P235" s="208"/>
      <c r="Q235" s="208"/>
      <c r="R235" s="208"/>
      <c r="S235" s="208"/>
      <c r="T235" s="208"/>
      <c r="U235" s="208"/>
      <c r="V235" s="208"/>
      <c r="W235" s="208"/>
      <c r="X235" s="208"/>
      <c r="Y235" s="208"/>
      <c r="Z235" s="208"/>
      <c r="AA235" s="208"/>
      <c r="AB235" s="208"/>
      <c r="AC235" s="208"/>
      <c r="AD235" s="208"/>
      <c r="AE235" s="208"/>
      <c r="AF235" s="208"/>
      <c r="AG235" s="208"/>
      <c r="AH235" s="208"/>
      <c r="AI235" s="208"/>
      <c r="AJ235" s="208"/>
      <c r="AK235" s="208"/>
      <c r="AL235" s="208"/>
      <c r="AM235" s="208"/>
      <c r="AN235" s="208"/>
      <c r="AO235" s="208"/>
      <c r="AP235" s="208"/>
    </row>
    <row r="236" spans="1:52">
      <c r="A236" s="226" t="str">
        <f>'Inputs &amp; Results'!A62</f>
        <v>Utility</v>
      </c>
      <c r="C236" s="146">
        <f>IF(CBIUtilityStateTax="Yes",C680,0)</f>
        <v>100000</v>
      </c>
      <c r="D236" s="208"/>
      <c r="E236" s="208"/>
      <c r="F236" s="208"/>
      <c r="G236" s="208"/>
      <c r="H236" s="208"/>
      <c r="I236" s="208"/>
      <c r="J236" s="208"/>
      <c r="K236" s="208"/>
      <c r="L236" s="208"/>
      <c r="M236" s="208"/>
      <c r="N236" s="208"/>
      <c r="O236" s="208"/>
      <c r="P236" s="208"/>
      <c r="Q236" s="208"/>
      <c r="R236" s="208"/>
      <c r="S236" s="208"/>
      <c r="T236" s="208"/>
      <c r="U236" s="208"/>
      <c r="V236" s="208"/>
      <c r="W236" s="208"/>
      <c r="X236" s="208"/>
      <c r="Y236" s="208"/>
      <c r="Z236" s="208"/>
      <c r="AA236" s="208"/>
      <c r="AB236" s="208"/>
      <c r="AC236" s="208"/>
      <c r="AD236" s="208"/>
      <c r="AE236" s="208"/>
      <c r="AF236" s="208"/>
      <c r="AG236" s="208"/>
      <c r="AH236" s="208"/>
      <c r="AI236" s="208"/>
      <c r="AJ236" s="208"/>
      <c r="AK236" s="208"/>
      <c r="AL236" s="208"/>
      <c r="AM236" s="208"/>
      <c r="AN236" s="208"/>
      <c r="AO236" s="208"/>
      <c r="AP236" s="208"/>
    </row>
    <row r="237" spans="1:52">
      <c r="A237" s="226" t="str">
        <f>'Inputs &amp; Results'!A63</f>
        <v>Other</v>
      </c>
      <c r="C237" s="225">
        <f>IF(CBIOtherStateTax="Yes",C681,0)</f>
        <v>50000</v>
      </c>
      <c r="D237" s="208"/>
      <c r="E237" s="208"/>
      <c r="F237" s="208"/>
      <c r="G237" s="208"/>
      <c r="H237" s="208"/>
      <c r="I237" s="208"/>
      <c r="J237" s="208"/>
      <c r="K237" s="208"/>
      <c r="L237" s="208"/>
      <c r="M237" s="208"/>
      <c r="N237" s="208"/>
      <c r="O237" s="208"/>
      <c r="P237" s="208"/>
      <c r="Q237" s="208"/>
      <c r="R237" s="208"/>
      <c r="S237" s="208"/>
      <c r="T237" s="208"/>
      <c r="U237" s="208"/>
      <c r="V237" s="208"/>
      <c r="W237" s="208"/>
      <c r="X237" s="208"/>
      <c r="Y237" s="208"/>
      <c r="Z237" s="208"/>
      <c r="AA237" s="208"/>
      <c r="AB237" s="208"/>
      <c r="AC237" s="208"/>
      <c r="AD237" s="208"/>
      <c r="AE237" s="208"/>
      <c r="AF237" s="208"/>
      <c r="AG237" s="208"/>
      <c r="AH237" s="208"/>
      <c r="AI237" s="208"/>
      <c r="AJ237" s="208"/>
      <c r="AK237" s="208"/>
      <c r="AL237" s="208"/>
      <c r="AM237" s="208"/>
      <c r="AN237" s="208"/>
      <c r="AO237" s="208"/>
      <c r="AP237" s="208"/>
    </row>
    <row r="238" spans="1:52">
      <c r="A238" s="226" t="s">
        <v>53</v>
      </c>
      <c r="C238" s="291">
        <f>SUM(C234:C237)</f>
        <v>7150000</v>
      </c>
      <c r="D238" s="209"/>
      <c r="E238" s="209"/>
      <c r="F238" s="209"/>
      <c r="G238" s="209"/>
      <c r="H238" s="209"/>
      <c r="I238" s="209"/>
      <c r="J238" s="209"/>
      <c r="K238" s="209"/>
      <c r="L238" s="209"/>
      <c r="M238" s="209"/>
      <c r="N238" s="209"/>
      <c r="O238" s="209"/>
      <c r="P238" s="209"/>
      <c r="Q238" s="209"/>
      <c r="R238" s="209"/>
      <c r="S238" s="209"/>
      <c r="T238" s="209"/>
      <c r="U238" s="209"/>
      <c r="V238" s="209"/>
      <c r="W238" s="209"/>
      <c r="X238" s="209"/>
      <c r="Y238" s="209"/>
      <c r="Z238" s="209"/>
      <c r="AA238" s="209"/>
      <c r="AB238" s="209"/>
      <c r="AC238" s="209"/>
      <c r="AD238" s="209"/>
      <c r="AE238" s="209"/>
      <c r="AF238" s="209"/>
      <c r="AG238" s="209"/>
      <c r="AH238" s="209"/>
      <c r="AI238" s="209"/>
      <c r="AJ238" s="209"/>
      <c r="AK238" s="209"/>
      <c r="AL238" s="209"/>
      <c r="AM238" s="209"/>
      <c r="AN238" s="209"/>
      <c r="AO238" s="209"/>
      <c r="AP238" s="209"/>
    </row>
    <row r="239" spans="1:52">
      <c r="A239" s="219" t="s">
        <v>132</v>
      </c>
      <c r="C239" s="291">
        <f>C226+C232+C238</f>
        <v>13791229.75</v>
      </c>
      <c r="D239" s="291">
        <f t="shared" ref="D239:AP239" si="113">D226+D232+D238</f>
        <v>0</v>
      </c>
      <c r="E239" s="291">
        <f t="shared" si="113"/>
        <v>0</v>
      </c>
      <c r="F239" s="291">
        <f t="shared" si="113"/>
        <v>0</v>
      </c>
      <c r="G239" s="291">
        <f t="shared" si="113"/>
        <v>0</v>
      </c>
      <c r="H239" s="291">
        <f t="shared" si="113"/>
        <v>0</v>
      </c>
      <c r="I239" s="291">
        <f t="shared" si="113"/>
        <v>0</v>
      </c>
      <c r="J239" s="291">
        <f t="shared" si="113"/>
        <v>0</v>
      </c>
      <c r="K239" s="291">
        <f t="shared" si="113"/>
        <v>0</v>
      </c>
      <c r="L239" s="291">
        <f t="shared" si="113"/>
        <v>0</v>
      </c>
      <c r="M239" s="291">
        <f t="shared" si="113"/>
        <v>0</v>
      </c>
      <c r="N239" s="291">
        <f t="shared" si="113"/>
        <v>0</v>
      </c>
      <c r="O239" s="291">
        <f t="shared" si="113"/>
        <v>0</v>
      </c>
      <c r="P239" s="291">
        <f t="shared" si="113"/>
        <v>0</v>
      </c>
      <c r="Q239" s="291">
        <f t="shared" si="113"/>
        <v>0</v>
      </c>
      <c r="R239" s="291">
        <f t="shared" si="113"/>
        <v>0</v>
      </c>
      <c r="S239" s="291">
        <f t="shared" si="113"/>
        <v>0</v>
      </c>
      <c r="T239" s="291">
        <f t="shared" si="113"/>
        <v>0</v>
      </c>
      <c r="U239" s="291">
        <f t="shared" si="113"/>
        <v>0</v>
      </c>
      <c r="V239" s="291">
        <f t="shared" si="113"/>
        <v>0</v>
      </c>
      <c r="W239" s="291">
        <f t="shared" si="113"/>
        <v>0</v>
      </c>
      <c r="X239" s="291">
        <f t="shared" si="113"/>
        <v>0</v>
      </c>
      <c r="Y239" s="291">
        <f t="shared" si="113"/>
        <v>0</v>
      </c>
      <c r="Z239" s="291">
        <f t="shared" si="113"/>
        <v>0</v>
      </c>
      <c r="AA239" s="291">
        <f t="shared" si="113"/>
        <v>0</v>
      </c>
      <c r="AB239" s="291">
        <f t="shared" si="113"/>
        <v>0</v>
      </c>
      <c r="AC239" s="291">
        <f t="shared" si="113"/>
        <v>0</v>
      </c>
      <c r="AD239" s="291">
        <f t="shared" si="113"/>
        <v>0</v>
      </c>
      <c r="AE239" s="291">
        <f t="shared" si="113"/>
        <v>0</v>
      </c>
      <c r="AF239" s="291">
        <f t="shared" si="113"/>
        <v>0</v>
      </c>
      <c r="AG239" s="291">
        <f t="shared" si="113"/>
        <v>0</v>
      </c>
      <c r="AH239" s="291">
        <f t="shared" si="113"/>
        <v>0</v>
      </c>
      <c r="AI239" s="291">
        <f t="shared" si="113"/>
        <v>0</v>
      </c>
      <c r="AJ239" s="291">
        <f t="shared" si="113"/>
        <v>0</v>
      </c>
      <c r="AK239" s="291">
        <f t="shared" si="113"/>
        <v>0</v>
      </c>
      <c r="AL239" s="291">
        <f t="shared" si="113"/>
        <v>0</v>
      </c>
      <c r="AM239" s="291">
        <f t="shared" si="113"/>
        <v>0</v>
      </c>
      <c r="AN239" s="291">
        <f t="shared" si="113"/>
        <v>0</v>
      </c>
      <c r="AO239" s="291">
        <f t="shared" si="113"/>
        <v>0</v>
      </c>
      <c r="AP239" s="291">
        <f t="shared" si="113"/>
        <v>0</v>
      </c>
      <c r="AQ239" s="40"/>
      <c r="AR239" s="40"/>
      <c r="AS239" s="40"/>
      <c r="AT239" s="40"/>
      <c r="AU239" s="40"/>
      <c r="AV239" s="40"/>
      <c r="AW239" s="40"/>
      <c r="AX239" s="40"/>
      <c r="AY239" s="40"/>
      <c r="AZ239" s="40"/>
    </row>
    <row r="240" spans="1:52" s="119" customFormat="1">
      <c r="A240" s="42" t="s">
        <v>436</v>
      </c>
      <c r="C240" s="220">
        <f>C219+C239</f>
        <v>9993279.632646732</v>
      </c>
      <c r="D240" s="220">
        <f t="shared" ref="D240:L240" si="114">D219+D239</f>
        <v>-6407615.756114006</v>
      </c>
      <c r="E240" s="220">
        <f t="shared" si="114"/>
        <v>-1453814.447207964</v>
      </c>
      <c r="F240" s="220">
        <f t="shared" si="114"/>
        <v>1536222.9522476476</v>
      </c>
      <c r="G240" s="220">
        <f t="shared" si="114"/>
        <v>1602808.4918019967</v>
      </c>
      <c r="H240" s="220">
        <f t="shared" si="114"/>
        <v>3855707.4428047813</v>
      </c>
      <c r="I240" s="220">
        <f t="shared" si="114"/>
        <v>6103060.4728023959</v>
      </c>
      <c r="J240" s="220">
        <f t="shared" si="114"/>
        <v>6170459.4168317663</v>
      </c>
      <c r="K240" s="220">
        <f t="shared" si="114"/>
        <v>6209432.3822251176</v>
      </c>
      <c r="L240" s="220">
        <f t="shared" si="114"/>
        <v>6239621.7690498941</v>
      </c>
      <c r="M240" s="220">
        <f t="shared" ref="M240" si="115">M219+M239</f>
        <v>6307207.0217988696</v>
      </c>
      <c r="N240" s="220">
        <f t="shared" ref="N240" si="116">N219+N239</f>
        <v>5756576.485377402</v>
      </c>
      <c r="O240" s="220">
        <f t="shared" ref="O240" si="117">O219+O239</f>
        <v>5332230.0013016006</v>
      </c>
      <c r="P240" s="220">
        <f t="shared" ref="P240" si="118">P219+P239</f>
        <v>5778252.4862802261</v>
      </c>
      <c r="Q240" s="220">
        <f t="shared" ref="Q240" si="119">Q219+Q239</f>
        <v>4810584.643574832</v>
      </c>
      <c r="R240" s="220">
        <f t="shared" ref="R240" si="120">R219+R239</f>
        <v>3932842.0077002752</v>
      </c>
      <c r="S240" s="220">
        <f t="shared" ref="S240" si="121">S219+S239</f>
        <v>5005448.5687640794</v>
      </c>
      <c r="T240" s="220">
        <f t="shared" ref="T240:U240" si="122">T219+T239</f>
        <v>5686857.5479854885</v>
      </c>
      <c r="U240" s="220">
        <f t="shared" si="122"/>
        <v>5715247.6894792225</v>
      </c>
      <c r="V240" s="220">
        <f t="shared" ref="V240" si="123">V219+V239</f>
        <v>6141418.6170837851</v>
      </c>
      <c r="W240" s="220">
        <f t="shared" ref="W240" si="124">W219+W239</f>
        <v>6545359.1261897311</v>
      </c>
      <c r="X240" s="220">
        <f t="shared" ref="X240" si="125">X219+X239</f>
        <v>6569334.3105382686</v>
      </c>
      <c r="Y240" s="220">
        <f t="shared" ref="Y240" si="126">Y219+Y239</f>
        <v>6626734.6853645202</v>
      </c>
      <c r="Z240" s="220">
        <f t="shared" ref="Z240" si="127">Z219+Z239</f>
        <v>5944596.5762408571</v>
      </c>
      <c r="AA240" s="220">
        <f t="shared" ref="AA240" si="128">AA219+AA239</f>
        <v>5764528.885120566</v>
      </c>
      <c r="AB240" s="220">
        <f t="shared" ref="AB240" si="129">AB219+AB239</f>
        <v>6267752.3747166432</v>
      </c>
      <c r="AC240" s="220">
        <f t="shared" ref="AC240:AD240" si="130">AC219+AC239</f>
        <v>6553724.2636776036</v>
      </c>
      <c r="AD240" s="220">
        <f t="shared" si="130"/>
        <v>6557351.6665443834</v>
      </c>
      <c r="AE240" s="220">
        <f t="shared" ref="AE240" si="131">AE219+AE239</f>
        <v>6812945.8651981242</v>
      </c>
      <c r="AF240" s="220">
        <f t="shared" ref="AF240" si="132">AF219+AF239</f>
        <v>9512590.7421324067</v>
      </c>
      <c r="AG240" s="220">
        <f t="shared" ref="AG240" si="133">AG219+AG239</f>
        <v>0</v>
      </c>
      <c r="AH240" s="220">
        <f t="shared" ref="AH240" si="134">AH219+AH239</f>
        <v>0</v>
      </c>
      <c r="AI240" s="220">
        <f>AI219+AI239</f>
        <v>0</v>
      </c>
      <c r="AJ240" s="220">
        <f t="shared" ref="AJ240" si="135">AJ219+AJ239</f>
        <v>0</v>
      </c>
      <c r="AK240" s="220">
        <f t="shared" ref="AK240" si="136">AK219+AK239</f>
        <v>0</v>
      </c>
      <c r="AL240" s="220">
        <f t="shared" ref="AL240" si="137">AL219+AL239</f>
        <v>0</v>
      </c>
      <c r="AM240" s="220">
        <f t="shared" ref="AM240" si="138">AM219+AM239</f>
        <v>0</v>
      </c>
      <c r="AN240" s="220">
        <f t="shared" ref="AN240" si="139">AN219+AN239</f>
        <v>0</v>
      </c>
      <c r="AO240" s="220">
        <f t="shared" ref="AO240" si="140">AO219+AO239</f>
        <v>0</v>
      </c>
      <c r="AP240" s="220">
        <f t="shared" ref="AP240" si="141">AP219+AP239</f>
        <v>0</v>
      </c>
    </row>
    <row r="241" spans="1:42">
      <c r="A241" s="219" t="s">
        <v>131</v>
      </c>
      <c r="B241" s="40"/>
      <c r="C241" s="216">
        <f t="shared" ref="C241:AP241" si="142">C240*-StateTax</f>
        <v>-549630.37979557028</v>
      </c>
      <c r="D241" s="216">
        <f t="shared" si="142"/>
        <v>352418.86658627033</v>
      </c>
      <c r="E241" s="216">
        <f t="shared" si="142"/>
        <v>79959.79459643802</v>
      </c>
      <c r="F241" s="216">
        <f t="shared" si="142"/>
        <v>-84492.262373620615</v>
      </c>
      <c r="G241" s="216">
        <f t="shared" si="142"/>
        <v>-88154.467049109822</v>
      </c>
      <c r="H241" s="216">
        <f t="shared" si="142"/>
        <v>-212063.90935426296</v>
      </c>
      <c r="I241" s="216">
        <f t="shared" si="142"/>
        <v>-335668.32600413176</v>
      </c>
      <c r="J241" s="216">
        <f t="shared" si="142"/>
        <v>-339375.26792574715</v>
      </c>
      <c r="K241" s="216">
        <f t="shared" si="142"/>
        <v>-341518.78102238144</v>
      </c>
      <c r="L241" s="216">
        <f t="shared" si="142"/>
        <v>-343179.19729774416</v>
      </c>
      <c r="M241" s="216">
        <f t="shared" si="142"/>
        <v>-346896.38619893783</v>
      </c>
      <c r="N241" s="216">
        <f t="shared" si="142"/>
        <v>-316611.70669575711</v>
      </c>
      <c r="O241" s="216">
        <f t="shared" si="142"/>
        <v>-293272.65007158805</v>
      </c>
      <c r="P241" s="216">
        <f t="shared" si="142"/>
        <v>-317803.88674541243</v>
      </c>
      <c r="Q241" s="216">
        <f t="shared" si="142"/>
        <v>-264582.15539661574</v>
      </c>
      <c r="R241" s="216">
        <f t="shared" si="142"/>
        <v>-216306.31042351513</v>
      </c>
      <c r="S241" s="216">
        <f t="shared" si="142"/>
        <v>-275299.67128202436</v>
      </c>
      <c r="T241" s="216">
        <f t="shared" si="142"/>
        <v>-312777.16513920185</v>
      </c>
      <c r="U241" s="216">
        <f t="shared" si="142"/>
        <v>-314338.62292135722</v>
      </c>
      <c r="V241" s="216">
        <f t="shared" si="142"/>
        <v>-337778.02393960819</v>
      </c>
      <c r="W241" s="216">
        <f t="shared" si="142"/>
        <v>-359994.75194043521</v>
      </c>
      <c r="X241" s="216">
        <f t="shared" si="142"/>
        <v>-361313.38707960478</v>
      </c>
      <c r="Y241" s="216">
        <f t="shared" si="142"/>
        <v>-364470.40769504861</v>
      </c>
      <c r="Z241" s="216">
        <f t="shared" si="142"/>
        <v>-326952.81169324712</v>
      </c>
      <c r="AA241" s="216">
        <f t="shared" si="142"/>
        <v>-317049.08868163114</v>
      </c>
      <c r="AB241" s="216">
        <f t="shared" si="142"/>
        <v>-344726.38060941536</v>
      </c>
      <c r="AC241" s="216">
        <f t="shared" si="142"/>
        <v>-360454.83450226818</v>
      </c>
      <c r="AD241" s="216">
        <f t="shared" si="142"/>
        <v>-360654.34165994107</v>
      </c>
      <c r="AE241" s="216">
        <f t="shared" si="142"/>
        <v>-374712.02258589683</v>
      </c>
      <c r="AF241" s="216">
        <f t="shared" si="142"/>
        <v>-523192.49081728235</v>
      </c>
      <c r="AG241" s="216">
        <f t="shared" si="142"/>
        <v>0</v>
      </c>
      <c r="AH241" s="216">
        <f t="shared" si="142"/>
        <v>0</v>
      </c>
      <c r="AI241" s="216">
        <f t="shared" si="142"/>
        <v>0</v>
      </c>
      <c r="AJ241" s="216">
        <f t="shared" si="142"/>
        <v>0</v>
      </c>
      <c r="AK241" s="216">
        <f t="shared" si="142"/>
        <v>0</v>
      </c>
      <c r="AL241" s="216">
        <f t="shared" si="142"/>
        <v>0</v>
      </c>
      <c r="AM241" s="216">
        <f t="shared" si="142"/>
        <v>0</v>
      </c>
      <c r="AN241" s="216">
        <f t="shared" si="142"/>
        <v>0</v>
      </c>
      <c r="AO241" s="216">
        <f t="shared" si="142"/>
        <v>0</v>
      </c>
      <c r="AP241" s="216">
        <f t="shared" si="142"/>
        <v>0</v>
      </c>
    </row>
    <row r="242" spans="1:42">
      <c r="B242" s="220"/>
      <c r="C242" s="220"/>
      <c r="D242" s="220"/>
      <c r="E242" s="220"/>
      <c r="F242" s="220"/>
      <c r="G242" s="220"/>
      <c r="H242" s="220"/>
      <c r="I242" s="220"/>
      <c r="J242" s="220"/>
      <c r="K242" s="220"/>
      <c r="L242" s="220"/>
      <c r="M242" s="220"/>
      <c r="N242" s="220"/>
      <c r="O242" s="220"/>
      <c r="P242" s="220"/>
      <c r="Q242" s="220"/>
      <c r="R242" s="220"/>
      <c r="S242" s="220"/>
      <c r="T242" s="220"/>
      <c r="U242" s="220"/>
      <c r="V242" s="220"/>
      <c r="W242" s="220"/>
      <c r="X242" s="220"/>
      <c r="Y242" s="220"/>
      <c r="Z242" s="220"/>
      <c r="AA242" s="220"/>
      <c r="AB242" s="220"/>
      <c r="AC242" s="220"/>
      <c r="AD242" s="220"/>
      <c r="AE242" s="220"/>
      <c r="AF242" s="220"/>
      <c r="AG242" s="220"/>
      <c r="AH242" s="220"/>
      <c r="AI242" s="220"/>
      <c r="AJ242" s="220"/>
      <c r="AK242" s="220"/>
      <c r="AL242" s="220"/>
      <c r="AM242" s="220"/>
      <c r="AN242" s="208"/>
      <c r="AO242" s="208"/>
      <c r="AP242" s="208"/>
    </row>
    <row r="243" spans="1:42" s="119" customFormat="1">
      <c r="A243" s="217" t="s">
        <v>442</v>
      </c>
      <c r="B243" s="42"/>
    </row>
    <row r="244" spans="1:42" s="119" customFormat="1">
      <c r="A244" s="42" t="s">
        <v>438</v>
      </c>
      <c r="C244" s="220">
        <f t="shared" ref="C244:AP244" si="143">C216</f>
        <v>5983893.8506544931</v>
      </c>
      <c r="D244" s="220">
        <f t="shared" si="143"/>
        <v>6032349.8439307883</v>
      </c>
      <c r="E244" s="220">
        <f t="shared" si="143"/>
        <v>6080669.4121519579</v>
      </c>
      <c r="F244" s="220">
        <f t="shared" si="143"/>
        <v>6125475.3808803037</v>
      </c>
      <c r="G244" s="220">
        <f t="shared" si="143"/>
        <v>6173532.4780647149</v>
      </c>
      <c r="H244" s="220">
        <f t="shared" si="143"/>
        <v>6221435.8147255545</v>
      </c>
      <c r="I244" s="220">
        <f t="shared" si="143"/>
        <v>6265653.8111253129</v>
      </c>
      <c r="J244" s="220">
        <f t="shared" si="143"/>
        <v>6313260.0529650943</v>
      </c>
      <c r="K244" s="220">
        <f t="shared" si="143"/>
        <v>6360693.9748202581</v>
      </c>
      <c r="L244" s="220">
        <f t="shared" si="143"/>
        <v>6404262.5308044394</v>
      </c>
      <c r="M244" s="220">
        <f t="shared" si="143"/>
        <v>6451362.2644623602</v>
      </c>
      <c r="N244" s="220">
        <f t="shared" si="143"/>
        <v>6498269.8146820012</v>
      </c>
      <c r="O244" s="220">
        <f t="shared" si="143"/>
        <v>6441582.1409549024</v>
      </c>
      <c r="P244" s="220">
        <f t="shared" si="143"/>
        <v>6488955.8803881053</v>
      </c>
      <c r="Q244" s="220">
        <f t="shared" si="143"/>
        <v>6536116.1837513605</v>
      </c>
      <c r="R244" s="220">
        <f t="shared" si="143"/>
        <v>6368504.3629438328</v>
      </c>
      <c r="S244" s="220">
        <f t="shared" si="143"/>
        <v>6417046.1999075841</v>
      </c>
      <c r="T244" s="220">
        <f t="shared" si="143"/>
        <v>6465351.8682830613</v>
      </c>
      <c r="U244" s="220">
        <f t="shared" si="143"/>
        <v>6509198.2537472229</v>
      </c>
      <c r="V244" s="220">
        <f t="shared" si="143"/>
        <v>6557041.9576680055</v>
      </c>
      <c r="W244" s="220">
        <f t="shared" si="143"/>
        <v>6604625.1840036679</v>
      </c>
      <c r="X244" s="220">
        <f t="shared" si="143"/>
        <v>6633200.8051192528</v>
      </c>
      <c r="Y244" s="220">
        <f t="shared" si="143"/>
        <v>6665942.4387558578</v>
      </c>
      <c r="Z244" s="220">
        <f t="shared" si="143"/>
        <v>6698397.6064732186</v>
      </c>
      <c r="AA244" s="220">
        <f t="shared" si="143"/>
        <v>6957743.5875912076</v>
      </c>
      <c r="AB244" s="220">
        <f t="shared" si="143"/>
        <v>6984501.2752953907</v>
      </c>
      <c r="AC244" s="220">
        <f t="shared" si="143"/>
        <v>7010944.7198745152</v>
      </c>
      <c r="AD244" s="220">
        <f t="shared" si="143"/>
        <v>7032244.6371543296</v>
      </c>
      <c r="AE244" s="220">
        <f t="shared" si="143"/>
        <v>7058069.5910931258</v>
      </c>
      <c r="AF244" s="220">
        <f t="shared" si="143"/>
        <v>7083550.6191835348</v>
      </c>
      <c r="AG244" s="220">
        <f t="shared" si="143"/>
        <v>0</v>
      </c>
      <c r="AH244" s="220">
        <f t="shared" si="143"/>
        <v>0</v>
      </c>
      <c r="AI244" s="220">
        <f t="shared" si="143"/>
        <v>0</v>
      </c>
      <c r="AJ244" s="220">
        <f t="shared" si="143"/>
        <v>0</v>
      </c>
      <c r="AK244" s="220">
        <f t="shared" si="143"/>
        <v>0</v>
      </c>
      <c r="AL244" s="220">
        <f t="shared" si="143"/>
        <v>0</v>
      </c>
      <c r="AM244" s="220">
        <f t="shared" si="143"/>
        <v>0</v>
      </c>
      <c r="AN244" s="220">
        <f t="shared" si="143"/>
        <v>0</v>
      </c>
      <c r="AO244" s="220">
        <f t="shared" si="143"/>
        <v>0</v>
      </c>
      <c r="AP244" s="220">
        <f t="shared" si="143"/>
        <v>0</v>
      </c>
    </row>
    <row r="245" spans="1:42" s="119" customFormat="1">
      <c r="A245" s="42" t="s">
        <v>463</v>
      </c>
      <c r="C245" s="220">
        <f t="shared" ref="C245:AP245" si="144">C19</f>
        <v>0</v>
      </c>
      <c r="D245" s="220">
        <f t="shared" si="144"/>
        <v>0</v>
      </c>
      <c r="E245" s="220">
        <f t="shared" si="144"/>
        <v>0</v>
      </c>
      <c r="F245" s="220">
        <f t="shared" si="144"/>
        <v>0</v>
      </c>
      <c r="G245" s="220">
        <f t="shared" si="144"/>
        <v>0</v>
      </c>
      <c r="H245" s="220">
        <f t="shared" si="144"/>
        <v>0</v>
      </c>
      <c r="I245" s="220">
        <f t="shared" si="144"/>
        <v>0</v>
      </c>
      <c r="J245" s="220">
        <f t="shared" si="144"/>
        <v>0</v>
      </c>
      <c r="K245" s="220">
        <f t="shared" si="144"/>
        <v>0</v>
      </c>
      <c r="L245" s="220">
        <f t="shared" si="144"/>
        <v>0</v>
      </c>
      <c r="M245" s="220">
        <f t="shared" si="144"/>
        <v>0</v>
      </c>
      <c r="N245" s="220">
        <f t="shared" si="144"/>
        <v>0</v>
      </c>
      <c r="O245" s="220">
        <f t="shared" si="144"/>
        <v>0</v>
      </c>
      <c r="P245" s="220">
        <f t="shared" si="144"/>
        <v>0</v>
      </c>
      <c r="Q245" s="220">
        <f t="shared" si="144"/>
        <v>0</v>
      </c>
      <c r="R245" s="220">
        <f t="shared" si="144"/>
        <v>0</v>
      </c>
      <c r="S245" s="220">
        <f t="shared" si="144"/>
        <v>0</v>
      </c>
      <c r="T245" s="220">
        <f t="shared" si="144"/>
        <v>0</v>
      </c>
      <c r="U245" s="220">
        <f t="shared" si="144"/>
        <v>0</v>
      </c>
      <c r="V245" s="220">
        <f t="shared" si="144"/>
        <v>0</v>
      </c>
      <c r="W245" s="220">
        <f t="shared" si="144"/>
        <v>0</v>
      </c>
      <c r="X245" s="220">
        <f t="shared" si="144"/>
        <v>0</v>
      </c>
      <c r="Y245" s="220">
        <f t="shared" si="144"/>
        <v>0</v>
      </c>
      <c r="Z245" s="220">
        <f t="shared" si="144"/>
        <v>0</v>
      </c>
      <c r="AA245" s="220">
        <f t="shared" si="144"/>
        <v>0</v>
      </c>
      <c r="AB245" s="220">
        <f t="shared" si="144"/>
        <v>0</v>
      </c>
      <c r="AC245" s="220">
        <f t="shared" si="144"/>
        <v>0</v>
      </c>
      <c r="AD245" s="220">
        <f t="shared" si="144"/>
        <v>0</v>
      </c>
      <c r="AE245" s="220">
        <f t="shared" si="144"/>
        <v>0</v>
      </c>
      <c r="AF245" s="220">
        <f t="shared" si="144"/>
        <v>4022715</v>
      </c>
      <c r="AG245" s="220">
        <f t="shared" si="144"/>
        <v>0</v>
      </c>
      <c r="AH245" s="220">
        <f t="shared" si="144"/>
        <v>0</v>
      </c>
      <c r="AI245" s="220">
        <f t="shared" si="144"/>
        <v>0</v>
      </c>
      <c r="AJ245" s="220">
        <f t="shared" si="144"/>
        <v>0</v>
      </c>
      <c r="AK245" s="220">
        <f t="shared" si="144"/>
        <v>0</v>
      </c>
      <c r="AL245" s="220">
        <f t="shared" si="144"/>
        <v>0</v>
      </c>
      <c r="AM245" s="220">
        <f t="shared" si="144"/>
        <v>0</v>
      </c>
      <c r="AN245" s="220">
        <f t="shared" si="144"/>
        <v>0</v>
      </c>
      <c r="AO245" s="220">
        <f t="shared" si="144"/>
        <v>0</v>
      </c>
      <c r="AP245" s="220">
        <f t="shared" si="144"/>
        <v>0</v>
      </c>
    </row>
    <row r="246" spans="1:42" s="42" customFormat="1">
      <c r="A246" s="42" t="s">
        <v>121</v>
      </c>
      <c r="B246" s="119"/>
      <c r="C246" s="146">
        <f t="shared" ref="C246:AP246" si="145">IF(C$2&lt;=AnalysisPeriod,-C495-C526-C552-C578,0)</f>
        <v>-11401499.231625289</v>
      </c>
      <c r="D246" s="146">
        <f t="shared" si="145"/>
        <v>-11794103.494597781</v>
      </c>
      <c r="E246" s="146">
        <f t="shared" si="145"/>
        <v>-7146966.5960917138</v>
      </c>
      <c r="F246" s="146">
        <f t="shared" si="145"/>
        <v>-4356742.0706717307</v>
      </c>
      <c r="G246" s="146">
        <f t="shared" si="145"/>
        <v>-4338213.6283017928</v>
      </c>
      <c r="H246" s="146">
        <f t="shared" si="145"/>
        <v>-2249473.1929403106</v>
      </c>
      <c r="I246" s="146">
        <f t="shared" si="145"/>
        <v>-162593.33832291729</v>
      </c>
      <c r="J246" s="146">
        <f t="shared" si="145"/>
        <v>-142800.63613332799</v>
      </c>
      <c r="K246" s="146">
        <f t="shared" si="145"/>
        <v>-151261.59259514077</v>
      </c>
      <c r="L246" s="146">
        <f t="shared" si="145"/>
        <v>-164640.76175454579</v>
      </c>
      <c r="M246" s="146">
        <f t="shared" si="145"/>
        <v>-144155.24266349053</v>
      </c>
      <c r="N246" s="146">
        <f t="shared" si="145"/>
        <v>-741693.3293045992</v>
      </c>
      <c r="O246" s="146">
        <f t="shared" si="145"/>
        <v>-1109352.139653302</v>
      </c>
      <c r="P246" s="146">
        <f t="shared" si="145"/>
        <v>-710703.39410787937</v>
      </c>
      <c r="Q246" s="146">
        <f t="shared" si="145"/>
        <v>-1725531.540176529</v>
      </c>
      <c r="R246" s="146">
        <f t="shared" si="145"/>
        <v>-2435662.3552435576</v>
      </c>
      <c r="S246" s="146">
        <f t="shared" si="145"/>
        <v>-1411597.631143505</v>
      </c>
      <c r="T246" s="146">
        <f t="shared" si="145"/>
        <v>-778494.32029757265</v>
      </c>
      <c r="U246" s="146">
        <f t="shared" si="145"/>
        <v>-793950.56426800054</v>
      </c>
      <c r="V246" s="146">
        <f t="shared" si="145"/>
        <v>-415623.34058422048</v>
      </c>
      <c r="W246" s="146">
        <f t="shared" si="145"/>
        <v>-59266.057813936815</v>
      </c>
      <c r="X246" s="146">
        <f t="shared" si="145"/>
        <v>-63866.494580983657</v>
      </c>
      <c r="Y246" s="146">
        <f t="shared" si="145"/>
        <v>-39207.753391337581</v>
      </c>
      <c r="Z246" s="146">
        <f t="shared" si="145"/>
        <v>-753801.03023236152</v>
      </c>
      <c r="AA246" s="146">
        <f t="shared" si="145"/>
        <v>-1193214.7024706416</v>
      </c>
      <c r="AB246" s="146">
        <f t="shared" si="145"/>
        <v>-716748.90057874774</v>
      </c>
      <c r="AC246" s="146">
        <f t="shared" si="145"/>
        <v>-457220.45619691163</v>
      </c>
      <c r="AD246" s="146">
        <f t="shared" si="145"/>
        <v>-474892.97060994658</v>
      </c>
      <c r="AE246" s="146">
        <f t="shared" si="145"/>
        <v>-245123.72589500149</v>
      </c>
      <c r="AF246" s="146">
        <f t="shared" si="145"/>
        <v>-1593674.8770511288</v>
      </c>
      <c r="AG246" s="146">
        <f t="shared" si="145"/>
        <v>0</v>
      </c>
      <c r="AH246" s="146">
        <f t="shared" si="145"/>
        <v>0</v>
      </c>
      <c r="AI246" s="146">
        <f t="shared" si="145"/>
        <v>0</v>
      </c>
      <c r="AJ246" s="146">
        <f t="shared" si="145"/>
        <v>0</v>
      </c>
      <c r="AK246" s="146">
        <f t="shared" si="145"/>
        <v>0</v>
      </c>
      <c r="AL246" s="146">
        <f t="shared" si="145"/>
        <v>0</v>
      </c>
      <c r="AM246" s="146">
        <f t="shared" si="145"/>
        <v>0</v>
      </c>
      <c r="AN246" s="146">
        <f t="shared" si="145"/>
        <v>0</v>
      </c>
      <c r="AO246" s="146">
        <f t="shared" si="145"/>
        <v>0</v>
      </c>
      <c r="AP246" s="146">
        <f t="shared" si="145"/>
        <v>0</v>
      </c>
    </row>
    <row r="247" spans="1:42" s="42" customFormat="1">
      <c r="A247" s="42" t="s">
        <v>131</v>
      </c>
      <c r="B247" s="119"/>
      <c r="C247" s="225">
        <f t="shared" ref="C247:AP247" si="146">C241</f>
        <v>-549630.37979557028</v>
      </c>
      <c r="D247" s="225">
        <f t="shared" si="146"/>
        <v>352418.86658627033</v>
      </c>
      <c r="E247" s="225">
        <f t="shared" si="146"/>
        <v>79959.79459643802</v>
      </c>
      <c r="F247" s="225">
        <f t="shared" si="146"/>
        <v>-84492.262373620615</v>
      </c>
      <c r="G247" s="225">
        <f t="shared" si="146"/>
        <v>-88154.467049109822</v>
      </c>
      <c r="H247" s="225">
        <f t="shared" si="146"/>
        <v>-212063.90935426296</v>
      </c>
      <c r="I247" s="225">
        <f t="shared" si="146"/>
        <v>-335668.32600413176</v>
      </c>
      <c r="J247" s="225">
        <f t="shared" si="146"/>
        <v>-339375.26792574715</v>
      </c>
      <c r="K247" s="225">
        <f t="shared" si="146"/>
        <v>-341518.78102238144</v>
      </c>
      <c r="L247" s="225">
        <f t="shared" si="146"/>
        <v>-343179.19729774416</v>
      </c>
      <c r="M247" s="225">
        <f t="shared" si="146"/>
        <v>-346896.38619893783</v>
      </c>
      <c r="N247" s="225">
        <f t="shared" si="146"/>
        <v>-316611.70669575711</v>
      </c>
      <c r="O247" s="225">
        <f t="shared" si="146"/>
        <v>-293272.65007158805</v>
      </c>
      <c r="P247" s="225">
        <f t="shared" si="146"/>
        <v>-317803.88674541243</v>
      </c>
      <c r="Q247" s="225">
        <f t="shared" si="146"/>
        <v>-264582.15539661574</v>
      </c>
      <c r="R247" s="225">
        <f t="shared" si="146"/>
        <v>-216306.31042351513</v>
      </c>
      <c r="S247" s="225">
        <f t="shared" si="146"/>
        <v>-275299.67128202436</v>
      </c>
      <c r="T247" s="225">
        <f t="shared" si="146"/>
        <v>-312777.16513920185</v>
      </c>
      <c r="U247" s="225">
        <f t="shared" si="146"/>
        <v>-314338.62292135722</v>
      </c>
      <c r="V247" s="225">
        <f t="shared" si="146"/>
        <v>-337778.02393960819</v>
      </c>
      <c r="W247" s="225">
        <f t="shared" si="146"/>
        <v>-359994.75194043521</v>
      </c>
      <c r="X247" s="225">
        <f t="shared" si="146"/>
        <v>-361313.38707960478</v>
      </c>
      <c r="Y247" s="225">
        <f t="shared" si="146"/>
        <v>-364470.40769504861</v>
      </c>
      <c r="Z247" s="225">
        <f t="shared" si="146"/>
        <v>-326952.81169324712</v>
      </c>
      <c r="AA247" s="225">
        <f t="shared" si="146"/>
        <v>-317049.08868163114</v>
      </c>
      <c r="AB247" s="225">
        <f t="shared" si="146"/>
        <v>-344726.38060941536</v>
      </c>
      <c r="AC247" s="225">
        <f t="shared" si="146"/>
        <v>-360454.83450226818</v>
      </c>
      <c r="AD247" s="225">
        <f t="shared" si="146"/>
        <v>-360654.34165994107</v>
      </c>
      <c r="AE247" s="225">
        <f t="shared" si="146"/>
        <v>-374712.02258589683</v>
      </c>
      <c r="AF247" s="225">
        <f t="shared" si="146"/>
        <v>-523192.49081728235</v>
      </c>
      <c r="AG247" s="225">
        <f t="shared" si="146"/>
        <v>0</v>
      </c>
      <c r="AH247" s="225">
        <f t="shared" si="146"/>
        <v>0</v>
      </c>
      <c r="AI247" s="225">
        <f t="shared" si="146"/>
        <v>0</v>
      </c>
      <c r="AJ247" s="225">
        <f t="shared" si="146"/>
        <v>0</v>
      </c>
      <c r="AK247" s="225">
        <f t="shared" si="146"/>
        <v>0</v>
      </c>
      <c r="AL247" s="225">
        <f t="shared" si="146"/>
        <v>0</v>
      </c>
      <c r="AM247" s="225">
        <f t="shared" si="146"/>
        <v>0</v>
      </c>
      <c r="AN247" s="225">
        <f t="shared" si="146"/>
        <v>0</v>
      </c>
      <c r="AO247" s="225">
        <f t="shared" si="146"/>
        <v>0</v>
      </c>
      <c r="AP247" s="225">
        <f t="shared" si="146"/>
        <v>0</v>
      </c>
    </row>
    <row r="248" spans="1:42" s="119" customFormat="1">
      <c r="A248" s="42" t="s">
        <v>119</v>
      </c>
      <c r="B248" s="146"/>
      <c r="C248" s="220">
        <f>SUM(C244:C247)</f>
        <v>-5967235.7607663656</v>
      </c>
      <c r="D248" s="220">
        <f t="shared" ref="D248:AP248" si="147">SUM(D244:D247)</f>
        <v>-5409334.7840807224</v>
      </c>
      <c r="E248" s="220">
        <f t="shared" si="147"/>
        <v>-986337.38934331783</v>
      </c>
      <c r="F248" s="220">
        <f t="shared" si="147"/>
        <v>1684241.0478349524</v>
      </c>
      <c r="G248" s="220">
        <f t="shared" si="147"/>
        <v>1747164.3827138124</v>
      </c>
      <c r="H248" s="220">
        <f t="shared" si="147"/>
        <v>3759898.712430981</v>
      </c>
      <c r="I248" s="220">
        <f t="shared" si="147"/>
        <v>5767392.1467982642</v>
      </c>
      <c r="J248" s="220">
        <f t="shared" si="147"/>
        <v>5831084.1489060195</v>
      </c>
      <c r="K248" s="220">
        <f t="shared" si="147"/>
        <v>5867913.6012027366</v>
      </c>
      <c r="L248" s="220">
        <f t="shared" si="147"/>
        <v>5896442.5717521496</v>
      </c>
      <c r="M248" s="220">
        <f t="shared" si="147"/>
        <v>5960310.6355999317</v>
      </c>
      <c r="N248" s="220">
        <f t="shared" si="147"/>
        <v>5439964.7786816452</v>
      </c>
      <c r="O248" s="220">
        <f t="shared" si="147"/>
        <v>5038957.3512300123</v>
      </c>
      <c r="P248" s="220">
        <f t="shared" si="147"/>
        <v>5460448.5995348133</v>
      </c>
      <c r="Q248" s="220">
        <f t="shared" si="147"/>
        <v>4546002.4881782159</v>
      </c>
      <c r="R248" s="220">
        <f t="shared" si="147"/>
        <v>3716535.6972767599</v>
      </c>
      <c r="S248" s="220">
        <f t="shared" si="147"/>
        <v>4730148.8974820552</v>
      </c>
      <c r="T248" s="220">
        <f t="shared" si="147"/>
        <v>5374080.3828462865</v>
      </c>
      <c r="U248" s="220">
        <f t="shared" si="147"/>
        <v>5400909.0665578656</v>
      </c>
      <c r="V248" s="220">
        <f t="shared" si="147"/>
        <v>5803640.5931441765</v>
      </c>
      <c r="W248" s="220">
        <f t="shared" si="147"/>
        <v>6185364.3742492963</v>
      </c>
      <c r="X248" s="220">
        <f t="shared" si="147"/>
        <v>6208020.9234586637</v>
      </c>
      <c r="Y248" s="220">
        <f t="shared" si="147"/>
        <v>6262264.2776694717</v>
      </c>
      <c r="Z248" s="220">
        <f t="shared" si="147"/>
        <v>5617643.7645476097</v>
      </c>
      <c r="AA248" s="220">
        <f t="shared" si="147"/>
        <v>5447479.7964389352</v>
      </c>
      <c r="AB248" s="220">
        <f t="shared" si="147"/>
        <v>5923025.9941072278</v>
      </c>
      <c r="AC248" s="220">
        <f t="shared" si="147"/>
        <v>6193269.429175335</v>
      </c>
      <c r="AD248" s="220">
        <f t="shared" si="147"/>
        <v>6196697.3248844426</v>
      </c>
      <c r="AE248" s="220">
        <f t="shared" si="147"/>
        <v>6438233.8426122274</v>
      </c>
      <c r="AF248" s="220">
        <f t="shared" si="147"/>
        <v>8989398.2513151243</v>
      </c>
      <c r="AG248" s="220">
        <f t="shared" si="147"/>
        <v>0</v>
      </c>
      <c r="AH248" s="220">
        <f t="shared" si="147"/>
        <v>0</v>
      </c>
      <c r="AI248" s="220">
        <f t="shared" si="147"/>
        <v>0</v>
      </c>
      <c r="AJ248" s="220">
        <f t="shared" si="147"/>
        <v>0</v>
      </c>
      <c r="AK248" s="220">
        <f t="shared" si="147"/>
        <v>0</v>
      </c>
      <c r="AL248" s="220">
        <f t="shared" si="147"/>
        <v>0</v>
      </c>
      <c r="AM248" s="220">
        <f t="shared" si="147"/>
        <v>0</v>
      </c>
      <c r="AN248" s="220">
        <f t="shared" si="147"/>
        <v>0</v>
      </c>
      <c r="AO248" s="220">
        <f t="shared" si="147"/>
        <v>0</v>
      </c>
      <c r="AP248" s="220">
        <f t="shared" si="147"/>
        <v>0</v>
      </c>
    </row>
    <row r="249" spans="1:42" s="119" customFormat="1">
      <c r="A249" s="42" t="s">
        <v>439</v>
      </c>
    </row>
    <row r="250" spans="1:42" s="119" customFormat="1">
      <c r="A250" s="226" t="str">
        <f>'Inputs &amp; Results'!A49</f>
        <v>Fixed Amount ($)</v>
      </c>
    </row>
    <row r="251" spans="1:42" s="119" customFormat="1">
      <c r="A251" s="227" t="str">
        <f>'Inputs &amp; Results'!A50</f>
        <v>Federal</v>
      </c>
      <c r="C251" s="220">
        <f>IF(IBIFedFixedFedTax="Yes",C666,0)</f>
        <v>1000</v>
      </c>
    </row>
    <row r="252" spans="1:42" s="119" customFormat="1">
      <c r="A252" s="227" t="str">
        <f>'Inputs &amp; Results'!A51</f>
        <v>State</v>
      </c>
      <c r="C252" s="220">
        <f>IF(IBIStateFixedFedTax="Yes",C667,0)</f>
        <v>2000</v>
      </c>
    </row>
    <row r="253" spans="1:42" s="119" customFormat="1">
      <c r="A253" s="227" t="str">
        <f>'Inputs &amp; Results'!A52</f>
        <v>Utility</v>
      </c>
      <c r="C253" s="220">
        <f>IF(IBIUtilityFixedFedTax="Yes",C668,0)</f>
        <v>500</v>
      </c>
    </row>
    <row r="254" spans="1:42">
      <c r="A254" s="227" t="str">
        <f>'Inputs &amp; Results'!A53</f>
        <v>Other</v>
      </c>
      <c r="C254" s="225">
        <f>IF(IBIOtherFixedFedTax="Yes",C669,0)</f>
        <v>250</v>
      </c>
      <c r="D254" s="208"/>
      <c r="E254" s="208"/>
      <c r="F254" s="208"/>
      <c r="G254" s="208"/>
      <c r="H254" s="208"/>
      <c r="I254" s="208"/>
      <c r="J254" s="208"/>
      <c r="K254" s="208"/>
      <c r="L254" s="208"/>
      <c r="M254" s="208"/>
      <c r="N254" s="208"/>
      <c r="O254" s="208"/>
      <c r="P254" s="208"/>
      <c r="Q254" s="208"/>
      <c r="R254" s="208"/>
      <c r="S254" s="208"/>
      <c r="T254" s="208"/>
      <c r="U254" s="208"/>
      <c r="V254" s="208"/>
      <c r="W254" s="208"/>
      <c r="X254" s="208"/>
      <c r="Y254" s="208"/>
      <c r="Z254" s="208"/>
      <c r="AA254" s="208"/>
      <c r="AB254" s="208"/>
      <c r="AC254" s="208"/>
      <c r="AD254" s="208"/>
      <c r="AE254" s="208"/>
      <c r="AF254" s="208"/>
      <c r="AG254" s="208"/>
      <c r="AH254" s="208"/>
      <c r="AI254" s="208"/>
      <c r="AJ254" s="208"/>
      <c r="AK254" s="208"/>
      <c r="AL254" s="208"/>
      <c r="AM254" s="208"/>
      <c r="AN254" s="208"/>
      <c r="AO254" s="208"/>
      <c r="AP254" s="208"/>
    </row>
    <row r="255" spans="1:42">
      <c r="A255" s="227" t="s">
        <v>53</v>
      </c>
      <c r="C255" s="208">
        <f>SUM(C251:C254)</f>
        <v>3750</v>
      </c>
      <c r="D255" s="208"/>
      <c r="E255" s="208"/>
      <c r="F255" s="208"/>
      <c r="G255" s="208"/>
      <c r="H255" s="208"/>
      <c r="I255" s="208"/>
      <c r="J255" s="208"/>
      <c r="K255" s="208"/>
      <c r="L255" s="208"/>
      <c r="M255" s="208"/>
      <c r="N255" s="208"/>
      <c r="O255" s="208"/>
      <c r="P255" s="208"/>
      <c r="Q255" s="208"/>
      <c r="R255" s="208"/>
      <c r="S255" s="208"/>
      <c r="T255" s="208"/>
      <c r="U255" s="208"/>
      <c r="V255" s="208"/>
      <c r="W255" s="208"/>
      <c r="X255" s="208"/>
      <c r="Y255" s="208"/>
      <c r="Z255" s="208"/>
      <c r="AA255" s="208"/>
      <c r="AB255" s="208"/>
      <c r="AC255" s="208"/>
      <c r="AD255" s="208"/>
      <c r="AE255" s="208"/>
      <c r="AF255" s="208"/>
      <c r="AG255" s="208"/>
      <c r="AH255" s="208"/>
      <c r="AI255" s="208"/>
      <c r="AJ255" s="208"/>
      <c r="AK255" s="208"/>
      <c r="AL255" s="208"/>
      <c r="AM255" s="208"/>
      <c r="AN255" s="208"/>
      <c r="AO255" s="208"/>
      <c r="AP255" s="208"/>
    </row>
    <row r="256" spans="1:42">
      <c r="A256" s="226" t="str">
        <f>'Inputs &amp; Results'!A54</f>
        <v>Percentage of Pre-Financing Costs</v>
      </c>
      <c r="C256" s="208"/>
      <c r="D256" s="208"/>
      <c r="E256" s="208"/>
      <c r="F256" s="208"/>
      <c r="G256" s="208"/>
      <c r="H256" s="208"/>
      <c r="I256" s="208"/>
      <c r="J256" s="208"/>
      <c r="K256" s="208"/>
      <c r="L256" s="208"/>
      <c r="M256" s="208"/>
      <c r="N256" s="208"/>
      <c r="O256" s="208"/>
      <c r="P256" s="208"/>
      <c r="Q256" s="208"/>
      <c r="R256" s="208"/>
      <c r="S256" s="208"/>
      <c r="T256" s="208"/>
      <c r="U256" s="208"/>
      <c r="V256" s="208"/>
      <c r="W256" s="208"/>
      <c r="X256" s="208"/>
      <c r="Y256" s="208"/>
      <c r="Z256" s="208"/>
      <c r="AA256" s="208"/>
      <c r="AB256" s="208"/>
      <c r="AC256" s="208"/>
      <c r="AD256" s="208"/>
      <c r="AE256" s="208"/>
      <c r="AF256" s="208"/>
      <c r="AG256" s="208"/>
      <c r="AH256" s="208"/>
      <c r="AI256" s="208"/>
      <c r="AJ256" s="208"/>
      <c r="AK256" s="208"/>
      <c r="AL256" s="208"/>
      <c r="AM256" s="208"/>
      <c r="AN256" s="208"/>
      <c r="AO256" s="208"/>
      <c r="AP256" s="208"/>
    </row>
    <row r="257" spans="1:52">
      <c r="A257" s="227" t="str">
        <f>'Inputs &amp; Results'!A55</f>
        <v>Federal</v>
      </c>
      <c r="C257" s="220">
        <f>IF(IBIFedPercentFedTax="Yes",C672,0)</f>
        <v>2011357.5</v>
      </c>
      <c r="D257" s="208"/>
      <c r="E257" s="208"/>
      <c r="F257" s="208"/>
      <c r="G257" s="208"/>
      <c r="H257" s="208"/>
      <c r="I257" s="208"/>
      <c r="J257" s="208"/>
      <c r="K257" s="208"/>
      <c r="L257" s="208"/>
      <c r="M257" s="208"/>
      <c r="N257" s="208"/>
      <c r="O257" s="208"/>
      <c r="P257" s="208"/>
      <c r="Q257" s="208"/>
      <c r="R257" s="208"/>
      <c r="S257" s="208"/>
      <c r="T257" s="208"/>
      <c r="U257" s="208"/>
      <c r="V257" s="208"/>
      <c r="W257" s="208"/>
      <c r="X257" s="208"/>
      <c r="Y257" s="208"/>
      <c r="Z257" s="208"/>
      <c r="AA257" s="208"/>
      <c r="AB257" s="208"/>
      <c r="AC257" s="208"/>
      <c r="AD257" s="208"/>
      <c r="AE257" s="208"/>
      <c r="AF257" s="208"/>
      <c r="AG257" s="208"/>
      <c r="AH257" s="208"/>
      <c r="AI257" s="208"/>
      <c r="AJ257" s="208"/>
      <c r="AK257" s="208"/>
      <c r="AL257" s="208"/>
      <c r="AM257" s="208"/>
      <c r="AN257" s="208"/>
      <c r="AO257" s="208"/>
      <c r="AP257" s="208"/>
    </row>
    <row r="258" spans="1:52">
      <c r="A258" s="227" t="str">
        <f>'Inputs &amp; Results'!A56</f>
        <v>State</v>
      </c>
      <c r="C258" s="220">
        <f>IF(IBIStatePercentFedTax="Yes",C673,0)</f>
        <v>4022715</v>
      </c>
      <c r="D258" s="208"/>
      <c r="E258" s="208"/>
      <c r="F258" s="208"/>
      <c r="G258" s="208"/>
      <c r="H258" s="208"/>
      <c r="I258" s="208"/>
      <c r="J258" s="208"/>
      <c r="K258" s="208"/>
      <c r="L258" s="208"/>
      <c r="M258" s="208"/>
      <c r="N258" s="208"/>
      <c r="O258" s="208"/>
      <c r="P258" s="208"/>
      <c r="Q258" s="208"/>
      <c r="R258" s="208"/>
      <c r="S258" s="208"/>
      <c r="T258" s="208"/>
      <c r="U258" s="208"/>
      <c r="V258" s="208"/>
      <c r="W258" s="208"/>
      <c r="X258" s="208"/>
      <c r="Y258" s="208"/>
      <c r="Z258" s="208"/>
      <c r="AA258" s="208"/>
      <c r="AB258" s="208"/>
      <c r="AC258" s="208"/>
      <c r="AD258" s="208"/>
      <c r="AE258" s="208"/>
      <c r="AF258" s="208"/>
      <c r="AG258" s="208"/>
      <c r="AH258" s="208"/>
      <c r="AI258" s="208"/>
      <c r="AJ258" s="208"/>
      <c r="AK258" s="208"/>
      <c r="AL258" s="208"/>
      <c r="AM258" s="208"/>
      <c r="AN258" s="208"/>
      <c r="AO258" s="208"/>
      <c r="AP258" s="208"/>
    </row>
    <row r="259" spans="1:52">
      <c r="A259" s="227" t="str">
        <f>'Inputs &amp; Results'!A57</f>
        <v>Utility</v>
      </c>
      <c r="C259" s="220">
        <f>IF(IBIUtilityPercentFedTax="Yes",C674,0)</f>
        <v>402271.5</v>
      </c>
      <c r="D259" s="208"/>
      <c r="E259" s="208"/>
      <c r="F259" s="208"/>
      <c r="G259" s="208"/>
      <c r="H259" s="208"/>
      <c r="I259" s="208"/>
      <c r="J259" s="208"/>
      <c r="K259" s="208"/>
      <c r="L259" s="208"/>
      <c r="M259" s="208"/>
      <c r="N259" s="208"/>
      <c r="O259" s="208"/>
      <c r="P259" s="208"/>
      <c r="Q259" s="208"/>
      <c r="R259" s="208"/>
      <c r="S259" s="208"/>
      <c r="T259" s="208"/>
      <c r="U259" s="208"/>
      <c r="V259" s="208"/>
      <c r="W259" s="208"/>
      <c r="X259" s="208"/>
      <c r="Y259" s="208"/>
      <c r="Z259" s="208"/>
      <c r="AA259" s="208"/>
      <c r="AB259" s="208"/>
      <c r="AC259" s="208"/>
      <c r="AD259" s="208"/>
      <c r="AE259" s="208"/>
      <c r="AF259" s="208"/>
      <c r="AG259" s="208"/>
      <c r="AH259" s="208"/>
      <c r="AI259" s="208"/>
      <c r="AJ259" s="208"/>
      <c r="AK259" s="208"/>
      <c r="AL259" s="208"/>
      <c r="AM259" s="208"/>
      <c r="AN259" s="208"/>
      <c r="AO259" s="208"/>
      <c r="AP259" s="208"/>
    </row>
    <row r="260" spans="1:52">
      <c r="A260" s="227" t="str">
        <f>'Inputs &amp; Results'!A58</f>
        <v>Other</v>
      </c>
      <c r="C260" s="225">
        <f>IF(IBIOtherPercentFedTax="Yes",C675,0)</f>
        <v>201135.75</v>
      </c>
      <c r="D260" s="208"/>
      <c r="E260" s="208"/>
      <c r="F260" s="208"/>
      <c r="G260" s="208"/>
      <c r="H260" s="208"/>
      <c r="I260" s="208"/>
      <c r="J260" s="208"/>
      <c r="K260" s="208"/>
      <c r="L260" s="208"/>
      <c r="M260" s="208"/>
      <c r="N260" s="208"/>
      <c r="O260" s="208"/>
      <c r="P260" s="208"/>
      <c r="Q260" s="208"/>
      <c r="R260" s="208"/>
      <c r="S260" s="208"/>
      <c r="T260" s="208"/>
      <c r="U260" s="208"/>
      <c r="V260" s="208"/>
      <c r="W260" s="208"/>
      <c r="X260" s="208"/>
      <c r="Y260" s="208"/>
      <c r="Z260" s="208"/>
      <c r="AA260" s="208"/>
      <c r="AB260" s="208"/>
      <c r="AC260" s="208"/>
      <c r="AD260" s="208"/>
      <c r="AE260" s="208"/>
      <c r="AF260" s="208"/>
      <c r="AG260" s="208"/>
      <c r="AH260" s="208"/>
      <c r="AI260" s="208"/>
      <c r="AJ260" s="208"/>
      <c r="AK260" s="208"/>
      <c r="AL260" s="208"/>
      <c r="AM260" s="208"/>
      <c r="AN260" s="208"/>
      <c r="AO260" s="208"/>
      <c r="AP260" s="208"/>
    </row>
    <row r="261" spans="1:52">
      <c r="A261" s="227" t="s">
        <v>53</v>
      </c>
      <c r="C261" s="208">
        <f>SUM(C257:C260)</f>
        <v>6637479.75</v>
      </c>
      <c r="D261" s="208"/>
      <c r="E261" s="208"/>
      <c r="F261" s="208"/>
      <c r="G261" s="208"/>
      <c r="H261" s="208"/>
      <c r="I261" s="208"/>
      <c r="J261" s="208"/>
      <c r="K261" s="208"/>
      <c r="L261" s="208"/>
      <c r="M261" s="208"/>
      <c r="N261" s="208"/>
      <c r="O261" s="208"/>
      <c r="P261" s="208"/>
      <c r="Q261" s="208"/>
      <c r="R261" s="208"/>
      <c r="S261" s="208"/>
      <c r="T261" s="208"/>
      <c r="U261" s="208"/>
      <c r="V261" s="208"/>
      <c r="W261" s="208"/>
      <c r="X261" s="208"/>
      <c r="Y261" s="208"/>
      <c r="Z261" s="208"/>
      <c r="AA261" s="208"/>
      <c r="AB261" s="208"/>
      <c r="AC261" s="208"/>
      <c r="AD261" s="208"/>
      <c r="AE261" s="208"/>
      <c r="AF261" s="208"/>
      <c r="AG261" s="208"/>
      <c r="AH261" s="208"/>
      <c r="AI261" s="208"/>
      <c r="AJ261" s="208"/>
      <c r="AK261" s="208"/>
      <c r="AL261" s="208"/>
      <c r="AM261" s="208"/>
      <c r="AN261" s="208"/>
      <c r="AO261" s="208"/>
      <c r="AP261" s="208"/>
    </row>
    <row r="262" spans="1:52">
      <c r="A262" s="219" t="str">
        <f>'Inputs &amp; Results'!A59</f>
        <v>Capacity Based Incentive (CBI) ($/DC-Watt)</v>
      </c>
      <c r="C262" s="208"/>
      <c r="D262" s="208"/>
      <c r="E262" s="208"/>
      <c r="F262" s="208"/>
      <c r="G262" s="208"/>
      <c r="H262" s="208"/>
      <c r="I262" s="208"/>
      <c r="J262" s="208"/>
      <c r="K262" s="208"/>
      <c r="L262" s="208"/>
      <c r="M262" s="208"/>
      <c r="N262" s="208"/>
      <c r="O262" s="208"/>
      <c r="P262" s="208"/>
      <c r="Q262" s="208"/>
      <c r="R262" s="208"/>
      <c r="S262" s="208"/>
      <c r="T262" s="208"/>
      <c r="U262" s="208"/>
      <c r="V262" s="208"/>
      <c r="W262" s="208"/>
      <c r="X262" s="208"/>
      <c r="Y262" s="208"/>
      <c r="Z262" s="208"/>
      <c r="AA262" s="208"/>
      <c r="AB262" s="208"/>
      <c r="AC262" s="208"/>
      <c r="AD262" s="208"/>
      <c r="AE262" s="208"/>
      <c r="AF262" s="208"/>
      <c r="AG262" s="208"/>
      <c r="AH262" s="208"/>
      <c r="AI262" s="208"/>
      <c r="AJ262" s="208"/>
      <c r="AK262" s="208"/>
      <c r="AL262" s="208"/>
      <c r="AM262" s="208"/>
      <c r="AN262" s="208"/>
      <c r="AO262" s="208"/>
      <c r="AP262" s="208"/>
    </row>
    <row r="263" spans="1:52">
      <c r="A263" s="226" t="str">
        <f>'Inputs &amp; Results'!A60</f>
        <v>Federal</v>
      </c>
      <c r="C263" s="146">
        <f>IF(CBIFedFedTax="Yes",C678,0)</f>
        <v>5000000</v>
      </c>
      <c r="D263" s="208"/>
      <c r="E263" s="208"/>
      <c r="F263" s="208"/>
      <c r="G263" s="208"/>
      <c r="H263" s="208"/>
      <c r="I263" s="208"/>
      <c r="J263" s="208"/>
      <c r="K263" s="208"/>
      <c r="L263" s="208"/>
      <c r="M263" s="208"/>
      <c r="N263" s="208"/>
      <c r="O263" s="208"/>
      <c r="P263" s="208"/>
      <c r="Q263" s="208"/>
      <c r="R263" s="208"/>
      <c r="S263" s="208"/>
      <c r="T263" s="208"/>
      <c r="U263" s="208"/>
      <c r="V263" s="208"/>
      <c r="W263" s="208"/>
      <c r="X263" s="208"/>
      <c r="Y263" s="208"/>
      <c r="Z263" s="208"/>
      <c r="AA263" s="208"/>
      <c r="AB263" s="208"/>
      <c r="AC263" s="208"/>
      <c r="AD263" s="208"/>
      <c r="AE263" s="208"/>
      <c r="AF263" s="208"/>
      <c r="AG263" s="208"/>
      <c r="AH263" s="208"/>
      <c r="AI263" s="208"/>
      <c r="AJ263" s="208"/>
      <c r="AK263" s="208"/>
      <c r="AL263" s="208"/>
      <c r="AM263" s="208"/>
      <c r="AN263" s="208"/>
      <c r="AO263" s="208"/>
      <c r="AP263" s="208"/>
    </row>
    <row r="264" spans="1:52">
      <c r="A264" s="226" t="str">
        <f>'Inputs &amp; Results'!A61</f>
        <v>State</v>
      </c>
      <c r="C264" s="146">
        <f>IF(CBIStateFedTax="Yes",C679,0)</f>
        <v>2000000</v>
      </c>
      <c r="D264" s="208"/>
      <c r="E264" s="208"/>
      <c r="F264" s="208"/>
      <c r="G264" s="208"/>
      <c r="H264" s="208"/>
      <c r="I264" s="208"/>
      <c r="J264" s="208"/>
      <c r="K264" s="208"/>
      <c r="L264" s="208"/>
      <c r="M264" s="208"/>
      <c r="N264" s="208"/>
      <c r="O264" s="208"/>
      <c r="P264" s="208"/>
      <c r="Q264" s="208"/>
      <c r="R264" s="208"/>
      <c r="S264" s="208"/>
      <c r="T264" s="208"/>
      <c r="U264" s="208"/>
      <c r="V264" s="208"/>
      <c r="W264" s="208"/>
      <c r="X264" s="208"/>
      <c r="Y264" s="208"/>
      <c r="Z264" s="208"/>
      <c r="AA264" s="208"/>
      <c r="AB264" s="208"/>
      <c r="AC264" s="208"/>
      <c r="AD264" s="208"/>
      <c r="AE264" s="208"/>
      <c r="AF264" s="208"/>
      <c r="AG264" s="208"/>
      <c r="AH264" s="208"/>
      <c r="AI264" s="208"/>
      <c r="AJ264" s="208"/>
      <c r="AK264" s="208"/>
      <c r="AL264" s="208"/>
      <c r="AM264" s="208"/>
      <c r="AN264" s="208"/>
      <c r="AO264" s="208"/>
      <c r="AP264" s="208"/>
    </row>
    <row r="265" spans="1:52">
      <c r="A265" s="226" t="str">
        <f>'Inputs &amp; Results'!A62</f>
        <v>Utility</v>
      </c>
      <c r="C265" s="146">
        <f>IF(CBIUtilityFedTax="Yes",C680,0)</f>
        <v>100000</v>
      </c>
      <c r="D265" s="208"/>
      <c r="E265" s="208"/>
      <c r="F265" s="208"/>
      <c r="G265" s="208"/>
      <c r="H265" s="208"/>
      <c r="I265" s="208"/>
      <c r="J265" s="208"/>
      <c r="K265" s="208"/>
      <c r="L265" s="208"/>
      <c r="M265" s="208"/>
      <c r="N265" s="208"/>
      <c r="O265" s="208"/>
      <c r="P265" s="208"/>
      <c r="Q265" s="208"/>
      <c r="R265" s="208"/>
      <c r="S265" s="208"/>
      <c r="T265" s="208"/>
      <c r="U265" s="208"/>
      <c r="V265" s="208"/>
      <c r="W265" s="208"/>
      <c r="X265" s="208"/>
      <c r="Y265" s="208"/>
      <c r="Z265" s="208"/>
      <c r="AA265" s="208"/>
      <c r="AB265" s="208"/>
      <c r="AC265" s="208"/>
      <c r="AD265" s="208"/>
      <c r="AE265" s="208"/>
      <c r="AF265" s="208"/>
      <c r="AG265" s="208"/>
      <c r="AH265" s="208"/>
      <c r="AI265" s="208"/>
      <c r="AJ265" s="208"/>
      <c r="AK265" s="208"/>
      <c r="AL265" s="208"/>
      <c r="AM265" s="208"/>
      <c r="AN265" s="208"/>
      <c r="AO265" s="208"/>
      <c r="AP265" s="208"/>
    </row>
    <row r="266" spans="1:52">
      <c r="A266" s="226" t="str">
        <f>'Inputs &amp; Results'!A63</f>
        <v>Other</v>
      </c>
      <c r="C266" s="225">
        <f>IF(CBIOtherFedTax="Yes",C681,0)</f>
        <v>50000</v>
      </c>
      <c r="D266" s="208"/>
      <c r="E266" s="208"/>
      <c r="F266" s="208"/>
      <c r="G266" s="208"/>
      <c r="H266" s="208"/>
      <c r="I266" s="208"/>
      <c r="J266" s="208"/>
      <c r="K266" s="208"/>
      <c r="L266" s="208"/>
      <c r="M266" s="208"/>
      <c r="N266" s="208"/>
      <c r="O266" s="208"/>
      <c r="P266" s="208"/>
      <c r="Q266" s="208"/>
      <c r="R266" s="208"/>
      <c r="S266" s="208"/>
      <c r="T266" s="208"/>
      <c r="U266" s="208"/>
      <c r="V266" s="208"/>
      <c r="W266" s="208"/>
      <c r="X266" s="208"/>
      <c r="Y266" s="208"/>
      <c r="Z266" s="208"/>
      <c r="AA266" s="208"/>
      <c r="AB266" s="208"/>
      <c r="AC266" s="208"/>
      <c r="AD266" s="208"/>
      <c r="AE266" s="208"/>
      <c r="AF266" s="208"/>
      <c r="AG266" s="208"/>
      <c r="AH266" s="208"/>
      <c r="AI266" s="208"/>
      <c r="AJ266" s="208"/>
      <c r="AK266" s="208"/>
      <c r="AL266" s="208"/>
      <c r="AM266" s="208"/>
      <c r="AN266" s="208"/>
      <c r="AO266" s="208"/>
      <c r="AP266" s="208"/>
    </row>
    <row r="267" spans="1:52">
      <c r="A267" s="226" t="s">
        <v>53</v>
      </c>
      <c r="C267" s="208">
        <f>SUM(C263:C266)</f>
        <v>7150000</v>
      </c>
      <c r="D267" s="208"/>
      <c r="E267" s="208"/>
      <c r="F267" s="208"/>
      <c r="G267" s="208"/>
      <c r="H267" s="208"/>
      <c r="I267" s="208"/>
      <c r="J267" s="208"/>
      <c r="K267" s="208"/>
      <c r="L267" s="208"/>
      <c r="M267" s="208"/>
      <c r="N267" s="208"/>
      <c r="O267" s="208"/>
      <c r="P267" s="208"/>
      <c r="Q267" s="208"/>
      <c r="R267" s="208"/>
      <c r="S267" s="208"/>
      <c r="T267" s="208"/>
      <c r="U267" s="208"/>
      <c r="V267" s="208"/>
      <c r="W267" s="208"/>
      <c r="X267" s="208"/>
      <c r="Y267" s="208"/>
      <c r="Z267" s="208"/>
      <c r="AA267" s="208"/>
      <c r="AB267" s="208"/>
      <c r="AC267" s="208"/>
      <c r="AD267" s="208"/>
      <c r="AE267" s="208"/>
      <c r="AF267" s="208"/>
      <c r="AG267" s="208"/>
      <c r="AH267" s="208"/>
      <c r="AI267" s="208"/>
      <c r="AJ267" s="208"/>
      <c r="AK267" s="208"/>
      <c r="AL267" s="208"/>
      <c r="AM267" s="208"/>
      <c r="AN267" s="208"/>
      <c r="AO267" s="208"/>
      <c r="AP267" s="208"/>
    </row>
    <row r="268" spans="1:52">
      <c r="A268" s="219" t="s">
        <v>132</v>
      </c>
      <c r="C268" s="291">
        <f>C255+C261+C267</f>
        <v>13791229.75</v>
      </c>
      <c r="D268" s="291">
        <f t="shared" ref="D268:AP268" si="148">D255+D261+D267</f>
        <v>0</v>
      </c>
      <c r="E268" s="291">
        <f t="shared" si="148"/>
        <v>0</v>
      </c>
      <c r="F268" s="291">
        <f t="shared" si="148"/>
        <v>0</v>
      </c>
      <c r="G268" s="291">
        <f t="shared" si="148"/>
        <v>0</v>
      </c>
      <c r="H268" s="291">
        <f t="shared" si="148"/>
        <v>0</v>
      </c>
      <c r="I268" s="291">
        <f t="shared" si="148"/>
        <v>0</v>
      </c>
      <c r="J268" s="291">
        <f t="shared" si="148"/>
        <v>0</v>
      </c>
      <c r="K268" s="291">
        <f t="shared" si="148"/>
        <v>0</v>
      </c>
      <c r="L268" s="291">
        <f t="shared" si="148"/>
        <v>0</v>
      </c>
      <c r="M268" s="291">
        <f t="shared" si="148"/>
        <v>0</v>
      </c>
      <c r="N268" s="291">
        <f t="shared" si="148"/>
        <v>0</v>
      </c>
      <c r="O268" s="291">
        <f t="shared" si="148"/>
        <v>0</v>
      </c>
      <c r="P268" s="291">
        <f t="shared" si="148"/>
        <v>0</v>
      </c>
      <c r="Q268" s="291">
        <f t="shared" si="148"/>
        <v>0</v>
      </c>
      <c r="R268" s="291">
        <f t="shared" si="148"/>
        <v>0</v>
      </c>
      <c r="S268" s="291">
        <f t="shared" si="148"/>
        <v>0</v>
      </c>
      <c r="T268" s="291">
        <f t="shared" si="148"/>
        <v>0</v>
      </c>
      <c r="U268" s="291">
        <f t="shared" si="148"/>
        <v>0</v>
      </c>
      <c r="V268" s="291">
        <f t="shared" si="148"/>
        <v>0</v>
      </c>
      <c r="W268" s="291">
        <f t="shared" si="148"/>
        <v>0</v>
      </c>
      <c r="X268" s="291">
        <f t="shared" si="148"/>
        <v>0</v>
      </c>
      <c r="Y268" s="291">
        <f t="shared" si="148"/>
        <v>0</v>
      </c>
      <c r="Z268" s="291">
        <f t="shared" si="148"/>
        <v>0</v>
      </c>
      <c r="AA268" s="291">
        <f t="shared" si="148"/>
        <v>0</v>
      </c>
      <c r="AB268" s="291">
        <f t="shared" si="148"/>
        <v>0</v>
      </c>
      <c r="AC268" s="291">
        <f t="shared" si="148"/>
        <v>0</v>
      </c>
      <c r="AD268" s="291">
        <f t="shared" si="148"/>
        <v>0</v>
      </c>
      <c r="AE268" s="291">
        <f t="shared" si="148"/>
        <v>0</v>
      </c>
      <c r="AF268" s="291">
        <f t="shared" si="148"/>
        <v>0</v>
      </c>
      <c r="AG268" s="291">
        <f t="shared" si="148"/>
        <v>0</v>
      </c>
      <c r="AH268" s="291">
        <f t="shared" si="148"/>
        <v>0</v>
      </c>
      <c r="AI268" s="291">
        <f t="shared" si="148"/>
        <v>0</v>
      </c>
      <c r="AJ268" s="291">
        <f t="shared" si="148"/>
        <v>0</v>
      </c>
      <c r="AK268" s="291">
        <f t="shared" si="148"/>
        <v>0</v>
      </c>
      <c r="AL268" s="291">
        <f t="shared" si="148"/>
        <v>0</v>
      </c>
      <c r="AM268" s="291">
        <f t="shared" si="148"/>
        <v>0</v>
      </c>
      <c r="AN268" s="291">
        <f t="shared" si="148"/>
        <v>0</v>
      </c>
      <c r="AO268" s="291">
        <f t="shared" si="148"/>
        <v>0</v>
      </c>
      <c r="AP268" s="291">
        <f t="shared" si="148"/>
        <v>0</v>
      </c>
      <c r="AQ268" s="40"/>
      <c r="AR268" s="40"/>
      <c r="AS268" s="40"/>
      <c r="AT268" s="40"/>
      <c r="AU268" s="40"/>
      <c r="AV268" s="40"/>
      <c r="AW268" s="40"/>
      <c r="AX268" s="40"/>
      <c r="AY268" s="40"/>
      <c r="AZ268" s="40"/>
    </row>
    <row r="269" spans="1:52" s="119" customFormat="1">
      <c r="A269" s="42" t="s">
        <v>436</v>
      </c>
      <c r="C269" s="220">
        <f>C248+C268</f>
        <v>7823993.9892336344</v>
      </c>
      <c r="D269" s="220">
        <f t="shared" ref="D269:AP269" si="149">D248+D268</f>
        <v>-5409334.7840807224</v>
      </c>
      <c r="E269" s="220">
        <f t="shared" si="149"/>
        <v>-986337.38934331783</v>
      </c>
      <c r="F269" s="220">
        <f t="shared" si="149"/>
        <v>1684241.0478349524</v>
      </c>
      <c r="G269" s="220">
        <f t="shared" si="149"/>
        <v>1747164.3827138124</v>
      </c>
      <c r="H269" s="220">
        <f t="shared" si="149"/>
        <v>3759898.712430981</v>
      </c>
      <c r="I269" s="220">
        <f t="shared" si="149"/>
        <v>5767392.1467982642</v>
      </c>
      <c r="J269" s="220">
        <f t="shared" si="149"/>
        <v>5831084.1489060195</v>
      </c>
      <c r="K269" s="220">
        <f t="shared" si="149"/>
        <v>5867913.6012027366</v>
      </c>
      <c r="L269" s="220">
        <f t="shared" si="149"/>
        <v>5896442.5717521496</v>
      </c>
      <c r="M269" s="220">
        <f t="shared" si="149"/>
        <v>5960310.6355999317</v>
      </c>
      <c r="N269" s="220">
        <f t="shared" si="149"/>
        <v>5439964.7786816452</v>
      </c>
      <c r="O269" s="220">
        <f t="shared" si="149"/>
        <v>5038957.3512300123</v>
      </c>
      <c r="P269" s="220">
        <f t="shared" si="149"/>
        <v>5460448.5995348133</v>
      </c>
      <c r="Q269" s="220">
        <f t="shared" si="149"/>
        <v>4546002.4881782159</v>
      </c>
      <c r="R269" s="220">
        <f t="shared" si="149"/>
        <v>3716535.6972767599</v>
      </c>
      <c r="S269" s="220">
        <f t="shared" si="149"/>
        <v>4730148.8974820552</v>
      </c>
      <c r="T269" s="220">
        <f t="shared" si="149"/>
        <v>5374080.3828462865</v>
      </c>
      <c r="U269" s="220">
        <f t="shared" si="149"/>
        <v>5400909.0665578656</v>
      </c>
      <c r="V269" s="220">
        <f t="shared" si="149"/>
        <v>5803640.5931441765</v>
      </c>
      <c r="W269" s="220">
        <f t="shared" si="149"/>
        <v>6185364.3742492963</v>
      </c>
      <c r="X269" s="220">
        <f t="shared" si="149"/>
        <v>6208020.9234586637</v>
      </c>
      <c r="Y269" s="220">
        <f t="shared" si="149"/>
        <v>6262264.2776694717</v>
      </c>
      <c r="Z269" s="220">
        <f t="shared" si="149"/>
        <v>5617643.7645476097</v>
      </c>
      <c r="AA269" s="220">
        <f t="shared" si="149"/>
        <v>5447479.7964389352</v>
      </c>
      <c r="AB269" s="220">
        <f t="shared" si="149"/>
        <v>5923025.9941072278</v>
      </c>
      <c r="AC269" s="220">
        <f t="shared" si="149"/>
        <v>6193269.429175335</v>
      </c>
      <c r="AD269" s="220">
        <f t="shared" si="149"/>
        <v>6196697.3248844426</v>
      </c>
      <c r="AE269" s="220">
        <f t="shared" si="149"/>
        <v>6438233.8426122274</v>
      </c>
      <c r="AF269" s="220">
        <f t="shared" si="149"/>
        <v>8989398.2513151243</v>
      </c>
      <c r="AG269" s="220">
        <f t="shared" si="149"/>
        <v>0</v>
      </c>
      <c r="AH269" s="220">
        <f t="shared" si="149"/>
        <v>0</v>
      </c>
      <c r="AI269" s="220">
        <f t="shared" si="149"/>
        <v>0</v>
      </c>
      <c r="AJ269" s="220">
        <f t="shared" si="149"/>
        <v>0</v>
      </c>
      <c r="AK269" s="220">
        <f t="shared" si="149"/>
        <v>0</v>
      </c>
      <c r="AL269" s="220">
        <f t="shared" si="149"/>
        <v>0</v>
      </c>
      <c r="AM269" s="220">
        <f t="shared" si="149"/>
        <v>0</v>
      </c>
      <c r="AN269" s="220">
        <f t="shared" si="149"/>
        <v>0</v>
      </c>
      <c r="AO269" s="220">
        <f t="shared" si="149"/>
        <v>0</v>
      </c>
      <c r="AP269" s="220">
        <f t="shared" si="149"/>
        <v>0</v>
      </c>
    </row>
    <row r="270" spans="1:52">
      <c r="A270" s="219" t="s">
        <v>234</v>
      </c>
      <c r="B270" s="40"/>
      <c r="C270" s="216">
        <f t="shared" ref="C270:AP270" si="150">C269*-FedTax</f>
        <v>-2738397.8962317719</v>
      </c>
      <c r="D270" s="216">
        <f t="shared" si="150"/>
        <v>1893267.1744282527</v>
      </c>
      <c r="E270" s="216">
        <f t="shared" si="150"/>
        <v>345218.08627016121</v>
      </c>
      <c r="F270" s="216">
        <f t="shared" si="150"/>
        <v>-589484.36674223328</v>
      </c>
      <c r="G270" s="216">
        <f t="shared" si="150"/>
        <v>-611507.53394983429</v>
      </c>
      <c r="H270" s="216">
        <f t="shared" si="150"/>
        <v>-1315964.5493508433</v>
      </c>
      <c r="I270" s="216">
        <f t="shared" si="150"/>
        <v>-2018587.2513793923</v>
      </c>
      <c r="J270" s="216">
        <f t="shared" si="150"/>
        <v>-2040879.4521171066</v>
      </c>
      <c r="K270" s="216">
        <f t="shared" si="150"/>
        <v>-2053769.7604209576</v>
      </c>
      <c r="L270" s="216">
        <f t="shared" si="150"/>
        <v>-2063754.9001132522</v>
      </c>
      <c r="M270" s="216">
        <f t="shared" si="150"/>
        <v>-2086108.7224599759</v>
      </c>
      <c r="N270" s="216">
        <f t="shared" si="150"/>
        <v>-1903987.6725385757</v>
      </c>
      <c r="O270" s="216">
        <f t="shared" si="150"/>
        <v>-1763635.0729305041</v>
      </c>
      <c r="P270" s="216">
        <f t="shared" si="150"/>
        <v>-1911157.0098371846</v>
      </c>
      <c r="Q270" s="216">
        <f t="shared" si="150"/>
        <v>-1591100.8708623755</v>
      </c>
      <c r="R270" s="216">
        <f t="shared" si="150"/>
        <v>-1300787.494046866</v>
      </c>
      <c r="S270" s="216">
        <f t="shared" si="150"/>
        <v>-1655552.1141187192</v>
      </c>
      <c r="T270" s="216">
        <f t="shared" si="150"/>
        <v>-1880928.1339962</v>
      </c>
      <c r="U270" s="216">
        <f t="shared" si="150"/>
        <v>-1890318.1732952527</v>
      </c>
      <c r="V270" s="216">
        <f t="shared" si="150"/>
        <v>-2031274.2076004616</v>
      </c>
      <c r="W270" s="216">
        <f t="shared" si="150"/>
        <v>-2164877.5309872534</v>
      </c>
      <c r="X270" s="216">
        <f t="shared" si="150"/>
        <v>-2172807.3232105323</v>
      </c>
      <c r="Y270" s="216">
        <f t="shared" si="150"/>
        <v>-2191792.4971843148</v>
      </c>
      <c r="Z270" s="216">
        <f t="shared" si="150"/>
        <v>-1966175.3175916632</v>
      </c>
      <c r="AA270" s="216">
        <f t="shared" si="150"/>
        <v>-1906617.9287536272</v>
      </c>
      <c r="AB270" s="216">
        <f t="shared" si="150"/>
        <v>-2073059.0979375297</v>
      </c>
      <c r="AC270" s="216">
        <f t="shared" si="150"/>
        <v>-2167644.3002113672</v>
      </c>
      <c r="AD270" s="216">
        <f t="shared" si="150"/>
        <v>-2168844.0637095547</v>
      </c>
      <c r="AE270" s="216">
        <f t="shared" si="150"/>
        <v>-2253381.8449142794</v>
      </c>
      <c r="AF270" s="216">
        <f t="shared" si="150"/>
        <v>-3146289.3879602933</v>
      </c>
      <c r="AG270" s="216">
        <f t="shared" si="150"/>
        <v>0</v>
      </c>
      <c r="AH270" s="216">
        <f t="shared" si="150"/>
        <v>0</v>
      </c>
      <c r="AI270" s="216">
        <f t="shared" si="150"/>
        <v>0</v>
      </c>
      <c r="AJ270" s="216">
        <f t="shared" si="150"/>
        <v>0</v>
      </c>
      <c r="AK270" s="216">
        <f t="shared" si="150"/>
        <v>0</v>
      </c>
      <c r="AL270" s="216">
        <f t="shared" si="150"/>
        <v>0</v>
      </c>
      <c r="AM270" s="216">
        <f t="shared" si="150"/>
        <v>0</v>
      </c>
      <c r="AN270" s="216">
        <f t="shared" si="150"/>
        <v>0</v>
      </c>
      <c r="AO270" s="216">
        <f t="shared" si="150"/>
        <v>0</v>
      </c>
      <c r="AP270" s="216">
        <f t="shared" si="150"/>
        <v>0</v>
      </c>
    </row>
    <row r="271" spans="1:52" s="119" customFormat="1">
      <c r="A271" s="42"/>
    </row>
    <row r="272" spans="1:52">
      <c r="A272" s="201" t="s">
        <v>479</v>
      </c>
    </row>
    <row r="273" spans="1:42" s="119" customFormat="1">
      <c r="A273" s="217" t="s">
        <v>507</v>
      </c>
    </row>
    <row r="274" spans="1:42" s="119" customFormat="1">
      <c r="A274" s="42" t="s">
        <v>431</v>
      </c>
      <c r="B274" s="146"/>
      <c r="C274" s="220">
        <f t="shared" ref="C274:AP274" si="151">C12</f>
        <v>7848855.1499275891</v>
      </c>
      <c r="D274" s="220">
        <f t="shared" si="151"/>
        <v>7887706.9829197302</v>
      </c>
      <c r="E274" s="220">
        <f t="shared" si="151"/>
        <v>7926751.132485182</v>
      </c>
      <c r="F274" s="220">
        <f t="shared" si="151"/>
        <v>7965988.5505909836</v>
      </c>
      <c r="G274" s="220">
        <f t="shared" si="151"/>
        <v>8005420.1939164102</v>
      </c>
      <c r="H274" s="220">
        <f t="shared" si="151"/>
        <v>8045047.0238762954</v>
      </c>
      <c r="I274" s="220">
        <f t="shared" si="151"/>
        <v>8084870.0066444837</v>
      </c>
      <c r="J274" s="220">
        <f t="shared" si="151"/>
        <v>8124890.1131773721</v>
      </c>
      <c r="K274" s="220">
        <f t="shared" si="151"/>
        <v>8165108.3192376019</v>
      </c>
      <c r="L274" s="220">
        <f t="shared" si="151"/>
        <v>8205525.6054178299</v>
      </c>
      <c r="M274" s="220">
        <f t="shared" si="151"/>
        <v>8246142.957164648</v>
      </c>
      <c r="N274" s="220">
        <f t="shared" si="151"/>
        <v>8286961.3648026111</v>
      </c>
      <c r="O274" s="220">
        <f t="shared" si="151"/>
        <v>8327981.8235583846</v>
      </c>
      <c r="P274" s="220">
        <f t="shared" si="151"/>
        <v>8369205.3335849987</v>
      </c>
      <c r="Q274" s="220">
        <f t="shared" si="151"/>
        <v>8410632.8999862447</v>
      </c>
      <c r="R274" s="220">
        <f t="shared" si="151"/>
        <v>8452265.5328411739</v>
      </c>
      <c r="S274" s="220">
        <f t="shared" si="151"/>
        <v>8494104.2472287398</v>
      </c>
      <c r="T274" s="220">
        <f t="shared" si="151"/>
        <v>8536150.0632525235</v>
      </c>
      <c r="U274" s="220">
        <f t="shared" si="151"/>
        <v>8578404.0060656238</v>
      </c>
      <c r="V274" s="220">
        <f t="shared" si="151"/>
        <v>8620867.1058956459</v>
      </c>
      <c r="W274" s="220">
        <f t="shared" si="151"/>
        <v>8663540.3980698306</v>
      </c>
      <c r="X274" s="220">
        <f t="shared" si="151"/>
        <v>8706424.9230402745</v>
      </c>
      <c r="Y274" s="220">
        <f t="shared" si="151"/>
        <v>8749521.7264093254</v>
      </c>
      <c r="Z274" s="220">
        <f t="shared" si="151"/>
        <v>8792831.8589550499</v>
      </c>
      <c r="AA274" s="220">
        <f t="shared" si="151"/>
        <v>8836356.3766568806</v>
      </c>
      <c r="AB274" s="220">
        <f t="shared" si="151"/>
        <v>8880096.3407213334</v>
      </c>
      <c r="AC274" s="220">
        <f t="shared" si="151"/>
        <v>8924052.8176079039</v>
      </c>
      <c r="AD274" s="220">
        <f t="shared" si="151"/>
        <v>8968226.8790550586</v>
      </c>
      <c r="AE274" s="220">
        <f t="shared" si="151"/>
        <v>9012619.6021063812</v>
      </c>
      <c r="AF274" s="220">
        <f t="shared" si="151"/>
        <v>9057232.0691368077</v>
      </c>
      <c r="AG274" s="220">
        <f t="shared" si="151"/>
        <v>0</v>
      </c>
      <c r="AH274" s="220">
        <f t="shared" si="151"/>
        <v>0</v>
      </c>
      <c r="AI274" s="220">
        <f t="shared" si="151"/>
        <v>0</v>
      </c>
      <c r="AJ274" s="220">
        <f t="shared" si="151"/>
        <v>0</v>
      </c>
      <c r="AK274" s="220">
        <f t="shared" si="151"/>
        <v>0</v>
      </c>
      <c r="AL274" s="220">
        <f t="shared" si="151"/>
        <v>0</v>
      </c>
      <c r="AM274" s="220">
        <f t="shared" si="151"/>
        <v>0</v>
      </c>
      <c r="AN274" s="220">
        <f t="shared" si="151"/>
        <v>0</v>
      </c>
      <c r="AO274" s="220">
        <f t="shared" si="151"/>
        <v>0</v>
      </c>
      <c r="AP274" s="220">
        <f t="shared" si="151"/>
        <v>0</v>
      </c>
    </row>
    <row r="275" spans="1:42" s="119" customFormat="1">
      <c r="A275" s="42" t="s">
        <v>498</v>
      </c>
      <c r="B275" s="146"/>
      <c r="C275" s="220">
        <f t="shared" ref="C275:AP275" si="152">C49</f>
        <v>2625.0000000000005</v>
      </c>
      <c r="D275" s="220">
        <f t="shared" si="152"/>
        <v>14705.811846654169</v>
      </c>
      <c r="E275" s="220">
        <f t="shared" si="152"/>
        <v>26786.623693308338</v>
      </c>
      <c r="F275" s="220">
        <f t="shared" si="152"/>
        <v>37064.541789962517</v>
      </c>
      <c r="G275" s="220">
        <f t="shared" si="152"/>
        <v>49172.804722215893</v>
      </c>
      <c r="H275" s="220">
        <f t="shared" si="152"/>
        <v>61281.067654469291</v>
      </c>
      <c r="I275" s="220">
        <f t="shared" si="152"/>
        <v>71504.083579925034</v>
      </c>
      <c r="J275" s="220">
        <f t="shared" si="152"/>
        <v>83641.051518759807</v>
      </c>
      <c r="K275" s="220">
        <f t="shared" si="152"/>
        <v>95778.01945759455</v>
      </c>
      <c r="L275" s="220">
        <f t="shared" si="152"/>
        <v>105943.62536988755</v>
      </c>
      <c r="M275" s="220">
        <f t="shared" si="152"/>
        <v>118110.60951335869</v>
      </c>
      <c r="N275" s="220">
        <f t="shared" si="152"/>
        <v>130277.59365682983</v>
      </c>
      <c r="O275" s="220">
        <f t="shared" si="152"/>
        <v>88847.901148577046</v>
      </c>
      <c r="P275" s="220">
        <f t="shared" si="152"/>
        <v>101886.37546337843</v>
      </c>
      <c r="Q275" s="220">
        <f t="shared" si="152"/>
        <v>114924.84977817982</v>
      </c>
      <c r="R275" s="220">
        <f t="shared" si="152"/>
        <v>18029.125128545482</v>
      </c>
      <c r="S275" s="220">
        <f t="shared" si="152"/>
        <v>32898.398355727615</v>
      </c>
      <c r="T275" s="220">
        <f t="shared" si="152"/>
        <v>47767.671582909745</v>
      </c>
      <c r="U275" s="220">
        <f t="shared" si="152"/>
        <v>60382.909231071135</v>
      </c>
      <c r="V275" s="220">
        <f t="shared" si="152"/>
        <v>75286.502685733882</v>
      </c>
      <c r="W275" s="220">
        <f t="shared" si="152"/>
        <v>90190.096140396621</v>
      </c>
      <c r="X275" s="220">
        <f t="shared" si="152"/>
        <v>102736.69333359678</v>
      </c>
      <c r="Y275" s="220">
        <f t="shared" si="152"/>
        <v>117676.17470796108</v>
      </c>
      <c r="Z275" s="220">
        <f t="shared" si="152"/>
        <v>132615.65608232541</v>
      </c>
      <c r="AA275" s="220">
        <f t="shared" si="152"/>
        <v>83473.976921940499</v>
      </c>
      <c r="AB275" s="220">
        <f t="shared" si="152"/>
        <v>93316.277141678642</v>
      </c>
      <c r="AC275" s="220">
        <f t="shared" si="152"/>
        <v>103158.57736141678</v>
      </c>
      <c r="AD275" s="220">
        <f t="shared" si="152"/>
        <v>110423.63589592067</v>
      </c>
      <c r="AE275" s="220">
        <f t="shared" si="152"/>
        <v>120305.1775197134</v>
      </c>
      <c r="AF275" s="220">
        <f t="shared" si="152"/>
        <v>130186.71914350611</v>
      </c>
      <c r="AG275" s="220">
        <f t="shared" si="152"/>
        <v>0</v>
      </c>
      <c r="AH275" s="220">
        <f t="shared" si="152"/>
        <v>0</v>
      </c>
      <c r="AI275" s="220">
        <f t="shared" si="152"/>
        <v>0</v>
      </c>
      <c r="AJ275" s="220">
        <f t="shared" si="152"/>
        <v>0</v>
      </c>
      <c r="AK275" s="220">
        <f t="shared" si="152"/>
        <v>0</v>
      </c>
      <c r="AL275" s="220">
        <f t="shared" si="152"/>
        <v>0</v>
      </c>
      <c r="AM275" s="220">
        <f t="shared" si="152"/>
        <v>0</v>
      </c>
      <c r="AN275" s="220">
        <f t="shared" si="152"/>
        <v>0</v>
      </c>
      <c r="AO275" s="220">
        <f t="shared" si="152"/>
        <v>0</v>
      </c>
      <c r="AP275" s="220">
        <f t="shared" si="152"/>
        <v>0</v>
      </c>
    </row>
    <row r="276" spans="1:42" s="119" customFormat="1">
      <c r="A276" s="42" t="s">
        <v>497</v>
      </c>
      <c r="B276" s="146"/>
      <c r="C276" s="220">
        <f>C819</f>
        <v>61085.583058764627</v>
      </c>
      <c r="D276" s="220">
        <f t="shared" ref="D276:AP276" si="153">D819</f>
        <v>61085.583058764627</v>
      </c>
      <c r="E276" s="220">
        <f t="shared" si="153"/>
        <v>61085.583058764627</v>
      </c>
      <c r="F276" s="220">
        <f t="shared" si="153"/>
        <v>61085.583058764627</v>
      </c>
      <c r="G276" s="220">
        <f t="shared" si="153"/>
        <v>61085.583058764627</v>
      </c>
      <c r="H276" s="220">
        <f t="shared" si="153"/>
        <v>61085.583058764627</v>
      </c>
      <c r="I276" s="220">
        <f t="shared" si="153"/>
        <v>61085.583058764627</v>
      </c>
      <c r="J276" s="220">
        <f t="shared" si="153"/>
        <v>61085.583058764627</v>
      </c>
      <c r="K276" s="220">
        <f t="shared" si="153"/>
        <v>61085.583058764627</v>
      </c>
      <c r="L276" s="220">
        <f t="shared" si="153"/>
        <v>61085.583058764627</v>
      </c>
      <c r="M276" s="220">
        <f t="shared" si="153"/>
        <v>61085.583058764627</v>
      </c>
      <c r="N276" s="220">
        <f t="shared" si="153"/>
        <v>61085.583058764627</v>
      </c>
      <c r="O276" s="220">
        <f t="shared" si="153"/>
        <v>61085.583058764627</v>
      </c>
      <c r="P276" s="220">
        <f t="shared" si="153"/>
        <v>61085.583058764627</v>
      </c>
      <c r="Q276" s="220">
        <f t="shared" si="153"/>
        <v>61085.583058764627</v>
      </c>
      <c r="R276" s="220">
        <f t="shared" si="153"/>
        <v>61085.583058764627</v>
      </c>
      <c r="S276" s="220">
        <f t="shared" si="153"/>
        <v>61085.583058764627</v>
      </c>
      <c r="T276" s="220">
        <f t="shared" si="153"/>
        <v>61085.583058764627</v>
      </c>
      <c r="U276" s="220">
        <f t="shared" si="153"/>
        <v>61085.583058764627</v>
      </c>
      <c r="V276" s="220">
        <f t="shared" si="153"/>
        <v>61085.583058764627</v>
      </c>
      <c r="W276" s="220">
        <f t="shared" si="153"/>
        <v>61085.583058764627</v>
      </c>
      <c r="X276" s="220">
        <f t="shared" si="153"/>
        <v>61085.583058764627</v>
      </c>
      <c r="Y276" s="220">
        <f t="shared" si="153"/>
        <v>61085.583058764627</v>
      </c>
      <c r="Z276" s="220">
        <f t="shared" si="153"/>
        <v>61085.583058764627</v>
      </c>
      <c r="AA276" s="220">
        <f t="shared" si="153"/>
        <v>61085.583058764627</v>
      </c>
      <c r="AB276" s="220">
        <f t="shared" si="153"/>
        <v>61085.583058764627</v>
      </c>
      <c r="AC276" s="220">
        <f t="shared" si="153"/>
        <v>61085.583058764627</v>
      </c>
      <c r="AD276" s="220">
        <f t="shared" si="153"/>
        <v>61085.583058764627</v>
      </c>
      <c r="AE276" s="220">
        <f t="shared" si="153"/>
        <v>61085.583058764627</v>
      </c>
      <c r="AF276" s="220">
        <f t="shared" si="153"/>
        <v>61085.583058764627</v>
      </c>
      <c r="AG276" s="220">
        <f t="shared" si="153"/>
        <v>0</v>
      </c>
      <c r="AH276" s="220">
        <f t="shared" si="153"/>
        <v>0</v>
      </c>
      <c r="AI276" s="220">
        <f t="shared" si="153"/>
        <v>0</v>
      </c>
      <c r="AJ276" s="220">
        <f t="shared" si="153"/>
        <v>0</v>
      </c>
      <c r="AK276" s="220">
        <f t="shared" si="153"/>
        <v>0</v>
      </c>
      <c r="AL276" s="220">
        <f t="shared" si="153"/>
        <v>0</v>
      </c>
      <c r="AM276" s="220">
        <f t="shared" si="153"/>
        <v>0</v>
      </c>
      <c r="AN276" s="220">
        <f t="shared" si="153"/>
        <v>0</v>
      </c>
      <c r="AO276" s="220">
        <f t="shared" si="153"/>
        <v>0</v>
      </c>
      <c r="AP276" s="220">
        <f t="shared" si="153"/>
        <v>0</v>
      </c>
    </row>
    <row r="277" spans="1:42" s="119" customFormat="1">
      <c r="A277" s="42" t="s">
        <v>488</v>
      </c>
      <c r="B277" s="146"/>
      <c r="C277" s="220">
        <f>'Inputs &amp; Results'!D141</f>
        <v>1206814.5</v>
      </c>
      <c r="D277" s="220">
        <v>0</v>
      </c>
      <c r="E277" s="220">
        <v>0</v>
      </c>
      <c r="F277" s="220">
        <v>0</v>
      </c>
      <c r="G277" s="220">
        <v>0</v>
      </c>
      <c r="H277" s="220">
        <v>0</v>
      </c>
      <c r="I277" s="220">
        <v>0</v>
      </c>
      <c r="J277" s="220">
        <v>0</v>
      </c>
      <c r="K277" s="220">
        <v>0</v>
      </c>
      <c r="L277" s="220">
        <v>0</v>
      </c>
      <c r="M277" s="220">
        <v>0</v>
      </c>
      <c r="N277" s="220">
        <v>0</v>
      </c>
      <c r="O277" s="220">
        <v>0</v>
      </c>
      <c r="P277" s="220">
        <v>0</v>
      </c>
      <c r="Q277" s="220">
        <v>0</v>
      </c>
      <c r="R277" s="220">
        <v>0</v>
      </c>
      <c r="S277" s="220">
        <v>0</v>
      </c>
      <c r="T277" s="220">
        <v>0</v>
      </c>
      <c r="U277" s="220">
        <v>0</v>
      </c>
      <c r="V277" s="220">
        <v>0</v>
      </c>
      <c r="W277" s="220">
        <v>0</v>
      </c>
      <c r="X277" s="220">
        <v>0</v>
      </c>
      <c r="Y277" s="220">
        <v>0</v>
      </c>
      <c r="Z277" s="220">
        <v>0</v>
      </c>
      <c r="AA277" s="220">
        <v>0</v>
      </c>
      <c r="AB277" s="220">
        <v>0</v>
      </c>
      <c r="AC277" s="220">
        <v>0</v>
      </c>
      <c r="AD277" s="220">
        <v>0</v>
      </c>
      <c r="AE277" s="220">
        <v>0</v>
      </c>
      <c r="AF277" s="220">
        <v>0</v>
      </c>
      <c r="AG277" s="220">
        <v>0</v>
      </c>
      <c r="AH277" s="220">
        <v>0</v>
      </c>
      <c r="AI277" s="220">
        <v>0</v>
      </c>
      <c r="AJ277" s="220">
        <v>0</v>
      </c>
      <c r="AK277" s="220">
        <v>0</v>
      </c>
      <c r="AL277" s="220">
        <v>0</v>
      </c>
      <c r="AM277" s="220">
        <v>0</v>
      </c>
      <c r="AN277" s="220">
        <v>0</v>
      </c>
      <c r="AO277" s="220">
        <v>0</v>
      </c>
      <c r="AP277" s="220">
        <v>0</v>
      </c>
    </row>
    <row r="278" spans="1:42" s="119" customFormat="1">
      <c r="A278" s="42" t="s">
        <v>489</v>
      </c>
      <c r="B278" s="146"/>
      <c r="C278" s="220">
        <f>'Inputs &amp; Results'!D147+'Inputs &amp; Results'!D145</f>
        <v>3640604.7462151214</v>
      </c>
      <c r="D278" s="220">
        <v>0</v>
      </c>
      <c r="E278" s="220">
        <v>0</v>
      </c>
      <c r="F278" s="220">
        <v>0</v>
      </c>
      <c r="G278" s="220">
        <v>0</v>
      </c>
      <c r="H278" s="220">
        <v>0</v>
      </c>
      <c r="I278" s="220">
        <v>0</v>
      </c>
      <c r="J278" s="220">
        <v>0</v>
      </c>
      <c r="K278" s="220">
        <v>0</v>
      </c>
      <c r="L278" s="220">
        <v>0</v>
      </c>
      <c r="M278" s="220">
        <v>0</v>
      </c>
      <c r="N278" s="220">
        <v>0</v>
      </c>
      <c r="O278" s="220">
        <v>0</v>
      </c>
      <c r="P278" s="220">
        <v>0</v>
      </c>
      <c r="Q278" s="220">
        <v>0</v>
      </c>
      <c r="R278" s="220">
        <v>0</v>
      </c>
      <c r="S278" s="220">
        <v>0</v>
      </c>
      <c r="T278" s="220">
        <v>0</v>
      </c>
      <c r="U278" s="220">
        <v>0</v>
      </c>
      <c r="V278" s="220">
        <v>0</v>
      </c>
      <c r="W278" s="220">
        <v>0</v>
      </c>
      <c r="X278" s="220">
        <v>0</v>
      </c>
      <c r="Y278" s="220">
        <v>0</v>
      </c>
      <c r="Z278" s="220">
        <v>0</v>
      </c>
      <c r="AA278" s="220">
        <v>0</v>
      </c>
      <c r="AB278" s="220">
        <v>0</v>
      </c>
      <c r="AC278" s="220">
        <v>0</v>
      </c>
      <c r="AD278" s="220">
        <v>0</v>
      </c>
      <c r="AE278" s="220">
        <v>0</v>
      </c>
      <c r="AF278" s="220">
        <v>0</v>
      </c>
      <c r="AG278" s="220">
        <v>0</v>
      </c>
      <c r="AH278" s="220">
        <v>0</v>
      </c>
      <c r="AI278" s="220">
        <v>0</v>
      </c>
      <c r="AJ278" s="220">
        <v>0</v>
      </c>
      <c r="AK278" s="220">
        <v>0</v>
      </c>
      <c r="AL278" s="220">
        <v>0</v>
      </c>
      <c r="AM278" s="220">
        <v>0</v>
      </c>
      <c r="AN278" s="220">
        <v>0</v>
      </c>
      <c r="AO278" s="220">
        <v>0</v>
      </c>
      <c r="AP278" s="220">
        <v>0</v>
      </c>
    </row>
    <row r="279" spans="1:42" s="119" customFormat="1">
      <c r="A279" s="42" t="s">
        <v>433</v>
      </c>
      <c r="B279" s="146"/>
      <c r="C279" s="220">
        <f t="shared" ref="C279:AP279" si="154">-(C23+C27+C31+C39+C40)</f>
        <v>-777254.19374999998</v>
      </c>
      <c r="D279" s="220">
        <f t="shared" si="154"/>
        <v>-771730.84531250002</v>
      </c>
      <c r="E279" s="220">
        <f t="shared" si="154"/>
        <v>-766376.23850343737</v>
      </c>
      <c r="F279" s="220">
        <f t="shared" si="154"/>
        <v>-761193.77251473407</v>
      </c>
      <c r="G279" s="220">
        <f t="shared" si="154"/>
        <v>-756186.91758800286</v>
      </c>
      <c r="H279" s="220">
        <f t="shared" si="154"/>
        <v>-751359.21653930179</v>
      </c>
      <c r="I279" s="220">
        <f t="shared" si="154"/>
        <v>-746714.28631722322</v>
      </c>
      <c r="J279" s="220">
        <f t="shared" si="154"/>
        <v>-742255.81959505379</v>
      </c>
      <c r="K279" s="220">
        <f t="shared" si="154"/>
        <v>-737987.58639776008</v>
      </c>
      <c r="L279" s="220">
        <f t="shared" si="154"/>
        <v>-733913.4357645741</v>
      </c>
      <c r="M279" s="220">
        <f t="shared" si="154"/>
        <v>-730037.29744796408</v>
      </c>
      <c r="N279" s="220">
        <f t="shared" si="154"/>
        <v>-726363.18364979955</v>
      </c>
      <c r="O279" s="220">
        <f t="shared" si="154"/>
        <v>-722895.19079553359</v>
      </c>
      <c r="P279" s="220">
        <f t="shared" si="154"/>
        <v>-719637.50134724576</v>
      </c>
      <c r="Q279" s="220">
        <f t="shared" si="154"/>
        <v>-716594.38565640873</v>
      </c>
      <c r="R279" s="220">
        <f t="shared" si="154"/>
        <v>-713770.2038572568</v>
      </c>
      <c r="S279" s="220">
        <f t="shared" si="154"/>
        <v>-711169.40780165966</v>
      </c>
      <c r="T279" s="220">
        <f t="shared" si="154"/>
        <v>-708796.54303642223</v>
      </c>
      <c r="U279" s="220">
        <f t="shared" si="154"/>
        <v>-706656.25082394935</v>
      </c>
      <c r="V279" s="220">
        <f t="shared" si="154"/>
        <v>-704753.27020724164</v>
      </c>
      <c r="W279" s="220">
        <f t="shared" si="154"/>
        <v>-703092.440120204</v>
      </c>
      <c r="X279" s="220">
        <f t="shared" si="154"/>
        <v>-716009.62373177486</v>
      </c>
      <c r="Y279" s="220">
        <f t="shared" si="154"/>
        <v>-729178.94408740243</v>
      </c>
      <c r="Z279" s="220">
        <f t="shared" si="154"/>
        <v>-742605.55292392347</v>
      </c>
      <c r="AA279" s="220">
        <f t="shared" si="154"/>
        <v>-756294.71078391466</v>
      </c>
      <c r="AB279" s="220">
        <f t="shared" si="154"/>
        <v>-770251.78936812212</v>
      </c>
      <c r="AC279" s="220">
        <f t="shared" si="154"/>
        <v>-784482.27393958764</v>
      </c>
      <c r="AD279" s="220">
        <f t="shared" si="154"/>
        <v>-798991.765780624</v>
      </c>
      <c r="AE279" s="220">
        <f t="shared" si="154"/>
        <v>-813785.98470381368</v>
      </c>
      <c r="AF279" s="220">
        <f t="shared" si="154"/>
        <v>-828870.77161823248</v>
      </c>
      <c r="AG279" s="220">
        <f t="shared" si="154"/>
        <v>0</v>
      </c>
      <c r="AH279" s="220">
        <f t="shared" si="154"/>
        <v>0</v>
      </c>
      <c r="AI279" s="220">
        <f t="shared" si="154"/>
        <v>0</v>
      </c>
      <c r="AJ279" s="220">
        <f t="shared" si="154"/>
        <v>0</v>
      </c>
      <c r="AK279" s="220">
        <f t="shared" si="154"/>
        <v>0</v>
      </c>
      <c r="AL279" s="220">
        <f t="shared" si="154"/>
        <v>0</v>
      </c>
      <c r="AM279" s="220">
        <f t="shared" si="154"/>
        <v>0</v>
      </c>
      <c r="AN279" s="220">
        <f t="shared" si="154"/>
        <v>0</v>
      </c>
      <c r="AO279" s="220">
        <f t="shared" si="154"/>
        <v>0</v>
      </c>
      <c r="AP279" s="220">
        <f t="shared" si="154"/>
        <v>0</v>
      </c>
    </row>
    <row r="280" spans="1:42" s="119" customFormat="1">
      <c r="A280" s="42" t="s">
        <v>434</v>
      </c>
      <c r="B280" s="146"/>
      <c r="C280" s="225">
        <f t="shared" ref="C280:AP280" si="155">-C76</f>
        <v>-5983893.8506544931</v>
      </c>
      <c r="D280" s="225">
        <f t="shared" si="155"/>
        <v>-6032349.8439307883</v>
      </c>
      <c r="E280" s="225">
        <f t="shared" si="155"/>
        <v>-6080669.4121519579</v>
      </c>
      <c r="F280" s="225">
        <f t="shared" si="155"/>
        <v>-6125475.3808803037</v>
      </c>
      <c r="G280" s="225">
        <f t="shared" si="155"/>
        <v>-6173532.4780647149</v>
      </c>
      <c r="H280" s="225">
        <f t="shared" si="155"/>
        <v>-6221435.8147255545</v>
      </c>
      <c r="I280" s="225">
        <f t="shared" si="155"/>
        <v>-6265653.8111253129</v>
      </c>
      <c r="J280" s="225">
        <f t="shared" si="155"/>
        <v>-6313260.0529650943</v>
      </c>
      <c r="K280" s="225">
        <f t="shared" si="155"/>
        <v>-6360693.9748202581</v>
      </c>
      <c r="L280" s="225">
        <f t="shared" si="155"/>
        <v>-6404262.5308044394</v>
      </c>
      <c r="M280" s="225">
        <f t="shared" si="155"/>
        <v>-6451362.2644623602</v>
      </c>
      <c r="N280" s="225">
        <f t="shared" si="155"/>
        <v>-6498269.8146820012</v>
      </c>
      <c r="O280" s="225">
        <f t="shared" si="155"/>
        <v>-6441582.1409549024</v>
      </c>
      <c r="P280" s="225">
        <f t="shared" si="155"/>
        <v>-6488955.8803881053</v>
      </c>
      <c r="Q280" s="225">
        <f t="shared" si="155"/>
        <v>-6536116.1837513605</v>
      </c>
      <c r="R280" s="225">
        <f t="shared" si="155"/>
        <v>-6368504.3629438328</v>
      </c>
      <c r="S280" s="225">
        <f t="shared" si="155"/>
        <v>-6417046.1999075841</v>
      </c>
      <c r="T280" s="225">
        <f t="shared" si="155"/>
        <v>-6465351.8682830613</v>
      </c>
      <c r="U280" s="225">
        <f t="shared" si="155"/>
        <v>-6509198.2537472229</v>
      </c>
      <c r="V280" s="225">
        <f t="shared" si="155"/>
        <v>-6557041.9576680055</v>
      </c>
      <c r="W280" s="225">
        <f t="shared" si="155"/>
        <v>-6604625.1840036679</v>
      </c>
      <c r="X280" s="225">
        <f t="shared" si="155"/>
        <v>-6633200.8051192528</v>
      </c>
      <c r="Y280" s="225">
        <f t="shared" si="155"/>
        <v>-6665942.4387558578</v>
      </c>
      <c r="Z280" s="225">
        <f t="shared" si="155"/>
        <v>-6698397.6064732186</v>
      </c>
      <c r="AA280" s="225">
        <f t="shared" si="155"/>
        <v>-6957743.5875912076</v>
      </c>
      <c r="AB280" s="225">
        <f t="shared" si="155"/>
        <v>-6984501.2752953907</v>
      </c>
      <c r="AC280" s="225">
        <f t="shared" si="155"/>
        <v>-7010944.7198745152</v>
      </c>
      <c r="AD280" s="225">
        <f t="shared" si="155"/>
        <v>-7032244.6371543296</v>
      </c>
      <c r="AE280" s="225">
        <f t="shared" si="155"/>
        <v>-7058069.5910931258</v>
      </c>
      <c r="AF280" s="225">
        <f t="shared" si="155"/>
        <v>-7083550.6191835348</v>
      </c>
      <c r="AG280" s="225">
        <f t="shared" si="155"/>
        <v>0</v>
      </c>
      <c r="AH280" s="225">
        <f t="shared" si="155"/>
        <v>0</v>
      </c>
      <c r="AI280" s="225">
        <f t="shared" si="155"/>
        <v>0</v>
      </c>
      <c r="AJ280" s="225">
        <f t="shared" si="155"/>
        <v>0</v>
      </c>
      <c r="AK280" s="225">
        <f t="shared" si="155"/>
        <v>0</v>
      </c>
      <c r="AL280" s="225">
        <f t="shared" si="155"/>
        <v>0</v>
      </c>
      <c r="AM280" s="225">
        <f t="shared" si="155"/>
        <v>0</v>
      </c>
      <c r="AN280" s="225">
        <f t="shared" si="155"/>
        <v>0</v>
      </c>
      <c r="AO280" s="225">
        <f t="shared" si="155"/>
        <v>0</v>
      </c>
      <c r="AP280" s="225">
        <f t="shared" si="155"/>
        <v>0</v>
      </c>
    </row>
    <row r="281" spans="1:42" s="119" customFormat="1">
      <c r="A281" s="42" t="s">
        <v>119</v>
      </c>
      <c r="B281" s="146"/>
      <c r="C281" s="220">
        <f>SUM(C274:C280)</f>
        <v>5998836.9347969824</v>
      </c>
      <c r="D281" s="220">
        <f t="shared" ref="D281:AP281" si="156">SUM(D274:D280)</f>
        <v>1159417.6885818597</v>
      </c>
      <c r="E281" s="220">
        <f t="shared" si="156"/>
        <v>1167577.6885818597</v>
      </c>
      <c r="F281" s="220">
        <f t="shared" si="156"/>
        <v>1177469.5220446726</v>
      </c>
      <c r="G281" s="220">
        <f t="shared" si="156"/>
        <v>1185959.1860446725</v>
      </c>
      <c r="H281" s="220">
        <f t="shared" si="156"/>
        <v>1194618.6433246722</v>
      </c>
      <c r="I281" s="220">
        <f t="shared" si="156"/>
        <v>1205091.5758406362</v>
      </c>
      <c r="J281" s="220">
        <f t="shared" si="156"/>
        <v>1214100.8751947479</v>
      </c>
      <c r="K281" s="220">
        <f t="shared" si="156"/>
        <v>1223290.360535942</v>
      </c>
      <c r="L281" s="220">
        <f t="shared" si="156"/>
        <v>1234378.8472774681</v>
      </c>
      <c r="M281" s="220">
        <f t="shared" si="156"/>
        <v>1243939.5878264466</v>
      </c>
      <c r="N281" s="220">
        <f t="shared" si="156"/>
        <v>1253691.5431864047</v>
      </c>
      <c r="O281" s="220">
        <f t="shared" si="156"/>
        <v>1313437.9760152902</v>
      </c>
      <c r="P281" s="220">
        <f t="shared" si="156"/>
        <v>1323583.9103717916</v>
      </c>
      <c r="Q281" s="220">
        <f t="shared" si="156"/>
        <v>1333932.7634154195</v>
      </c>
      <c r="R281" s="220">
        <f t="shared" si="156"/>
        <v>1449105.6742273942</v>
      </c>
      <c r="S281" s="220">
        <f t="shared" si="156"/>
        <v>1459872.6209339891</v>
      </c>
      <c r="T281" s="220">
        <f t="shared" si="156"/>
        <v>1470854.9065747149</v>
      </c>
      <c r="U281" s="220">
        <f t="shared" si="156"/>
        <v>1484017.993784287</v>
      </c>
      <c r="V281" s="220">
        <f t="shared" si="156"/>
        <v>1495443.9637648975</v>
      </c>
      <c r="W281" s="220">
        <f t="shared" si="156"/>
        <v>1507098.4531451194</v>
      </c>
      <c r="X281" s="220">
        <f t="shared" si="156"/>
        <v>1521036.7705816077</v>
      </c>
      <c r="Y281" s="220">
        <f t="shared" si="156"/>
        <v>1533162.1013327902</v>
      </c>
      <c r="Z281" s="220">
        <f t="shared" si="156"/>
        <v>1545529.9386989977</v>
      </c>
      <c r="AA281" s="220">
        <f t="shared" si="156"/>
        <v>1266877.6382624637</v>
      </c>
      <c r="AB281" s="220">
        <f t="shared" si="156"/>
        <v>1279745.136258265</v>
      </c>
      <c r="AC281" s="220">
        <f t="shared" si="156"/>
        <v>1292869.9842139827</v>
      </c>
      <c r="AD281" s="220">
        <f t="shared" si="156"/>
        <v>1308499.6950747911</v>
      </c>
      <c r="AE281" s="220">
        <f t="shared" si="156"/>
        <v>1322154.7868879195</v>
      </c>
      <c r="AF281" s="220">
        <f t="shared" si="156"/>
        <v>1336082.9805373121</v>
      </c>
      <c r="AG281" s="220">
        <f t="shared" si="156"/>
        <v>0</v>
      </c>
      <c r="AH281" s="220">
        <f t="shared" si="156"/>
        <v>0</v>
      </c>
      <c r="AI281" s="220">
        <f t="shared" si="156"/>
        <v>0</v>
      </c>
      <c r="AJ281" s="220">
        <f t="shared" si="156"/>
        <v>0</v>
      </c>
      <c r="AK281" s="220">
        <f t="shared" si="156"/>
        <v>0</v>
      </c>
      <c r="AL281" s="220">
        <f t="shared" si="156"/>
        <v>0</v>
      </c>
      <c r="AM281" s="220">
        <f t="shared" si="156"/>
        <v>0</v>
      </c>
      <c r="AN281" s="220">
        <f t="shared" si="156"/>
        <v>0</v>
      </c>
      <c r="AO281" s="220">
        <f t="shared" si="156"/>
        <v>0</v>
      </c>
      <c r="AP281" s="220">
        <f t="shared" si="156"/>
        <v>0</v>
      </c>
    </row>
    <row r="282" spans="1:42" s="119" customFormat="1">
      <c r="A282" s="42" t="s">
        <v>435</v>
      </c>
      <c r="B282" s="42"/>
    </row>
    <row r="283" spans="1:42">
      <c r="A283" s="226" t="str">
        <f>'Inputs &amp; Results'!A65</f>
        <v>Federal</v>
      </c>
      <c r="B283" s="40"/>
      <c r="C283" s="146">
        <f t="shared" ref="C283:AP283" si="157">IF(PBIFedStateTax="Yes",C688,0)</f>
        <v>0</v>
      </c>
      <c r="D283" s="146">
        <f t="shared" si="157"/>
        <v>0</v>
      </c>
      <c r="E283" s="146">
        <f t="shared" si="157"/>
        <v>0</v>
      </c>
      <c r="F283" s="146">
        <f t="shared" si="157"/>
        <v>0</v>
      </c>
      <c r="G283" s="146">
        <f t="shared" si="157"/>
        <v>0</v>
      </c>
      <c r="H283" s="146">
        <f t="shared" si="157"/>
        <v>0</v>
      </c>
      <c r="I283" s="146">
        <f t="shared" si="157"/>
        <v>0</v>
      </c>
      <c r="J283" s="146">
        <f t="shared" si="157"/>
        <v>0</v>
      </c>
      <c r="K283" s="146">
        <f t="shared" si="157"/>
        <v>0</v>
      </c>
      <c r="L283" s="146">
        <f t="shared" si="157"/>
        <v>0</v>
      </c>
      <c r="M283" s="146">
        <f t="shared" si="157"/>
        <v>0</v>
      </c>
      <c r="N283" s="146">
        <f t="shared" si="157"/>
        <v>0</v>
      </c>
      <c r="O283" s="146">
        <f t="shared" si="157"/>
        <v>0</v>
      </c>
      <c r="P283" s="146">
        <f t="shared" si="157"/>
        <v>0</v>
      </c>
      <c r="Q283" s="146">
        <f t="shared" si="157"/>
        <v>0</v>
      </c>
      <c r="R283" s="146">
        <f t="shared" si="157"/>
        <v>0</v>
      </c>
      <c r="S283" s="146">
        <f t="shared" si="157"/>
        <v>0</v>
      </c>
      <c r="T283" s="146">
        <f t="shared" si="157"/>
        <v>0</v>
      </c>
      <c r="U283" s="146">
        <f t="shared" si="157"/>
        <v>0</v>
      </c>
      <c r="V283" s="146">
        <f t="shared" si="157"/>
        <v>0</v>
      </c>
      <c r="W283" s="146">
        <f t="shared" si="157"/>
        <v>0</v>
      </c>
      <c r="X283" s="146">
        <f t="shared" si="157"/>
        <v>0</v>
      </c>
      <c r="Y283" s="146">
        <f t="shared" si="157"/>
        <v>0</v>
      </c>
      <c r="Z283" s="146">
        <f t="shared" si="157"/>
        <v>0</v>
      </c>
      <c r="AA283" s="146">
        <f t="shared" si="157"/>
        <v>0</v>
      </c>
      <c r="AB283" s="146">
        <f t="shared" si="157"/>
        <v>0</v>
      </c>
      <c r="AC283" s="146">
        <f t="shared" si="157"/>
        <v>0</v>
      </c>
      <c r="AD283" s="146">
        <f t="shared" si="157"/>
        <v>0</v>
      </c>
      <c r="AE283" s="146">
        <f t="shared" si="157"/>
        <v>0</v>
      </c>
      <c r="AF283" s="146">
        <f t="shared" si="157"/>
        <v>0</v>
      </c>
      <c r="AG283" s="146">
        <f t="shared" si="157"/>
        <v>0</v>
      </c>
      <c r="AH283" s="146">
        <f t="shared" si="157"/>
        <v>0</v>
      </c>
      <c r="AI283" s="146">
        <f t="shared" si="157"/>
        <v>0</v>
      </c>
      <c r="AJ283" s="146">
        <f t="shared" si="157"/>
        <v>0</v>
      </c>
      <c r="AK283" s="146">
        <f t="shared" si="157"/>
        <v>0</v>
      </c>
      <c r="AL283" s="146">
        <f t="shared" si="157"/>
        <v>0</v>
      </c>
      <c r="AM283" s="146">
        <f t="shared" si="157"/>
        <v>0</v>
      </c>
      <c r="AN283" s="146">
        <f t="shared" si="157"/>
        <v>0</v>
      </c>
      <c r="AO283" s="146">
        <f t="shared" si="157"/>
        <v>0</v>
      </c>
      <c r="AP283" s="146">
        <f t="shared" si="157"/>
        <v>0</v>
      </c>
    </row>
    <row r="284" spans="1:42">
      <c r="A284" s="226" t="str">
        <f>'Inputs &amp; Results'!A66</f>
        <v>State</v>
      </c>
      <c r="B284" s="40"/>
      <c r="C284" s="146">
        <f t="shared" ref="C284:AP284" si="158">IF(PBIStateStateTax="Yes",C692,0)</f>
        <v>0</v>
      </c>
      <c r="D284" s="146">
        <f t="shared" si="158"/>
        <v>0</v>
      </c>
      <c r="E284" s="146">
        <f t="shared" si="158"/>
        <v>0</v>
      </c>
      <c r="F284" s="146">
        <f t="shared" si="158"/>
        <v>0</v>
      </c>
      <c r="G284" s="146">
        <f t="shared" si="158"/>
        <v>0</v>
      </c>
      <c r="H284" s="146">
        <f t="shared" si="158"/>
        <v>0</v>
      </c>
      <c r="I284" s="146">
        <f t="shared" si="158"/>
        <v>0</v>
      </c>
      <c r="J284" s="146">
        <f t="shared" si="158"/>
        <v>0</v>
      </c>
      <c r="K284" s="146">
        <f t="shared" si="158"/>
        <v>0</v>
      </c>
      <c r="L284" s="146">
        <f t="shared" si="158"/>
        <v>0</v>
      </c>
      <c r="M284" s="146">
        <f t="shared" si="158"/>
        <v>0</v>
      </c>
      <c r="N284" s="146">
        <f t="shared" si="158"/>
        <v>0</v>
      </c>
      <c r="O284" s="146">
        <f t="shared" si="158"/>
        <v>0</v>
      </c>
      <c r="P284" s="146">
        <f t="shared" si="158"/>
        <v>0</v>
      </c>
      <c r="Q284" s="146">
        <f t="shared" si="158"/>
        <v>0</v>
      </c>
      <c r="R284" s="146">
        <f t="shared" si="158"/>
        <v>0</v>
      </c>
      <c r="S284" s="146">
        <f t="shared" si="158"/>
        <v>0</v>
      </c>
      <c r="T284" s="146">
        <f t="shared" si="158"/>
        <v>0</v>
      </c>
      <c r="U284" s="146">
        <f t="shared" si="158"/>
        <v>0</v>
      </c>
      <c r="V284" s="146">
        <f t="shared" si="158"/>
        <v>0</v>
      </c>
      <c r="W284" s="146">
        <f t="shared" si="158"/>
        <v>0</v>
      </c>
      <c r="X284" s="146">
        <f t="shared" si="158"/>
        <v>0</v>
      </c>
      <c r="Y284" s="146">
        <f t="shared" si="158"/>
        <v>0</v>
      </c>
      <c r="Z284" s="146">
        <f t="shared" si="158"/>
        <v>0</v>
      </c>
      <c r="AA284" s="146">
        <f t="shared" si="158"/>
        <v>0</v>
      </c>
      <c r="AB284" s="146">
        <f t="shared" si="158"/>
        <v>0</v>
      </c>
      <c r="AC284" s="146">
        <f t="shared" si="158"/>
        <v>0</v>
      </c>
      <c r="AD284" s="146">
        <f t="shared" si="158"/>
        <v>0</v>
      </c>
      <c r="AE284" s="146">
        <f t="shared" si="158"/>
        <v>0</v>
      </c>
      <c r="AF284" s="146">
        <f t="shared" si="158"/>
        <v>0</v>
      </c>
      <c r="AG284" s="146">
        <f t="shared" si="158"/>
        <v>0</v>
      </c>
      <c r="AH284" s="146">
        <f t="shared" si="158"/>
        <v>0</v>
      </c>
      <c r="AI284" s="146">
        <f t="shared" si="158"/>
        <v>0</v>
      </c>
      <c r="AJ284" s="146">
        <f t="shared" si="158"/>
        <v>0</v>
      </c>
      <c r="AK284" s="146">
        <f t="shared" si="158"/>
        <v>0</v>
      </c>
      <c r="AL284" s="146">
        <f t="shared" si="158"/>
        <v>0</v>
      </c>
      <c r="AM284" s="146">
        <f t="shared" si="158"/>
        <v>0</v>
      </c>
      <c r="AN284" s="146">
        <f t="shared" si="158"/>
        <v>0</v>
      </c>
      <c r="AO284" s="146">
        <f t="shared" si="158"/>
        <v>0</v>
      </c>
      <c r="AP284" s="146">
        <f t="shared" si="158"/>
        <v>0</v>
      </c>
    </row>
    <row r="285" spans="1:42">
      <c r="A285" s="226" t="str">
        <f>'Inputs &amp; Results'!A67</f>
        <v>Utility</v>
      </c>
      <c r="B285" s="40"/>
      <c r="C285" s="146">
        <f t="shared" ref="C285:AP285" si="159">IF(PBIUtilityStateTax="Yes",C696,0)</f>
        <v>0</v>
      </c>
      <c r="D285" s="146">
        <f t="shared" si="159"/>
        <v>0</v>
      </c>
      <c r="E285" s="146">
        <f t="shared" si="159"/>
        <v>0</v>
      </c>
      <c r="F285" s="146">
        <f t="shared" si="159"/>
        <v>0</v>
      </c>
      <c r="G285" s="146">
        <f t="shared" si="159"/>
        <v>0</v>
      </c>
      <c r="H285" s="146">
        <f t="shared" si="159"/>
        <v>0</v>
      </c>
      <c r="I285" s="146">
        <f t="shared" si="159"/>
        <v>0</v>
      </c>
      <c r="J285" s="146">
        <f t="shared" si="159"/>
        <v>0</v>
      </c>
      <c r="K285" s="146">
        <f t="shared" si="159"/>
        <v>0</v>
      </c>
      <c r="L285" s="146">
        <f t="shared" si="159"/>
        <v>0</v>
      </c>
      <c r="M285" s="146">
        <f t="shared" si="159"/>
        <v>0</v>
      </c>
      <c r="N285" s="146">
        <f t="shared" si="159"/>
        <v>0</v>
      </c>
      <c r="O285" s="146">
        <f t="shared" si="159"/>
        <v>0</v>
      </c>
      <c r="P285" s="146">
        <f t="shared" si="159"/>
        <v>0</v>
      </c>
      <c r="Q285" s="146">
        <f t="shared" si="159"/>
        <v>0</v>
      </c>
      <c r="R285" s="146">
        <f t="shared" si="159"/>
        <v>0</v>
      </c>
      <c r="S285" s="146">
        <f t="shared" si="159"/>
        <v>0</v>
      </c>
      <c r="T285" s="146">
        <f t="shared" si="159"/>
        <v>0</v>
      </c>
      <c r="U285" s="146">
        <f t="shared" si="159"/>
        <v>0</v>
      </c>
      <c r="V285" s="146">
        <f t="shared" si="159"/>
        <v>0</v>
      </c>
      <c r="W285" s="146">
        <f t="shared" si="159"/>
        <v>0</v>
      </c>
      <c r="X285" s="146">
        <f t="shared" si="159"/>
        <v>0</v>
      </c>
      <c r="Y285" s="146">
        <f t="shared" si="159"/>
        <v>0</v>
      </c>
      <c r="Z285" s="146">
        <f t="shared" si="159"/>
        <v>0</v>
      </c>
      <c r="AA285" s="146">
        <f t="shared" si="159"/>
        <v>0</v>
      </c>
      <c r="AB285" s="146">
        <f t="shared" si="159"/>
        <v>0</v>
      </c>
      <c r="AC285" s="146">
        <f t="shared" si="159"/>
        <v>0</v>
      </c>
      <c r="AD285" s="146">
        <f t="shared" si="159"/>
        <v>0</v>
      </c>
      <c r="AE285" s="146">
        <f t="shared" si="159"/>
        <v>0</v>
      </c>
      <c r="AF285" s="146">
        <f t="shared" si="159"/>
        <v>0</v>
      </c>
      <c r="AG285" s="146">
        <f t="shared" si="159"/>
        <v>0</v>
      </c>
      <c r="AH285" s="146">
        <f t="shared" si="159"/>
        <v>0</v>
      </c>
      <c r="AI285" s="146">
        <f t="shared" si="159"/>
        <v>0</v>
      </c>
      <c r="AJ285" s="146">
        <f t="shared" si="159"/>
        <v>0</v>
      </c>
      <c r="AK285" s="146">
        <f t="shared" si="159"/>
        <v>0</v>
      </c>
      <c r="AL285" s="146">
        <f t="shared" si="159"/>
        <v>0</v>
      </c>
      <c r="AM285" s="146">
        <f t="shared" si="159"/>
        <v>0</v>
      </c>
      <c r="AN285" s="146">
        <f t="shared" si="159"/>
        <v>0</v>
      </c>
      <c r="AO285" s="146">
        <f t="shared" si="159"/>
        <v>0</v>
      </c>
      <c r="AP285" s="146">
        <f t="shared" si="159"/>
        <v>0</v>
      </c>
    </row>
    <row r="286" spans="1:42">
      <c r="A286" s="226" t="str">
        <f>'Inputs &amp; Results'!A68</f>
        <v>Other</v>
      </c>
      <c r="B286" s="40"/>
      <c r="C286" s="225">
        <f t="shared" ref="C286:AP286" si="160">IF(PBIOtherStateTax="Yes",C700,0)</f>
        <v>0</v>
      </c>
      <c r="D286" s="225">
        <f t="shared" si="160"/>
        <v>0</v>
      </c>
      <c r="E286" s="225">
        <f t="shared" si="160"/>
        <v>0</v>
      </c>
      <c r="F286" s="225">
        <f t="shared" si="160"/>
        <v>0</v>
      </c>
      <c r="G286" s="225">
        <f t="shared" si="160"/>
        <v>0</v>
      </c>
      <c r="H286" s="225">
        <f t="shared" si="160"/>
        <v>0</v>
      </c>
      <c r="I286" s="225">
        <f t="shared" si="160"/>
        <v>0</v>
      </c>
      <c r="J286" s="225">
        <f t="shared" si="160"/>
        <v>0</v>
      </c>
      <c r="K286" s="225">
        <f t="shared" si="160"/>
        <v>0</v>
      </c>
      <c r="L286" s="225">
        <f t="shared" si="160"/>
        <v>0</v>
      </c>
      <c r="M286" s="225">
        <f t="shared" si="160"/>
        <v>0</v>
      </c>
      <c r="N286" s="225">
        <f t="shared" si="160"/>
        <v>0</v>
      </c>
      <c r="O286" s="225">
        <f t="shared" si="160"/>
        <v>0</v>
      </c>
      <c r="P286" s="225">
        <f t="shared" si="160"/>
        <v>0</v>
      </c>
      <c r="Q286" s="225">
        <f t="shared" si="160"/>
        <v>0</v>
      </c>
      <c r="R286" s="225">
        <f t="shared" si="160"/>
        <v>0</v>
      </c>
      <c r="S286" s="225">
        <f t="shared" si="160"/>
        <v>0</v>
      </c>
      <c r="T286" s="225">
        <f t="shared" si="160"/>
        <v>0</v>
      </c>
      <c r="U286" s="225">
        <f t="shared" si="160"/>
        <v>0</v>
      </c>
      <c r="V286" s="225">
        <f t="shared" si="160"/>
        <v>0</v>
      </c>
      <c r="W286" s="225">
        <f t="shared" si="160"/>
        <v>0</v>
      </c>
      <c r="X286" s="225">
        <f t="shared" si="160"/>
        <v>0</v>
      </c>
      <c r="Y286" s="225">
        <f t="shared" si="160"/>
        <v>0</v>
      </c>
      <c r="Z286" s="225">
        <f t="shared" si="160"/>
        <v>0</v>
      </c>
      <c r="AA286" s="225">
        <f t="shared" si="160"/>
        <v>0</v>
      </c>
      <c r="AB286" s="225">
        <f t="shared" si="160"/>
        <v>0</v>
      </c>
      <c r="AC286" s="225">
        <f t="shared" si="160"/>
        <v>0</v>
      </c>
      <c r="AD286" s="225">
        <f t="shared" si="160"/>
        <v>0</v>
      </c>
      <c r="AE286" s="225">
        <f t="shared" si="160"/>
        <v>0</v>
      </c>
      <c r="AF286" s="225">
        <f t="shared" si="160"/>
        <v>0</v>
      </c>
      <c r="AG286" s="225">
        <f t="shared" si="160"/>
        <v>0</v>
      </c>
      <c r="AH286" s="225">
        <f t="shared" si="160"/>
        <v>0</v>
      </c>
      <c r="AI286" s="225">
        <f t="shared" si="160"/>
        <v>0</v>
      </c>
      <c r="AJ286" s="225">
        <f t="shared" si="160"/>
        <v>0</v>
      </c>
      <c r="AK286" s="225">
        <f t="shared" si="160"/>
        <v>0</v>
      </c>
      <c r="AL286" s="225">
        <f t="shared" si="160"/>
        <v>0</v>
      </c>
      <c r="AM286" s="225">
        <f t="shared" si="160"/>
        <v>0</v>
      </c>
      <c r="AN286" s="225">
        <f t="shared" si="160"/>
        <v>0</v>
      </c>
      <c r="AO286" s="225">
        <f t="shared" si="160"/>
        <v>0</v>
      </c>
      <c r="AP286" s="225">
        <f t="shared" si="160"/>
        <v>0</v>
      </c>
    </row>
    <row r="287" spans="1:42">
      <c r="A287" s="226" t="s">
        <v>132</v>
      </c>
      <c r="B287" s="208"/>
      <c r="C287" s="216">
        <f>SUM(C283:C286)</f>
        <v>0</v>
      </c>
      <c r="D287" s="216">
        <f t="shared" ref="D287:AL287" si="161">SUM(D283:D286)</f>
        <v>0</v>
      </c>
      <c r="E287" s="216">
        <f t="shared" si="161"/>
        <v>0</v>
      </c>
      <c r="F287" s="216">
        <f t="shared" si="161"/>
        <v>0</v>
      </c>
      <c r="G287" s="216">
        <f t="shared" si="161"/>
        <v>0</v>
      </c>
      <c r="H287" s="216">
        <f t="shared" si="161"/>
        <v>0</v>
      </c>
      <c r="I287" s="216">
        <f t="shared" si="161"/>
        <v>0</v>
      </c>
      <c r="J287" s="216">
        <f t="shared" si="161"/>
        <v>0</v>
      </c>
      <c r="K287" s="216">
        <f t="shared" si="161"/>
        <v>0</v>
      </c>
      <c r="L287" s="216">
        <f t="shared" si="161"/>
        <v>0</v>
      </c>
      <c r="M287" s="216">
        <f t="shared" si="161"/>
        <v>0</v>
      </c>
      <c r="N287" s="216">
        <f t="shared" si="161"/>
        <v>0</v>
      </c>
      <c r="O287" s="216">
        <f t="shared" si="161"/>
        <v>0</v>
      </c>
      <c r="P287" s="216">
        <f t="shared" si="161"/>
        <v>0</v>
      </c>
      <c r="Q287" s="216">
        <f t="shared" si="161"/>
        <v>0</v>
      </c>
      <c r="R287" s="216">
        <f t="shared" si="161"/>
        <v>0</v>
      </c>
      <c r="S287" s="216">
        <f t="shared" si="161"/>
        <v>0</v>
      </c>
      <c r="T287" s="216">
        <f t="shared" si="161"/>
        <v>0</v>
      </c>
      <c r="U287" s="216">
        <f t="shared" si="161"/>
        <v>0</v>
      </c>
      <c r="V287" s="216">
        <f t="shared" si="161"/>
        <v>0</v>
      </c>
      <c r="W287" s="216">
        <f t="shared" si="161"/>
        <v>0</v>
      </c>
      <c r="X287" s="216">
        <f t="shared" si="161"/>
        <v>0</v>
      </c>
      <c r="Y287" s="216">
        <f t="shared" si="161"/>
        <v>0</v>
      </c>
      <c r="Z287" s="216">
        <f t="shared" si="161"/>
        <v>0</v>
      </c>
      <c r="AA287" s="216">
        <f t="shared" si="161"/>
        <v>0</v>
      </c>
      <c r="AB287" s="216">
        <f t="shared" si="161"/>
        <v>0</v>
      </c>
      <c r="AC287" s="216">
        <f t="shared" si="161"/>
        <v>0</v>
      </c>
      <c r="AD287" s="216">
        <f t="shared" si="161"/>
        <v>0</v>
      </c>
      <c r="AE287" s="216">
        <f t="shared" si="161"/>
        <v>0</v>
      </c>
      <c r="AF287" s="216">
        <f t="shared" si="161"/>
        <v>0</v>
      </c>
      <c r="AG287" s="216">
        <f t="shared" si="161"/>
        <v>0</v>
      </c>
      <c r="AH287" s="216">
        <f t="shared" si="161"/>
        <v>0</v>
      </c>
      <c r="AI287" s="216">
        <f t="shared" si="161"/>
        <v>0</v>
      </c>
      <c r="AJ287" s="216">
        <f t="shared" si="161"/>
        <v>0</v>
      </c>
      <c r="AK287" s="216">
        <f t="shared" si="161"/>
        <v>0</v>
      </c>
      <c r="AL287" s="216">
        <f t="shared" si="161"/>
        <v>0</v>
      </c>
      <c r="AM287" s="216">
        <f>SUM(AM283:AM286)</f>
        <v>0</v>
      </c>
      <c r="AN287" s="216">
        <f t="shared" ref="AN287:AP287" si="162">SUM(AN283:AN286)</f>
        <v>0</v>
      </c>
      <c r="AO287" s="216">
        <f t="shared" si="162"/>
        <v>0</v>
      </c>
      <c r="AP287" s="216">
        <f t="shared" si="162"/>
        <v>0</v>
      </c>
    </row>
    <row r="288" spans="1:42" s="119" customFormat="1">
      <c r="A288" s="42" t="s">
        <v>436</v>
      </c>
      <c r="B288" s="42"/>
      <c r="C288" s="220">
        <f>C281+C287</f>
        <v>5998836.9347969824</v>
      </c>
      <c r="D288" s="220">
        <f t="shared" ref="D288:AP288" si="163">D281+D287</f>
        <v>1159417.6885818597</v>
      </c>
      <c r="E288" s="220">
        <f t="shared" si="163"/>
        <v>1167577.6885818597</v>
      </c>
      <c r="F288" s="220">
        <f t="shared" si="163"/>
        <v>1177469.5220446726</v>
      </c>
      <c r="G288" s="220">
        <f t="shared" si="163"/>
        <v>1185959.1860446725</v>
      </c>
      <c r="H288" s="220">
        <f t="shared" si="163"/>
        <v>1194618.6433246722</v>
      </c>
      <c r="I288" s="220">
        <f t="shared" si="163"/>
        <v>1205091.5758406362</v>
      </c>
      <c r="J288" s="220">
        <f t="shared" si="163"/>
        <v>1214100.8751947479</v>
      </c>
      <c r="K288" s="220">
        <f t="shared" si="163"/>
        <v>1223290.360535942</v>
      </c>
      <c r="L288" s="220">
        <f t="shared" si="163"/>
        <v>1234378.8472774681</v>
      </c>
      <c r="M288" s="220">
        <f t="shared" si="163"/>
        <v>1243939.5878264466</v>
      </c>
      <c r="N288" s="220">
        <f t="shared" si="163"/>
        <v>1253691.5431864047</v>
      </c>
      <c r="O288" s="220">
        <f t="shared" si="163"/>
        <v>1313437.9760152902</v>
      </c>
      <c r="P288" s="220">
        <f t="shared" si="163"/>
        <v>1323583.9103717916</v>
      </c>
      <c r="Q288" s="220">
        <f t="shared" si="163"/>
        <v>1333932.7634154195</v>
      </c>
      <c r="R288" s="220">
        <f t="shared" si="163"/>
        <v>1449105.6742273942</v>
      </c>
      <c r="S288" s="220">
        <f t="shared" si="163"/>
        <v>1459872.6209339891</v>
      </c>
      <c r="T288" s="220">
        <f t="shared" si="163"/>
        <v>1470854.9065747149</v>
      </c>
      <c r="U288" s="220">
        <f t="shared" si="163"/>
        <v>1484017.993784287</v>
      </c>
      <c r="V288" s="220">
        <f t="shared" si="163"/>
        <v>1495443.9637648975</v>
      </c>
      <c r="W288" s="220">
        <f t="shared" si="163"/>
        <v>1507098.4531451194</v>
      </c>
      <c r="X288" s="220">
        <f t="shared" si="163"/>
        <v>1521036.7705816077</v>
      </c>
      <c r="Y288" s="220">
        <f t="shared" si="163"/>
        <v>1533162.1013327902</v>
      </c>
      <c r="Z288" s="220">
        <f t="shared" si="163"/>
        <v>1545529.9386989977</v>
      </c>
      <c r="AA288" s="220">
        <f t="shared" si="163"/>
        <v>1266877.6382624637</v>
      </c>
      <c r="AB288" s="220">
        <f t="shared" si="163"/>
        <v>1279745.136258265</v>
      </c>
      <c r="AC288" s="220">
        <f t="shared" si="163"/>
        <v>1292869.9842139827</v>
      </c>
      <c r="AD288" s="220">
        <f t="shared" si="163"/>
        <v>1308499.6950747911</v>
      </c>
      <c r="AE288" s="220">
        <f t="shared" si="163"/>
        <v>1322154.7868879195</v>
      </c>
      <c r="AF288" s="220">
        <f t="shared" si="163"/>
        <v>1336082.9805373121</v>
      </c>
      <c r="AG288" s="220">
        <f t="shared" si="163"/>
        <v>0</v>
      </c>
      <c r="AH288" s="220">
        <f t="shared" si="163"/>
        <v>0</v>
      </c>
      <c r="AI288" s="220">
        <f t="shared" si="163"/>
        <v>0</v>
      </c>
      <c r="AJ288" s="220">
        <f t="shared" si="163"/>
        <v>0</v>
      </c>
      <c r="AK288" s="220">
        <f t="shared" si="163"/>
        <v>0</v>
      </c>
      <c r="AL288" s="220">
        <f t="shared" si="163"/>
        <v>0</v>
      </c>
      <c r="AM288" s="220">
        <f t="shared" si="163"/>
        <v>0</v>
      </c>
      <c r="AN288" s="220">
        <f t="shared" si="163"/>
        <v>0</v>
      </c>
      <c r="AO288" s="220">
        <f t="shared" si="163"/>
        <v>0</v>
      </c>
      <c r="AP288" s="220">
        <f t="shared" si="163"/>
        <v>0</v>
      </c>
    </row>
    <row r="289" spans="1:42">
      <c r="A289" s="219" t="s">
        <v>131</v>
      </c>
      <c r="B289" s="40"/>
      <c r="C289" s="216">
        <f t="shared" ref="C289:AP289" si="164">C288*-StateTax</f>
        <v>-329936.03141383402</v>
      </c>
      <c r="D289" s="216">
        <f t="shared" si="164"/>
        <v>-63767.972872002283</v>
      </c>
      <c r="E289" s="216">
        <f t="shared" si="164"/>
        <v>-64216.772872002286</v>
      </c>
      <c r="F289" s="216">
        <f t="shared" si="164"/>
        <v>-64760.823712456993</v>
      </c>
      <c r="G289" s="216">
        <f t="shared" si="164"/>
        <v>-65227.755232456992</v>
      </c>
      <c r="H289" s="216">
        <f t="shared" si="164"/>
        <v>-65704.025382856969</v>
      </c>
      <c r="I289" s="216">
        <f t="shared" si="164"/>
        <v>-66280.036671234993</v>
      </c>
      <c r="J289" s="216">
        <f t="shared" si="164"/>
        <v>-66775.548135711142</v>
      </c>
      <c r="K289" s="216">
        <f t="shared" si="164"/>
        <v>-67280.969829476817</v>
      </c>
      <c r="L289" s="216">
        <f t="shared" si="164"/>
        <v>-67890.836600260751</v>
      </c>
      <c r="M289" s="216">
        <f t="shared" si="164"/>
        <v>-68416.677330454564</v>
      </c>
      <c r="N289" s="216">
        <f t="shared" si="164"/>
        <v>-68953.034875252255</v>
      </c>
      <c r="O289" s="216">
        <f t="shared" si="164"/>
        <v>-72239.08868084097</v>
      </c>
      <c r="P289" s="216">
        <f t="shared" si="164"/>
        <v>-72797.115070448534</v>
      </c>
      <c r="Q289" s="216">
        <f t="shared" si="164"/>
        <v>-73366.30198784807</v>
      </c>
      <c r="R289" s="216">
        <f t="shared" si="164"/>
        <v>-79700.812082506673</v>
      </c>
      <c r="S289" s="216">
        <f t="shared" si="164"/>
        <v>-80292.994151369392</v>
      </c>
      <c r="T289" s="216">
        <f t="shared" si="164"/>
        <v>-80897.019861609326</v>
      </c>
      <c r="U289" s="216">
        <f t="shared" si="164"/>
        <v>-81620.98965813579</v>
      </c>
      <c r="V289" s="216">
        <f t="shared" si="164"/>
        <v>-82249.418007069369</v>
      </c>
      <c r="W289" s="216">
        <f t="shared" si="164"/>
        <v>-82890.414922981567</v>
      </c>
      <c r="X289" s="216">
        <f t="shared" si="164"/>
        <v>-83657.022381988427</v>
      </c>
      <c r="Y289" s="216">
        <f t="shared" si="164"/>
        <v>-84323.915573303457</v>
      </c>
      <c r="Z289" s="216">
        <f t="shared" si="164"/>
        <v>-85004.146628444869</v>
      </c>
      <c r="AA289" s="216">
        <f t="shared" si="164"/>
        <v>-69678.270104435505</v>
      </c>
      <c r="AB289" s="216">
        <f t="shared" si="164"/>
        <v>-70385.982494204582</v>
      </c>
      <c r="AC289" s="216">
        <f t="shared" si="164"/>
        <v>-71107.84913176905</v>
      </c>
      <c r="AD289" s="216">
        <f t="shared" si="164"/>
        <v>-71967.48322911351</v>
      </c>
      <c r="AE289" s="216">
        <f t="shared" si="164"/>
        <v>-72718.51327883557</v>
      </c>
      <c r="AF289" s="216">
        <f t="shared" si="164"/>
        <v>-73484.563929552169</v>
      </c>
      <c r="AG289" s="216">
        <f t="shared" si="164"/>
        <v>0</v>
      </c>
      <c r="AH289" s="216">
        <f t="shared" si="164"/>
        <v>0</v>
      </c>
      <c r="AI289" s="216">
        <f t="shared" si="164"/>
        <v>0</v>
      </c>
      <c r="AJ289" s="216">
        <f t="shared" si="164"/>
        <v>0</v>
      </c>
      <c r="AK289" s="216">
        <f t="shared" si="164"/>
        <v>0</v>
      </c>
      <c r="AL289" s="216">
        <f t="shared" si="164"/>
        <v>0</v>
      </c>
      <c r="AM289" s="216">
        <f t="shared" si="164"/>
        <v>0</v>
      </c>
      <c r="AN289" s="216">
        <f t="shared" si="164"/>
        <v>0</v>
      </c>
      <c r="AO289" s="216">
        <f t="shared" si="164"/>
        <v>0</v>
      </c>
      <c r="AP289" s="216">
        <f t="shared" si="164"/>
        <v>0</v>
      </c>
    </row>
    <row r="290" spans="1:42" s="119" customFormat="1">
      <c r="A290" s="42"/>
      <c r="B290" s="42"/>
    </row>
    <row r="291" spans="1:42" s="119" customFormat="1">
      <c r="A291" s="217" t="s">
        <v>508</v>
      </c>
    </row>
    <row r="292" spans="1:42" s="119" customFormat="1">
      <c r="A292" s="42" t="s">
        <v>431</v>
      </c>
      <c r="B292" s="146"/>
      <c r="C292" s="220">
        <f t="shared" ref="C292:C298" si="165">C274</f>
        <v>7848855.1499275891</v>
      </c>
      <c r="D292" s="220">
        <f t="shared" ref="D292:AP292" si="166">D274</f>
        <v>7887706.9829197302</v>
      </c>
      <c r="E292" s="220">
        <f t="shared" si="166"/>
        <v>7926751.132485182</v>
      </c>
      <c r="F292" s="220">
        <f t="shared" si="166"/>
        <v>7965988.5505909836</v>
      </c>
      <c r="G292" s="220">
        <f t="shared" si="166"/>
        <v>8005420.1939164102</v>
      </c>
      <c r="H292" s="220">
        <f t="shared" si="166"/>
        <v>8045047.0238762954</v>
      </c>
      <c r="I292" s="220">
        <f t="shared" si="166"/>
        <v>8084870.0066444837</v>
      </c>
      <c r="J292" s="220">
        <f t="shared" si="166"/>
        <v>8124890.1131773721</v>
      </c>
      <c r="K292" s="220">
        <f t="shared" si="166"/>
        <v>8165108.3192376019</v>
      </c>
      <c r="L292" s="220">
        <f t="shared" si="166"/>
        <v>8205525.6054178299</v>
      </c>
      <c r="M292" s="220">
        <f t="shared" si="166"/>
        <v>8246142.957164648</v>
      </c>
      <c r="N292" s="220">
        <f t="shared" si="166"/>
        <v>8286961.3648026111</v>
      </c>
      <c r="O292" s="220">
        <f t="shared" si="166"/>
        <v>8327981.8235583846</v>
      </c>
      <c r="P292" s="220">
        <f t="shared" si="166"/>
        <v>8369205.3335849987</v>
      </c>
      <c r="Q292" s="220">
        <f t="shared" si="166"/>
        <v>8410632.8999862447</v>
      </c>
      <c r="R292" s="220">
        <f t="shared" si="166"/>
        <v>8452265.5328411739</v>
      </c>
      <c r="S292" s="220">
        <f t="shared" si="166"/>
        <v>8494104.2472287398</v>
      </c>
      <c r="T292" s="220">
        <f t="shared" si="166"/>
        <v>8536150.0632525235</v>
      </c>
      <c r="U292" s="220">
        <f t="shared" si="166"/>
        <v>8578404.0060656238</v>
      </c>
      <c r="V292" s="220">
        <f t="shared" si="166"/>
        <v>8620867.1058956459</v>
      </c>
      <c r="W292" s="220">
        <f t="shared" si="166"/>
        <v>8663540.3980698306</v>
      </c>
      <c r="X292" s="220">
        <f t="shared" si="166"/>
        <v>8706424.9230402745</v>
      </c>
      <c r="Y292" s="220">
        <f t="shared" si="166"/>
        <v>8749521.7264093254</v>
      </c>
      <c r="Z292" s="220">
        <f t="shared" si="166"/>
        <v>8792831.8589550499</v>
      </c>
      <c r="AA292" s="220">
        <f t="shared" si="166"/>
        <v>8836356.3766568806</v>
      </c>
      <c r="AB292" s="220">
        <f t="shared" si="166"/>
        <v>8880096.3407213334</v>
      </c>
      <c r="AC292" s="220">
        <f t="shared" si="166"/>
        <v>8924052.8176079039</v>
      </c>
      <c r="AD292" s="220">
        <f t="shared" si="166"/>
        <v>8968226.8790550586</v>
      </c>
      <c r="AE292" s="220">
        <f t="shared" si="166"/>
        <v>9012619.6021063812</v>
      </c>
      <c r="AF292" s="220">
        <f t="shared" si="166"/>
        <v>9057232.0691368077</v>
      </c>
      <c r="AG292" s="220">
        <f t="shared" si="166"/>
        <v>0</v>
      </c>
      <c r="AH292" s="220">
        <f t="shared" si="166"/>
        <v>0</v>
      </c>
      <c r="AI292" s="220">
        <f t="shared" si="166"/>
        <v>0</v>
      </c>
      <c r="AJ292" s="220">
        <f t="shared" si="166"/>
        <v>0</v>
      </c>
      <c r="AK292" s="220">
        <f t="shared" si="166"/>
        <v>0</v>
      </c>
      <c r="AL292" s="220">
        <f t="shared" si="166"/>
        <v>0</v>
      </c>
      <c r="AM292" s="220">
        <f t="shared" si="166"/>
        <v>0</v>
      </c>
      <c r="AN292" s="220">
        <f t="shared" si="166"/>
        <v>0</v>
      </c>
      <c r="AO292" s="220">
        <f t="shared" si="166"/>
        <v>0</v>
      </c>
      <c r="AP292" s="220">
        <f t="shared" si="166"/>
        <v>0</v>
      </c>
    </row>
    <row r="293" spans="1:42" s="119" customFormat="1">
      <c r="A293" s="42" t="s">
        <v>432</v>
      </c>
      <c r="B293" s="146"/>
      <c r="C293" s="220">
        <f t="shared" si="165"/>
        <v>2625.0000000000005</v>
      </c>
      <c r="D293" s="220">
        <f t="shared" ref="D293:AP293" si="167">D275</f>
        <v>14705.811846654169</v>
      </c>
      <c r="E293" s="220">
        <f t="shared" si="167"/>
        <v>26786.623693308338</v>
      </c>
      <c r="F293" s="220">
        <f t="shared" si="167"/>
        <v>37064.541789962517</v>
      </c>
      <c r="G293" s="220">
        <f t="shared" si="167"/>
        <v>49172.804722215893</v>
      </c>
      <c r="H293" s="220">
        <f t="shared" si="167"/>
        <v>61281.067654469291</v>
      </c>
      <c r="I293" s="220">
        <f t="shared" si="167"/>
        <v>71504.083579925034</v>
      </c>
      <c r="J293" s="220">
        <f t="shared" si="167"/>
        <v>83641.051518759807</v>
      </c>
      <c r="K293" s="220">
        <f t="shared" si="167"/>
        <v>95778.01945759455</v>
      </c>
      <c r="L293" s="220">
        <f t="shared" si="167"/>
        <v>105943.62536988755</v>
      </c>
      <c r="M293" s="220">
        <f t="shared" si="167"/>
        <v>118110.60951335869</v>
      </c>
      <c r="N293" s="220">
        <f t="shared" si="167"/>
        <v>130277.59365682983</v>
      </c>
      <c r="O293" s="220">
        <f t="shared" si="167"/>
        <v>88847.901148577046</v>
      </c>
      <c r="P293" s="220">
        <f t="shared" si="167"/>
        <v>101886.37546337843</v>
      </c>
      <c r="Q293" s="220">
        <f t="shared" si="167"/>
        <v>114924.84977817982</v>
      </c>
      <c r="R293" s="220">
        <f t="shared" si="167"/>
        <v>18029.125128545482</v>
      </c>
      <c r="S293" s="220">
        <f t="shared" si="167"/>
        <v>32898.398355727615</v>
      </c>
      <c r="T293" s="220">
        <f t="shared" si="167"/>
        <v>47767.671582909745</v>
      </c>
      <c r="U293" s="220">
        <f t="shared" si="167"/>
        <v>60382.909231071135</v>
      </c>
      <c r="V293" s="220">
        <f t="shared" si="167"/>
        <v>75286.502685733882</v>
      </c>
      <c r="W293" s="220">
        <f t="shared" si="167"/>
        <v>90190.096140396621</v>
      </c>
      <c r="X293" s="220">
        <f t="shared" si="167"/>
        <v>102736.69333359678</v>
      </c>
      <c r="Y293" s="220">
        <f t="shared" si="167"/>
        <v>117676.17470796108</v>
      </c>
      <c r="Z293" s="220">
        <f t="shared" si="167"/>
        <v>132615.65608232541</v>
      </c>
      <c r="AA293" s="220">
        <f t="shared" si="167"/>
        <v>83473.976921940499</v>
      </c>
      <c r="AB293" s="220">
        <f t="shared" si="167"/>
        <v>93316.277141678642</v>
      </c>
      <c r="AC293" s="220">
        <f t="shared" si="167"/>
        <v>103158.57736141678</v>
      </c>
      <c r="AD293" s="220">
        <f t="shared" si="167"/>
        <v>110423.63589592067</v>
      </c>
      <c r="AE293" s="220">
        <f t="shared" si="167"/>
        <v>120305.1775197134</v>
      </c>
      <c r="AF293" s="220">
        <f t="shared" si="167"/>
        <v>130186.71914350611</v>
      </c>
      <c r="AG293" s="220">
        <f t="shared" si="167"/>
        <v>0</v>
      </c>
      <c r="AH293" s="220">
        <f t="shared" si="167"/>
        <v>0</v>
      </c>
      <c r="AI293" s="220">
        <f t="shared" si="167"/>
        <v>0</v>
      </c>
      <c r="AJ293" s="220">
        <f t="shared" si="167"/>
        <v>0</v>
      </c>
      <c r="AK293" s="220">
        <f t="shared" si="167"/>
        <v>0</v>
      </c>
      <c r="AL293" s="220">
        <f t="shared" si="167"/>
        <v>0</v>
      </c>
      <c r="AM293" s="220">
        <f t="shared" si="167"/>
        <v>0</v>
      </c>
      <c r="AN293" s="220">
        <f t="shared" si="167"/>
        <v>0</v>
      </c>
      <c r="AO293" s="220">
        <f t="shared" si="167"/>
        <v>0</v>
      </c>
      <c r="AP293" s="220">
        <f t="shared" si="167"/>
        <v>0</v>
      </c>
    </row>
    <row r="294" spans="1:42" s="119" customFormat="1">
      <c r="A294" s="42" t="s">
        <v>497</v>
      </c>
      <c r="B294" s="146"/>
      <c r="C294" s="220">
        <f t="shared" si="165"/>
        <v>61085.583058764627</v>
      </c>
      <c r="D294" s="220">
        <f t="shared" ref="D294:AP294" si="168">D276</f>
        <v>61085.583058764627</v>
      </c>
      <c r="E294" s="220">
        <f t="shared" si="168"/>
        <v>61085.583058764627</v>
      </c>
      <c r="F294" s="220">
        <f t="shared" si="168"/>
        <v>61085.583058764627</v>
      </c>
      <c r="G294" s="220">
        <f t="shared" si="168"/>
        <v>61085.583058764627</v>
      </c>
      <c r="H294" s="220">
        <f t="shared" si="168"/>
        <v>61085.583058764627</v>
      </c>
      <c r="I294" s="220">
        <f t="shared" si="168"/>
        <v>61085.583058764627</v>
      </c>
      <c r="J294" s="220">
        <f t="shared" si="168"/>
        <v>61085.583058764627</v>
      </c>
      <c r="K294" s="220">
        <f t="shared" si="168"/>
        <v>61085.583058764627</v>
      </c>
      <c r="L294" s="220">
        <f t="shared" si="168"/>
        <v>61085.583058764627</v>
      </c>
      <c r="M294" s="220">
        <f t="shared" si="168"/>
        <v>61085.583058764627</v>
      </c>
      <c r="N294" s="220">
        <f t="shared" si="168"/>
        <v>61085.583058764627</v>
      </c>
      <c r="O294" s="220">
        <f t="shared" si="168"/>
        <v>61085.583058764627</v>
      </c>
      <c r="P294" s="220">
        <f t="shared" si="168"/>
        <v>61085.583058764627</v>
      </c>
      <c r="Q294" s="220">
        <f t="shared" si="168"/>
        <v>61085.583058764627</v>
      </c>
      <c r="R294" s="220">
        <f t="shared" si="168"/>
        <v>61085.583058764627</v>
      </c>
      <c r="S294" s="220">
        <f t="shared" si="168"/>
        <v>61085.583058764627</v>
      </c>
      <c r="T294" s="220">
        <f t="shared" si="168"/>
        <v>61085.583058764627</v>
      </c>
      <c r="U294" s="220">
        <f t="shared" si="168"/>
        <v>61085.583058764627</v>
      </c>
      <c r="V294" s="220">
        <f t="shared" si="168"/>
        <v>61085.583058764627</v>
      </c>
      <c r="W294" s="220">
        <f t="shared" si="168"/>
        <v>61085.583058764627</v>
      </c>
      <c r="X294" s="220">
        <f t="shared" si="168"/>
        <v>61085.583058764627</v>
      </c>
      <c r="Y294" s="220">
        <f t="shared" si="168"/>
        <v>61085.583058764627</v>
      </c>
      <c r="Z294" s="220">
        <f t="shared" si="168"/>
        <v>61085.583058764627</v>
      </c>
      <c r="AA294" s="220">
        <f t="shared" si="168"/>
        <v>61085.583058764627</v>
      </c>
      <c r="AB294" s="220">
        <f t="shared" si="168"/>
        <v>61085.583058764627</v>
      </c>
      <c r="AC294" s="220">
        <f t="shared" si="168"/>
        <v>61085.583058764627</v>
      </c>
      <c r="AD294" s="220">
        <f t="shared" si="168"/>
        <v>61085.583058764627</v>
      </c>
      <c r="AE294" s="220">
        <f t="shared" si="168"/>
        <v>61085.583058764627</v>
      </c>
      <c r="AF294" s="220">
        <f t="shared" si="168"/>
        <v>61085.583058764627</v>
      </c>
      <c r="AG294" s="220">
        <f t="shared" si="168"/>
        <v>0</v>
      </c>
      <c r="AH294" s="220">
        <f t="shared" si="168"/>
        <v>0</v>
      </c>
      <c r="AI294" s="220">
        <f t="shared" si="168"/>
        <v>0</v>
      </c>
      <c r="AJ294" s="220">
        <f t="shared" si="168"/>
        <v>0</v>
      </c>
      <c r="AK294" s="220">
        <f t="shared" si="168"/>
        <v>0</v>
      </c>
      <c r="AL294" s="220">
        <f t="shared" si="168"/>
        <v>0</v>
      </c>
      <c r="AM294" s="220">
        <f t="shared" si="168"/>
        <v>0</v>
      </c>
      <c r="AN294" s="220">
        <f t="shared" si="168"/>
        <v>0</v>
      </c>
      <c r="AO294" s="220">
        <f t="shared" si="168"/>
        <v>0</v>
      </c>
      <c r="AP294" s="220">
        <f t="shared" si="168"/>
        <v>0</v>
      </c>
    </row>
    <row r="295" spans="1:42" s="119" customFormat="1">
      <c r="A295" s="42" t="s">
        <v>488</v>
      </c>
      <c r="B295" s="146"/>
      <c r="C295" s="220">
        <f t="shared" si="165"/>
        <v>1206814.5</v>
      </c>
      <c r="D295" s="220">
        <f t="shared" ref="D295:AP295" si="169">D277</f>
        <v>0</v>
      </c>
      <c r="E295" s="220">
        <f t="shared" si="169"/>
        <v>0</v>
      </c>
      <c r="F295" s="220">
        <f t="shared" si="169"/>
        <v>0</v>
      </c>
      <c r="G295" s="220">
        <f t="shared" si="169"/>
        <v>0</v>
      </c>
      <c r="H295" s="220">
        <f t="shared" si="169"/>
        <v>0</v>
      </c>
      <c r="I295" s="220">
        <f t="shared" si="169"/>
        <v>0</v>
      </c>
      <c r="J295" s="220">
        <f t="shared" si="169"/>
        <v>0</v>
      </c>
      <c r="K295" s="220">
        <f t="shared" si="169"/>
        <v>0</v>
      </c>
      <c r="L295" s="220">
        <f t="shared" si="169"/>
        <v>0</v>
      </c>
      <c r="M295" s="220">
        <f t="shared" si="169"/>
        <v>0</v>
      </c>
      <c r="N295" s="220">
        <f t="shared" si="169"/>
        <v>0</v>
      </c>
      <c r="O295" s="220">
        <f t="shared" si="169"/>
        <v>0</v>
      </c>
      <c r="P295" s="220">
        <f t="shared" si="169"/>
        <v>0</v>
      </c>
      <c r="Q295" s="220">
        <f t="shared" si="169"/>
        <v>0</v>
      </c>
      <c r="R295" s="220">
        <f t="shared" si="169"/>
        <v>0</v>
      </c>
      <c r="S295" s="220">
        <f t="shared" si="169"/>
        <v>0</v>
      </c>
      <c r="T295" s="220">
        <f t="shared" si="169"/>
        <v>0</v>
      </c>
      <c r="U295" s="220">
        <f t="shared" si="169"/>
        <v>0</v>
      </c>
      <c r="V295" s="220">
        <f t="shared" si="169"/>
        <v>0</v>
      </c>
      <c r="W295" s="220">
        <f t="shared" si="169"/>
        <v>0</v>
      </c>
      <c r="X295" s="220">
        <f t="shared" si="169"/>
        <v>0</v>
      </c>
      <c r="Y295" s="220">
        <f t="shared" si="169"/>
        <v>0</v>
      </c>
      <c r="Z295" s="220">
        <f t="shared" si="169"/>
        <v>0</v>
      </c>
      <c r="AA295" s="220">
        <f t="shared" si="169"/>
        <v>0</v>
      </c>
      <c r="AB295" s="220">
        <f t="shared" si="169"/>
        <v>0</v>
      </c>
      <c r="AC295" s="220">
        <f t="shared" si="169"/>
        <v>0</v>
      </c>
      <c r="AD295" s="220">
        <f t="shared" si="169"/>
        <v>0</v>
      </c>
      <c r="AE295" s="220">
        <f t="shared" si="169"/>
        <v>0</v>
      </c>
      <c r="AF295" s="220">
        <f t="shared" si="169"/>
        <v>0</v>
      </c>
      <c r="AG295" s="220">
        <f t="shared" si="169"/>
        <v>0</v>
      </c>
      <c r="AH295" s="220">
        <f t="shared" si="169"/>
        <v>0</v>
      </c>
      <c r="AI295" s="220">
        <f t="shared" si="169"/>
        <v>0</v>
      </c>
      <c r="AJ295" s="220">
        <f t="shared" si="169"/>
        <v>0</v>
      </c>
      <c r="AK295" s="220">
        <f t="shared" si="169"/>
        <v>0</v>
      </c>
      <c r="AL295" s="220">
        <f t="shared" si="169"/>
        <v>0</v>
      </c>
      <c r="AM295" s="220">
        <f t="shared" si="169"/>
        <v>0</v>
      </c>
      <c r="AN295" s="220">
        <f t="shared" si="169"/>
        <v>0</v>
      </c>
      <c r="AO295" s="220">
        <f t="shared" si="169"/>
        <v>0</v>
      </c>
      <c r="AP295" s="220">
        <f t="shared" si="169"/>
        <v>0</v>
      </c>
    </row>
    <row r="296" spans="1:42" s="119" customFormat="1">
      <c r="A296" s="42" t="s">
        <v>489</v>
      </c>
      <c r="B296" s="146"/>
      <c r="C296" s="220">
        <f t="shared" si="165"/>
        <v>3640604.7462151214</v>
      </c>
      <c r="D296" s="220">
        <v>0</v>
      </c>
      <c r="E296" s="220">
        <v>0</v>
      </c>
      <c r="F296" s="220">
        <v>0</v>
      </c>
      <c r="G296" s="220">
        <v>0</v>
      </c>
      <c r="H296" s="220">
        <v>0</v>
      </c>
      <c r="I296" s="220">
        <v>0</v>
      </c>
      <c r="J296" s="220">
        <v>0</v>
      </c>
      <c r="K296" s="220">
        <v>0</v>
      </c>
      <c r="L296" s="220">
        <v>0</v>
      </c>
      <c r="M296" s="220">
        <v>0</v>
      </c>
      <c r="N296" s="220">
        <v>0</v>
      </c>
      <c r="O296" s="220">
        <v>0</v>
      </c>
      <c r="P296" s="220">
        <v>0</v>
      </c>
      <c r="Q296" s="220">
        <v>0</v>
      </c>
      <c r="R296" s="220">
        <v>0</v>
      </c>
      <c r="S296" s="220">
        <v>0</v>
      </c>
      <c r="T296" s="220">
        <v>0</v>
      </c>
      <c r="U296" s="220">
        <v>0</v>
      </c>
      <c r="V296" s="220">
        <v>0</v>
      </c>
      <c r="W296" s="220">
        <v>0</v>
      </c>
      <c r="X296" s="220">
        <v>0</v>
      </c>
      <c r="Y296" s="220">
        <v>0</v>
      </c>
      <c r="Z296" s="220">
        <v>0</v>
      </c>
      <c r="AA296" s="220">
        <v>0</v>
      </c>
      <c r="AB296" s="220">
        <v>0</v>
      </c>
      <c r="AC296" s="220">
        <v>0</v>
      </c>
      <c r="AD296" s="220">
        <v>0</v>
      </c>
      <c r="AE296" s="220">
        <v>0</v>
      </c>
      <c r="AF296" s="220">
        <v>0</v>
      </c>
      <c r="AG296" s="220">
        <v>0</v>
      </c>
      <c r="AH296" s="220">
        <v>0</v>
      </c>
      <c r="AI296" s="220">
        <v>0</v>
      </c>
      <c r="AJ296" s="220">
        <v>0</v>
      </c>
      <c r="AK296" s="220">
        <v>0</v>
      </c>
      <c r="AL296" s="220">
        <v>0</v>
      </c>
      <c r="AM296" s="220">
        <v>0</v>
      </c>
      <c r="AN296" s="220">
        <v>0</v>
      </c>
      <c r="AO296" s="220">
        <v>0</v>
      </c>
      <c r="AP296" s="220">
        <v>0</v>
      </c>
    </row>
    <row r="297" spans="1:42" s="119" customFormat="1">
      <c r="A297" s="42" t="s">
        <v>433</v>
      </c>
      <c r="B297" s="146"/>
      <c r="C297" s="220">
        <f t="shared" si="165"/>
        <v>-777254.19374999998</v>
      </c>
      <c r="D297" s="220">
        <f t="shared" ref="D297:AP297" si="170">D279</f>
        <v>-771730.84531250002</v>
      </c>
      <c r="E297" s="220">
        <f t="shared" si="170"/>
        <v>-766376.23850343737</v>
      </c>
      <c r="F297" s="220">
        <f t="shared" si="170"/>
        <v>-761193.77251473407</v>
      </c>
      <c r="G297" s="220">
        <f t="shared" si="170"/>
        <v>-756186.91758800286</v>
      </c>
      <c r="H297" s="220">
        <f t="shared" si="170"/>
        <v>-751359.21653930179</v>
      </c>
      <c r="I297" s="220">
        <f t="shared" si="170"/>
        <v>-746714.28631722322</v>
      </c>
      <c r="J297" s="220">
        <f t="shared" si="170"/>
        <v>-742255.81959505379</v>
      </c>
      <c r="K297" s="220">
        <f t="shared" si="170"/>
        <v>-737987.58639776008</v>
      </c>
      <c r="L297" s="220">
        <f t="shared" si="170"/>
        <v>-733913.4357645741</v>
      </c>
      <c r="M297" s="220">
        <f t="shared" si="170"/>
        <v>-730037.29744796408</v>
      </c>
      <c r="N297" s="220">
        <f t="shared" si="170"/>
        <v>-726363.18364979955</v>
      </c>
      <c r="O297" s="220">
        <f t="shared" si="170"/>
        <v>-722895.19079553359</v>
      </c>
      <c r="P297" s="220">
        <f t="shared" si="170"/>
        <v>-719637.50134724576</v>
      </c>
      <c r="Q297" s="220">
        <f t="shared" si="170"/>
        <v>-716594.38565640873</v>
      </c>
      <c r="R297" s="220">
        <f t="shared" si="170"/>
        <v>-713770.2038572568</v>
      </c>
      <c r="S297" s="220">
        <f t="shared" si="170"/>
        <v>-711169.40780165966</v>
      </c>
      <c r="T297" s="220">
        <f t="shared" si="170"/>
        <v>-708796.54303642223</v>
      </c>
      <c r="U297" s="220">
        <f t="shared" si="170"/>
        <v>-706656.25082394935</v>
      </c>
      <c r="V297" s="220">
        <f t="shared" si="170"/>
        <v>-704753.27020724164</v>
      </c>
      <c r="W297" s="220">
        <f t="shared" si="170"/>
        <v>-703092.440120204</v>
      </c>
      <c r="X297" s="220">
        <f t="shared" si="170"/>
        <v>-716009.62373177486</v>
      </c>
      <c r="Y297" s="220">
        <f t="shared" si="170"/>
        <v>-729178.94408740243</v>
      </c>
      <c r="Z297" s="220">
        <f t="shared" si="170"/>
        <v>-742605.55292392347</v>
      </c>
      <c r="AA297" s="220">
        <f t="shared" si="170"/>
        <v>-756294.71078391466</v>
      </c>
      <c r="AB297" s="220">
        <f t="shared" si="170"/>
        <v>-770251.78936812212</v>
      </c>
      <c r="AC297" s="220">
        <f t="shared" si="170"/>
        <v>-784482.27393958764</v>
      </c>
      <c r="AD297" s="220">
        <f t="shared" si="170"/>
        <v>-798991.765780624</v>
      </c>
      <c r="AE297" s="220">
        <f t="shared" si="170"/>
        <v>-813785.98470381368</v>
      </c>
      <c r="AF297" s="220">
        <f t="shared" si="170"/>
        <v>-828870.77161823248</v>
      </c>
      <c r="AG297" s="220">
        <f t="shared" si="170"/>
        <v>0</v>
      </c>
      <c r="AH297" s="220">
        <f t="shared" si="170"/>
        <v>0</v>
      </c>
      <c r="AI297" s="220">
        <f t="shared" si="170"/>
        <v>0</v>
      </c>
      <c r="AJ297" s="220">
        <f t="shared" si="170"/>
        <v>0</v>
      </c>
      <c r="AK297" s="220">
        <f t="shared" si="170"/>
        <v>0</v>
      </c>
      <c r="AL297" s="220">
        <f t="shared" si="170"/>
        <v>0</v>
      </c>
      <c r="AM297" s="220">
        <f t="shared" si="170"/>
        <v>0</v>
      </c>
      <c r="AN297" s="220">
        <f t="shared" si="170"/>
        <v>0</v>
      </c>
      <c r="AO297" s="220">
        <f t="shared" si="170"/>
        <v>0</v>
      </c>
      <c r="AP297" s="220">
        <f t="shared" si="170"/>
        <v>0</v>
      </c>
    </row>
    <row r="298" spans="1:42" s="119" customFormat="1">
      <c r="A298" s="42" t="s">
        <v>434</v>
      </c>
      <c r="B298" s="146"/>
      <c r="C298" s="146">
        <f t="shared" si="165"/>
        <v>-5983893.8506544931</v>
      </c>
      <c r="D298" s="146">
        <f t="shared" ref="D298:AP298" si="171">D280</f>
        <v>-6032349.8439307883</v>
      </c>
      <c r="E298" s="146">
        <f t="shared" si="171"/>
        <v>-6080669.4121519579</v>
      </c>
      <c r="F298" s="146">
        <f t="shared" si="171"/>
        <v>-6125475.3808803037</v>
      </c>
      <c r="G298" s="146">
        <f t="shared" si="171"/>
        <v>-6173532.4780647149</v>
      </c>
      <c r="H298" s="146">
        <f t="shared" si="171"/>
        <v>-6221435.8147255545</v>
      </c>
      <c r="I298" s="146">
        <f t="shared" si="171"/>
        <v>-6265653.8111253129</v>
      </c>
      <c r="J298" s="146">
        <f t="shared" si="171"/>
        <v>-6313260.0529650943</v>
      </c>
      <c r="K298" s="146">
        <f t="shared" si="171"/>
        <v>-6360693.9748202581</v>
      </c>
      <c r="L298" s="146">
        <f t="shared" si="171"/>
        <v>-6404262.5308044394</v>
      </c>
      <c r="M298" s="146">
        <f t="shared" si="171"/>
        <v>-6451362.2644623602</v>
      </c>
      <c r="N298" s="146">
        <f t="shared" si="171"/>
        <v>-6498269.8146820012</v>
      </c>
      <c r="O298" s="146">
        <f t="shared" si="171"/>
        <v>-6441582.1409549024</v>
      </c>
      <c r="P298" s="146">
        <f t="shared" si="171"/>
        <v>-6488955.8803881053</v>
      </c>
      <c r="Q298" s="146">
        <f t="shared" si="171"/>
        <v>-6536116.1837513605</v>
      </c>
      <c r="R298" s="146">
        <f t="shared" si="171"/>
        <v>-6368504.3629438328</v>
      </c>
      <c r="S298" s="146">
        <f t="shared" si="171"/>
        <v>-6417046.1999075841</v>
      </c>
      <c r="T298" s="146">
        <f t="shared" si="171"/>
        <v>-6465351.8682830613</v>
      </c>
      <c r="U298" s="146">
        <f t="shared" si="171"/>
        <v>-6509198.2537472229</v>
      </c>
      <c r="V298" s="146">
        <f t="shared" si="171"/>
        <v>-6557041.9576680055</v>
      </c>
      <c r="W298" s="146">
        <f t="shared" si="171"/>
        <v>-6604625.1840036679</v>
      </c>
      <c r="X298" s="146">
        <f t="shared" si="171"/>
        <v>-6633200.8051192528</v>
      </c>
      <c r="Y298" s="146">
        <f t="shared" si="171"/>
        <v>-6665942.4387558578</v>
      </c>
      <c r="Z298" s="146">
        <f t="shared" si="171"/>
        <v>-6698397.6064732186</v>
      </c>
      <c r="AA298" s="146">
        <f t="shared" si="171"/>
        <v>-6957743.5875912076</v>
      </c>
      <c r="AB298" s="146">
        <f t="shared" si="171"/>
        <v>-6984501.2752953907</v>
      </c>
      <c r="AC298" s="146">
        <f t="shared" si="171"/>
        <v>-7010944.7198745152</v>
      </c>
      <c r="AD298" s="146">
        <f t="shared" si="171"/>
        <v>-7032244.6371543296</v>
      </c>
      <c r="AE298" s="146">
        <f t="shared" si="171"/>
        <v>-7058069.5910931258</v>
      </c>
      <c r="AF298" s="146">
        <f t="shared" si="171"/>
        <v>-7083550.6191835348</v>
      </c>
      <c r="AG298" s="146">
        <f t="shared" si="171"/>
        <v>0</v>
      </c>
      <c r="AH298" s="146">
        <f t="shared" si="171"/>
        <v>0</v>
      </c>
      <c r="AI298" s="146">
        <f t="shared" si="171"/>
        <v>0</v>
      </c>
      <c r="AJ298" s="146">
        <f t="shared" si="171"/>
        <v>0</v>
      </c>
      <c r="AK298" s="146">
        <f t="shared" si="171"/>
        <v>0</v>
      </c>
      <c r="AL298" s="146">
        <f t="shared" si="171"/>
        <v>0</v>
      </c>
      <c r="AM298" s="146">
        <f t="shared" si="171"/>
        <v>0</v>
      </c>
      <c r="AN298" s="146">
        <f t="shared" si="171"/>
        <v>0</v>
      </c>
      <c r="AO298" s="146">
        <f t="shared" si="171"/>
        <v>0</v>
      </c>
      <c r="AP298" s="146">
        <f t="shared" si="171"/>
        <v>0</v>
      </c>
    </row>
    <row r="299" spans="1:42" s="119" customFormat="1">
      <c r="A299" s="42" t="s">
        <v>131</v>
      </c>
      <c r="B299" s="146"/>
      <c r="C299" s="225">
        <f>C289</f>
        <v>-329936.03141383402</v>
      </c>
      <c r="D299" s="225">
        <f t="shared" ref="D299:AP299" si="172">D289</f>
        <v>-63767.972872002283</v>
      </c>
      <c r="E299" s="225">
        <f t="shared" si="172"/>
        <v>-64216.772872002286</v>
      </c>
      <c r="F299" s="225">
        <f t="shared" si="172"/>
        <v>-64760.823712456993</v>
      </c>
      <c r="G299" s="225">
        <f t="shared" si="172"/>
        <v>-65227.755232456992</v>
      </c>
      <c r="H299" s="225">
        <f t="shared" si="172"/>
        <v>-65704.025382856969</v>
      </c>
      <c r="I299" s="225">
        <f t="shared" si="172"/>
        <v>-66280.036671234993</v>
      </c>
      <c r="J299" s="225">
        <f t="shared" si="172"/>
        <v>-66775.548135711142</v>
      </c>
      <c r="K299" s="225">
        <f t="shared" si="172"/>
        <v>-67280.969829476817</v>
      </c>
      <c r="L299" s="225">
        <f t="shared" si="172"/>
        <v>-67890.836600260751</v>
      </c>
      <c r="M299" s="225">
        <f t="shared" si="172"/>
        <v>-68416.677330454564</v>
      </c>
      <c r="N299" s="225">
        <f t="shared" si="172"/>
        <v>-68953.034875252255</v>
      </c>
      <c r="O299" s="225">
        <f t="shared" si="172"/>
        <v>-72239.08868084097</v>
      </c>
      <c r="P299" s="225">
        <f t="shared" si="172"/>
        <v>-72797.115070448534</v>
      </c>
      <c r="Q299" s="225">
        <f t="shared" si="172"/>
        <v>-73366.30198784807</v>
      </c>
      <c r="R299" s="225">
        <f t="shared" si="172"/>
        <v>-79700.812082506673</v>
      </c>
      <c r="S299" s="225">
        <f t="shared" si="172"/>
        <v>-80292.994151369392</v>
      </c>
      <c r="T299" s="225">
        <f t="shared" si="172"/>
        <v>-80897.019861609326</v>
      </c>
      <c r="U299" s="225">
        <f t="shared" si="172"/>
        <v>-81620.98965813579</v>
      </c>
      <c r="V299" s="225">
        <f t="shared" si="172"/>
        <v>-82249.418007069369</v>
      </c>
      <c r="W299" s="225">
        <f t="shared" si="172"/>
        <v>-82890.414922981567</v>
      </c>
      <c r="X299" s="225">
        <f t="shared" si="172"/>
        <v>-83657.022381988427</v>
      </c>
      <c r="Y299" s="225">
        <f t="shared" si="172"/>
        <v>-84323.915573303457</v>
      </c>
      <c r="Z299" s="225">
        <f t="shared" si="172"/>
        <v>-85004.146628444869</v>
      </c>
      <c r="AA299" s="225">
        <f t="shared" si="172"/>
        <v>-69678.270104435505</v>
      </c>
      <c r="AB299" s="225">
        <f t="shared" si="172"/>
        <v>-70385.982494204582</v>
      </c>
      <c r="AC299" s="225">
        <f t="shared" si="172"/>
        <v>-71107.84913176905</v>
      </c>
      <c r="AD299" s="225">
        <f t="shared" si="172"/>
        <v>-71967.48322911351</v>
      </c>
      <c r="AE299" s="225">
        <f t="shared" si="172"/>
        <v>-72718.51327883557</v>
      </c>
      <c r="AF299" s="225">
        <f t="shared" si="172"/>
        <v>-73484.563929552169</v>
      </c>
      <c r="AG299" s="225">
        <f t="shared" si="172"/>
        <v>0</v>
      </c>
      <c r="AH299" s="225">
        <f t="shared" si="172"/>
        <v>0</v>
      </c>
      <c r="AI299" s="225">
        <f t="shared" si="172"/>
        <v>0</v>
      </c>
      <c r="AJ299" s="225">
        <f t="shared" si="172"/>
        <v>0</v>
      </c>
      <c r="AK299" s="225">
        <f t="shared" si="172"/>
        <v>0</v>
      </c>
      <c r="AL299" s="225">
        <f t="shared" si="172"/>
        <v>0</v>
      </c>
      <c r="AM299" s="225">
        <f t="shared" si="172"/>
        <v>0</v>
      </c>
      <c r="AN299" s="225">
        <f t="shared" si="172"/>
        <v>0</v>
      </c>
      <c r="AO299" s="225">
        <f t="shared" si="172"/>
        <v>0</v>
      </c>
      <c r="AP299" s="225">
        <f t="shared" si="172"/>
        <v>0</v>
      </c>
    </row>
    <row r="300" spans="1:42" s="119" customFormat="1">
      <c r="A300" s="42" t="s">
        <v>119</v>
      </c>
      <c r="B300" s="146"/>
      <c r="C300" s="220">
        <f>SUM(C292:C299)</f>
        <v>5668900.9033831488</v>
      </c>
      <c r="D300" s="220">
        <f t="shared" ref="D300:AP300" si="173">SUM(D292:D299)</f>
        <v>1095649.7157098574</v>
      </c>
      <c r="E300" s="220">
        <f t="shared" si="173"/>
        <v>1103360.9157098574</v>
      </c>
      <c r="F300" s="220">
        <f t="shared" si="173"/>
        <v>1112708.6983322157</v>
      </c>
      <c r="G300" s="220">
        <f t="shared" si="173"/>
        <v>1120731.4308122154</v>
      </c>
      <c r="H300" s="220">
        <f t="shared" si="173"/>
        <v>1128914.6179418152</v>
      </c>
      <c r="I300" s="220">
        <f t="shared" si="173"/>
        <v>1138811.5391694012</v>
      </c>
      <c r="J300" s="220">
        <f t="shared" si="173"/>
        <v>1147325.3270590368</v>
      </c>
      <c r="K300" s="220">
        <f t="shared" si="173"/>
        <v>1156009.3907064651</v>
      </c>
      <c r="L300" s="220">
        <f t="shared" si="173"/>
        <v>1166488.0106772073</v>
      </c>
      <c r="M300" s="220">
        <f t="shared" si="173"/>
        <v>1175522.9104959921</v>
      </c>
      <c r="N300" s="220">
        <f t="shared" si="173"/>
        <v>1184738.5083111525</v>
      </c>
      <c r="O300" s="220">
        <f t="shared" si="173"/>
        <v>1241198.8873344492</v>
      </c>
      <c r="P300" s="220">
        <f t="shared" si="173"/>
        <v>1250786.7953013431</v>
      </c>
      <c r="Q300" s="220">
        <f t="shared" si="173"/>
        <v>1260566.4614275715</v>
      </c>
      <c r="R300" s="220">
        <f t="shared" si="173"/>
        <v>1369404.8621448874</v>
      </c>
      <c r="S300" s="220">
        <f t="shared" si="173"/>
        <v>1379579.6267826196</v>
      </c>
      <c r="T300" s="220">
        <f t="shared" si="173"/>
        <v>1389957.8867131057</v>
      </c>
      <c r="U300" s="220">
        <f t="shared" si="173"/>
        <v>1402397.0041261513</v>
      </c>
      <c r="V300" s="220">
        <f t="shared" si="173"/>
        <v>1413194.5457578283</v>
      </c>
      <c r="W300" s="220">
        <f t="shared" si="173"/>
        <v>1424208.0382221378</v>
      </c>
      <c r="X300" s="220">
        <f t="shared" si="173"/>
        <v>1437379.7481996194</v>
      </c>
      <c r="Y300" s="220">
        <f t="shared" si="173"/>
        <v>1448838.1857594869</v>
      </c>
      <c r="Z300" s="220">
        <f t="shared" si="173"/>
        <v>1460525.7920705529</v>
      </c>
      <c r="AA300" s="220">
        <f t="shared" si="173"/>
        <v>1197199.3681580282</v>
      </c>
      <c r="AB300" s="220">
        <f t="shared" si="173"/>
        <v>1209359.1537640605</v>
      </c>
      <c r="AC300" s="220">
        <f t="shared" si="173"/>
        <v>1221762.1350822137</v>
      </c>
      <c r="AD300" s="220">
        <f t="shared" si="173"/>
        <v>1236532.2118456776</v>
      </c>
      <c r="AE300" s="220">
        <f t="shared" si="173"/>
        <v>1249436.2736090841</v>
      </c>
      <c r="AF300" s="220">
        <f t="shared" si="173"/>
        <v>1262598.4166077599</v>
      </c>
      <c r="AG300" s="220">
        <f t="shared" si="173"/>
        <v>0</v>
      </c>
      <c r="AH300" s="220">
        <f t="shared" si="173"/>
        <v>0</v>
      </c>
      <c r="AI300" s="220">
        <f t="shared" si="173"/>
        <v>0</v>
      </c>
      <c r="AJ300" s="220">
        <f t="shared" si="173"/>
        <v>0</v>
      </c>
      <c r="AK300" s="220">
        <f t="shared" si="173"/>
        <v>0</v>
      </c>
      <c r="AL300" s="220">
        <f t="shared" si="173"/>
        <v>0</v>
      </c>
      <c r="AM300" s="220">
        <f t="shared" si="173"/>
        <v>0</v>
      </c>
      <c r="AN300" s="220">
        <f t="shared" si="173"/>
        <v>0</v>
      </c>
      <c r="AO300" s="220">
        <f t="shared" si="173"/>
        <v>0</v>
      </c>
      <c r="AP300" s="220">
        <f t="shared" si="173"/>
        <v>0</v>
      </c>
    </row>
    <row r="301" spans="1:42" s="119" customFormat="1">
      <c r="A301" s="42" t="s">
        <v>435</v>
      </c>
      <c r="B301" s="42"/>
    </row>
    <row r="302" spans="1:42">
      <c r="A302" s="226" t="str">
        <f>'Inputs &amp; Results'!A65</f>
        <v>Federal</v>
      </c>
      <c r="C302" s="146">
        <f t="shared" ref="C302:AP302" si="174">IF(PBIFedFedTax="Yes",C688,0)</f>
        <v>0</v>
      </c>
      <c r="D302" s="146">
        <f t="shared" si="174"/>
        <v>0</v>
      </c>
      <c r="E302" s="146">
        <f t="shared" si="174"/>
        <v>0</v>
      </c>
      <c r="F302" s="146">
        <f t="shared" si="174"/>
        <v>0</v>
      </c>
      <c r="G302" s="146">
        <f t="shared" si="174"/>
        <v>0</v>
      </c>
      <c r="H302" s="146">
        <f t="shared" si="174"/>
        <v>0</v>
      </c>
      <c r="I302" s="146">
        <f t="shared" si="174"/>
        <v>0</v>
      </c>
      <c r="J302" s="146">
        <f t="shared" si="174"/>
        <v>0</v>
      </c>
      <c r="K302" s="146">
        <f t="shared" si="174"/>
        <v>0</v>
      </c>
      <c r="L302" s="146">
        <f t="shared" si="174"/>
        <v>0</v>
      </c>
      <c r="M302" s="146">
        <f t="shared" si="174"/>
        <v>0</v>
      </c>
      <c r="N302" s="146">
        <f t="shared" si="174"/>
        <v>0</v>
      </c>
      <c r="O302" s="146">
        <f t="shared" si="174"/>
        <v>0</v>
      </c>
      <c r="P302" s="146">
        <f t="shared" si="174"/>
        <v>0</v>
      </c>
      <c r="Q302" s="146">
        <f t="shared" si="174"/>
        <v>0</v>
      </c>
      <c r="R302" s="146">
        <f t="shared" si="174"/>
        <v>0</v>
      </c>
      <c r="S302" s="146">
        <f t="shared" si="174"/>
        <v>0</v>
      </c>
      <c r="T302" s="146">
        <f t="shared" si="174"/>
        <v>0</v>
      </c>
      <c r="U302" s="146">
        <f t="shared" si="174"/>
        <v>0</v>
      </c>
      <c r="V302" s="146">
        <f t="shared" si="174"/>
        <v>0</v>
      </c>
      <c r="W302" s="146">
        <f t="shared" si="174"/>
        <v>0</v>
      </c>
      <c r="X302" s="146">
        <f t="shared" si="174"/>
        <v>0</v>
      </c>
      <c r="Y302" s="146">
        <f t="shared" si="174"/>
        <v>0</v>
      </c>
      <c r="Z302" s="146">
        <f t="shared" si="174"/>
        <v>0</v>
      </c>
      <c r="AA302" s="146">
        <f t="shared" si="174"/>
        <v>0</v>
      </c>
      <c r="AB302" s="146">
        <f t="shared" si="174"/>
        <v>0</v>
      </c>
      <c r="AC302" s="146">
        <f t="shared" si="174"/>
        <v>0</v>
      </c>
      <c r="AD302" s="146">
        <f t="shared" si="174"/>
        <v>0</v>
      </c>
      <c r="AE302" s="146">
        <f t="shared" si="174"/>
        <v>0</v>
      </c>
      <c r="AF302" s="146">
        <f t="shared" si="174"/>
        <v>0</v>
      </c>
      <c r="AG302" s="146">
        <f t="shared" si="174"/>
        <v>0</v>
      </c>
      <c r="AH302" s="146">
        <f t="shared" si="174"/>
        <v>0</v>
      </c>
      <c r="AI302" s="146">
        <f t="shared" si="174"/>
        <v>0</v>
      </c>
      <c r="AJ302" s="146">
        <f t="shared" si="174"/>
        <v>0</v>
      </c>
      <c r="AK302" s="146">
        <f t="shared" si="174"/>
        <v>0</v>
      </c>
      <c r="AL302" s="146">
        <f t="shared" si="174"/>
        <v>0</v>
      </c>
      <c r="AM302" s="146">
        <f t="shared" si="174"/>
        <v>0</v>
      </c>
      <c r="AN302" s="146">
        <f t="shared" si="174"/>
        <v>0</v>
      </c>
      <c r="AO302" s="146">
        <f t="shared" si="174"/>
        <v>0</v>
      </c>
      <c r="AP302" s="146">
        <f t="shared" si="174"/>
        <v>0</v>
      </c>
    </row>
    <row r="303" spans="1:42">
      <c r="A303" s="226" t="str">
        <f>'Inputs &amp; Results'!A66</f>
        <v>State</v>
      </c>
      <c r="C303" s="146">
        <f t="shared" ref="C303:AP303" si="175">IF(PBIStateFedTax="Yes",C692,0)</f>
        <v>0</v>
      </c>
      <c r="D303" s="146">
        <f t="shared" si="175"/>
        <v>0</v>
      </c>
      <c r="E303" s="146">
        <f t="shared" si="175"/>
        <v>0</v>
      </c>
      <c r="F303" s="146">
        <f t="shared" si="175"/>
        <v>0</v>
      </c>
      <c r="G303" s="146">
        <f t="shared" si="175"/>
        <v>0</v>
      </c>
      <c r="H303" s="146">
        <f t="shared" si="175"/>
        <v>0</v>
      </c>
      <c r="I303" s="146">
        <f t="shared" si="175"/>
        <v>0</v>
      </c>
      <c r="J303" s="146">
        <f t="shared" si="175"/>
        <v>0</v>
      </c>
      <c r="K303" s="146">
        <f t="shared" si="175"/>
        <v>0</v>
      </c>
      <c r="L303" s="146">
        <f t="shared" si="175"/>
        <v>0</v>
      </c>
      <c r="M303" s="146">
        <f t="shared" si="175"/>
        <v>0</v>
      </c>
      <c r="N303" s="146">
        <f t="shared" si="175"/>
        <v>0</v>
      </c>
      <c r="O303" s="146">
        <f t="shared" si="175"/>
        <v>0</v>
      </c>
      <c r="P303" s="146">
        <f t="shared" si="175"/>
        <v>0</v>
      </c>
      <c r="Q303" s="146">
        <f t="shared" si="175"/>
        <v>0</v>
      </c>
      <c r="R303" s="146">
        <f t="shared" si="175"/>
        <v>0</v>
      </c>
      <c r="S303" s="146">
        <f t="shared" si="175"/>
        <v>0</v>
      </c>
      <c r="T303" s="146">
        <f t="shared" si="175"/>
        <v>0</v>
      </c>
      <c r="U303" s="146">
        <f t="shared" si="175"/>
        <v>0</v>
      </c>
      <c r="V303" s="146">
        <f t="shared" si="175"/>
        <v>0</v>
      </c>
      <c r="W303" s="146">
        <f t="shared" si="175"/>
        <v>0</v>
      </c>
      <c r="X303" s="146">
        <f t="shared" si="175"/>
        <v>0</v>
      </c>
      <c r="Y303" s="146">
        <f t="shared" si="175"/>
        <v>0</v>
      </c>
      <c r="Z303" s="146">
        <f t="shared" si="175"/>
        <v>0</v>
      </c>
      <c r="AA303" s="146">
        <f t="shared" si="175"/>
        <v>0</v>
      </c>
      <c r="AB303" s="146">
        <f t="shared" si="175"/>
        <v>0</v>
      </c>
      <c r="AC303" s="146">
        <f t="shared" si="175"/>
        <v>0</v>
      </c>
      <c r="AD303" s="146">
        <f t="shared" si="175"/>
        <v>0</v>
      </c>
      <c r="AE303" s="146">
        <f t="shared" si="175"/>
        <v>0</v>
      </c>
      <c r="AF303" s="146">
        <f t="shared" si="175"/>
        <v>0</v>
      </c>
      <c r="AG303" s="146">
        <f t="shared" si="175"/>
        <v>0</v>
      </c>
      <c r="AH303" s="146">
        <f t="shared" si="175"/>
        <v>0</v>
      </c>
      <c r="AI303" s="146">
        <f t="shared" si="175"/>
        <v>0</v>
      </c>
      <c r="AJ303" s="146">
        <f t="shared" si="175"/>
        <v>0</v>
      </c>
      <c r="AK303" s="146">
        <f t="shared" si="175"/>
        <v>0</v>
      </c>
      <c r="AL303" s="146">
        <f t="shared" si="175"/>
        <v>0</v>
      </c>
      <c r="AM303" s="146">
        <f t="shared" si="175"/>
        <v>0</v>
      </c>
      <c r="AN303" s="146">
        <f t="shared" si="175"/>
        <v>0</v>
      </c>
      <c r="AO303" s="146">
        <f t="shared" si="175"/>
        <v>0</v>
      </c>
      <c r="AP303" s="146">
        <f t="shared" si="175"/>
        <v>0</v>
      </c>
    </row>
    <row r="304" spans="1:42">
      <c r="A304" s="226" t="str">
        <f>'Inputs &amp; Results'!A67</f>
        <v>Utility</v>
      </c>
      <c r="C304" s="146">
        <f t="shared" ref="C304:AP304" si="176">IF(PBIUtilityFedTax="Yes",C696,0)</f>
        <v>0</v>
      </c>
      <c r="D304" s="146">
        <f t="shared" si="176"/>
        <v>0</v>
      </c>
      <c r="E304" s="146">
        <f t="shared" si="176"/>
        <v>0</v>
      </c>
      <c r="F304" s="146">
        <f t="shared" si="176"/>
        <v>0</v>
      </c>
      <c r="G304" s="146">
        <f t="shared" si="176"/>
        <v>0</v>
      </c>
      <c r="H304" s="146">
        <f t="shared" si="176"/>
        <v>0</v>
      </c>
      <c r="I304" s="146">
        <f t="shared" si="176"/>
        <v>0</v>
      </c>
      <c r="J304" s="146">
        <f t="shared" si="176"/>
        <v>0</v>
      </c>
      <c r="K304" s="146">
        <f t="shared" si="176"/>
        <v>0</v>
      </c>
      <c r="L304" s="146">
        <f t="shared" si="176"/>
        <v>0</v>
      </c>
      <c r="M304" s="146">
        <f t="shared" si="176"/>
        <v>0</v>
      </c>
      <c r="N304" s="146">
        <f t="shared" si="176"/>
        <v>0</v>
      </c>
      <c r="O304" s="146">
        <f t="shared" si="176"/>
        <v>0</v>
      </c>
      <c r="P304" s="146">
        <f t="shared" si="176"/>
        <v>0</v>
      </c>
      <c r="Q304" s="146">
        <f t="shared" si="176"/>
        <v>0</v>
      </c>
      <c r="R304" s="146">
        <f t="shared" si="176"/>
        <v>0</v>
      </c>
      <c r="S304" s="146">
        <f t="shared" si="176"/>
        <v>0</v>
      </c>
      <c r="T304" s="146">
        <f t="shared" si="176"/>
        <v>0</v>
      </c>
      <c r="U304" s="146">
        <f t="shared" si="176"/>
        <v>0</v>
      </c>
      <c r="V304" s="146">
        <f t="shared" si="176"/>
        <v>0</v>
      </c>
      <c r="W304" s="146">
        <f t="shared" si="176"/>
        <v>0</v>
      </c>
      <c r="X304" s="146">
        <f t="shared" si="176"/>
        <v>0</v>
      </c>
      <c r="Y304" s="146">
        <f t="shared" si="176"/>
        <v>0</v>
      </c>
      <c r="Z304" s="146">
        <f t="shared" si="176"/>
        <v>0</v>
      </c>
      <c r="AA304" s="146">
        <f t="shared" si="176"/>
        <v>0</v>
      </c>
      <c r="AB304" s="146">
        <f t="shared" si="176"/>
        <v>0</v>
      </c>
      <c r="AC304" s="146">
        <f t="shared" si="176"/>
        <v>0</v>
      </c>
      <c r="AD304" s="146">
        <f t="shared" si="176"/>
        <v>0</v>
      </c>
      <c r="AE304" s="146">
        <f t="shared" si="176"/>
        <v>0</v>
      </c>
      <c r="AF304" s="146">
        <f t="shared" si="176"/>
        <v>0</v>
      </c>
      <c r="AG304" s="146">
        <f t="shared" si="176"/>
        <v>0</v>
      </c>
      <c r="AH304" s="146">
        <f t="shared" si="176"/>
        <v>0</v>
      </c>
      <c r="AI304" s="146">
        <f t="shared" si="176"/>
        <v>0</v>
      </c>
      <c r="AJ304" s="146">
        <f t="shared" si="176"/>
        <v>0</v>
      </c>
      <c r="AK304" s="146">
        <f t="shared" si="176"/>
        <v>0</v>
      </c>
      <c r="AL304" s="146">
        <f t="shared" si="176"/>
        <v>0</v>
      </c>
      <c r="AM304" s="146">
        <f t="shared" si="176"/>
        <v>0</v>
      </c>
      <c r="AN304" s="146">
        <f t="shared" si="176"/>
        <v>0</v>
      </c>
      <c r="AO304" s="146">
        <f t="shared" si="176"/>
        <v>0</v>
      </c>
      <c r="AP304" s="146">
        <f t="shared" si="176"/>
        <v>0</v>
      </c>
    </row>
    <row r="305" spans="1:42">
      <c r="A305" s="226" t="str">
        <f>'Inputs &amp; Results'!A68</f>
        <v>Other</v>
      </c>
      <c r="C305" s="225">
        <f t="shared" ref="C305:AP305" si="177">IF(PBIOtherFedTax="Yes",C700,0)</f>
        <v>0</v>
      </c>
      <c r="D305" s="225">
        <f t="shared" si="177"/>
        <v>0</v>
      </c>
      <c r="E305" s="225">
        <f t="shared" si="177"/>
        <v>0</v>
      </c>
      <c r="F305" s="225">
        <f t="shared" si="177"/>
        <v>0</v>
      </c>
      <c r="G305" s="225">
        <f t="shared" si="177"/>
        <v>0</v>
      </c>
      <c r="H305" s="225">
        <f t="shared" si="177"/>
        <v>0</v>
      </c>
      <c r="I305" s="225">
        <f t="shared" si="177"/>
        <v>0</v>
      </c>
      <c r="J305" s="225">
        <f t="shared" si="177"/>
        <v>0</v>
      </c>
      <c r="K305" s="225">
        <f t="shared" si="177"/>
        <v>0</v>
      </c>
      <c r="L305" s="225">
        <f t="shared" si="177"/>
        <v>0</v>
      </c>
      <c r="M305" s="225">
        <f t="shared" si="177"/>
        <v>0</v>
      </c>
      <c r="N305" s="225">
        <f t="shared" si="177"/>
        <v>0</v>
      </c>
      <c r="O305" s="225">
        <f t="shared" si="177"/>
        <v>0</v>
      </c>
      <c r="P305" s="225">
        <f t="shared" si="177"/>
        <v>0</v>
      </c>
      <c r="Q305" s="225">
        <f t="shared" si="177"/>
        <v>0</v>
      </c>
      <c r="R305" s="225">
        <f t="shared" si="177"/>
        <v>0</v>
      </c>
      <c r="S305" s="225">
        <f t="shared" si="177"/>
        <v>0</v>
      </c>
      <c r="T305" s="225">
        <f t="shared" si="177"/>
        <v>0</v>
      </c>
      <c r="U305" s="225">
        <f t="shared" si="177"/>
        <v>0</v>
      </c>
      <c r="V305" s="225">
        <f t="shared" si="177"/>
        <v>0</v>
      </c>
      <c r="W305" s="225">
        <f t="shared" si="177"/>
        <v>0</v>
      </c>
      <c r="X305" s="225">
        <f t="shared" si="177"/>
        <v>0</v>
      </c>
      <c r="Y305" s="225">
        <f t="shared" si="177"/>
        <v>0</v>
      </c>
      <c r="Z305" s="225">
        <f t="shared" si="177"/>
        <v>0</v>
      </c>
      <c r="AA305" s="225">
        <f t="shared" si="177"/>
        <v>0</v>
      </c>
      <c r="AB305" s="225">
        <f t="shared" si="177"/>
        <v>0</v>
      </c>
      <c r="AC305" s="225">
        <f t="shared" si="177"/>
        <v>0</v>
      </c>
      <c r="AD305" s="225">
        <f t="shared" si="177"/>
        <v>0</v>
      </c>
      <c r="AE305" s="225">
        <f t="shared" si="177"/>
        <v>0</v>
      </c>
      <c r="AF305" s="225">
        <f t="shared" si="177"/>
        <v>0</v>
      </c>
      <c r="AG305" s="225">
        <f t="shared" si="177"/>
        <v>0</v>
      </c>
      <c r="AH305" s="225">
        <f t="shared" si="177"/>
        <v>0</v>
      </c>
      <c r="AI305" s="225">
        <f t="shared" si="177"/>
        <v>0</v>
      </c>
      <c r="AJ305" s="225">
        <f t="shared" si="177"/>
        <v>0</v>
      </c>
      <c r="AK305" s="225">
        <f t="shared" si="177"/>
        <v>0</v>
      </c>
      <c r="AL305" s="225">
        <f t="shared" si="177"/>
        <v>0</v>
      </c>
      <c r="AM305" s="225">
        <f t="shared" si="177"/>
        <v>0</v>
      </c>
      <c r="AN305" s="225">
        <f t="shared" si="177"/>
        <v>0</v>
      </c>
      <c r="AO305" s="225">
        <f t="shared" si="177"/>
        <v>0</v>
      </c>
      <c r="AP305" s="225">
        <f t="shared" si="177"/>
        <v>0</v>
      </c>
    </row>
    <row r="306" spans="1:42">
      <c r="A306" s="226" t="s">
        <v>53</v>
      </c>
      <c r="C306" s="216">
        <f>SUM(C302:C305)</f>
        <v>0</v>
      </c>
      <c r="D306" s="216">
        <f t="shared" ref="D306:AL306" si="178">SUM(D302:D305)</f>
        <v>0</v>
      </c>
      <c r="E306" s="216">
        <f t="shared" si="178"/>
        <v>0</v>
      </c>
      <c r="F306" s="216">
        <f t="shared" si="178"/>
        <v>0</v>
      </c>
      <c r="G306" s="216">
        <f t="shared" si="178"/>
        <v>0</v>
      </c>
      <c r="H306" s="216">
        <f t="shared" si="178"/>
        <v>0</v>
      </c>
      <c r="I306" s="216">
        <f t="shared" si="178"/>
        <v>0</v>
      </c>
      <c r="J306" s="216">
        <f t="shared" si="178"/>
        <v>0</v>
      </c>
      <c r="K306" s="216">
        <f t="shared" si="178"/>
        <v>0</v>
      </c>
      <c r="L306" s="216">
        <f t="shared" si="178"/>
        <v>0</v>
      </c>
      <c r="M306" s="216">
        <f t="shared" si="178"/>
        <v>0</v>
      </c>
      <c r="N306" s="216">
        <f t="shared" si="178"/>
        <v>0</v>
      </c>
      <c r="O306" s="216">
        <f t="shared" si="178"/>
        <v>0</v>
      </c>
      <c r="P306" s="216">
        <f t="shared" si="178"/>
        <v>0</v>
      </c>
      <c r="Q306" s="216">
        <f t="shared" si="178"/>
        <v>0</v>
      </c>
      <c r="R306" s="216">
        <f t="shared" si="178"/>
        <v>0</v>
      </c>
      <c r="S306" s="216">
        <f t="shared" si="178"/>
        <v>0</v>
      </c>
      <c r="T306" s="216">
        <f t="shared" si="178"/>
        <v>0</v>
      </c>
      <c r="U306" s="216">
        <f t="shared" si="178"/>
        <v>0</v>
      </c>
      <c r="V306" s="216">
        <f t="shared" si="178"/>
        <v>0</v>
      </c>
      <c r="W306" s="216">
        <f t="shared" si="178"/>
        <v>0</v>
      </c>
      <c r="X306" s="216">
        <f t="shared" si="178"/>
        <v>0</v>
      </c>
      <c r="Y306" s="216">
        <f t="shared" si="178"/>
        <v>0</v>
      </c>
      <c r="Z306" s="216">
        <f t="shared" si="178"/>
        <v>0</v>
      </c>
      <c r="AA306" s="216">
        <f t="shared" si="178"/>
        <v>0</v>
      </c>
      <c r="AB306" s="216">
        <f t="shared" si="178"/>
        <v>0</v>
      </c>
      <c r="AC306" s="216">
        <f t="shared" si="178"/>
        <v>0</v>
      </c>
      <c r="AD306" s="216">
        <f t="shared" si="178"/>
        <v>0</v>
      </c>
      <c r="AE306" s="216">
        <f t="shared" si="178"/>
        <v>0</v>
      </c>
      <c r="AF306" s="216">
        <f t="shared" si="178"/>
        <v>0</v>
      </c>
      <c r="AG306" s="216">
        <f t="shared" si="178"/>
        <v>0</v>
      </c>
      <c r="AH306" s="216">
        <f t="shared" si="178"/>
        <v>0</v>
      </c>
      <c r="AI306" s="216">
        <f t="shared" si="178"/>
        <v>0</v>
      </c>
      <c r="AJ306" s="216">
        <f t="shared" si="178"/>
        <v>0</v>
      </c>
      <c r="AK306" s="216">
        <f t="shared" si="178"/>
        <v>0</v>
      </c>
      <c r="AL306" s="216">
        <f t="shared" si="178"/>
        <v>0</v>
      </c>
      <c r="AM306" s="216">
        <f>SUM(AM302:AM305)</f>
        <v>0</v>
      </c>
      <c r="AN306" s="216">
        <f t="shared" ref="AN306:AP306" si="179">SUM(AN302:AN305)</f>
        <v>0</v>
      </c>
      <c r="AO306" s="216">
        <f t="shared" si="179"/>
        <v>0</v>
      </c>
      <c r="AP306" s="216">
        <f t="shared" si="179"/>
        <v>0</v>
      </c>
    </row>
    <row r="307" spans="1:42" s="119" customFormat="1">
      <c r="A307" s="226" t="s">
        <v>132</v>
      </c>
      <c r="B307" s="42"/>
      <c r="C307" s="220">
        <f>C300+C306</f>
        <v>5668900.9033831488</v>
      </c>
      <c r="D307" s="220">
        <f t="shared" ref="D307:AP307" si="180">D300+D306</f>
        <v>1095649.7157098574</v>
      </c>
      <c r="E307" s="220">
        <f t="shared" si="180"/>
        <v>1103360.9157098574</v>
      </c>
      <c r="F307" s="220">
        <f t="shared" si="180"/>
        <v>1112708.6983322157</v>
      </c>
      <c r="G307" s="220">
        <f t="shared" si="180"/>
        <v>1120731.4308122154</v>
      </c>
      <c r="H307" s="220">
        <f t="shared" si="180"/>
        <v>1128914.6179418152</v>
      </c>
      <c r="I307" s="220">
        <f t="shared" si="180"/>
        <v>1138811.5391694012</v>
      </c>
      <c r="J307" s="220">
        <f t="shared" si="180"/>
        <v>1147325.3270590368</v>
      </c>
      <c r="K307" s="220">
        <f t="shared" si="180"/>
        <v>1156009.3907064651</v>
      </c>
      <c r="L307" s="220">
        <f t="shared" si="180"/>
        <v>1166488.0106772073</v>
      </c>
      <c r="M307" s="220">
        <f t="shared" si="180"/>
        <v>1175522.9104959921</v>
      </c>
      <c r="N307" s="220">
        <f t="shared" si="180"/>
        <v>1184738.5083111525</v>
      </c>
      <c r="O307" s="220">
        <f t="shared" si="180"/>
        <v>1241198.8873344492</v>
      </c>
      <c r="P307" s="220">
        <f t="shared" si="180"/>
        <v>1250786.7953013431</v>
      </c>
      <c r="Q307" s="220">
        <f t="shared" si="180"/>
        <v>1260566.4614275715</v>
      </c>
      <c r="R307" s="220">
        <f t="shared" si="180"/>
        <v>1369404.8621448874</v>
      </c>
      <c r="S307" s="220">
        <f t="shared" si="180"/>
        <v>1379579.6267826196</v>
      </c>
      <c r="T307" s="220">
        <f t="shared" si="180"/>
        <v>1389957.8867131057</v>
      </c>
      <c r="U307" s="220">
        <f t="shared" si="180"/>
        <v>1402397.0041261513</v>
      </c>
      <c r="V307" s="220">
        <f t="shared" si="180"/>
        <v>1413194.5457578283</v>
      </c>
      <c r="W307" s="220">
        <f t="shared" si="180"/>
        <v>1424208.0382221378</v>
      </c>
      <c r="X307" s="220">
        <f t="shared" si="180"/>
        <v>1437379.7481996194</v>
      </c>
      <c r="Y307" s="220">
        <f t="shared" si="180"/>
        <v>1448838.1857594869</v>
      </c>
      <c r="Z307" s="220">
        <f t="shared" si="180"/>
        <v>1460525.7920705529</v>
      </c>
      <c r="AA307" s="220">
        <f t="shared" si="180"/>
        <v>1197199.3681580282</v>
      </c>
      <c r="AB307" s="220">
        <f t="shared" si="180"/>
        <v>1209359.1537640605</v>
      </c>
      <c r="AC307" s="220">
        <f t="shared" si="180"/>
        <v>1221762.1350822137</v>
      </c>
      <c r="AD307" s="220">
        <f t="shared" si="180"/>
        <v>1236532.2118456776</v>
      </c>
      <c r="AE307" s="220">
        <f t="shared" si="180"/>
        <v>1249436.2736090841</v>
      </c>
      <c r="AF307" s="220">
        <f t="shared" si="180"/>
        <v>1262598.4166077599</v>
      </c>
      <c r="AG307" s="220">
        <f t="shared" si="180"/>
        <v>0</v>
      </c>
      <c r="AH307" s="220">
        <f t="shared" si="180"/>
        <v>0</v>
      </c>
      <c r="AI307" s="220">
        <f t="shared" si="180"/>
        <v>0</v>
      </c>
      <c r="AJ307" s="220">
        <f t="shared" si="180"/>
        <v>0</v>
      </c>
      <c r="AK307" s="220">
        <f t="shared" si="180"/>
        <v>0</v>
      </c>
      <c r="AL307" s="220">
        <f t="shared" si="180"/>
        <v>0</v>
      </c>
      <c r="AM307" s="220">
        <f t="shared" si="180"/>
        <v>0</v>
      </c>
      <c r="AN307" s="220">
        <f t="shared" si="180"/>
        <v>0</v>
      </c>
      <c r="AO307" s="220">
        <f t="shared" si="180"/>
        <v>0</v>
      </c>
      <c r="AP307" s="220">
        <f t="shared" si="180"/>
        <v>0</v>
      </c>
    </row>
    <row r="308" spans="1:42">
      <c r="A308" s="219" t="s">
        <v>234</v>
      </c>
      <c r="B308" s="40"/>
      <c r="C308" s="216">
        <f t="shared" ref="C308:AP308" si="181">C307*-FedTax</f>
        <v>-1984115.3161841019</v>
      </c>
      <c r="D308" s="216">
        <f t="shared" si="181"/>
        <v>-383477.40049845009</v>
      </c>
      <c r="E308" s="216">
        <f t="shared" si="181"/>
        <v>-386176.32049845008</v>
      </c>
      <c r="F308" s="216">
        <f t="shared" si="181"/>
        <v>-389448.04441627546</v>
      </c>
      <c r="G308" s="216">
        <f t="shared" si="181"/>
        <v>-392256.00078427535</v>
      </c>
      <c r="H308" s="216">
        <f t="shared" si="181"/>
        <v>-395120.11627963529</v>
      </c>
      <c r="I308" s="216">
        <f t="shared" si="181"/>
        <v>-398584.03870929038</v>
      </c>
      <c r="J308" s="216">
        <f t="shared" si="181"/>
        <v>-401563.86447066284</v>
      </c>
      <c r="K308" s="216">
        <f t="shared" si="181"/>
        <v>-404603.28674726275</v>
      </c>
      <c r="L308" s="216">
        <f t="shared" si="181"/>
        <v>-408270.80373702251</v>
      </c>
      <c r="M308" s="216">
        <f t="shared" si="181"/>
        <v>-411433.01867359719</v>
      </c>
      <c r="N308" s="216">
        <f t="shared" si="181"/>
        <v>-414658.47790890333</v>
      </c>
      <c r="O308" s="216">
        <f t="shared" si="181"/>
        <v>-434419.61056705721</v>
      </c>
      <c r="P308" s="216">
        <f t="shared" si="181"/>
        <v>-437775.37835547008</v>
      </c>
      <c r="Q308" s="216">
        <f t="shared" si="181"/>
        <v>-441198.26149965002</v>
      </c>
      <c r="R308" s="216">
        <f t="shared" si="181"/>
        <v>-479291.70175071055</v>
      </c>
      <c r="S308" s="216">
        <f t="shared" si="181"/>
        <v>-482852.86937391682</v>
      </c>
      <c r="T308" s="216">
        <f t="shared" si="181"/>
        <v>-486485.26034958696</v>
      </c>
      <c r="U308" s="216">
        <f t="shared" si="181"/>
        <v>-490838.95144415292</v>
      </c>
      <c r="V308" s="216">
        <f t="shared" si="181"/>
        <v>-494618.09101523989</v>
      </c>
      <c r="W308" s="216">
        <f t="shared" si="181"/>
        <v>-498472.81337774819</v>
      </c>
      <c r="X308" s="216">
        <f t="shared" si="181"/>
        <v>-503082.91186986672</v>
      </c>
      <c r="Y308" s="216">
        <f t="shared" si="181"/>
        <v>-507093.36501582037</v>
      </c>
      <c r="Z308" s="216">
        <f t="shared" si="181"/>
        <v>-511184.02722469351</v>
      </c>
      <c r="AA308" s="216">
        <f t="shared" si="181"/>
        <v>-419019.77885530988</v>
      </c>
      <c r="AB308" s="216">
        <f t="shared" si="181"/>
        <v>-423275.70381742116</v>
      </c>
      <c r="AC308" s="216">
        <f t="shared" si="181"/>
        <v>-427616.74727877474</v>
      </c>
      <c r="AD308" s="216">
        <f t="shared" si="181"/>
        <v>-432786.27414598712</v>
      </c>
      <c r="AE308" s="216">
        <f t="shared" si="181"/>
        <v>-437302.69576317939</v>
      </c>
      <c r="AF308" s="216">
        <f t="shared" si="181"/>
        <v>-441909.44581271592</v>
      </c>
      <c r="AG308" s="216">
        <f t="shared" si="181"/>
        <v>0</v>
      </c>
      <c r="AH308" s="216">
        <f t="shared" si="181"/>
        <v>0</v>
      </c>
      <c r="AI308" s="216">
        <f t="shared" si="181"/>
        <v>0</v>
      </c>
      <c r="AJ308" s="216">
        <f t="shared" si="181"/>
        <v>0</v>
      </c>
      <c r="AK308" s="216">
        <f t="shared" si="181"/>
        <v>0</v>
      </c>
      <c r="AL308" s="216">
        <f t="shared" si="181"/>
        <v>0</v>
      </c>
      <c r="AM308" s="216">
        <f t="shared" si="181"/>
        <v>0</v>
      </c>
      <c r="AN308" s="216">
        <f t="shared" si="181"/>
        <v>0</v>
      </c>
      <c r="AO308" s="216">
        <f t="shared" si="181"/>
        <v>0</v>
      </c>
      <c r="AP308" s="216">
        <f t="shared" si="181"/>
        <v>0</v>
      </c>
    </row>
    <row r="309" spans="1:42">
      <c r="A309" s="219"/>
      <c r="B309" s="40"/>
      <c r="C309" s="208"/>
      <c r="D309" s="208"/>
      <c r="E309" s="208"/>
      <c r="F309" s="208"/>
      <c r="G309" s="208"/>
      <c r="H309" s="208"/>
      <c r="I309" s="208"/>
      <c r="J309" s="208"/>
      <c r="K309" s="208"/>
      <c r="L309" s="208"/>
      <c r="M309" s="208"/>
      <c r="N309" s="208"/>
      <c r="O309" s="208"/>
      <c r="P309" s="208"/>
      <c r="Q309" s="208"/>
      <c r="R309" s="208"/>
      <c r="S309" s="208"/>
      <c r="T309" s="208"/>
      <c r="U309" s="208"/>
      <c r="V309" s="208"/>
      <c r="W309" s="208"/>
      <c r="X309" s="208"/>
      <c r="Y309" s="208"/>
      <c r="Z309" s="208"/>
      <c r="AA309" s="208"/>
      <c r="AB309" s="208"/>
      <c r="AC309" s="208"/>
      <c r="AD309" s="208"/>
      <c r="AE309" s="208"/>
      <c r="AF309" s="208"/>
      <c r="AG309" s="208"/>
      <c r="AH309" s="208"/>
      <c r="AI309" s="208"/>
      <c r="AJ309" s="208"/>
      <c r="AK309" s="208"/>
      <c r="AL309" s="208"/>
      <c r="AM309" s="208"/>
      <c r="AN309" s="208"/>
      <c r="AO309" s="208"/>
      <c r="AP309" s="208"/>
    </row>
    <row r="310" spans="1:42">
      <c r="A310" s="201" t="s">
        <v>139</v>
      </c>
    </row>
    <row r="311" spans="1:42">
      <c r="A311" s="217" t="s">
        <v>140</v>
      </c>
    </row>
    <row r="312" spans="1:42">
      <c r="A312" s="37" t="s">
        <v>83</v>
      </c>
    </row>
    <row r="313" spans="1:42" ht="51">
      <c r="B313" s="133" t="s">
        <v>157</v>
      </c>
      <c r="C313" s="133" t="s">
        <v>153</v>
      </c>
      <c r="D313" s="133" t="s">
        <v>155</v>
      </c>
      <c r="E313" s="228" t="s">
        <v>156</v>
      </c>
      <c r="F313" s="133" t="s">
        <v>158</v>
      </c>
      <c r="G313" s="229" t="s">
        <v>175</v>
      </c>
      <c r="H313" s="229" t="s">
        <v>176</v>
      </c>
      <c r="I313" s="133" t="s">
        <v>159</v>
      </c>
      <c r="J313" s="230" t="s">
        <v>332</v>
      </c>
      <c r="K313" s="133" t="s">
        <v>337</v>
      </c>
    </row>
    <row r="314" spans="1:42">
      <c r="A314" s="206" t="str">
        <f>'Inputs &amp; Results'!A212</f>
        <v>5-yr MACRS</v>
      </c>
      <c r="B314" s="231">
        <f t="shared" ref="B314:B319" si="182">C314/$C$321</f>
        <v>0.95108695652173914</v>
      </c>
      <c r="C314" s="208">
        <f>'Inputs &amp; Results'!D221</f>
        <v>40466381.590438232</v>
      </c>
      <c r="D314" s="208">
        <f t="shared" ref="D314:E319" si="183">$B314*D$321</f>
        <v>0</v>
      </c>
      <c r="E314" s="208">
        <f t="shared" si="183"/>
        <v>0</v>
      </c>
      <c r="F314" s="165">
        <f>C314-D314-E314</f>
        <v>40466381.590438232</v>
      </c>
      <c r="G314" s="208">
        <f t="shared" ref="G314:G319" si="184">IF(ITCStateFixedStateDeprec="Yes",K584,0)+IF(ITCStatePercentStateDeprec="Yes",I584,0)</f>
        <v>10000</v>
      </c>
      <c r="H314" s="208">
        <f t="shared" ref="H314:H319" si="185">IF(ITCFedFixedStateDeprec="Yes",K619,0)+IF(ITCFedPercentStateDeprec="Yes",I619,0)</f>
        <v>0</v>
      </c>
      <c r="I314" s="232">
        <f>F314-G314-H314</f>
        <v>40456381.590438232</v>
      </c>
      <c r="J314" s="208">
        <f>IF('Inputs &amp; Results'!B233="Yes",I314*StateBonusDeprec,0)</f>
        <v>2022819.0795219117</v>
      </c>
      <c r="K314" s="165">
        <f>I314-J314</f>
        <v>38433562.510916322</v>
      </c>
    </row>
    <row r="315" spans="1:42">
      <c r="A315" s="206" t="str">
        <f>'Inputs &amp; Results'!A213</f>
        <v>15-yr MACRS</v>
      </c>
      <c r="B315" s="231">
        <f t="shared" si="182"/>
        <v>1.6304347826086956E-2</v>
      </c>
      <c r="C315" s="208">
        <f>'Inputs &amp; Results'!D222</f>
        <v>693709.39869322674</v>
      </c>
      <c r="D315" s="208">
        <f t="shared" si="183"/>
        <v>0</v>
      </c>
      <c r="E315" s="208">
        <f t="shared" si="183"/>
        <v>0</v>
      </c>
      <c r="F315" s="165">
        <f t="shared" ref="F315:F319" si="186">C315-D315-E315</f>
        <v>693709.39869322674</v>
      </c>
      <c r="G315" s="208">
        <f t="shared" si="184"/>
        <v>0</v>
      </c>
      <c r="H315" s="208">
        <f t="shared" si="185"/>
        <v>0</v>
      </c>
      <c r="I315" s="165">
        <f t="shared" ref="I315:I319" si="187">F315-G315-H315</f>
        <v>693709.39869322674</v>
      </c>
      <c r="J315" s="208">
        <f>IF('Inputs &amp; Results'!B234="Yes",I315*StateBonusDeprec,0)</f>
        <v>0</v>
      </c>
      <c r="K315" s="165">
        <f t="shared" ref="K315:K319" si="188">I315-J315</f>
        <v>693709.39869322674</v>
      </c>
    </row>
    <row r="316" spans="1:42">
      <c r="A316" s="206" t="str">
        <f>'Inputs &amp; Results'!A214</f>
        <v>5-yr SL</v>
      </c>
      <c r="B316" s="231">
        <f t="shared" si="182"/>
        <v>0</v>
      </c>
      <c r="C316" s="208">
        <f>'Inputs &amp; Results'!D223</f>
        <v>0</v>
      </c>
      <c r="D316" s="208">
        <f t="shared" si="183"/>
        <v>0</v>
      </c>
      <c r="E316" s="208">
        <f t="shared" si="183"/>
        <v>0</v>
      </c>
      <c r="F316" s="165">
        <f t="shared" si="186"/>
        <v>0</v>
      </c>
      <c r="G316" s="208">
        <f t="shared" si="184"/>
        <v>0</v>
      </c>
      <c r="H316" s="208">
        <f t="shared" si="185"/>
        <v>0</v>
      </c>
      <c r="I316" s="165">
        <f t="shared" si="187"/>
        <v>0</v>
      </c>
      <c r="J316" s="208">
        <f>IF('Inputs &amp; Results'!B235="Yes",I316*StateBonusDeprec,0)</f>
        <v>0</v>
      </c>
      <c r="K316" s="165">
        <f t="shared" si="188"/>
        <v>0</v>
      </c>
    </row>
    <row r="317" spans="1:42">
      <c r="A317" s="206" t="str">
        <f>'Inputs &amp; Results'!A215</f>
        <v>15-yr SL</v>
      </c>
      <c r="B317" s="231">
        <f t="shared" si="182"/>
        <v>1.6304347826086956E-2</v>
      </c>
      <c r="C317" s="208">
        <f>'Inputs &amp; Results'!D224</f>
        <v>693709.39869322674</v>
      </c>
      <c r="D317" s="208">
        <f t="shared" si="183"/>
        <v>0</v>
      </c>
      <c r="E317" s="208">
        <f t="shared" si="183"/>
        <v>0</v>
      </c>
      <c r="F317" s="165">
        <f t="shared" si="186"/>
        <v>693709.39869322674</v>
      </c>
      <c r="G317" s="208">
        <f t="shared" si="184"/>
        <v>0</v>
      </c>
      <c r="H317" s="208">
        <f t="shared" si="185"/>
        <v>0</v>
      </c>
      <c r="I317" s="165">
        <f t="shared" si="187"/>
        <v>693709.39869322674</v>
      </c>
      <c r="J317" s="208">
        <f>IF('Inputs &amp; Results'!B236="Yes",I317*StateBonusDeprec,0)</f>
        <v>0</v>
      </c>
      <c r="K317" s="165">
        <f t="shared" si="188"/>
        <v>693709.39869322674</v>
      </c>
    </row>
    <row r="318" spans="1:42">
      <c r="A318" s="206" t="str">
        <f>'Inputs &amp; Results'!A216</f>
        <v>20-yr SL</v>
      </c>
      <c r="B318" s="231">
        <f t="shared" si="182"/>
        <v>1.0869565217391304E-2</v>
      </c>
      <c r="C318" s="208">
        <f>'Inputs &amp; Results'!D225</f>
        <v>462472.93246215122</v>
      </c>
      <c r="D318" s="208">
        <f t="shared" si="183"/>
        <v>0</v>
      </c>
      <c r="E318" s="208">
        <f t="shared" si="183"/>
        <v>0</v>
      </c>
      <c r="F318" s="165">
        <f t="shared" si="186"/>
        <v>462472.93246215122</v>
      </c>
      <c r="G318" s="208">
        <f t="shared" si="184"/>
        <v>0</v>
      </c>
      <c r="H318" s="208">
        <f t="shared" si="185"/>
        <v>0</v>
      </c>
      <c r="I318" s="165">
        <f t="shared" si="187"/>
        <v>462472.93246215122</v>
      </c>
      <c r="J318" s="208">
        <f>IF('Inputs &amp; Results'!B237="Yes",I318*StateBonusDeprec,0)</f>
        <v>0</v>
      </c>
      <c r="K318" s="165">
        <f t="shared" si="188"/>
        <v>462472.93246215122</v>
      </c>
    </row>
    <row r="319" spans="1:42">
      <c r="A319" s="206" t="str">
        <f>'Inputs &amp; Results'!A217</f>
        <v>39-yr SL</v>
      </c>
      <c r="B319" s="231">
        <f t="shared" si="182"/>
        <v>5.434782608695652E-3</v>
      </c>
      <c r="C319" s="208">
        <f>'Inputs &amp; Results'!D226</f>
        <v>231236.46623107561</v>
      </c>
      <c r="D319" s="208">
        <f t="shared" si="183"/>
        <v>0</v>
      </c>
      <c r="E319" s="208">
        <f t="shared" si="183"/>
        <v>0</v>
      </c>
      <c r="F319" s="165">
        <f t="shared" si="186"/>
        <v>231236.46623107561</v>
      </c>
      <c r="G319" s="208">
        <f t="shared" si="184"/>
        <v>0</v>
      </c>
      <c r="H319" s="208">
        <f t="shared" si="185"/>
        <v>0</v>
      </c>
      <c r="I319" s="165">
        <f t="shared" si="187"/>
        <v>231236.46623107561</v>
      </c>
      <c r="J319" s="208">
        <f>IF('Inputs &amp; Results'!B238="Yes",I319*StateBonusDeprec,0)</f>
        <v>0</v>
      </c>
      <c r="K319" s="165">
        <f t="shared" si="188"/>
        <v>231236.46623107561</v>
      </c>
    </row>
    <row r="320" spans="1:42">
      <c r="A320" s="301" t="s">
        <v>391</v>
      </c>
      <c r="B320" s="233"/>
      <c r="C320" s="234"/>
      <c r="D320" s="235"/>
      <c r="E320" s="235"/>
      <c r="F320" s="103"/>
      <c r="G320" s="235"/>
      <c r="H320" s="235"/>
      <c r="I320" s="103"/>
      <c r="J320" s="235"/>
      <c r="K320" s="103"/>
    </row>
    <row r="321" spans="1:11">
      <c r="B321" s="236">
        <f>SUM(B314:B320)</f>
        <v>1</v>
      </c>
      <c r="C321" s="209">
        <f>SUM(C314:C320)</f>
        <v>42547509.786517911</v>
      </c>
      <c r="D321" s="209">
        <f>B330+B336</f>
        <v>0</v>
      </c>
      <c r="E321" s="209">
        <f>B342</f>
        <v>0</v>
      </c>
      <c r="F321" s="237">
        <f t="shared" ref="F321:K321" si="189">SUM(F314:F320)</f>
        <v>42547509.786517911</v>
      </c>
      <c r="G321" s="209">
        <f t="shared" si="189"/>
        <v>10000</v>
      </c>
      <c r="H321" s="209">
        <f t="shared" si="189"/>
        <v>0</v>
      </c>
      <c r="I321" s="237">
        <f t="shared" si="189"/>
        <v>42537509.786517911</v>
      </c>
      <c r="J321" s="237">
        <f t="shared" si="189"/>
        <v>2022819.0795219117</v>
      </c>
      <c r="K321" s="237">
        <f t="shared" si="189"/>
        <v>40514690.706996001</v>
      </c>
    </row>
    <row r="323" spans="1:11">
      <c r="A323" s="37" t="s">
        <v>171</v>
      </c>
    </row>
    <row r="324" spans="1:11">
      <c r="A324" s="206" t="str">
        <f>A664</f>
        <v>Investment Based Incentive (IBI)</v>
      </c>
    </row>
    <row r="325" spans="1:11">
      <c r="A325" s="222" t="str">
        <f t="shared" ref="A325:A341" si="190">A665</f>
        <v>Fixed Amount ($)</v>
      </c>
    </row>
    <row r="326" spans="1:11">
      <c r="A326" s="238" t="str">
        <f t="shared" si="190"/>
        <v>Federal</v>
      </c>
      <c r="B326" s="164">
        <f>IF(IBIFedFixedStateDeprec="Yes",IBIFedFixed,0)</f>
        <v>0</v>
      </c>
    </row>
    <row r="327" spans="1:11">
      <c r="A327" s="238" t="str">
        <f t="shared" si="190"/>
        <v>State</v>
      </c>
      <c r="B327" s="164">
        <f>IF(IBIStateFixedStateDeprec="Yes",IBIStateFixed,0)</f>
        <v>0</v>
      </c>
    </row>
    <row r="328" spans="1:11">
      <c r="A328" s="238" t="str">
        <f t="shared" si="190"/>
        <v>Utility</v>
      </c>
      <c r="B328" s="164">
        <f>IF(IBIUtilityFixedStateDeprec="Yes",IBIUtilityFixed,0)</f>
        <v>0</v>
      </c>
    </row>
    <row r="329" spans="1:11">
      <c r="A329" s="238" t="str">
        <f t="shared" si="190"/>
        <v>Other</v>
      </c>
      <c r="B329" s="209">
        <f>IF(IBIOtherFixedStateDeprec="Yes",IBIOtherFixed,0)</f>
        <v>0</v>
      </c>
    </row>
    <row r="330" spans="1:11">
      <c r="A330" s="238" t="str">
        <f t="shared" si="190"/>
        <v>Total</v>
      </c>
      <c r="B330" s="164">
        <f>SUM(B326:B329)</f>
        <v>0</v>
      </c>
    </row>
    <row r="331" spans="1:11">
      <c r="A331" s="222" t="str">
        <f t="shared" si="190"/>
        <v>Percentage of Pre-Financing Costs</v>
      </c>
    </row>
    <row r="332" spans="1:11">
      <c r="A332" s="238" t="str">
        <f t="shared" si="190"/>
        <v>Federal</v>
      </c>
      <c r="B332" s="164">
        <f>IF(IBIFedPercentStateDeprec="Yes",IBIFedPercent,0)</f>
        <v>0</v>
      </c>
    </row>
    <row r="333" spans="1:11">
      <c r="A333" s="238" t="str">
        <f>A673</f>
        <v>State</v>
      </c>
      <c r="B333" s="164">
        <f>IF(IBIStatePercentStateDeprec="Yes",IBIStatePercent,0)</f>
        <v>0</v>
      </c>
    </row>
    <row r="334" spans="1:11">
      <c r="A334" s="238" t="str">
        <f t="shared" si="190"/>
        <v>Utility</v>
      </c>
      <c r="B334" s="164">
        <f>IF(IBIUtilityPercentStateDeprec="Yes",IBIUtilityPercent,0)</f>
        <v>0</v>
      </c>
    </row>
    <row r="335" spans="1:11">
      <c r="A335" s="238" t="str">
        <f t="shared" si="190"/>
        <v>Other</v>
      </c>
      <c r="B335" s="209">
        <f>IF(IBIOtherPercentStateDeprec="Yes",IBIOtherPercent,0)</f>
        <v>0</v>
      </c>
    </row>
    <row r="336" spans="1:11">
      <c r="A336" s="238" t="str">
        <f t="shared" si="190"/>
        <v>Total</v>
      </c>
      <c r="B336" s="164">
        <f>SUM(B332:B335)</f>
        <v>0</v>
      </c>
    </row>
    <row r="337" spans="1:42">
      <c r="A337" s="206" t="str">
        <f t="shared" si="190"/>
        <v>Capacity Based Incentive (CBI)</v>
      </c>
    </row>
    <row r="338" spans="1:42">
      <c r="A338" s="222" t="str">
        <f t="shared" si="190"/>
        <v>Federal</v>
      </c>
      <c r="B338" s="164">
        <f>IF(CBIFedStateDeprec="Yes",CBIFed,0)</f>
        <v>0</v>
      </c>
    </row>
    <row r="339" spans="1:42">
      <c r="A339" s="222" t="str">
        <f>A679</f>
        <v>State</v>
      </c>
      <c r="B339" s="164">
        <f>IF(CBIStateStateDeprec="Yes",CBIState,0)</f>
        <v>0</v>
      </c>
    </row>
    <row r="340" spans="1:42">
      <c r="A340" s="222" t="str">
        <f t="shared" si="190"/>
        <v>Utility</v>
      </c>
      <c r="B340" s="164">
        <f>IF(CBIUtilityStateDeprec="Yes",CBIUtility,0)</f>
        <v>0</v>
      </c>
    </row>
    <row r="341" spans="1:42">
      <c r="A341" s="222" t="str">
        <f t="shared" si="190"/>
        <v>Other</v>
      </c>
      <c r="B341" s="209">
        <f>IF(CBIOtherStateDeprec="Yes",CBIOther,0)</f>
        <v>0</v>
      </c>
    </row>
    <row r="342" spans="1:42">
      <c r="A342" s="222" t="str">
        <f>A682</f>
        <v>Total</v>
      </c>
      <c r="B342" s="216">
        <f>SUM(B338:B341)</f>
        <v>0</v>
      </c>
    </row>
    <row r="343" spans="1:42">
      <c r="A343" s="206" t="s">
        <v>154</v>
      </c>
      <c r="B343" s="164">
        <f>B330+B336+B342</f>
        <v>0</v>
      </c>
    </row>
    <row r="345" spans="1:42">
      <c r="A345" s="37" t="s">
        <v>263</v>
      </c>
    </row>
    <row r="346" spans="1:42">
      <c r="A346" s="206" t="s">
        <v>160</v>
      </c>
    </row>
    <row r="347" spans="1:42">
      <c r="A347" s="227" t="str">
        <f>A314</f>
        <v>5-yr MACRS</v>
      </c>
      <c r="B347" s="239">
        <f>SUM(C347:AP347)</f>
        <v>0.99999999999999989</v>
      </c>
      <c r="C347" s="240">
        <f>LOOKUP(C$2,'Depreciation Schedules'!$A$3:$A$42,'Depreciation Schedules'!$B$3:$B$42)</f>
        <v>0.2</v>
      </c>
      <c r="D347" s="240">
        <f>LOOKUP(D$2,'Depreciation Schedules'!$A$3:$A$42,'Depreciation Schedules'!$B$3:$B$42)</f>
        <v>0.32</v>
      </c>
      <c r="E347" s="240">
        <f>LOOKUP(E$2,'Depreciation Schedules'!$A$3:$A$42,'Depreciation Schedules'!$B$3:$B$42)</f>
        <v>0.192</v>
      </c>
      <c r="F347" s="240">
        <f>LOOKUP(F$2,'Depreciation Schedules'!$A$3:$A$42,'Depreciation Schedules'!$B$3:$B$42)</f>
        <v>0.1152</v>
      </c>
      <c r="G347" s="240">
        <f>LOOKUP(G$2,'Depreciation Schedules'!$A$3:$A$42,'Depreciation Schedules'!$B$3:$B$42)</f>
        <v>0.1152</v>
      </c>
      <c r="H347" s="240">
        <f>LOOKUP(H$2,'Depreciation Schedules'!$A$3:$A$42,'Depreciation Schedules'!$B$3:$B$42)</f>
        <v>5.7599999999999998E-2</v>
      </c>
      <c r="I347" s="240">
        <f>LOOKUP(I$2,'Depreciation Schedules'!$A$3:$A$42,'Depreciation Schedules'!$B$3:$B$42)</f>
        <v>0</v>
      </c>
      <c r="J347" s="240">
        <f>LOOKUP(J$2,'Depreciation Schedules'!$A$3:$A$42,'Depreciation Schedules'!$B$3:$B$42)</f>
        <v>0</v>
      </c>
      <c r="K347" s="240">
        <f>LOOKUP(K$2,'Depreciation Schedules'!$A$3:$A$42,'Depreciation Schedules'!$B$3:$B$42)</f>
        <v>0</v>
      </c>
      <c r="L347" s="240">
        <f>LOOKUP(L$2,'Depreciation Schedules'!$A$3:$A$42,'Depreciation Schedules'!$B$3:$B$42)</f>
        <v>0</v>
      </c>
      <c r="M347" s="240">
        <f>LOOKUP(M$2,'Depreciation Schedules'!$A$3:$A$42,'Depreciation Schedules'!$B$3:$B$42)</f>
        <v>0</v>
      </c>
      <c r="N347" s="240">
        <f>LOOKUP(N$2,'Depreciation Schedules'!$A$3:$A$42,'Depreciation Schedules'!$B$3:$B$42)</f>
        <v>0</v>
      </c>
      <c r="O347" s="240">
        <f>LOOKUP(O$2,'Depreciation Schedules'!$A$3:$A$42,'Depreciation Schedules'!$B$3:$B$42)</f>
        <v>0</v>
      </c>
      <c r="P347" s="240">
        <f>LOOKUP(P$2,'Depreciation Schedules'!$A$3:$A$42,'Depreciation Schedules'!$B$3:$B$42)</f>
        <v>0</v>
      </c>
      <c r="Q347" s="240">
        <f>LOOKUP(Q$2,'Depreciation Schedules'!$A$3:$A$42,'Depreciation Schedules'!$B$3:$B$42)</f>
        <v>0</v>
      </c>
      <c r="R347" s="240">
        <f>LOOKUP(R$2,'Depreciation Schedules'!$A$3:$A$42,'Depreciation Schedules'!$B$3:$B$42)</f>
        <v>0</v>
      </c>
      <c r="S347" s="240">
        <f>LOOKUP(S$2,'Depreciation Schedules'!$A$3:$A$42,'Depreciation Schedules'!$B$3:$B$42)</f>
        <v>0</v>
      </c>
      <c r="T347" s="240">
        <f>LOOKUP(T$2,'Depreciation Schedules'!$A$3:$A$42,'Depreciation Schedules'!$B$3:$B$42)</f>
        <v>0</v>
      </c>
      <c r="U347" s="240">
        <f>LOOKUP(U$2,'Depreciation Schedules'!$A$3:$A$42,'Depreciation Schedules'!$B$3:$B$42)</f>
        <v>0</v>
      </c>
      <c r="V347" s="240">
        <f>LOOKUP(V$2,'Depreciation Schedules'!$A$3:$A$42,'Depreciation Schedules'!$B$3:$B$42)</f>
        <v>0</v>
      </c>
      <c r="W347" s="240">
        <f>LOOKUP(W$2,'Depreciation Schedules'!$A$3:$A$42,'Depreciation Schedules'!$B$3:$B$42)</f>
        <v>0</v>
      </c>
      <c r="X347" s="240">
        <f>LOOKUP(X$2,'Depreciation Schedules'!$A$3:$A$42,'Depreciation Schedules'!$B$3:$B$42)</f>
        <v>0</v>
      </c>
      <c r="Y347" s="240">
        <f>LOOKUP(Y$2,'Depreciation Schedules'!$A$3:$A$42,'Depreciation Schedules'!$B$3:$B$42)</f>
        <v>0</v>
      </c>
      <c r="Z347" s="240">
        <f>LOOKUP(Z$2,'Depreciation Schedules'!$A$3:$A$42,'Depreciation Schedules'!$B$3:$B$42)</f>
        <v>0</v>
      </c>
      <c r="AA347" s="240">
        <f>LOOKUP(AA$2,'Depreciation Schedules'!$A$3:$A$42,'Depreciation Schedules'!$B$3:$B$42)</f>
        <v>0</v>
      </c>
      <c r="AB347" s="240">
        <f>LOOKUP(AB$2,'Depreciation Schedules'!$A$3:$A$42,'Depreciation Schedules'!$B$3:$B$42)</f>
        <v>0</v>
      </c>
      <c r="AC347" s="240">
        <f>LOOKUP(AC$2,'Depreciation Schedules'!$A$3:$A$42,'Depreciation Schedules'!$B$3:$B$42)</f>
        <v>0</v>
      </c>
      <c r="AD347" s="240">
        <f>LOOKUP(AD$2,'Depreciation Schedules'!$A$3:$A$42,'Depreciation Schedules'!$B$3:$B$42)</f>
        <v>0</v>
      </c>
      <c r="AE347" s="240">
        <f>LOOKUP(AE$2,'Depreciation Schedules'!$A$3:$A$42,'Depreciation Schedules'!$B$3:$B$42)</f>
        <v>0</v>
      </c>
      <c r="AF347" s="240">
        <f>LOOKUP(AF$2,'Depreciation Schedules'!$A$3:$A$42,'Depreciation Schedules'!$B$3:$B$42)</f>
        <v>0</v>
      </c>
      <c r="AG347" s="240">
        <f>LOOKUP(AG$2,'Depreciation Schedules'!$A$3:$A$42,'Depreciation Schedules'!$B$3:$B$42)</f>
        <v>0</v>
      </c>
      <c r="AH347" s="240">
        <f>LOOKUP(AH$2,'Depreciation Schedules'!$A$3:$A$42,'Depreciation Schedules'!$B$3:$B$42)</f>
        <v>0</v>
      </c>
      <c r="AI347" s="240">
        <f>LOOKUP(AI$2,'Depreciation Schedules'!$A$3:$A$42,'Depreciation Schedules'!$B$3:$B$42)</f>
        <v>0</v>
      </c>
      <c r="AJ347" s="240">
        <f>LOOKUP(AJ$2,'Depreciation Schedules'!$A$3:$A$42,'Depreciation Schedules'!$B$3:$B$42)</f>
        <v>0</v>
      </c>
      <c r="AK347" s="240">
        <f>LOOKUP(AK$2,'Depreciation Schedules'!$A$3:$A$42,'Depreciation Schedules'!$B$3:$B$42)</f>
        <v>0</v>
      </c>
      <c r="AL347" s="240">
        <f>LOOKUP(AL$2,'Depreciation Schedules'!$A$3:$A$42,'Depreciation Schedules'!$B$3:$B$42)</f>
        <v>0</v>
      </c>
      <c r="AM347" s="240">
        <f>LOOKUP(AM$2,'Depreciation Schedules'!$A$3:$A$42,'Depreciation Schedules'!$B$3:$B$42)</f>
        <v>0</v>
      </c>
      <c r="AN347" s="240">
        <f>LOOKUP(AN$2,'Depreciation Schedules'!$A$3:$A$42,'Depreciation Schedules'!$B$3:$B$42)</f>
        <v>0</v>
      </c>
      <c r="AO347" s="240">
        <f>LOOKUP(AO$2,'Depreciation Schedules'!$A$3:$A$42,'Depreciation Schedules'!$B$3:$B$42)</f>
        <v>0</v>
      </c>
      <c r="AP347" s="240">
        <f>LOOKUP(AP$2,'Depreciation Schedules'!$A$3:$A$42,'Depreciation Schedules'!$B$3:$B$42)</f>
        <v>0</v>
      </c>
    </row>
    <row r="348" spans="1:42">
      <c r="A348" s="227" t="str">
        <f t="shared" ref="A348:A352" si="191">A315</f>
        <v>15-yr MACRS</v>
      </c>
      <c r="B348" s="241">
        <f t="shared" ref="B348:B352" si="192">SUM(C348:AP348)</f>
        <v>1.0000000000000002</v>
      </c>
      <c r="C348" s="240">
        <f>LOOKUP(C$2,'Depreciation Schedules'!$A$3:$A$42,'Depreciation Schedules'!$C$3:$C$42)</f>
        <v>0.05</v>
      </c>
      <c r="D348" s="240">
        <f>LOOKUP(D$2,'Depreciation Schedules'!$A$3:$A$42,'Depreciation Schedules'!$C$3:$C$42)</f>
        <v>9.5000000000000001E-2</v>
      </c>
      <c r="E348" s="240">
        <f>LOOKUP(E$2,'Depreciation Schedules'!$A$3:$A$42,'Depreciation Schedules'!$C$3:$C$42)</f>
        <v>8.5500000000000007E-2</v>
      </c>
      <c r="F348" s="240">
        <f>LOOKUP(F$2,'Depreciation Schedules'!$A$3:$A$42,'Depreciation Schedules'!$C$3:$C$42)</f>
        <v>7.6999999999999999E-2</v>
      </c>
      <c r="G348" s="240">
        <f>LOOKUP(G$2,'Depreciation Schedules'!$A$3:$A$42,'Depreciation Schedules'!$C$3:$C$42)</f>
        <v>6.93E-2</v>
      </c>
      <c r="H348" s="240">
        <f>LOOKUP(H$2,'Depreciation Schedules'!$A$3:$A$42,'Depreciation Schedules'!$C$3:$C$42)</f>
        <v>6.2300000000000001E-2</v>
      </c>
      <c r="I348" s="240">
        <f>LOOKUP(I$2,'Depreciation Schedules'!$A$3:$A$42,'Depreciation Schedules'!$C$3:$C$42)</f>
        <v>5.8999999999999997E-2</v>
      </c>
      <c r="J348" s="240">
        <f>LOOKUP(J$2,'Depreciation Schedules'!$A$3:$A$42,'Depreciation Schedules'!$C$3:$C$42)</f>
        <v>5.8999999999999997E-2</v>
      </c>
      <c r="K348" s="240">
        <f>LOOKUP(K$2,'Depreciation Schedules'!$A$3:$A$42,'Depreciation Schedules'!$C$3:$C$42)</f>
        <v>5.91E-2</v>
      </c>
      <c r="L348" s="240">
        <f>LOOKUP(L$2,'Depreciation Schedules'!$A$3:$A$42,'Depreciation Schedules'!$C$3:$C$42)</f>
        <v>5.8999999999999997E-2</v>
      </c>
      <c r="M348" s="240">
        <f>LOOKUP(M$2,'Depreciation Schedules'!$A$3:$A$42,'Depreciation Schedules'!$C$3:$C$42)</f>
        <v>5.91E-2</v>
      </c>
      <c r="N348" s="240">
        <f>LOOKUP(N$2,'Depreciation Schedules'!$A$3:$A$42,'Depreciation Schedules'!$C$3:$C$42)</f>
        <v>5.8999999999999997E-2</v>
      </c>
      <c r="O348" s="240">
        <f>LOOKUP(O$2,'Depreciation Schedules'!$A$3:$A$42,'Depreciation Schedules'!$C$3:$C$42)</f>
        <v>5.91E-2</v>
      </c>
      <c r="P348" s="240">
        <f>LOOKUP(P$2,'Depreciation Schedules'!$A$3:$A$42,'Depreciation Schedules'!$C$3:$C$42)</f>
        <v>5.8999999999999997E-2</v>
      </c>
      <c r="Q348" s="240">
        <f>LOOKUP(Q$2,'Depreciation Schedules'!$A$3:$A$42,'Depreciation Schedules'!$C$3:$C$42)</f>
        <v>5.91E-2</v>
      </c>
      <c r="R348" s="240">
        <f>LOOKUP(R$2,'Depreciation Schedules'!$A$3:$A$42,'Depreciation Schedules'!$C$3:$C$42)</f>
        <v>2.9499999999999998E-2</v>
      </c>
      <c r="S348" s="240">
        <f>LOOKUP(S$2,'Depreciation Schedules'!$A$3:$A$42,'Depreciation Schedules'!$C$3:$C$42)</f>
        <v>0</v>
      </c>
      <c r="T348" s="240">
        <f>LOOKUP(T$2,'Depreciation Schedules'!$A$3:$A$42,'Depreciation Schedules'!$C$3:$C$42)</f>
        <v>0</v>
      </c>
      <c r="U348" s="240">
        <f>LOOKUP(U$2,'Depreciation Schedules'!$A$3:$A$42,'Depreciation Schedules'!$C$3:$C$42)</f>
        <v>0</v>
      </c>
      <c r="V348" s="240">
        <f>LOOKUP(V$2,'Depreciation Schedules'!$A$3:$A$42,'Depreciation Schedules'!$C$3:$C$42)</f>
        <v>0</v>
      </c>
      <c r="W348" s="240">
        <f>LOOKUP(W$2,'Depreciation Schedules'!$A$3:$A$42,'Depreciation Schedules'!$C$3:$C$42)</f>
        <v>0</v>
      </c>
      <c r="X348" s="240">
        <f>LOOKUP(X$2,'Depreciation Schedules'!$A$3:$A$42,'Depreciation Schedules'!$C$3:$C$42)</f>
        <v>0</v>
      </c>
      <c r="Y348" s="240">
        <f>LOOKUP(Y$2,'Depreciation Schedules'!$A$3:$A$42,'Depreciation Schedules'!$C$3:$C$42)</f>
        <v>0</v>
      </c>
      <c r="Z348" s="240">
        <f>LOOKUP(Z$2,'Depreciation Schedules'!$A$3:$A$42,'Depreciation Schedules'!$C$3:$C$42)</f>
        <v>0</v>
      </c>
      <c r="AA348" s="240">
        <f>LOOKUP(AA$2,'Depreciation Schedules'!$A$3:$A$42,'Depreciation Schedules'!$C$3:$C$42)</f>
        <v>0</v>
      </c>
      <c r="AB348" s="240">
        <f>LOOKUP(AB$2,'Depreciation Schedules'!$A$3:$A$42,'Depreciation Schedules'!$C$3:$C$42)</f>
        <v>0</v>
      </c>
      <c r="AC348" s="240">
        <f>LOOKUP(AC$2,'Depreciation Schedules'!$A$3:$A$42,'Depreciation Schedules'!$C$3:$C$42)</f>
        <v>0</v>
      </c>
      <c r="AD348" s="240">
        <f>LOOKUP(AD$2,'Depreciation Schedules'!$A$3:$A$42,'Depreciation Schedules'!$C$3:$C$42)</f>
        <v>0</v>
      </c>
      <c r="AE348" s="240">
        <f>LOOKUP(AE$2,'Depreciation Schedules'!$A$3:$A$42,'Depreciation Schedules'!$C$3:$C$42)</f>
        <v>0</v>
      </c>
      <c r="AF348" s="240">
        <f>LOOKUP(AF$2,'Depreciation Schedules'!$A$3:$A$42,'Depreciation Schedules'!$C$3:$C$42)</f>
        <v>0</v>
      </c>
      <c r="AG348" s="240">
        <f>LOOKUP(AG$2,'Depreciation Schedules'!$A$3:$A$42,'Depreciation Schedules'!$C$3:$C$42)</f>
        <v>0</v>
      </c>
      <c r="AH348" s="240">
        <f>LOOKUP(AH$2,'Depreciation Schedules'!$A$3:$A$42,'Depreciation Schedules'!$C$3:$C$42)</f>
        <v>0</v>
      </c>
      <c r="AI348" s="240">
        <f>LOOKUP(AI$2,'Depreciation Schedules'!$A$3:$A$42,'Depreciation Schedules'!$C$3:$C$42)</f>
        <v>0</v>
      </c>
      <c r="AJ348" s="240">
        <f>LOOKUP(AJ$2,'Depreciation Schedules'!$A$3:$A$42,'Depreciation Schedules'!$C$3:$C$42)</f>
        <v>0</v>
      </c>
      <c r="AK348" s="240">
        <f>LOOKUP(AK$2,'Depreciation Schedules'!$A$3:$A$42,'Depreciation Schedules'!$C$3:$C$42)</f>
        <v>0</v>
      </c>
      <c r="AL348" s="240">
        <f>LOOKUP(AL$2,'Depreciation Schedules'!$A$3:$A$42,'Depreciation Schedules'!$C$3:$C$42)</f>
        <v>0</v>
      </c>
      <c r="AM348" s="240">
        <f>LOOKUP(AM$2,'Depreciation Schedules'!$A$3:$A$42,'Depreciation Schedules'!$C$3:$C$42)</f>
        <v>0</v>
      </c>
      <c r="AN348" s="240">
        <f>LOOKUP(AN$2,'Depreciation Schedules'!$A$3:$A$42,'Depreciation Schedules'!$C$3:$C$42)</f>
        <v>0</v>
      </c>
      <c r="AO348" s="240">
        <f>LOOKUP(AO$2,'Depreciation Schedules'!$A$3:$A$42,'Depreciation Schedules'!$C$3:$C$42)</f>
        <v>0</v>
      </c>
      <c r="AP348" s="240">
        <f>LOOKUP(AP$2,'Depreciation Schedules'!$A$3:$A$42,'Depreciation Schedules'!$C$3:$C$42)</f>
        <v>0</v>
      </c>
    </row>
    <row r="349" spans="1:42">
      <c r="A349" s="227" t="str">
        <f t="shared" si="191"/>
        <v>5-yr SL</v>
      </c>
      <c r="B349" s="241">
        <f t="shared" si="192"/>
        <v>0.99999999999999989</v>
      </c>
      <c r="C349" s="240">
        <f>LOOKUP(C$2,'Depreciation Schedules'!$A$3:$A$42,'Depreciation Schedules'!$D$3:$D$42)</f>
        <v>0.1</v>
      </c>
      <c r="D349" s="240">
        <f>LOOKUP(D$2,'Depreciation Schedules'!$A$3:$A$42,'Depreciation Schedules'!$D$3:$D$42)</f>
        <v>0.2</v>
      </c>
      <c r="E349" s="240">
        <f>LOOKUP(E$2,'Depreciation Schedules'!$A$3:$A$42,'Depreciation Schedules'!$D$3:$D$42)</f>
        <v>0.2</v>
      </c>
      <c r="F349" s="240">
        <f>LOOKUP(F$2,'Depreciation Schedules'!$A$3:$A$42,'Depreciation Schedules'!$D$3:$D$42)</f>
        <v>0.2</v>
      </c>
      <c r="G349" s="240">
        <f>LOOKUP(G$2,'Depreciation Schedules'!$A$3:$A$42,'Depreciation Schedules'!$D$3:$D$42)</f>
        <v>0.2</v>
      </c>
      <c r="H349" s="240">
        <f>LOOKUP(H$2,'Depreciation Schedules'!$A$3:$A$42,'Depreciation Schedules'!$D$3:$D$42)</f>
        <v>0.1</v>
      </c>
      <c r="I349" s="240">
        <f>LOOKUP(I$2,'Depreciation Schedules'!$A$3:$A$42,'Depreciation Schedules'!$D$3:$D$42)</f>
        <v>0</v>
      </c>
      <c r="J349" s="240">
        <f>LOOKUP(J$2,'Depreciation Schedules'!$A$3:$A$42,'Depreciation Schedules'!$D$3:$D$42)</f>
        <v>0</v>
      </c>
      <c r="K349" s="240">
        <f>LOOKUP(K$2,'Depreciation Schedules'!$A$3:$A$42,'Depreciation Schedules'!$D$3:$D$42)</f>
        <v>0</v>
      </c>
      <c r="L349" s="240">
        <f>LOOKUP(L$2,'Depreciation Schedules'!$A$3:$A$42,'Depreciation Schedules'!$D$3:$D$42)</f>
        <v>0</v>
      </c>
      <c r="M349" s="240">
        <f>LOOKUP(M$2,'Depreciation Schedules'!$A$3:$A$42,'Depreciation Schedules'!$D$3:$D$42)</f>
        <v>0</v>
      </c>
      <c r="N349" s="240">
        <f>LOOKUP(N$2,'Depreciation Schedules'!$A$3:$A$42,'Depreciation Schedules'!$D$3:$D$42)</f>
        <v>0</v>
      </c>
      <c r="O349" s="240">
        <f>LOOKUP(O$2,'Depreciation Schedules'!$A$3:$A$42,'Depreciation Schedules'!$D$3:$D$42)</f>
        <v>0</v>
      </c>
      <c r="P349" s="240">
        <f>LOOKUP(P$2,'Depreciation Schedules'!$A$3:$A$42,'Depreciation Schedules'!$D$3:$D$42)</f>
        <v>0</v>
      </c>
      <c r="Q349" s="240">
        <f>LOOKUP(Q$2,'Depreciation Schedules'!$A$3:$A$42,'Depreciation Schedules'!$D$3:$D$42)</f>
        <v>0</v>
      </c>
      <c r="R349" s="240">
        <f>LOOKUP(R$2,'Depreciation Schedules'!$A$3:$A$42,'Depreciation Schedules'!$D$3:$D$42)</f>
        <v>0</v>
      </c>
      <c r="S349" s="240">
        <f>LOOKUP(S$2,'Depreciation Schedules'!$A$3:$A$42,'Depreciation Schedules'!$D$3:$D$42)</f>
        <v>0</v>
      </c>
      <c r="T349" s="240">
        <f>LOOKUP(T$2,'Depreciation Schedules'!$A$3:$A$42,'Depreciation Schedules'!$D$3:$D$42)</f>
        <v>0</v>
      </c>
      <c r="U349" s="240">
        <f>LOOKUP(U$2,'Depreciation Schedules'!$A$3:$A$42,'Depreciation Schedules'!$D$3:$D$42)</f>
        <v>0</v>
      </c>
      <c r="V349" s="240">
        <f>LOOKUP(V$2,'Depreciation Schedules'!$A$3:$A$42,'Depreciation Schedules'!$D$3:$D$42)</f>
        <v>0</v>
      </c>
      <c r="W349" s="240">
        <f>LOOKUP(W$2,'Depreciation Schedules'!$A$3:$A$42,'Depreciation Schedules'!$D$3:$D$42)</f>
        <v>0</v>
      </c>
      <c r="X349" s="240">
        <f>LOOKUP(X$2,'Depreciation Schedules'!$A$3:$A$42,'Depreciation Schedules'!$D$3:$D$42)</f>
        <v>0</v>
      </c>
      <c r="Y349" s="240">
        <f>LOOKUP(Y$2,'Depreciation Schedules'!$A$3:$A$42,'Depreciation Schedules'!$D$3:$D$42)</f>
        <v>0</v>
      </c>
      <c r="Z349" s="240">
        <f>LOOKUP(Z$2,'Depreciation Schedules'!$A$3:$A$42,'Depreciation Schedules'!$D$3:$D$42)</f>
        <v>0</v>
      </c>
      <c r="AA349" s="240">
        <f>LOOKUP(AA$2,'Depreciation Schedules'!$A$3:$A$42,'Depreciation Schedules'!$D$3:$D$42)</f>
        <v>0</v>
      </c>
      <c r="AB349" s="240">
        <f>LOOKUP(AB$2,'Depreciation Schedules'!$A$3:$A$42,'Depreciation Schedules'!$D$3:$D$42)</f>
        <v>0</v>
      </c>
      <c r="AC349" s="240">
        <f>LOOKUP(AC$2,'Depreciation Schedules'!$A$3:$A$42,'Depreciation Schedules'!$D$3:$D$42)</f>
        <v>0</v>
      </c>
      <c r="AD349" s="240">
        <f>LOOKUP(AD$2,'Depreciation Schedules'!$A$3:$A$42,'Depreciation Schedules'!$D$3:$D$42)</f>
        <v>0</v>
      </c>
      <c r="AE349" s="240">
        <f>LOOKUP(AE$2,'Depreciation Schedules'!$A$3:$A$42,'Depreciation Schedules'!$D$3:$D$42)</f>
        <v>0</v>
      </c>
      <c r="AF349" s="240">
        <f>LOOKUP(AF$2,'Depreciation Schedules'!$A$3:$A$42,'Depreciation Schedules'!$D$3:$D$42)</f>
        <v>0</v>
      </c>
      <c r="AG349" s="240">
        <f>LOOKUP(AG$2,'Depreciation Schedules'!$A$3:$A$42,'Depreciation Schedules'!$D$3:$D$42)</f>
        <v>0</v>
      </c>
      <c r="AH349" s="240">
        <f>LOOKUP(AH$2,'Depreciation Schedules'!$A$3:$A$42,'Depreciation Schedules'!$D$3:$D$42)</f>
        <v>0</v>
      </c>
      <c r="AI349" s="240">
        <f>LOOKUP(AI$2,'Depreciation Schedules'!$A$3:$A$42,'Depreciation Schedules'!$D$3:$D$42)</f>
        <v>0</v>
      </c>
      <c r="AJ349" s="240">
        <f>LOOKUP(AJ$2,'Depreciation Schedules'!$A$3:$A$42,'Depreciation Schedules'!$D$3:$D$42)</f>
        <v>0</v>
      </c>
      <c r="AK349" s="240">
        <f>LOOKUP(AK$2,'Depreciation Schedules'!$A$3:$A$42,'Depreciation Schedules'!$D$3:$D$42)</f>
        <v>0</v>
      </c>
      <c r="AL349" s="240">
        <f>LOOKUP(AL$2,'Depreciation Schedules'!$A$3:$A$42,'Depreciation Schedules'!$D$3:$D$42)</f>
        <v>0</v>
      </c>
      <c r="AM349" s="240">
        <f>LOOKUP(AM$2,'Depreciation Schedules'!$A$3:$A$42,'Depreciation Schedules'!$D$3:$D$42)</f>
        <v>0</v>
      </c>
      <c r="AN349" s="240">
        <f>LOOKUP(AN$2,'Depreciation Schedules'!$A$3:$A$42,'Depreciation Schedules'!$D$3:$D$42)</f>
        <v>0</v>
      </c>
      <c r="AO349" s="240">
        <f>LOOKUP(AO$2,'Depreciation Schedules'!$A$3:$A$42,'Depreciation Schedules'!$D$3:$D$42)</f>
        <v>0</v>
      </c>
      <c r="AP349" s="240">
        <f>LOOKUP(AP$2,'Depreciation Schedules'!$A$3:$A$42,'Depreciation Schedules'!$D$3:$D$42)</f>
        <v>0</v>
      </c>
    </row>
    <row r="350" spans="1:42">
      <c r="A350" s="227" t="str">
        <f t="shared" si="191"/>
        <v>15-yr SL</v>
      </c>
      <c r="B350" s="241">
        <f t="shared" si="192"/>
        <v>0.99999999999999989</v>
      </c>
      <c r="C350" s="240">
        <f>LOOKUP(C$2,'Depreciation Schedules'!$A$3:$A$42,'Depreciation Schedules'!$E$3:$E$42)</f>
        <v>3.3300000000000003E-2</v>
      </c>
      <c r="D350" s="240">
        <f>LOOKUP(D$2,'Depreciation Schedules'!$A$3:$A$42,'Depreciation Schedules'!$E$3:$E$42)</f>
        <v>6.6699999999999995E-2</v>
      </c>
      <c r="E350" s="240">
        <f>LOOKUP(E$2,'Depreciation Schedules'!$A$3:$A$42,'Depreciation Schedules'!$E$3:$E$42)</f>
        <v>6.6699999999999995E-2</v>
      </c>
      <c r="F350" s="240">
        <f>LOOKUP(F$2,'Depreciation Schedules'!$A$3:$A$42,'Depreciation Schedules'!$E$3:$E$42)</f>
        <v>6.6699999999999995E-2</v>
      </c>
      <c r="G350" s="240">
        <f>LOOKUP(G$2,'Depreciation Schedules'!$A$3:$A$42,'Depreciation Schedules'!$E$3:$E$42)</f>
        <v>6.6699999999999995E-2</v>
      </c>
      <c r="H350" s="240">
        <f>LOOKUP(H$2,'Depreciation Schedules'!$A$3:$A$42,'Depreciation Schedules'!$E$3:$E$42)</f>
        <v>6.6699999999999995E-2</v>
      </c>
      <c r="I350" s="240">
        <f>LOOKUP(I$2,'Depreciation Schedules'!$A$3:$A$42,'Depreciation Schedules'!$E$3:$E$42)</f>
        <v>6.6699999999999995E-2</v>
      </c>
      <c r="J350" s="240">
        <f>LOOKUP(J$2,'Depreciation Schedules'!$A$3:$A$42,'Depreciation Schedules'!$E$3:$E$42)</f>
        <v>6.6600000000000006E-2</v>
      </c>
      <c r="K350" s="240">
        <f>LOOKUP(K$2,'Depreciation Schedules'!$A$3:$A$42,'Depreciation Schedules'!$E$3:$E$42)</f>
        <v>6.6699999999999995E-2</v>
      </c>
      <c r="L350" s="240">
        <f>LOOKUP(L$2,'Depreciation Schedules'!$A$3:$A$42,'Depreciation Schedules'!$E$3:$E$42)</f>
        <v>6.6600000000000006E-2</v>
      </c>
      <c r="M350" s="240">
        <f>LOOKUP(M$2,'Depreciation Schedules'!$A$3:$A$42,'Depreciation Schedules'!$E$3:$E$42)</f>
        <v>6.6699999999999995E-2</v>
      </c>
      <c r="N350" s="240">
        <f>LOOKUP(N$2,'Depreciation Schedules'!$A$3:$A$42,'Depreciation Schedules'!$E$3:$E$42)</f>
        <v>6.6600000000000006E-2</v>
      </c>
      <c r="O350" s="240">
        <f>LOOKUP(O$2,'Depreciation Schedules'!$A$3:$A$42,'Depreciation Schedules'!$E$3:$E$42)</f>
        <v>6.6699999999999995E-2</v>
      </c>
      <c r="P350" s="240">
        <f>LOOKUP(P$2,'Depreciation Schedules'!$A$3:$A$42,'Depreciation Schedules'!$E$3:$E$42)</f>
        <v>6.6600000000000006E-2</v>
      </c>
      <c r="Q350" s="240">
        <f>LOOKUP(Q$2,'Depreciation Schedules'!$A$3:$A$42,'Depreciation Schedules'!$E$3:$E$42)</f>
        <v>6.6699999999999995E-2</v>
      </c>
      <c r="R350" s="240">
        <f>LOOKUP(R$2,'Depreciation Schedules'!$A$3:$A$42,'Depreciation Schedules'!$E$3:$E$42)</f>
        <v>3.3300000000000003E-2</v>
      </c>
      <c r="S350" s="240">
        <f>LOOKUP(S$2,'Depreciation Schedules'!$A$3:$A$42,'Depreciation Schedules'!$E$3:$E$42)</f>
        <v>0</v>
      </c>
      <c r="T350" s="240">
        <f>LOOKUP(T$2,'Depreciation Schedules'!$A$3:$A$42,'Depreciation Schedules'!$E$3:$E$42)</f>
        <v>0</v>
      </c>
      <c r="U350" s="240">
        <f>LOOKUP(U$2,'Depreciation Schedules'!$A$3:$A$42,'Depreciation Schedules'!$E$3:$E$42)</f>
        <v>0</v>
      </c>
      <c r="V350" s="240">
        <f>LOOKUP(V$2,'Depreciation Schedules'!$A$3:$A$42,'Depreciation Schedules'!$E$3:$E$42)</f>
        <v>0</v>
      </c>
      <c r="W350" s="240">
        <f>LOOKUP(W$2,'Depreciation Schedules'!$A$3:$A$42,'Depreciation Schedules'!$E$3:$E$42)</f>
        <v>0</v>
      </c>
      <c r="X350" s="240">
        <f>LOOKUP(X$2,'Depreciation Schedules'!$A$3:$A$42,'Depreciation Schedules'!$E$3:$E$42)</f>
        <v>0</v>
      </c>
      <c r="Y350" s="240">
        <f>LOOKUP(Y$2,'Depreciation Schedules'!$A$3:$A$42,'Depreciation Schedules'!$E$3:$E$42)</f>
        <v>0</v>
      </c>
      <c r="Z350" s="240">
        <f>LOOKUP(Z$2,'Depreciation Schedules'!$A$3:$A$42,'Depreciation Schedules'!$E$3:$E$42)</f>
        <v>0</v>
      </c>
      <c r="AA350" s="240">
        <f>LOOKUP(AA$2,'Depreciation Schedules'!$A$3:$A$42,'Depreciation Schedules'!$E$3:$E$42)</f>
        <v>0</v>
      </c>
      <c r="AB350" s="240">
        <f>LOOKUP(AB$2,'Depreciation Schedules'!$A$3:$A$42,'Depreciation Schedules'!$E$3:$E$42)</f>
        <v>0</v>
      </c>
      <c r="AC350" s="240">
        <f>LOOKUP(AC$2,'Depreciation Schedules'!$A$3:$A$42,'Depreciation Schedules'!$E$3:$E$42)</f>
        <v>0</v>
      </c>
      <c r="AD350" s="240">
        <f>LOOKUP(AD$2,'Depreciation Schedules'!$A$3:$A$42,'Depreciation Schedules'!$E$3:$E$42)</f>
        <v>0</v>
      </c>
      <c r="AE350" s="240">
        <f>LOOKUP(AE$2,'Depreciation Schedules'!$A$3:$A$42,'Depreciation Schedules'!$E$3:$E$42)</f>
        <v>0</v>
      </c>
      <c r="AF350" s="240">
        <f>LOOKUP(AF$2,'Depreciation Schedules'!$A$3:$A$42,'Depreciation Schedules'!$E$3:$E$42)</f>
        <v>0</v>
      </c>
      <c r="AG350" s="240">
        <f>LOOKUP(AG$2,'Depreciation Schedules'!$A$3:$A$42,'Depreciation Schedules'!$E$3:$E$42)</f>
        <v>0</v>
      </c>
      <c r="AH350" s="240">
        <f>LOOKUP(AH$2,'Depreciation Schedules'!$A$3:$A$42,'Depreciation Schedules'!$E$3:$E$42)</f>
        <v>0</v>
      </c>
      <c r="AI350" s="240">
        <f>LOOKUP(AI$2,'Depreciation Schedules'!$A$3:$A$42,'Depreciation Schedules'!$E$3:$E$42)</f>
        <v>0</v>
      </c>
      <c r="AJ350" s="240">
        <f>LOOKUP(AJ$2,'Depreciation Schedules'!$A$3:$A$42,'Depreciation Schedules'!$E$3:$E$42)</f>
        <v>0</v>
      </c>
      <c r="AK350" s="240">
        <f>LOOKUP(AK$2,'Depreciation Schedules'!$A$3:$A$42,'Depreciation Schedules'!$E$3:$E$42)</f>
        <v>0</v>
      </c>
      <c r="AL350" s="240">
        <f>LOOKUP(AL$2,'Depreciation Schedules'!$A$3:$A$42,'Depreciation Schedules'!$E$3:$E$42)</f>
        <v>0</v>
      </c>
      <c r="AM350" s="240">
        <f>LOOKUP(AM$2,'Depreciation Schedules'!$A$3:$A$42,'Depreciation Schedules'!$E$3:$E$42)</f>
        <v>0</v>
      </c>
      <c r="AN350" s="240">
        <f>LOOKUP(AN$2,'Depreciation Schedules'!$A$3:$A$42,'Depreciation Schedules'!$E$3:$E$42)</f>
        <v>0</v>
      </c>
      <c r="AO350" s="240">
        <f>LOOKUP(AO$2,'Depreciation Schedules'!$A$3:$A$42,'Depreciation Schedules'!$E$3:$E$42)</f>
        <v>0</v>
      </c>
      <c r="AP350" s="240">
        <f>LOOKUP(AP$2,'Depreciation Schedules'!$A$3:$A$42,'Depreciation Schedules'!$E$3:$E$42)</f>
        <v>0</v>
      </c>
    </row>
    <row r="351" spans="1:42">
      <c r="A351" s="227" t="str">
        <f t="shared" si="191"/>
        <v>20-yr SL</v>
      </c>
      <c r="B351" s="241">
        <f t="shared" si="192"/>
        <v>1.0000000000000002</v>
      </c>
      <c r="C351" s="240">
        <f>LOOKUP(C$2,'Depreciation Schedules'!$A$3:$A$42,'Depreciation Schedules'!$F$3:$F$42)</f>
        <v>2.5000000000000001E-2</v>
      </c>
      <c r="D351" s="240">
        <f>LOOKUP(D$2,'Depreciation Schedules'!$A$3:$A$42,'Depreciation Schedules'!$F$3:$F$42)</f>
        <v>0.05</v>
      </c>
      <c r="E351" s="240">
        <f>LOOKUP(E$2,'Depreciation Schedules'!$A$3:$A$42,'Depreciation Schedules'!$F$3:$F$42)</f>
        <v>0.05</v>
      </c>
      <c r="F351" s="240">
        <f>LOOKUP(F$2,'Depreciation Schedules'!$A$3:$A$42,'Depreciation Schedules'!$F$3:$F$42)</f>
        <v>0.05</v>
      </c>
      <c r="G351" s="240">
        <f>LOOKUP(G$2,'Depreciation Schedules'!$A$3:$A$42,'Depreciation Schedules'!$F$3:$F$42)</f>
        <v>0.05</v>
      </c>
      <c r="H351" s="240">
        <f>LOOKUP(H$2,'Depreciation Schedules'!$A$3:$A$42,'Depreciation Schedules'!$F$3:$F$42)</f>
        <v>0.05</v>
      </c>
      <c r="I351" s="240">
        <f>LOOKUP(I$2,'Depreciation Schedules'!$A$3:$A$42,'Depreciation Schedules'!$F$3:$F$42)</f>
        <v>0.05</v>
      </c>
      <c r="J351" s="240">
        <f>LOOKUP(J$2,'Depreciation Schedules'!$A$3:$A$42,'Depreciation Schedules'!$F$3:$F$42)</f>
        <v>0.05</v>
      </c>
      <c r="K351" s="240">
        <f>LOOKUP(K$2,'Depreciation Schedules'!$A$3:$A$42,'Depreciation Schedules'!$F$3:$F$42)</f>
        <v>0.05</v>
      </c>
      <c r="L351" s="240">
        <f>LOOKUP(L$2,'Depreciation Schedules'!$A$3:$A$42,'Depreciation Schedules'!$F$3:$F$42)</f>
        <v>0.05</v>
      </c>
      <c r="M351" s="240">
        <f>LOOKUP(M$2,'Depreciation Schedules'!$A$3:$A$42,'Depreciation Schedules'!$F$3:$F$42)</f>
        <v>0.05</v>
      </c>
      <c r="N351" s="240">
        <f>LOOKUP(N$2,'Depreciation Schedules'!$A$3:$A$42,'Depreciation Schedules'!$F$3:$F$42)</f>
        <v>0.05</v>
      </c>
      <c r="O351" s="240">
        <f>LOOKUP(O$2,'Depreciation Schedules'!$A$3:$A$42,'Depreciation Schedules'!$F$3:$F$42)</f>
        <v>0.05</v>
      </c>
      <c r="P351" s="240">
        <f>LOOKUP(P$2,'Depreciation Schedules'!$A$3:$A$42,'Depreciation Schedules'!$F$3:$F$42)</f>
        <v>0.05</v>
      </c>
      <c r="Q351" s="240">
        <f>LOOKUP(Q$2,'Depreciation Schedules'!$A$3:$A$42,'Depreciation Schedules'!$F$3:$F$42)</f>
        <v>0.05</v>
      </c>
      <c r="R351" s="240">
        <f>LOOKUP(R$2,'Depreciation Schedules'!$A$3:$A$42,'Depreciation Schedules'!$F$3:$F$42)</f>
        <v>0.05</v>
      </c>
      <c r="S351" s="240">
        <f>LOOKUP(S$2,'Depreciation Schedules'!$A$3:$A$42,'Depreciation Schedules'!$F$3:$F$42)</f>
        <v>0.05</v>
      </c>
      <c r="T351" s="240">
        <f>LOOKUP(T$2,'Depreciation Schedules'!$A$3:$A$42,'Depreciation Schedules'!$F$3:$F$42)</f>
        <v>0.05</v>
      </c>
      <c r="U351" s="240">
        <f>LOOKUP(U$2,'Depreciation Schedules'!$A$3:$A$42,'Depreciation Schedules'!$F$3:$F$42)</f>
        <v>0.05</v>
      </c>
      <c r="V351" s="240">
        <f>LOOKUP(V$2,'Depreciation Schedules'!$A$3:$A$42,'Depreciation Schedules'!$F$3:$F$42)</f>
        <v>0.05</v>
      </c>
      <c r="W351" s="240">
        <f>LOOKUP(W$2,'Depreciation Schedules'!$A$3:$A$42,'Depreciation Schedules'!$F$3:$F$42)</f>
        <v>2.5000000000000001E-2</v>
      </c>
      <c r="X351" s="240">
        <f>LOOKUP(X$2,'Depreciation Schedules'!$A$3:$A$42,'Depreciation Schedules'!$F$3:$F$42)</f>
        <v>0</v>
      </c>
      <c r="Y351" s="240">
        <f>LOOKUP(Y$2,'Depreciation Schedules'!$A$3:$A$42,'Depreciation Schedules'!$F$3:$F$42)</f>
        <v>0</v>
      </c>
      <c r="Z351" s="240">
        <f>LOOKUP(Z$2,'Depreciation Schedules'!$A$3:$A$42,'Depreciation Schedules'!$F$3:$F$42)</f>
        <v>0</v>
      </c>
      <c r="AA351" s="240">
        <f>LOOKUP(AA$2,'Depreciation Schedules'!$A$3:$A$42,'Depreciation Schedules'!$F$3:$F$42)</f>
        <v>0</v>
      </c>
      <c r="AB351" s="240">
        <f>LOOKUP(AB$2,'Depreciation Schedules'!$A$3:$A$42,'Depreciation Schedules'!$F$3:$F$42)</f>
        <v>0</v>
      </c>
      <c r="AC351" s="240">
        <f>LOOKUP(AC$2,'Depreciation Schedules'!$A$3:$A$42,'Depreciation Schedules'!$F$3:$F$42)</f>
        <v>0</v>
      </c>
      <c r="AD351" s="240">
        <f>LOOKUP(AD$2,'Depreciation Schedules'!$A$3:$A$42,'Depreciation Schedules'!$F$3:$F$42)</f>
        <v>0</v>
      </c>
      <c r="AE351" s="240">
        <f>LOOKUP(AE$2,'Depreciation Schedules'!$A$3:$A$42,'Depreciation Schedules'!$F$3:$F$42)</f>
        <v>0</v>
      </c>
      <c r="AF351" s="240">
        <f>LOOKUP(AF$2,'Depreciation Schedules'!$A$3:$A$42,'Depreciation Schedules'!$F$3:$F$42)</f>
        <v>0</v>
      </c>
      <c r="AG351" s="240">
        <f>LOOKUP(AG$2,'Depreciation Schedules'!$A$3:$A$42,'Depreciation Schedules'!$F$3:$F$42)</f>
        <v>0</v>
      </c>
      <c r="AH351" s="240">
        <f>LOOKUP(AH$2,'Depreciation Schedules'!$A$3:$A$42,'Depreciation Schedules'!$F$3:$F$42)</f>
        <v>0</v>
      </c>
      <c r="AI351" s="240">
        <f>LOOKUP(AI$2,'Depreciation Schedules'!$A$3:$A$42,'Depreciation Schedules'!$F$3:$F$42)</f>
        <v>0</v>
      </c>
      <c r="AJ351" s="240">
        <f>LOOKUP(AJ$2,'Depreciation Schedules'!$A$3:$A$42,'Depreciation Schedules'!$F$3:$F$42)</f>
        <v>0</v>
      </c>
      <c r="AK351" s="240">
        <f>LOOKUP(AK$2,'Depreciation Schedules'!$A$3:$A$42,'Depreciation Schedules'!$F$3:$F$42)</f>
        <v>0</v>
      </c>
      <c r="AL351" s="240">
        <f>LOOKUP(AL$2,'Depreciation Schedules'!$A$3:$A$42,'Depreciation Schedules'!$F$3:$F$42)</f>
        <v>0</v>
      </c>
      <c r="AM351" s="240">
        <f>LOOKUP(AM$2,'Depreciation Schedules'!$A$3:$A$42,'Depreciation Schedules'!$F$3:$F$42)</f>
        <v>0</v>
      </c>
      <c r="AN351" s="240">
        <f>LOOKUP(AN$2,'Depreciation Schedules'!$A$3:$A$42,'Depreciation Schedules'!$F$3:$F$42)</f>
        <v>0</v>
      </c>
      <c r="AO351" s="240">
        <f>LOOKUP(AO$2,'Depreciation Schedules'!$A$3:$A$42,'Depreciation Schedules'!$F$3:$F$42)</f>
        <v>0</v>
      </c>
      <c r="AP351" s="240">
        <f>LOOKUP(AP$2,'Depreciation Schedules'!$A$3:$A$42,'Depreciation Schedules'!$F$3:$F$42)</f>
        <v>0</v>
      </c>
    </row>
    <row r="352" spans="1:42">
      <c r="A352" s="227" t="str">
        <f t="shared" si="191"/>
        <v>39-yr SL</v>
      </c>
      <c r="B352" s="242">
        <f t="shared" si="192"/>
        <v>1.0000000000000004</v>
      </c>
      <c r="C352" s="240">
        <f>LOOKUP(C$2,'Depreciation Schedules'!$A$3:$A$42,'Depreciation Schedules'!$G$3:$G$42)</f>
        <v>1.2820512820512799E-2</v>
      </c>
      <c r="D352" s="240">
        <f>LOOKUP(D$2,'Depreciation Schedules'!$A$3:$A$42,'Depreciation Schedules'!$G$3:$G$42)</f>
        <v>2.564102564102564E-2</v>
      </c>
      <c r="E352" s="240">
        <f>LOOKUP(E$2,'Depreciation Schedules'!$A$3:$A$42,'Depreciation Schedules'!$G$3:$G$42)</f>
        <v>2.564102564102564E-2</v>
      </c>
      <c r="F352" s="240">
        <f>LOOKUP(F$2,'Depreciation Schedules'!$A$3:$A$42,'Depreciation Schedules'!$G$3:$G$42)</f>
        <v>2.564102564102564E-2</v>
      </c>
      <c r="G352" s="240">
        <f>LOOKUP(G$2,'Depreciation Schedules'!$A$3:$A$42,'Depreciation Schedules'!$G$3:$G$42)</f>
        <v>2.564102564102564E-2</v>
      </c>
      <c r="H352" s="240">
        <f>LOOKUP(H$2,'Depreciation Schedules'!$A$3:$A$42,'Depreciation Schedules'!$G$3:$G$42)</f>
        <v>2.564102564102564E-2</v>
      </c>
      <c r="I352" s="240">
        <f>LOOKUP(I$2,'Depreciation Schedules'!$A$3:$A$42,'Depreciation Schedules'!$G$3:$G$42)</f>
        <v>2.564102564102564E-2</v>
      </c>
      <c r="J352" s="240">
        <f>LOOKUP(J$2,'Depreciation Schedules'!$A$3:$A$42,'Depreciation Schedules'!$G$3:$G$42)</f>
        <v>2.564102564102564E-2</v>
      </c>
      <c r="K352" s="240">
        <f>LOOKUP(K$2,'Depreciation Schedules'!$A$3:$A$42,'Depreciation Schedules'!$G$3:$G$42)</f>
        <v>2.564102564102564E-2</v>
      </c>
      <c r="L352" s="240">
        <f>LOOKUP(L$2,'Depreciation Schedules'!$A$3:$A$42,'Depreciation Schedules'!$G$3:$G$42)</f>
        <v>2.564102564102564E-2</v>
      </c>
      <c r="M352" s="240">
        <f>LOOKUP(M$2,'Depreciation Schedules'!$A$3:$A$42,'Depreciation Schedules'!$G$3:$G$42)</f>
        <v>2.564102564102564E-2</v>
      </c>
      <c r="N352" s="240">
        <f>LOOKUP(N$2,'Depreciation Schedules'!$A$3:$A$42,'Depreciation Schedules'!$G$3:$G$42)</f>
        <v>2.564102564102564E-2</v>
      </c>
      <c r="O352" s="240">
        <f>LOOKUP(O$2,'Depreciation Schedules'!$A$3:$A$42,'Depreciation Schedules'!$G$3:$G$42)</f>
        <v>2.564102564102564E-2</v>
      </c>
      <c r="P352" s="240">
        <f>LOOKUP(P$2,'Depreciation Schedules'!$A$3:$A$42,'Depreciation Schedules'!$G$3:$G$42)</f>
        <v>2.564102564102564E-2</v>
      </c>
      <c r="Q352" s="240">
        <f>LOOKUP(Q$2,'Depreciation Schedules'!$A$3:$A$42,'Depreciation Schedules'!$G$3:$G$42)</f>
        <v>2.564102564102564E-2</v>
      </c>
      <c r="R352" s="240">
        <f>LOOKUP(R$2,'Depreciation Schedules'!$A$3:$A$42,'Depreciation Schedules'!$G$3:$G$42)</f>
        <v>2.564102564102564E-2</v>
      </c>
      <c r="S352" s="240">
        <f>LOOKUP(S$2,'Depreciation Schedules'!$A$3:$A$42,'Depreciation Schedules'!$G$3:$G$42)</f>
        <v>2.564102564102564E-2</v>
      </c>
      <c r="T352" s="240">
        <f>LOOKUP(T$2,'Depreciation Schedules'!$A$3:$A$42,'Depreciation Schedules'!$G$3:$G$42)</f>
        <v>2.564102564102564E-2</v>
      </c>
      <c r="U352" s="240">
        <f>LOOKUP(U$2,'Depreciation Schedules'!$A$3:$A$42,'Depreciation Schedules'!$G$3:$G$42)</f>
        <v>2.564102564102564E-2</v>
      </c>
      <c r="V352" s="240">
        <f>LOOKUP(V$2,'Depreciation Schedules'!$A$3:$A$42,'Depreciation Schedules'!$G$3:$G$42)</f>
        <v>2.564102564102564E-2</v>
      </c>
      <c r="W352" s="240">
        <f>LOOKUP(W$2,'Depreciation Schedules'!$A$3:$A$42,'Depreciation Schedules'!$G$3:$G$42)</f>
        <v>2.564102564102564E-2</v>
      </c>
      <c r="X352" s="240">
        <f>LOOKUP(X$2,'Depreciation Schedules'!$A$3:$A$42,'Depreciation Schedules'!$G$3:$G$42)</f>
        <v>2.564102564102564E-2</v>
      </c>
      <c r="Y352" s="240">
        <f>LOOKUP(Y$2,'Depreciation Schedules'!$A$3:$A$42,'Depreciation Schedules'!$G$3:$G$42)</f>
        <v>2.564102564102564E-2</v>
      </c>
      <c r="Z352" s="240">
        <f>LOOKUP(Z$2,'Depreciation Schedules'!$A$3:$A$42,'Depreciation Schedules'!$G$3:$G$42)</f>
        <v>2.564102564102564E-2</v>
      </c>
      <c r="AA352" s="240">
        <f>LOOKUP(AA$2,'Depreciation Schedules'!$A$3:$A$42,'Depreciation Schedules'!$G$3:$G$42)</f>
        <v>2.564102564102564E-2</v>
      </c>
      <c r="AB352" s="240">
        <f>LOOKUP(AB$2,'Depreciation Schedules'!$A$3:$A$42,'Depreciation Schedules'!$G$3:$G$42)</f>
        <v>2.564102564102564E-2</v>
      </c>
      <c r="AC352" s="240">
        <f>LOOKUP(AC$2,'Depreciation Schedules'!$A$3:$A$42,'Depreciation Schedules'!$G$3:$G$42)</f>
        <v>2.564102564102564E-2</v>
      </c>
      <c r="AD352" s="240">
        <f>LOOKUP(AD$2,'Depreciation Schedules'!$A$3:$A$42,'Depreciation Schedules'!$G$3:$G$42)</f>
        <v>2.564102564102564E-2</v>
      </c>
      <c r="AE352" s="240">
        <f>LOOKUP(AE$2,'Depreciation Schedules'!$A$3:$A$42,'Depreciation Schedules'!$G$3:$G$42)</f>
        <v>2.564102564102564E-2</v>
      </c>
      <c r="AF352" s="240">
        <f>LOOKUP(AF$2,'Depreciation Schedules'!$A$3:$A$42,'Depreciation Schedules'!$G$3:$G$42)</f>
        <v>2.564102564102564E-2</v>
      </c>
      <c r="AG352" s="240">
        <f>LOOKUP(AG$2,'Depreciation Schedules'!$A$3:$A$42,'Depreciation Schedules'!$G$3:$G$42)</f>
        <v>2.564102564102564E-2</v>
      </c>
      <c r="AH352" s="240">
        <f>LOOKUP(AH$2,'Depreciation Schedules'!$A$3:$A$42,'Depreciation Schedules'!$G$3:$G$42)</f>
        <v>2.564102564102564E-2</v>
      </c>
      <c r="AI352" s="240">
        <f>LOOKUP(AI$2,'Depreciation Schedules'!$A$3:$A$42,'Depreciation Schedules'!$G$3:$G$42)</f>
        <v>2.564102564102564E-2</v>
      </c>
      <c r="AJ352" s="240">
        <f>LOOKUP(AJ$2,'Depreciation Schedules'!$A$3:$A$42,'Depreciation Schedules'!$G$3:$G$42)</f>
        <v>2.564102564102564E-2</v>
      </c>
      <c r="AK352" s="240">
        <f>LOOKUP(AK$2,'Depreciation Schedules'!$A$3:$A$42,'Depreciation Schedules'!$G$3:$G$42)</f>
        <v>2.564102564102564E-2</v>
      </c>
      <c r="AL352" s="240">
        <f>LOOKUP(AL$2,'Depreciation Schedules'!$A$3:$A$42,'Depreciation Schedules'!$G$3:$G$42)</f>
        <v>2.564102564102564E-2</v>
      </c>
      <c r="AM352" s="240">
        <f>LOOKUP(AM$2,'Depreciation Schedules'!$A$3:$A$42,'Depreciation Schedules'!$G$3:$G$42)</f>
        <v>2.564102564102564E-2</v>
      </c>
      <c r="AN352" s="240">
        <f>LOOKUP(AN$2,'Depreciation Schedules'!$A$3:$A$42,'Depreciation Schedules'!$G$3:$G$42)</f>
        <v>2.564102564102564E-2</v>
      </c>
      <c r="AO352" s="240">
        <f>LOOKUP(AO$2,'Depreciation Schedules'!$A$3:$A$42,'Depreciation Schedules'!$G$3:$G$42)</f>
        <v>2.564102564102564E-2</v>
      </c>
      <c r="AP352" s="240">
        <f>LOOKUP(AP$2,'Depreciation Schedules'!$A$3:$A$42,'Depreciation Schedules'!$G$3:$G$42)</f>
        <v>1.2820512820512799E-2</v>
      </c>
    </row>
    <row r="353" spans="1:42">
      <c r="A353" s="206" t="s">
        <v>34</v>
      </c>
      <c r="C353" s="208"/>
      <c r="D353" s="208"/>
      <c r="E353" s="208"/>
      <c r="F353" s="208"/>
      <c r="G353" s="208"/>
      <c r="H353" s="208"/>
      <c r="I353" s="208"/>
      <c r="J353" s="208"/>
      <c r="K353" s="208"/>
      <c r="L353" s="208"/>
      <c r="M353" s="208"/>
      <c r="N353" s="208"/>
      <c r="O353" s="208"/>
      <c r="P353" s="208"/>
      <c r="Q353" s="208"/>
      <c r="R353" s="208"/>
      <c r="S353" s="208"/>
      <c r="T353" s="208"/>
      <c r="U353" s="208"/>
      <c r="V353" s="208"/>
      <c r="W353" s="208"/>
      <c r="X353" s="208"/>
      <c r="Y353" s="208"/>
      <c r="Z353" s="208"/>
      <c r="AA353" s="208"/>
      <c r="AB353" s="208"/>
      <c r="AC353" s="208"/>
      <c r="AD353" s="208"/>
      <c r="AE353" s="208"/>
      <c r="AF353" s="208"/>
      <c r="AG353" s="208"/>
      <c r="AH353" s="208"/>
      <c r="AI353" s="208"/>
      <c r="AJ353" s="208"/>
      <c r="AK353" s="208"/>
      <c r="AL353" s="208"/>
      <c r="AM353" s="208"/>
      <c r="AN353" s="208"/>
      <c r="AO353" s="208"/>
      <c r="AP353" s="208"/>
    </row>
    <row r="354" spans="1:42">
      <c r="A354" s="227" t="str">
        <f>A347</f>
        <v>5-yr MACRS</v>
      </c>
      <c r="B354" s="243">
        <f>SUM(C354:AP354)</f>
        <v>38433562.510916322</v>
      </c>
      <c r="C354" s="208">
        <f t="shared" ref="C354:AP359" si="193">C347*$K314</f>
        <v>7686712.5021832651</v>
      </c>
      <c r="D354" s="208">
        <f t="shared" si="193"/>
        <v>12298740.003493223</v>
      </c>
      <c r="E354" s="208">
        <f t="shared" si="193"/>
        <v>7379244.002095934</v>
      </c>
      <c r="F354" s="208">
        <f t="shared" si="193"/>
        <v>4427546.4012575606</v>
      </c>
      <c r="G354" s="208">
        <f t="shared" si="193"/>
        <v>4427546.4012575606</v>
      </c>
      <c r="H354" s="208">
        <f t="shared" si="193"/>
        <v>2213773.2006287803</v>
      </c>
      <c r="I354" s="208">
        <f t="shared" si="193"/>
        <v>0</v>
      </c>
      <c r="J354" s="208">
        <f t="shared" si="193"/>
        <v>0</v>
      </c>
      <c r="K354" s="208">
        <f t="shared" si="193"/>
        <v>0</v>
      </c>
      <c r="L354" s="208">
        <f t="shared" si="193"/>
        <v>0</v>
      </c>
      <c r="M354" s="208">
        <f t="shared" si="193"/>
        <v>0</v>
      </c>
      <c r="N354" s="208">
        <f t="shared" si="193"/>
        <v>0</v>
      </c>
      <c r="O354" s="208">
        <f t="shared" si="193"/>
        <v>0</v>
      </c>
      <c r="P354" s="208">
        <f t="shared" si="193"/>
        <v>0</v>
      </c>
      <c r="Q354" s="208">
        <f t="shared" si="193"/>
        <v>0</v>
      </c>
      <c r="R354" s="208">
        <f t="shared" si="193"/>
        <v>0</v>
      </c>
      <c r="S354" s="208">
        <f t="shared" si="193"/>
        <v>0</v>
      </c>
      <c r="T354" s="208">
        <f t="shared" si="193"/>
        <v>0</v>
      </c>
      <c r="U354" s="208">
        <f t="shared" si="193"/>
        <v>0</v>
      </c>
      <c r="V354" s="208">
        <f t="shared" si="193"/>
        <v>0</v>
      </c>
      <c r="W354" s="208">
        <f t="shared" si="193"/>
        <v>0</v>
      </c>
      <c r="X354" s="208">
        <f t="shared" si="193"/>
        <v>0</v>
      </c>
      <c r="Y354" s="208">
        <f t="shared" si="193"/>
        <v>0</v>
      </c>
      <c r="Z354" s="208">
        <f t="shared" si="193"/>
        <v>0</v>
      </c>
      <c r="AA354" s="208">
        <f t="shared" si="193"/>
        <v>0</v>
      </c>
      <c r="AB354" s="208">
        <f t="shared" si="193"/>
        <v>0</v>
      </c>
      <c r="AC354" s="208">
        <f t="shared" si="193"/>
        <v>0</v>
      </c>
      <c r="AD354" s="208">
        <f t="shared" si="193"/>
        <v>0</v>
      </c>
      <c r="AE354" s="208">
        <f t="shared" si="193"/>
        <v>0</v>
      </c>
      <c r="AF354" s="208">
        <f t="shared" si="193"/>
        <v>0</v>
      </c>
      <c r="AG354" s="208">
        <f t="shared" si="193"/>
        <v>0</v>
      </c>
      <c r="AH354" s="208">
        <f t="shared" si="193"/>
        <v>0</v>
      </c>
      <c r="AI354" s="208">
        <f t="shared" si="193"/>
        <v>0</v>
      </c>
      <c r="AJ354" s="208">
        <f t="shared" si="193"/>
        <v>0</v>
      </c>
      <c r="AK354" s="208">
        <f t="shared" si="193"/>
        <v>0</v>
      </c>
      <c r="AL354" s="208">
        <f t="shared" si="193"/>
        <v>0</v>
      </c>
      <c r="AM354" s="208">
        <f t="shared" si="193"/>
        <v>0</v>
      </c>
      <c r="AN354" s="208">
        <f t="shared" si="193"/>
        <v>0</v>
      </c>
      <c r="AO354" s="208">
        <f t="shared" si="193"/>
        <v>0</v>
      </c>
      <c r="AP354" s="208">
        <f t="shared" si="193"/>
        <v>0</v>
      </c>
    </row>
    <row r="355" spans="1:42">
      <c r="A355" s="227" t="str">
        <f t="shared" ref="A355:A359" si="194">A348</f>
        <v>15-yr MACRS</v>
      </c>
      <c r="B355" s="165">
        <f t="shared" ref="B355:B361" si="195">SUM(C355:AP355)</f>
        <v>693709.39869322686</v>
      </c>
      <c r="C355" s="208">
        <f t="shared" si="193"/>
        <v>34685.469934661342</v>
      </c>
      <c r="D355" s="208">
        <f t="shared" si="193"/>
        <v>65902.392875856545</v>
      </c>
      <c r="E355" s="208">
        <f t="shared" si="193"/>
        <v>59312.153588270892</v>
      </c>
      <c r="F355" s="208">
        <f t="shared" si="193"/>
        <v>53415.623699378455</v>
      </c>
      <c r="G355" s="208">
        <f t="shared" si="193"/>
        <v>48074.061329440614</v>
      </c>
      <c r="H355" s="208">
        <f t="shared" si="193"/>
        <v>43218.09553858803</v>
      </c>
      <c r="I355" s="208">
        <f t="shared" si="193"/>
        <v>40928.854522900372</v>
      </c>
      <c r="J355" s="208">
        <f t="shared" si="193"/>
        <v>40928.854522900372</v>
      </c>
      <c r="K355" s="208">
        <f t="shared" si="193"/>
        <v>40998.225462769704</v>
      </c>
      <c r="L355" s="208">
        <f t="shared" si="193"/>
        <v>40928.854522900372</v>
      </c>
      <c r="M355" s="208">
        <f t="shared" si="193"/>
        <v>40998.225462769704</v>
      </c>
      <c r="N355" s="208">
        <f t="shared" si="193"/>
        <v>40928.854522900372</v>
      </c>
      <c r="O355" s="208">
        <f t="shared" si="193"/>
        <v>40998.225462769704</v>
      </c>
      <c r="P355" s="208">
        <f t="shared" si="193"/>
        <v>40928.854522900372</v>
      </c>
      <c r="Q355" s="208">
        <f t="shared" si="193"/>
        <v>40998.225462769704</v>
      </c>
      <c r="R355" s="208">
        <f t="shared" si="193"/>
        <v>20464.427261450186</v>
      </c>
      <c r="S355" s="208">
        <f t="shared" si="193"/>
        <v>0</v>
      </c>
      <c r="T355" s="208">
        <f t="shared" si="193"/>
        <v>0</v>
      </c>
      <c r="U355" s="208">
        <f t="shared" si="193"/>
        <v>0</v>
      </c>
      <c r="V355" s="208">
        <f t="shared" si="193"/>
        <v>0</v>
      </c>
      <c r="W355" s="208">
        <f t="shared" si="193"/>
        <v>0</v>
      </c>
      <c r="X355" s="208">
        <f t="shared" si="193"/>
        <v>0</v>
      </c>
      <c r="Y355" s="208">
        <f t="shared" si="193"/>
        <v>0</v>
      </c>
      <c r="Z355" s="208">
        <f t="shared" si="193"/>
        <v>0</v>
      </c>
      <c r="AA355" s="208">
        <f t="shared" si="193"/>
        <v>0</v>
      </c>
      <c r="AB355" s="208">
        <f t="shared" si="193"/>
        <v>0</v>
      </c>
      <c r="AC355" s="208">
        <f t="shared" si="193"/>
        <v>0</v>
      </c>
      <c r="AD355" s="208">
        <f t="shared" si="193"/>
        <v>0</v>
      </c>
      <c r="AE355" s="208">
        <f t="shared" si="193"/>
        <v>0</v>
      </c>
      <c r="AF355" s="208">
        <f t="shared" si="193"/>
        <v>0</v>
      </c>
      <c r="AG355" s="208">
        <f t="shared" si="193"/>
        <v>0</v>
      </c>
      <c r="AH355" s="208">
        <f t="shared" si="193"/>
        <v>0</v>
      </c>
      <c r="AI355" s="208">
        <f t="shared" si="193"/>
        <v>0</v>
      </c>
      <c r="AJ355" s="208">
        <f t="shared" si="193"/>
        <v>0</v>
      </c>
      <c r="AK355" s="208">
        <f t="shared" si="193"/>
        <v>0</v>
      </c>
      <c r="AL355" s="208">
        <f t="shared" si="193"/>
        <v>0</v>
      </c>
      <c r="AM355" s="208">
        <f t="shared" si="193"/>
        <v>0</v>
      </c>
      <c r="AN355" s="208">
        <f t="shared" si="193"/>
        <v>0</v>
      </c>
      <c r="AO355" s="208">
        <f t="shared" si="193"/>
        <v>0</v>
      </c>
      <c r="AP355" s="208">
        <f t="shared" si="193"/>
        <v>0</v>
      </c>
    </row>
    <row r="356" spans="1:42">
      <c r="A356" s="227" t="str">
        <f t="shared" si="194"/>
        <v>5-yr SL</v>
      </c>
      <c r="B356" s="165">
        <f t="shared" si="195"/>
        <v>0</v>
      </c>
      <c r="C356" s="208">
        <f t="shared" si="193"/>
        <v>0</v>
      </c>
      <c r="D356" s="208">
        <f t="shared" si="193"/>
        <v>0</v>
      </c>
      <c r="E356" s="208">
        <f t="shared" si="193"/>
        <v>0</v>
      </c>
      <c r="F356" s="208">
        <f t="shared" si="193"/>
        <v>0</v>
      </c>
      <c r="G356" s="208">
        <f t="shared" si="193"/>
        <v>0</v>
      </c>
      <c r="H356" s="208">
        <f t="shared" si="193"/>
        <v>0</v>
      </c>
      <c r="I356" s="208">
        <f t="shared" si="193"/>
        <v>0</v>
      </c>
      <c r="J356" s="208">
        <f t="shared" si="193"/>
        <v>0</v>
      </c>
      <c r="K356" s="208">
        <f t="shared" si="193"/>
        <v>0</v>
      </c>
      <c r="L356" s="208">
        <f t="shared" si="193"/>
        <v>0</v>
      </c>
      <c r="M356" s="208">
        <f t="shared" si="193"/>
        <v>0</v>
      </c>
      <c r="N356" s="208">
        <f t="shared" si="193"/>
        <v>0</v>
      </c>
      <c r="O356" s="208">
        <f t="shared" si="193"/>
        <v>0</v>
      </c>
      <c r="P356" s="208">
        <f t="shared" si="193"/>
        <v>0</v>
      </c>
      <c r="Q356" s="208">
        <f t="shared" si="193"/>
        <v>0</v>
      </c>
      <c r="R356" s="208">
        <f t="shared" si="193"/>
        <v>0</v>
      </c>
      <c r="S356" s="208">
        <f t="shared" si="193"/>
        <v>0</v>
      </c>
      <c r="T356" s="208">
        <f t="shared" si="193"/>
        <v>0</v>
      </c>
      <c r="U356" s="208">
        <f t="shared" si="193"/>
        <v>0</v>
      </c>
      <c r="V356" s="208">
        <f t="shared" si="193"/>
        <v>0</v>
      </c>
      <c r="W356" s="208">
        <f t="shared" si="193"/>
        <v>0</v>
      </c>
      <c r="X356" s="208">
        <f t="shared" si="193"/>
        <v>0</v>
      </c>
      <c r="Y356" s="208">
        <f t="shared" si="193"/>
        <v>0</v>
      </c>
      <c r="Z356" s="208">
        <f t="shared" si="193"/>
        <v>0</v>
      </c>
      <c r="AA356" s="208">
        <f t="shared" si="193"/>
        <v>0</v>
      </c>
      <c r="AB356" s="208">
        <f t="shared" si="193"/>
        <v>0</v>
      </c>
      <c r="AC356" s="208">
        <f t="shared" si="193"/>
        <v>0</v>
      </c>
      <c r="AD356" s="208">
        <f t="shared" si="193"/>
        <v>0</v>
      </c>
      <c r="AE356" s="208">
        <f t="shared" si="193"/>
        <v>0</v>
      </c>
      <c r="AF356" s="208">
        <f t="shared" si="193"/>
        <v>0</v>
      </c>
      <c r="AG356" s="208">
        <f t="shared" si="193"/>
        <v>0</v>
      </c>
      <c r="AH356" s="208">
        <f t="shared" si="193"/>
        <v>0</v>
      </c>
      <c r="AI356" s="208">
        <f t="shared" si="193"/>
        <v>0</v>
      </c>
      <c r="AJ356" s="208">
        <f t="shared" si="193"/>
        <v>0</v>
      </c>
      <c r="AK356" s="208">
        <f t="shared" si="193"/>
        <v>0</v>
      </c>
      <c r="AL356" s="208">
        <f t="shared" si="193"/>
        <v>0</v>
      </c>
      <c r="AM356" s="208">
        <f t="shared" si="193"/>
        <v>0</v>
      </c>
      <c r="AN356" s="208">
        <f t="shared" si="193"/>
        <v>0</v>
      </c>
      <c r="AO356" s="208">
        <f t="shared" si="193"/>
        <v>0</v>
      </c>
      <c r="AP356" s="208">
        <f t="shared" si="193"/>
        <v>0</v>
      </c>
    </row>
    <row r="357" spans="1:42">
      <c r="A357" s="227" t="str">
        <f t="shared" si="194"/>
        <v>15-yr SL</v>
      </c>
      <c r="B357" s="165">
        <f t="shared" si="195"/>
        <v>693709.39869322663</v>
      </c>
      <c r="C357" s="208">
        <f t="shared" si="193"/>
        <v>23100.522976484452</v>
      </c>
      <c r="D357" s="208">
        <f t="shared" si="193"/>
        <v>46270.416892838221</v>
      </c>
      <c r="E357" s="208">
        <f t="shared" si="193"/>
        <v>46270.416892838221</v>
      </c>
      <c r="F357" s="208">
        <f t="shared" si="193"/>
        <v>46270.416892838221</v>
      </c>
      <c r="G357" s="208">
        <f t="shared" si="193"/>
        <v>46270.416892838221</v>
      </c>
      <c r="H357" s="208">
        <f t="shared" si="193"/>
        <v>46270.416892838221</v>
      </c>
      <c r="I357" s="208">
        <f t="shared" si="193"/>
        <v>46270.416892838221</v>
      </c>
      <c r="J357" s="208">
        <f t="shared" si="193"/>
        <v>46201.045952968903</v>
      </c>
      <c r="K357" s="208">
        <f t="shared" si="193"/>
        <v>46270.416892838221</v>
      </c>
      <c r="L357" s="208">
        <f t="shared" si="193"/>
        <v>46201.045952968903</v>
      </c>
      <c r="M357" s="208">
        <f t="shared" si="193"/>
        <v>46270.416892838221</v>
      </c>
      <c r="N357" s="208">
        <f t="shared" si="193"/>
        <v>46201.045952968903</v>
      </c>
      <c r="O357" s="208">
        <f t="shared" si="193"/>
        <v>46270.416892838221</v>
      </c>
      <c r="P357" s="208">
        <f t="shared" si="193"/>
        <v>46201.045952968903</v>
      </c>
      <c r="Q357" s="208">
        <f t="shared" si="193"/>
        <v>46270.416892838221</v>
      </c>
      <c r="R357" s="208">
        <f t="shared" si="193"/>
        <v>23100.522976484452</v>
      </c>
      <c r="S357" s="208">
        <f t="shared" si="193"/>
        <v>0</v>
      </c>
      <c r="T357" s="208">
        <f t="shared" si="193"/>
        <v>0</v>
      </c>
      <c r="U357" s="208">
        <f t="shared" si="193"/>
        <v>0</v>
      </c>
      <c r="V357" s="208">
        <f t="shared" si="193"/>
        <v>0</v>
      </c>
      <c r="W357" s="208">
        <f t="shared" si="193"/>
        <v>0</v>
      </c>
      <c r="X357" s="208">
        <f t="shared" si="193"/>
        <v>0</v>
      </c>
      <c r="Y357" s="208">
        <f t="shared" si="193"/>
        <v>0</v>
      </c>
      <c r="Z357" s="208">
        <f t="shared" si="193"/>
        <v>0</v>
      </c>
      <c r="AA357" s="208">
        <f t="shared" si="193"/>
        <v>0</v>
      </c>
      <c r="AB357" s="208">
        <f t="shared" si="193"/>
        <v>0</v>
      </c>
      <c r="AC357" s="208">
        <f t="shared" si="193"/>
        <v>0</v>
      </c>
      <c r="AD357" s="208">
        <f t="shared" si="193"/>
        <v>0</v>
      </c>
      <c r="AE357" s="208">
        <f t="shared" si="193"/>
        <v>0</v>
      </c>
      <c r="AF357" s="208">
        <f t="shared" si="193"/>
        <v>0</v>
      </c>
      <c r="AG357" s="208">
        <f t="shared" si="193"/>
        <v>0</v>
      </c>
      <c r="AH357" s="208">
        <f t="shared" si="193"/>
        <v>0</v>
      </c>
      <c r="AI357" s="208">
        <f t="shared" si="193"/>
        <v>0</v>
      </c>
      <c r="AJ357" s="208">
        <f t="shared" si="193"/>
        <v>0</v>
      </c>
      <c r="AK357" s="208">
        <f t="shared" si="193"/>
        <v>0</v>
      </c>
      <c r="AL357" s="208">
        <f t="shared" si="193"/>
        <v>0</v>
      </c>
      <c r="AM357" s="208">
        <f t="shared" si="193"/>
        <v>0</v>
      </c>
      <c r="AN357" s="208">
        <f t="shared" si="193"/>
        <v>0</v>
      </c>
      <c r="AO357" s="208">
        <f t="shared" si="193"/>
        <v>0</v>
      </c>
      <c r="AP357" s="208">
        <f t="shared" si="193"/>
        <v>0</v>
      </c>
    </row>
    <row r="358" spans="1:42">
      <c r="A358" s="227" t="str">
        <f t="shared" si="194"/>
        <v>20-yr SL</v>
      </c>
      <c r="B358" s="165">
        <f t="shared" si="195"/>
        <v>462472.93246215105</v>
      </c>
      <c r="C358" s="208">
        <f t="shared" si="193"/>
        <v>11561.823311553781</v>
      </c>
      <c r="D358" s="208">
        <f t="shared" si="193"/>
        <v>23123.646623107561</v>
      </c>
      <c r="E358" s="208">
        <f t="shared" si="193"/>
        <v>23123.646623107561</v>
      </c>
      <c r="F358" s="208">
        <f t="shared" si="193"/>
        <v>23123.646623107561</v>
      </c>
      <c r="G358" s="208">
        <f t="shared" si="193"/>
        <v>23123.646623107561</v>
      </c>
      <c r="H358" s="208">
        <f t="shared" si="193"/>
        <v>23123.646623107561</v>
      </c>
      <c r="I358" s="208">
        <f t="shared" si="193"/>
        <v>23123.646623107561</v>
      </c>
      <c r="J358" s="208">
        <f t="shared" si="193"/>
        <v>23123.646623107561</v>
      </c>
      <c r="K358" s="208">
        <f t="shared" si="193"/>
        <v>23123.646623107561</v>
      </c>
      <c r="L358" s="208">
        <f t="shared" si="193"/>
        <v>23123.646623107561</v>
      </c>
      <c r="M358" s="208">
        <f t="shared" si="193"/>
        <v>23123.646623107561</v>
      </c>
      <c r="N358" s="208">
        <f t="shared" si="193"/>
        <v>23123.646623107561</v>
      </c>
      <c r="O358" s="208">
        <f t="shared" si="193"/>
        <v>23123.646623107561</v>
      </c>
      <c r="P358" s="208">
        <f t="shared" si="193"/>
        <v>23123.646623107561</v>
      </c>
      <c r="Q358" s="208">
        <f t="shared" si="193"/>
        <v>23123.646623107561</v>
      </c>
      <c r="R358" s="208">
        <f t="shared" si="193"/>
        <v>23123.646623107561</v>
      </c>
      <c r="S358" s="208">
        <f t="shared" si="193"/>
        <v>23123.646623107561</v>
      </c>
      <c r="T358" s="208">
        <f t="shared" si="193"/>
        <v>23123.646623107561</v>
      </c>
      <c r="U358" s="208">
        <f t="shared" si="193"/>
        <v>23123.646623107561</v>
      </c>
      <c r="V358" s="208">
        <f t="shared" si="193"/>
        <v>23123.646623107561</v>
      </c>
      <c r="W358" s="208">
        <f t="shared" si="193"/>
        <v>11561.823311553781</v>
      </c>
      <c r="X358" s="208">
        <f t="shared" si="193"/>
        <v>0</v>
      </c>
      <c r="Y358" s="208">
        <f t="shared" si="193"/>
        <v>0</v>
      </c>
      <c r="Z358" s="208">
        <f t="shared" si="193"/>
        <v>0</v>
      </c>
      <c r="AA358" s="208">
        <f t="shared" si="193"/>
        <v>0</v>
      </c>
      <c r="AB358" s="208">
        <f t="shared" si="193"/>
        <v>0</v>
      </c>
      <c r="AC358" s="208">
        <f t="shared" si="193"/>
        <v>0</v>
      </c>
      <c r="AD358" s="208">
        <f t="shared" si="193"/>
        <v>0</v>
      </c>
      <c r="AE358" s="208">
        <f t="shared" si="193"/>
        <v>0</v>
      </c>
      <c r="AF358" s="208">
        <f t="shared" si="193"/>
        <v>0</v>
      </c>
      <c r="AG358" s="208">
        <f t="shared" si="193"/>
        <v>0</v>
      </c>
      <c r="AH358" s="208">
        <f t="shared" si="193"/>
        <v>0</v>
      </c>
      <c r="AI358" s="208">
        <f t="shared" si="193"/>
        <v>0</v>
      </c>
      <c r="AJ358" s="208">
        <f t="shared" si="193"/>
        <v>0</v>
      </c>
      <c r="AK358" s="208">
        <f t="shared" si="193"/>
        <v>0</v>
      </c>
      <c r="AL358" s="208">
        <f t="shared" si="193"/>
        <v>0</v>
      </c>
      <c r="AM358" s="208">
        <f t="shared" si="193"/>
        <v>0</v>
      </c>
      <c r="AN358" s="208">
        <f t="shared" si="193"/>
        <v>0</v>
      </c>
      <c r="AO358" s="208">
        <f t="shared" si="193"/>
        <v>0</v>
      </c>
      <c r="AP358" s="208">
        <f t="shared" si="193"/>
        <v>0</v>
      </c>
    </row>
    <row r="359" spans="1:42">
      <c r="A359" s="227" t="str">
        <f t="shared" si="194"/>
        <v>39-yr SL</v>
      </c>
      <c r="B359" s="165">
        <f t="shared" si="195"/>
        <v>231236.46623107549</v>
      </c>
      <c r="C359" s="208">
        <f t="shared" si="193"/>
        <v>2964.5700798855796</v>
      </c>
      <c r="D359" s="208">
        <f t="shared" si="193"/>
        <v>5929.1401597711692</v>
      </c>
      <c r="E359" s="208">
        <f t="shared" si="193"/>
        <v>5929.1401597711692</v>
      </c>
      <c r="F359" s="208">
        <f t="shared" si="193"/>
        <v>5929.1401597711692</v>
      </c>
      <c r="G359" s="208">
        <f t="shared" si="193"/>
        <v>5929.1401597711692</v>
      </c>
      <c r="H359" s="208">
        <f t="shared" si="193"/>
        <v>5929.1401597711692</v>
      </c>
      <c r="I359" s="208">
        <f t="shared" si="193"/>
        <v>5929.1401597711692</v>
      </c>
      <c r="J359" s="208">
        <f t="shared" si="193"/>
        <v>5929.1401597711692</v>
      </c>
      <c r="K359" s="208">
        <f t="shared" si="193"/>
        <v>5929.1401597711692</v>
      </c>
      <c r="L359" s="208">
        <f t="shared" si="193"/>
        <v>5929.1401597711692</v>
      </c>
      <c r="M359" s="208">
        <f t="shared" si="193"/>
        <v>5929.1401597711692</v>
      </c>
      <c r="N359" s="208">
        <f t="shared" si="193"/>
        <v>5929.1401597711692</v>
      </c>
      <c r="O359" s="208">
        <f t="shared" si="193"/>
        <v>5929.1401597711692</v>
      </c>
      <c r="P359" s="208">
        <f t="shared" si="193"/>
        <v>5929.1401597711692</v>
      </c>
      <c r="Q359" s="208">
        <f t="shared" si="193"/>
        <v>5929.1401597711692</v>
      </c>
      <c r="R359" s="208">
        <f t="shared" si="193"/>
        <v>5929.1401597711692</v>
      </c>
      <c r="S359" s="208">
        <f t="shared" si="193"/>
        <v>5929.1401597711692</v>
      </c>
      <c r="T359" s="208">
        <f t="shared" si="193"/>
        <v>5929.1401597711692</v>
      </c>
      <c r="U359" s="208">
        <f t="shared" si="193"/>
        <v>5929.1401597711692</v>
      </c>
      <c r="V359" s="208">
        <f t="shared" si="193"/>
        <v>5929.1401597711692</v>
      </c>
      <c r="W359" s="208">
        <f t="shared" si="193"/>
        <v>5929.1401597711692</v>
      </c>
      <c r="X359" s="208">
        <f t="shared" si="193"/>
        <v>5929.1401597711692</v>
      </c>
      <c r="Y359" s="208">
        <f t="shared" si="193"/>
        <v>5929.1401597711692</v>
      </c>
      <c r="Z359" s="208">
        <f t="shared" si="193"/>
        <v>5929.1401597711692</v>
      </c>
      <c r="AA359" s="208">
        <f t="shared" si="193"/>
        <v>5929.1401597711692</v>
      </c>
      <c r="AB359" s="208">
        <f t="shared" si="193"/>
        <v>5929.1401597711692</v>
      </c>
      <c r="AC359" s="208">
        <f t="shared" si="193"/>
        <v>5929.1401597711692</v>
      </c>
      <c r="AD359" s="208">
        <f t="shared" si="193"/>
        <v>5929.1401597711692</v>
      </c>
      <c r="AE359" s="208">
        <f t="shared" si="193"/>
        <v>5929.1401597711692</v>
      </c>
      <c r="AF359" s="208">
        <f t="shared" si="193"/>
        <v>5929.1401597711692</v>
      </c>
      <c r="AG359" s="208">
        <f t="shared" si="193"/>
        <v>5929.1401597711692</v>
      </c>
      <c r="AH359" s="208">
        <f t="shared" si="193"/>
        <v>5929.1401597711692</v>
      </c>
      <c r="AI359" s="208">
        <f t="shared" si="193"/>
        <v>5929.1401597711692</v>
      </c>
      <c r="AJ359" s="208">
        <f t="shared" si="193"/>
        <v>5929.1401597711692</v>
      </c>
      <c r="AK359" s="208">
        <f t="shared" si="193"/>
        <v>5929.1401597711692</v>
      </c>
      <c r="AL359" s="208">
        <f t="shared" si="193"/>
        <v>5929.1401597711692</v>
      </c>
      <c r="AM359" s="208">
        <f t="shared" si="193"/>
        <v>5929.1401597711692</v>
      </c>
      <c r="AN359" s="208">
        <f t="shared" si="193"/>
        <v>5929.1401597711692</v>
      </c>
      <c r="AO359" s="208">
        <f t="shared" si="193"/>
        <v>5929.1401597711692</v>
      </c>
      <c r="AP359" s="208">
        <f t="shared" si="193"/>
        <v>2964.5700798855796</v>
      </c>
    </row>
    <row r="360" spans="1:42">
      <c r="A360" s="227" t="s">
        <v>332</v>
      </c>
      <c r="B360" s="237">
        <f t="shared" si="195"/>
        <v>2022819.0795219117</v>
      </c>
      <c r="C360" s="209">
        <f>J321</f>
        <v>2022819.0795219117</v>
      </c>
      <c r="D360" s="209">
        <v>0</v>
      </c>
      <c r="E360" s="209">
        <v>0</v>
      </c>
      <c r="F360" s="209">
        <v>0</v>
      </c>
      <c r="G360" s="209">
        <v>0</v>
      </c>
      <c r="H360" s="209">
        <v>0</v>
      </c>
      <c r="I360" s="209">
        <v>0</v>
      </c>
      <c r="J360" s="209">
        <v>0</v>
      </c>
      <c r="K360" s="209">
        <v>0</v>
      </c>
      <c r="L360" s="209">
        <v>0</v>
      </c>
      <c r="M360" s="209">
        <v>0</v>
      </c>
      <c r="N360" s="209">
        <v>0</v>
      </c>
      <c r="O360" s="209">
        <v>0</v>
      </c>
      <c r="P360" s="209">
        <v>0</v>
      </c>
      <c r="Q360" s="209">
        <v>0</v>
      </c>
      <c r="R360" s="209">
        <v>0</v>
      </c>
      <c r="S360" s="209">
        <v>0</v>
      </c>
      <c r="T360" s="209">
        <v>0</v>
      </c>
      <c r="U360" s="209">
        <v>0</v>
      </c>
      <c r="V360" s="209">
        <v>0</v>
      </c>
      <c r="W360" s="209">
        <v>0</v>
      </c>
      <c r="X360" s="209">
        <v>0</v>
      </c>
      <c r="Y360" s="209">
        <v>0</v>
      </c>
      <c r="Z360" s="209">
        <v>0</v>
      </c>
      <c r="AA360" s="209">
        <v>0</v>
      </c>
      <c r="AB360" s="209">
        <v>0</v>
      </c>
      <c r="AC360" s="209">
        <v>0</v>
      </c>
      <c r="AD360" s="209">
        <v>0</v>
      </c>
      <c r="AE360" s="209">
        <v>0</v>
      </c>
      <c r="AF360" s="209">
        <v>0</v>
      </c>
      <c r="AG360" s="209">
        <v>0</v>
      </c>
      <c r="AH360" s="209">
        <v>0</v>
      </c>
      <c r="AI360" s="209">
        <v>0</v>
      </c>
      <c r="AJ360" s="209">
        <v>0</v>
      </c>
      <c r="AK360" s="209">
        <v>0</v>
      </c>
      <c r="AL360" s="209">
        <v>0</v>
      </c>
      <c r="AM360" s="209">
        <v>0</v>
      </c>
      <c r="AN360" s="209">
        <v>0</v>
      </c>
      <c r="AO360" s="209">
        <v>0</v>
      </c>
      <c r="AP360" s="209">
        <v>0</v>
      </c>
    </row>
    <row r="361" spans="1:42">
      <c r="A361" s="226"/>
      <c r="B361" s="237">
        <f t="shared" si="195"/>
        <v>42537509.786517903</v>
      </c>
      <c r="C361" s="208">
        <f>SUM(C354:C360)</f>
        <v>9781843.9680077601</v>
      </c>
      <c r="D361" s="208">
        <f t="shared" ref="D361:AP361" si="196">SUM(D354:D360)</f>
        <v>12439965.600044794</v>
      </c>
      <c r="E361" s="208">
        <f t="shared" si="196"/>
        <v>7513879.3593599219</v>
      </c>
      <c r="F361" s="208">
        <f t="shared" si="196"/>
        <v>4556285.2286326559</v>
      </c>
      <c r="G361" s="208">
        <f t="shared" si="196"/>
        <v>4550943.6662627179</v>
      </c>
      <c r="H361" s="208">
        <f t="shared" si="196"/>
        <v>2332314.4998430857</v>
      </c>
      <c r="I361" s="208">
        <f t="shared" si="196"/>
        <v>116252.05819861732</v>
      </c>
      <c r="J361" s="208">
        <f t="shared" si="196"/>
        <v>116182.687258748</v>
      </c>
      <c r="K361" s="208">
        <f t="shared" si="196"/>
        <v>116321.42913848665</v>
      </c>
      <c r="L361" s="208">
        <f t="shared" si="196"/>
        <v>116182.687258748</v>
      </c>
      <c r="M361" s="208">
        <f t="shared" si="196"/>
        <v>116321.42913848665</v>
      </c>
      <c r="N361" s="208">
        <f t="shared" si="196"/>
        <v>116182.687258748</v>
      </c>
      <c r="O361" s="208">
        <f t="shared" si="196"/>
        <v>116321.42913848665</v>
      </c>
      <c r="P361" s="208">
        <f t="shared" si="196"/>
        <v>116182.687258748</v>
      </c>
      <c r="Q361" s="208">
        <f t="shared" si="196"/>
        <v>116321.42913848665</v>
      </c>
      <c r="R361" s="208">
        <f t="shared" si="196"/>
        <v>72617.737020813365</v>
      </c>
      <c r="S361" s="208">
        <f t="shared" si="196"/>
        <v>29052.786782878731</v>
      </c>
      <c r="T361" s="208">
        <f t="shared" si="196"/>
        <v>29052.786782878731</v>
      </c>
      <c r="U361" s="208">
        <f t="shared" si="196"/>
        <v>29052.786782878731</v>
      </c>
      <c r="V361" s="208">
        <f t="shared" si="196"/>
        <v>29052.786782878731</v>
      </c>
      <c r="W361" s="208">
        <f t="shared" si="196"/>
        <v>17490.963471324951</v>
      </c>
      <c r="X361" s="208">
        <f t="shared" si="196"/>
        <v>5929.1401597711692</v>
      </c>
      <c r="Y361" s="208">
        <f t="shared" si="196"/>
        <v>5929.1401597711692</v>
      </c>
      <c r="Z361" s="208">
        <f t="shared" si="196"/>
        <v>5929.1401597711692</v>
      </c>
      <c r="AA361" s="208">
        <f t="shared" si="196"/>
        <v>5929.1401597711692</v>
      </c>
      <c r="AB361" s="208">
        <f t="shared" si="196"/>
        <v>5929.1401597711692</v>
      </c>
      <c r="AC361" s="208">
        <f t="shared" si="196"/>
        <v>5929.1401597711692</v>
      </c>
      <c r="AD361" s="208">
        <f t="shared" si="196"/>
        <v>5929.1401597711692</v>
      </c>
      <c r="AE361" s="208">
        <f t="shared" si="196"/>
        <v>5929.1401597711692</v>
      </c>
      <c r="AF361" s="208">
        <f t="shared" si="196"/>
        <v>5929.1401597711692</v>
      </c>
      <c r="AG361" s="208">
        <f t="shared" si="196"/>
        <v>5929.1401597711692</v>
      </c>
      <c r="AH361" s="208">
        <f t="shared" si="196"/>
        <v>5929.1401597711692</v>
      </c>
      <c r="AI361" s="208">
        <f t="shared" si="196"/>
        <v>5929.1401597711692</v>
      </c>
      <c r="AJ361" s="208">
        <f t="shared" si="196"/>
        <v>5929.1401597711692</v>
      </c>
      <c r="AK361" s="208">
        <f t="shared" si="196"/>
        <v>5929.1401597711692</v>
      </c>
      <c r="AL361" s="208">
        <f t="shared" si="196"/>
        <v>5929.1401597711692</v>
      </c>
      <c r="AM361" s="208">
        <f t="shared" si="196"/>
        <v>5929.1401597711692</v>
      </c>
      <c r="AN361" s="208">
        <f t="shared" si="196"/>
        <v>5929.1401597711692</v>
      </c>
      <c r="AO361" s="208">
        <f t="shared" si="196"/>
        <v>5929.1401597711692</v>
      </c>
      <c r="AP361" s="208">
        <f t="shared" si="196"/>
        <v>2964.5700798855796</v>
      </c>
    </row>
    <row r="362" spans="1:42">
      <c r="A362" s="226"/>
      <c r="C362" s="208"/>
      <c r="D362" s="208"/>
      <c r="E362" s="208"/>
      <c r="F362" s="208"/>
      <c r="G362" s="208"/>
      <c r="H362" s="208"/>
      <c r="I362" s="208"/>
      <c r="J362" s="208"/>
      <c r="K362" s="208"/>
      <c r="L362" s="208"/>
      <c r="M362" s="208"/>
      <c r="N362" s="208"/>
      <c r="O362" s="208"/>
      <c r="P362" s="208"/>
      <c r="Q362" s="208"/>
      <c r="R362" s="208"/>
      <c r="S362" s="208"/>
      <c r="T362" s="208"/>
      <c r="U362" s="208"/>
      <c r="V362" s="208"/>
      <c r="W362" s="208"/>
      <c r="X362" s="208"/>
      <c r="Y362" s="208"/>
      <c r="Z362" s="208"/>
      <c r="AA362" s="208"/>
      <c r="AB362" s="208"/>
      <c r="AC362" s="208"/>
      <c r="AD362" s="208"/>
      <c r="AE362" s="208"/>
      <c r="AF362" s="208"/>
      <c r="AG362" s="208"/>
      <c r="AH362" s="208"/>
      <c r="AI362" s="208"/>
      <c r="AJ362" s="208"/>
      <c r="AK362" s="208"/>
      <c r="AL362" s="208"/>
      <c r="AM362" s="208"/>
      <c r="AN362" s="208"/>
      <c r="AO362" s="208"/>
      <c r="AP362" s="208"/>
    </row>
    <row r="363" spans="1:42">
      <c r="A363" s="219" t="s">
        <v>216</v>
      </c>
      <c r="C363" s="208"/>
      <c r="D363" s="208"/>
      <c r="E363" s="208"/>
      <c r="F363" s="208"/>
      <c r="G363" s="208"/>
      <c r="H363" s="208"/>
      <c r="I363" s="208"/>
      <c r="J363" s="208"/>
      <c r="K363" s="208"/>
      <c r="L363" s="208"/>
      <c r="M363" s="208"/>
      <c r="N363" s="208"/>
      <c r="O363" s="208"/>
      <c r="P363" s="208"/>
      <c r="Q363" s="208"/>
      <c r="R363" s="208"/>
      <c r="S363" s="208"/>
      <c r="T363" s="208"/>
      <c r="U363" s="208"/>
      <c r="V363" s="208"/>
      <c r="W363" s="208"/>
      <c r="X363" s="208"/>
      <c r="Y363" s="208"/>
      <c r="Z363" s="208"/>
      <c r="AA363" s="208"/>
      <c r="AB363" s="208"/>
      <c r="AC363" s="208"/>
      <c r="AD363" s="208"/>
      <c r="AE363" s="208"/>
      <c r="AF363" s="208"/>
      <c r="AG363" s="208"/>
      <c r="AH363" s="208"/>
      <c r="AI363" s="208"/>
      <c r="AJ363" s="208"/>
      <c r="AK363" s="208"/>
      <c r="AL363" s="208"/>
      <c r="AM363" s="208"/>
      <c r="AN363" s="208"/>
      <c r="AO363" s="208"/>
      <c r="AP363" s="208"/>
    </row>
    <row r="364" spans="1:42">
      <c r="A364" s="226" t="s">
        <v>218</v>
      </c>
      <c r="B364" s="244" t="str">
        <f>MMStateTaxTreatment</f>
        <v>5-yr MACRS</v>
      </c>
      <c r="C364" s="208"/>
      <c r="D364" s="208"/>
      <c r="E364" s="208"/>
      <c r="F364" s="208"/>
      <c r="G364" s="208"/>
      <c r="H364" s="208"/>
      <c r="I364" s="208"/>
      <c r="J364" s="208"/>
      <c r="K364" s="208"/>
      <c r="L364" s="208"/>
      <c r="M364" s="208"/>
      <c r="N364" s="208"/>
      <c r="O364" s="208"/>
      <c r="P364" s="208"/>
      <c r="Q364" s="208"/>
      <c r="R364" s="208"/>
      <c r="S364" s="208"/>
      <c r="T364" s="208"/>
      <c r="U364" s="208"/>
      <c r="V364" s="208"/>
      <c r="W364" s="208"/>
      <c r="X364" s="208"/>
      <c r="Y364" s="208"/>
      <c r="Z364" s="208"/>
      <c r="AA364" s="208"/>
      <c r="AB364" s="208"/>
      <c r="AC364" s="208"/>
      <c r="AD364" s="208"/>
      <c r="AE364" s="208"/>
      <c r="AF364" s="208"/>
      <c r="AG364" s="208"/>
      <c r="AH364" s="208"/>
      <c r="AI364" s="208"/>
      <c r="AJ364" s="208"/>
      <c r="AK364" s="208"/>
      <c r="AL364" s="208"/>
      <c r="AM364" s="208"/>
      <c r="AN364" s="208"/>
      <c r="AO364" s="208"/>
      <c r="AP364" s="208"/>
    </row>
    <row r="365" spans="1:42">
      <c r="A365" s="226" t="s">
        <v>219</v>
      </c>
      <c r="B365" s="208">
        <f t="shared" ref="B365:AP365" si="197">B2</f>
        <v>0</v>
      </c>
      <c r="C365" s="208">
        <f t="shared" si="197"/>
        <v>1</v>
      </c>
      <c r="D365" s="208">
        <f t="shared" si="197"/>
        <v>2</v>
      </c>
      <c r="E365" s="208">
        <f t="shared" si="197"/>
        <v>3</v>
      </c>
      <c r="F365" s="208">
        <f t="shared" si="197"/>
        <v>4</v>
      </c>
      <c r="G365" s="208">
        <f t="shared" si="197"/>
        <v>5</v>
      </c>
      <c r="H365" s="208">
        <f t="shared" si="197"/>
        <v>6</v>
      </c>
      <c r="I365" s="208">
        <f t="shared" si="197"/>
        <v>7</v>
      </c>
      <c r="J365" s="208">
        <f t="shared" si="197"/>
        <v>8</v>
      </c>
      <c r="K365" s="208">
        <f t="shared" si="197"/>
        <v>9</v>
      </c>
      <c r="L365" s="208">
        <f t="shared" si="197"/>
        <v>10</v>
      </c>
      <c r="M365" s="208">
        <f t="shared" si="197"/>
        <v>11</v>
      </c>
      <c r="N365" s="208">
        <f t="shared" si="197"/>
        <v>12</v>
      </c>
      <c r="O365" s="208">
        <f t="shared" si="197"/>
        <v>13</v>
      </c>
      <c r="P365" s="208">
        <f t="shared" si="197"/>
        <v>14</v>
      </c>
      <c r="Q365" s="208">
        <f t="shared" si="197"/>
        <v>15</v>
      </c>
      <c r="R365" s="208">
        <f t="shared" si="197"/>
        <v>16</v>
      </c>
      <c r="S365" s="208">
        <f t="shared" si="197"/>
        <v>17</v>
      </c>
      <c r="T365" s="208">
        <f t="shared" si="197"/>
        <v>18</v>
      </c>
      <c r="U365" s="208">
        <f t="shared" si="197"/>
        <v>19</v>
      </c>
      <c r="V365" s="208">
        <f t="shared" si="197"/>
        <v>20</v>
      </c>
      <c r="W365" s="208">
        <f t="shared" si="197"/>
        <v>21</v>
      </c>
      <c r="X365" s="208">
        <f t="shared" si="197"/>
        <v>22</v>
      </c>
      <c r="Y365" s="208">
        <f t="shared" si="197"/>
        <v>23</v>
      </c>
      <c r="Z365" s="208">
        <f t="shared" si="197"/>
        <v>24</v>
      </c>
      <c r="AA365" s="208">
        <f t="shared" si="197"/>
        <v>25</v>
      </c>
      <c r="AB365" s="208">
        <f t="shared" si="197"/>
        <v>26</v>
      </c>
      <c r="AC365" s="208">
        <f t="shared" si="197"/>
        <v>27</v>
      </c>
      <c r="AD365" s="208">
        <f t="shared" si="197"/>
        <v>28</v>
      </c>
      <c r="AE365" s="208">
        <f t="shared" si="197"/>
        <v>29</v>
      </c>
      <c r="AF365" s="208">
        <f t="shared" si="197"/>
        <v>30</v>
      </c>
      <c r="AG365" s="208">
        <f t="shared" si="197"/>
        <v>31</v>
      </c>
      <c r="AH365" s="208">
        <f t="shared" si="197"/>
        <v>32</v>
      </c>
      <c r="AI365" s="208">
        <f t="shared" si="197"/>
        <v>33</v>
      </c>
      <c r="AJ365" s="208">
        <f t="shared" si="197"/>
        <v>34</v>
      </c>
      <c r="AK365" s="208">
        <f t="shared" si="197"/>
        <v>35</v>
      </c>
      <c r="AL365" s="208">
        <f t="shared" si="197"/>
        <v>36</v>
      </c>
      <c r="AM365" s="208">
        <f t="shared" si="197"/>
        <v>37</v>
      </c>
      <c r="AN365" s="208">
        <f t="shared" si="197"/>
        <v>38</v>
      </c>
      <c r="AO365" s="208">
        <f t="shared" si="197"/>
        <v>39</v>
      </c>
      <c r="AP365" s="208">
        <f t="shared" si="197"/>
        <v>40</v>
      </c>
    </row>
    <row r="366" spans="1:42">
      <c r="A366" s="226" t="s">
        <v>220</v>
      </c>
      <c r="B366" s="245">
        <v>0</v>
      </c>
      <c r="C366" s="240">
        <f t="shared" ref="C366:AP366" si="198">IF($B$364=$A347,C347,0)+IF($B$364=$A348,C348,0)+IF($B$364=$A349,C349,0)+IF($B$364=$A350,C350,0)+IF($B$364=$A351,C351,0)+IF($B$364=$A352,C352,0)</f>
        <v>0.2</v>
      </c>
      <c r="D366" s="240">
        <f t="shared" si="198"/>
        <v>0.32</v>
      </c>
      <c r="E366" s="240">
        <f t="shared" si="198"/>
        <v>0.192</v>
      </c>
      <c r="F366" s="240">
        <f t="shared" si="198"/>
        <v>0.1152</v>
      </c>
      <c r="G366" s="240">
        <f t="shared" si="198"/>
        <v>0.1152</v>
      </c>
      <c r="H366" s="240">
        <f t="shared" si="198"/>
        <v>5.7599999999999998E-2</v>
      </c>
      <c r="I366" s="240">
        <f t="shared" si="198"/>
        <v>0</v>
      </c>
      <c r="J366" s="240">
        <f t="shared" si="198"/>
        <v>0</v>
      </c>
      <c r="K366" s="240">
        <f t="shared" si="198"/>
        <v>0</v>
      </c>
      <c r="L366" s="240">
        <f t="shared" si="198"/>
        <v>0</v>
      </c>
      <c r="M366" s="240">
        <f t="shared" si="198"/>
        <v>0</v>
      </c>
      <c r="N366" s="240">
        <f t="shared" si="198"/>
        <v>0</v>
      </c>
      <c r="O366" s="240">
        <f t="shared" si="198"/>
        <v>0</v>
      </c>
      <c r="P366" s="240">
        <f t="shared" si="198"/>
        <v>0</v>
      </c>
      <c r="Q366" s="240">
        <f t="shared" si="198"/>
        <v>0</v>
      </c>
      <c r="R366" s="240">
        <f t="shared" si="198"/>
        <v>0</v>
      </c>
      <c r="S366" s="240">
        <f t="shared" si="198"/>
        <v>0</v>
      </c>
      <c r="T366" s="240">
        <f t="shared" si="198"/>
        <v>0</v>
      </c>
      <c r="U366" s="240">
        <f t="shared" si="198"/>
        <v>0</v>
      </c>
      <c r="V366" s="240">
        <f t="shared" si="198"/>
        <v>0</v>
      </c>
      <c r="W366" s="240">
        <f t="shared" si="198"/>
        <v>0</v>
      </c>
      <c r="X366" s="240">
        <f t="shared" si="198"/>
        <v>0</v>
      </c>
      <c r="Y366" s="240">
        <f t="shared" si="198"/>
        <v>0</v>
      </c>
      <c r="Z366" s="240">
        <f t="shared" si="198"/>
        <v>0</v>
      </c>
      <c r="AA366" s="240">
        <f t="shared" si="198"/>
        <v>0</v>
      </c>
      <c r="AB366" s="240">
        <f t="shared" si="198"/>
        <v>0</v>
      </c>
      <c r="AC366" s="240">
        <f t="shared" si="198"/>
        <v>0</v>
      </c>
      <c r="AD366" s="240">
        <f t="shared" si="198"/>
        <v>0</v>
      </c>
      <c r="AE366" s="240">
        <f t="shared" si="198"/>
        <v>0</v>
      </c>
      <c r="AF366" s="240">
        <f t="shared" si="198"/>
        <v>0</v>
      </c>
      <c r="AG366" s="240">
        <f t="shared" si="198"/>
        <v>0</v>
      </c>
      <c r="AH366" s="240">
        <f t="shared" si="198"/>
        <v>0</v>
      </c>
      <c r="AI366" s="240">
        <f t="shared" si="198"/>
        <v>0</v>
      </c>
      <c r="AJ366" s="240">
        <f t="shared" si="198"/>
        <v>0</v>
      </c>
      <c r="AK366" s="240">
        <f t="shared" si="198"/>
        <v>0</v>
      </c>
      <c r="AL366" s="240">
        <f t="shared" si="198"/>
        <v>0</v>
      </c>
      <c r="AM366" s="240">
        <f t="shared" si="198"/>
        <v>0</v>
      </c>
      <c r="AN366" s="240">
        <f t="shared" si="198"/>
        <v>0</v>
      </c>
      <c r="AO366" s="240">
        <f t="shared" si="198"/>
        <v>0</v>
      </c>
      <c r="AP366" s="240">
        <f t="shared" si="198"/>
        <v>0</v>
      </c>
    </row>
    <row r="367" spans="1:42">
      <c r="A367" s="226"/>
      <c r="B367" s="245"/>
      <c r="C367" s="240"/>
      <c r="D367" s="240"/>
      <c r="E367" s="240"/>
      <c r="F367" s="240"/>
      <c r="G367" s="240"/>
      <c r="H367" s="240"/>
      <c r="I367" s="240"/>
      <c r="J367" s="240"/>
      <c r="K367" s="240"/>
      <c r="L367" s="240"/>
      <c r="M367" s="240"/>
      <c r="N367" s="240"/>
      <c r="O367" s="240"/>
      <c r="P367" s="240"/>
      <c r="Q367" s="240"/>
      <c r="R367" s="240"/>
      <c r="S367" s="240"/>
      <c r="T367" s="240"/>
      <c r="U367" s="240"/>
      <c r="V367" s="240"/>
      <c r="W367" s="240"/>
      <c r="X367" s="240"/>
      <c r="Y367" s="240"/>
      <c r="Z367" s="240"/>
      <c r="AA367" s="240"/>
      <c r="AB367" s="240"/>
      <c r="AC367" s="240"/>
      <c r="AD367" s="240"/>
      <c r="AE367" s="240"/>
      <c r="AF367" s="240"/>
      <c r="AG367" s="240"/>
      <c r="AH367" s="240"/>
      <c r="AI367" s="240"/>
      <c r="AJ367" s="240"/>
      <c r="AK367" s="240"/>
      <c r="AL367" s="240"/>
      <c r="AM367" s="240"/>
      <c r="AN367" s="240"/>
      <c r="AO367" s="240"/>
      <c r="AP367" s="240"/>
    </row>
    <row r="368" spans="1:42">
      <c r="A368" s="219" t="s">
        <v>383</v>
      </c>
      <c r="C368" s="208"/>
      <c r="D368" s="208"/>
      <c r="E368" s="208"/>
      <c r="F368" s="208"/>
      <c r="G368" s="208"/>
      <c r="H368" s="208"/>
      <c r="I368" s="208"/>
      <c r="J368" s="208"/>
      <c r="K368" s="208"/>
      <c r="L368" s="208"/>
      <c r="M368" s="208"/>
      <c r="N368" s="208"/>
      <c r="O368" s="208"/>
      <c r="P368" s="208"/>
      <c r="Q368" s="208"/>
      <c r="R368" s="208"/>
      <c r="S368" s="208"/>
      <c r="T368" s="208"/>
      <c r="U368" s="208"/>
      <c r="V368" s="208"/>
      <c r="W368" s="208"/>
      <c r="X368" s="208"/>
      <c r="Y368" s="208"/>
      <c r="Z368" s="208"/>
      <c r="AA368" s="208"/>
      <c r="AB368" s="208"/>
      <c r="AC368" s="208"/>
      <c r="AD368" s="208"/>
      <c r="AE368" s="208"/>
      <c r="AF368" s="208"/>
      <c r="AG368" s="208"/>
      <c r="AH368" s="208"/>
      <c r="AI368" s="208"/>
      <c r="AJ368" s="208"/>
      <c r="AK368" s="208"/>
      <c r="AL368" s="208"/>
      <c r="AM368" s="208"/>
      <c r="AN368" s="208"/>
      <c r="AO368" s="208"/>
      <c r="AP368" s="208"/>
    </row>
    <row r="369" spans="1:42">
      <c r="A369" s="226" t="s">
        <v>217</v>
      </c>
      <c r="C369" s="208"/>
      <c r="D369" s="208"/>
      <c r="E369" s="208"/>
      <c r="F369" s="208"/>
      <c r="G369" s="208"/>
      <c r="H369" s="208"/>
      <c r="I369" s="208"/>
      <c r="J369" s="208"/>
      <c r="K369" s="208"/>
      <c r="L369" s="208"/>
      <c r="M369" s="208"/>
      <c r="N369" s="208"/>
      <c r="O369" s="208"/>
      <c r="P369" s="208"/>
      <c r="Q369" s="208"/>
      <c r="R369" s="208"/>
      <c r="S369" s="208"/>
      <c r="T369" s="208"/>
      <c r="U369" s="208"/>
      <c r="V369" s="208"/>
      <c r="W369" s="208"/>
      <c r="X369" s="208"/>
      <c r="Y369" s="208"/>
      <c r="Z369" s="208"/>
      <c r="AA369" s="208"/>
      <c r="AB369" s="208"/>
      <c r="AC369" s="208"/>
      <c r="AD369" s="208"/>
      <c r="AE369" s="208"/>
      <c r="AF369" s="208"/>
      <c r="AG369" s="208"/>
      <c r="AH369" s="208"/>
      <c r="AI369" s="208"/>
      <c r="AJ369" s="208"/>
      <c r="AK369" s="208"/>
      <c r="AL369" s="208"/>
      <c r="AM369" s="208"/>
      <c r="AN369" s="208"/>
      <c r="AO369" s="208"/>
      <c r="AP369" s="208"/>
    </row>
    <row r="370" spans="1:42">
      <c r="A370" s="37">
        <v>1</v>
      </c>
      <c r="C370" s="208">
        <f>IF(C$2&lt;=AnalysisPeriod,IF(SUM($C725:C725)&gt;0,B370+1,0),0)</f>
        <v>0</v>
      </c>
      <c r="D370" s="208">
        <f>IF(D$2&lt;=AnalysisPeriod,IF(SUM($C725:D725)&gt;0,C370+1,0),0)</f>
        <v>0</v>
      </c>
      <c r="E370" s="208">
        <f>IF(E$2&lt;=AnalysisPeriod,IF(SUM($C725:E725)&gt;0,D370+1,0),0)</f>
        <v>0</v>
      </c>
      <c r="F370" s="208">
        <f>IF(F$2&lt;=AnalysisPeriod,IF(SUM($C725:F725)&gt;0,E370+1,0),0)</f>
        <v>0</v>
      </c>
      <c r="G370" s="208">
        <f>IF(G$2&lt;=AnalysisPeriod,IF(SUM($C725:G725)&gt;0,F370+1,0),0)</f>
        <v>0</v>
      </c>
      <c r="H370" s="208">
        <f>IF(H$2&lt;=AnalysisPeriod,IF(SUM($C725:H725)&gt;0,G370+1,0),0)</f>
        <v>0</v>
      </c>
      <c r="I370" s="208">
        <f>IF(I$2&lt;=AnalysisPeriod,IF(SUM($C725:I725)&gt;0,H370+1,0),0)</f>
        <v>0</v>
      </c>
      <c r="J370" s="208">
        <f>IF(J$2&lt;=AnalysisPeriod,IF(SUM($C725:J725)&gt;0,I370+1,0),0)</f>
        <v>0</v>
      </c>
      <c r="K370" s="208">
        <f>IF(K$2&lt;=AnalysisPeriod,IF(SUM($C725:K725)&gt;0,J370+1,0),0)</f>
        <v>0</v>
      </c>
      <c r="L370" s="208">
        <f>IF(L$2&lt;=AnalysisPeriod,IF(SUM($C725:L725)&gt;0,K370+1,0),0)</f>
        <v>0</v>
      </c>
      <c r="M370" s="208">
        <f>IF(M$2&lt;=AnalysisPeriod,IF(SUM($C725:M725)&gt;0,L370+1,0),0)</f>
        <v>0</v>
      </c>
      <c r="N370" s="208">
        <f>IF(N$2&lt;=AnalysisPeriod,IF(SUM($C725:N725)&gt;0,M370+1,0),0)</f>
        <v>1</v>
      </c>
      <c r="O370" s="208">
        <f>IF(O$2&lt;=AnalysisPeriod,IF(SUM($C725:O725)&gt;0,N370+1,0),0)</f>
        <v>2</v>
      </c>
      <c r="P370" s="208">
        <f>IF(P$2&lt;=AnalysisPeriod,IF(SUM($C725:P725)&gt;0,O370+1,0),0)</f>
        <v>3</v>
      </c>
      <c r="Q370" s="208">
        <f>IF(Q$2&lt;=AnalysisPeriod,IF(SUM($C725:Q725)&gt;0,P370+1,0),0)</f>
        <v>4</v>
      </c>
      <c r="R370" s="208">
        <f>IF(R$2&lt;=AnalysisPeriod,IF(SUM($C725:R725)&gt;0,Q370+1,0),0)</f>
        <v>5</v>
      </c>
      <c r="S370" s="208">
        <f>IF(S$2&lt;=AnalysisPeriod,IF(SUM($C725:S725)&gt;0,R370+1,0),0)</f>
        <v>6</v>
      </c>
      <c r="T370" s="208">
        <f>IF(T$2&lt;=AnalysisPeriod,IF(SUM($C725:T725)&gt;0,S370+1,0),0)</f>
        <v>7</v>
      </c>
      <c r="U370" s="208">
        <f>IF(U$2&lt;=AnalysisPeriod,IF(SUM($C725:U725)&gt;0,T370+1,0),0)</f>
        <v>8</v>
      </c>
      <c r="V370" s="208">
        <f>IF(V$2&lt;=AnalysisPeriod,IF(SUM($C725:V725)&gt;0,U370+1,0),0)</f>
        <v>9</v>
      </c>
      <c r="W370" s="208">
        <f>IF(W$2&lt;=AnalysisPeriod,IF(SUM($C725:W725)&gt;0,V370+1,0),0)</f>
        <v>10</v>
      </c>
      <c r="X370" s="208">
        <f>IF(X$2&lt;=AnalysisPeriod,IF(SUM($C725:X725)&gt;0,W370+1,0),0)</f>
        <v>11</v>
      </c>
      <c r="Y370" s="208">
        <f>IF(Y$2&lt;=AnalysisPeriod,IF(SUM($C725:Y725)&gt;0,X370+1,0),0)</f>
        <v>12</v>
      </c>
      <c r="Z370" s="208">
        <f>IF(Z$2&lt;=AnalysisPeriod,IF(SUM($C725:Z725)&gt;0,Y370+1,0),0)</f>
        <v>13</v>
      </c>
      <c r="AA370" s="208">
        <f>IF(AA$2&lt;=AnalysisPeriod,IF(SUM($C725:AA725)&gt;0,Z370+1,0),0)</f>
        <v>14</v>
      </c>
      <c r="AB370" s="208">
        <f>IF(AB$2&lt;=AnalysisPeriod,IF(SUM($C725:AB725)&gt;0,AA370+1,0),0)</f>
        <v>15</v>
      </c>
      <c r="AC370" s="208">
        <f>IF(AC$2&lt;=AnalysisPeriod,IF(SUM($C725:AC725)&gt;0,AB370+1,0),0)</f>
        <v>16</v>
      </c>
      <c r="AD370" s="208">
        <f>IF(AD$2&lt;=AnalysisPeriod,IF(SUM($C725:AD725)&gt;0,AC370+1,0),0)</f>
        <v>17</v>
      </c>
      <c r="AE370" s="208">
        <f>IF(AE$2&lt;=AnalysisPeriod,IF(SUM($C725:AE725)&gt;0,AD370+1,0),0)</f>
        <v>18</v>
      </c>
      <c r="AF370" s="208">
        <f>IF(AF$2&lt;=AnalysisPeriod,IF(SUM($C725:AF725)&gt;0,AE370+1,0),0)</f>
        <v>19</v>
      </c>
      <c r="AG370" s="208">
        <f>IF(AG$2&lt;=AnalysisPeriod,IF(SUM($C725:AG725)&gt;0,AF370+1,0),0)</f>
        <v>0</v>
      </c>
      <c r="AH370" s="208">
        <f>IF(AH$2&lt;=AnalysisPeriod,IF(SUM($C725:AH725)&gt;0,AG370+1,0),0)</f>
        <v>0</v>
      </c>
      <c r="AI370" s="208">
        <f>IF(AI$2&lt;=AnalysisPeriod,IF(SUM($C725:AI725)&gt;0,AH370+1,0),0)</f>
        <v>0</v>
      </c>
      <c r="AJ370" s="208">
        <f>IF(AJ$2&lt;=AnalysisPeriod,IF(SUM($C725:AJ725)&gt;0,AI370+1,0),0)</f>
        <v>0</v>
      </c>
      <c r="AK370" s="208">
        <f>IF(AK$2&lt;=AnalysisPeriod,IF(SUM($C725:AK725)&gt;0,AJ370+1,0),0)</f>
        <v>0</v>
      </c>
      <c r="AL370" s="208">
        <f>IF(AL$2&lt;=AnalysisPeriod,IF(SUM($C725:AL725)&gt;0,AK370+1,0),0)</f>
        <v>0</v>
      </c>
      <c r="AM370" s="208">
        <f>IF(AM$2&lt;=AnalysisPeriod,IF(SUM($C725:AM725)&gt;0,AL370+1,0),0)</f>
        <v>0</v>
      </c>
      <c r="AN370" s="208">
        <f>IF(AN$2&lt;=AnalysisPeriod,IF(SUM($C725:AN725)&gt;0,AM370+1,0),0)</f>
        <v>0</v>
      </c>
      <c r="AO370" s="208">
        <f>IF(AO$2&lt;=AnalysisPeriod,IF(SUM($C725:AO725)&gt;0,AN370+1,0),0)</f>
        <v>0</v>
      </c>
      <c r="AP370" s="208">
        <f>IF(AP$2&lt;=AnalysisPeriod,IF(SUM($C725:AP725)&gt;0,AO370+1,0),0)</f>
        <v>0</v>
      </c>
    </row>
    <row r="371" spans="1:42">
      <c r="A371" s="37">
        <f>A370+1</f>
        <v>2</v>
      </c>
      <c r="C371" s="208">
        <f>IF(C$2&lt;=AnalysisPeriod,IF(SUM($C726:C726)&gt;0,B371+1,0),0)</f>
        <v>0</v>
      </c>
      <c r="D371" s="208">
        <f>IF(D$2&lt;=AnalysisPeriod,IF(SUM($C726:D726)&gt;0,C371+1,0),0)</f>
        <v>0</v>
      </c>
      <c r="E371" s="208">
        <f>IF(E$2&lt;=AnalysisPeriod,IF(SUM($C726:E726)&gt;0,D371+1,0),0)</f>
        <v>0</v>
      </c>
      <c r="F371" s="208">
        <f>IF(F$2&lt;=AnalysisPeriod,IF(SUM($C726:F726)&gt;0,E371+1,0),0)</f>
        <v>0</v>
      </c>
      <c r="G371" s="208">
        <f>IF(G$2&lt;=AnalysisPeriod,IF(SUM($C726:G726)&gt;0,F371+1,0),0)</f>
        <v>0</v>
      </c>
      <c r="H371" s="208">
        <f>IF(H$2&lt;=AnalysisPeriod,IF(SUM($C726:H726)&gt;0,G371+1,0),0)</f>
        <v>0</v>
      </c>
      <c r="I371" s="208">
        <f>IF(I$2&lt;=AnalysisPeriod,IF(SUM($C726:I726)&gt;0,H371+1,0),0)</f>
        <v>0</v>
      </c>
      <c r="J371" s="208">
        <f>IF(J$2&lt;=AnalysisPeriod,IF(SUM($C726:J726)&gt;0,I371+1,0),0)</f>
        <v>0</v>
      </c>
      <c r="K371" s="208">
        <f>IF(K$2&lt;=AnalysisPeriod,IF(SUM($C726:K726)&gt;0,J371+1,0),0)</f>
        <v>0</v>
      </c>
      <c r="L371" s="208">
        <f>IF(L$2&lt;=AnalysisPeriod,IF(SUM($C726:L726)&gt;0,K371+1,0),0)</f>
        <v>0</v>
      </c>
      <c r="M371" s="208">
        <f>IF(M$2&lt;=AnalysisPeriod,IF(SUM($C726:M726)&gt;0,L371+1,0),0)</f>
        <v>0</v>
      </c>
      <c r="N371" s="208">
        <f>IF(N$2&lt;=AnalysisPeriod,IF(SUM($C726:N726)&gt;0,M371+1,0),0)</f>
        <v>0</v>
      </c>
      <c r="O371" s="208">
        <f>IF(O$2&lt;=AnalysisPeriod,IF(SUM($C726:O726)&gt;0,N371+1,0),0)</f>
        <v>0</v>
      </c>
      <c r="P371" s="208">
        <f>IF(P$2&lt;=AnalysisPeriod,IF(SUM($C726:P726)&gt;0,O371+1,0),0)</f>
        <v>0</v>
      </c>
      <c r="Q371" s="208">
        <f>IF(Q$2&lt;=AnalysisPeriod,IF(SUM($C726:Q726)&gt;0,P371+1,0),0)</f>
        <v>0</v>
      </c>
      <c r="R371" s="208">
        <f>IF(R$2&lt;=AnalysisPeriod,IF(SUM($C726:R726)&gt;0,Q371+1,0),0)</f>
        <v>0</v>
      </c>
      <c r="S371" s="208">
        <f>IF(S$2&lt;=AnalysisPeriod,IF(SUM($C726:S726)&gt;0,R371+1,0),0)</f>
        <v>0</v>
      </c>
      <c r="T371" s="208">
        <f>IF(T$2&lt;=AnalysisPeriod,IF(SUM($C726:T726)&gt;0,S371+1,0),0)</f>
        <v>0</v>
      </c>
      <c r="U371" s="208">
        <f>IF(U$2&lt;=AnalysisPeriod,IF(SUM($C726:U726)&gt;0,T371+1,0),0)</f>
        <v>0</v>
      </c>
      <c r="V371" s="208">
        <f>IF(V$2&lt;=AnalysisPeriod,IF(SUM($C726:V726)&gt;0,U371+1,0),0)</f>
        <v>0</v>
      </c>
      <c r="W371" s="208">
        <f>IF(W$2&lt;=AnalysisPeriod,IF(SUM($C726:W726)&gt;0,V371+1,0),0)</f>
        <v>0</v>
      </c>
      <c r="X371" s="208">
        <f>IF(X$2&lt;=AnalysisPeriod,IF(SUM($C726:X726)&gt;0,W371+1,0),0)</f>
        <v>0</v>
      </c>
      <c r="Y371" s="208">
        <f>IF(Y$2&lt;=AnalysisPeriod,IF(SUM($C726:Y726)&gt;0,X371+1,0),0)</f>
        <v>0</v>
      </c>
      <c r="Z371" s="208">
        <f>IF(Z$2&lt;=AnalysisPeriod,IF(SUM($C726:Z726)&gt;0,Y371+1,0),0)</f>
        <v>1</v>
      </c>
      <c r="AA371" s="208">
        <f>IF(AA$2&lt;=AnalysisPeriod,IF(SUM($C726:AA726)&gt;0,Z371+1,0),0)</f>
        <v>2</v>
      </c>
      <c r="AB371" s="208">
        <f>IF(AB$2&lt;=AnalysisPeriod,IF(SUM($C726:AB726)&gt;0,AA371+1,0),0)</f>
        <v>3</v>
      </c>
      <c r="AC371" s="208">
        <f>IF(AC$2&lt;=AnalysisPeriod,IF(SUM($C726:AC726)&gt;0,AB371+1,0),0)</f>
        <v>4</v>
      </c>
      <c r="AD371" s="208">
        <f>IF(AD$2&lt;=AnalysisPeriod,IF(SUM($C726:AD726)&gt;0,AC371+1,0),0)</f>
        <v>5</v>
      </c>
      <c r="AE371" s="208">
        <f>IF(AE$2&lt;=AnalysisPeriod,IF(SUM($C726:AE726)&gt;0,AD371+1,0),0)</f>
        <v>6</v>
      </c>
      <c r="AF371" s="208">
        <f>IF(AF$2&lt;=AnalysisPeriod,IF(SUM($C726:AF726)&gt;0,AE371+1,0),0)</f>
        <v>7</v>
      </c>
      <c r="AG371" s="208">
        <f>IF(AG$2&lt;=AnalysisPeriod,IF(SUM($C726:AG726)&gt;0,AF371+1,0),0)</f>
        <v>0</v>
      </c>
      <c r="AH371" s="208">
        <f>IF(AH$2&lt;=AnalysisPeriod,IF(SUM($C726:AH726)&gt;0,AG371+1,0),0)</f>
        <v>0</v>
      </c>
      <c r="AI371" s="208">
        <f>IF(AI$2&lt;=AnalysisPeriod,IF(SUM($C726:AI726)&gt;0,AH371+1,0),0)</f>
        <v>0</v>
      </c>
      <c r="AJ371" s="208">
        <f>IF(AJ$2&lt;=AnalysisPeriod,IF(SUM($C726:AJ726)&gt;0,AI371+1,0),0)</f>
        <v>0</v>
      </c>
      <c r="AK371" s="208">
        <f>IF(AK$2&lt;=AnalysisPeriod,IF(SUM($C726:AK726)&gt;0,AJ371+1,0),0)</f>
        <v>0</v>
      </c>
      <c r="AL371" s="208">
        <f>IF(AL$2&lt;=AnalysisPeriod,IF(SUM($C726:AL726)&gt;0,AK371+1,0),0)</f>
        <v>0</v>
      </c>
      <c r="AM371" s="208">
        <f>IF(AM$2&lt;=AnalysisPeriod,IF(SUM($C726:AM726)&gt;0,AL371+1,0),0)</f>
        <v>0</v>
      </c>
      <c r="AN371" s="208">
        <f>IF(AN$2&lt;=AnalysisPeriod,IF(SUM($C726:AN726)&gt;0,AM371+1,0),0)</f>
        <v>0</v>
      </c>
      <c r="AO371" s="208">
        <f>IF(AO$2&lt;=AnalysisPeriod,IF(SUM($C726:AO726)&gt;0,AN371+1,0),0)</f>
        <v>0</v>
      </c>
      <c r="AP371" s="208">
        <f>IF(AP$2&lt;=AnalysisPeriod,IF(SUM($C726:AP726)&gt;0,AO371+1,0),0)</f>
        <v>0</v>
      </c>
    </row>
    <row r="372" spans="1:42">
      <c r="A372" s="37">
        <f t="shared" ref="A372:A379" si="199">A371+1</f>
        <v>3</v>
      </c>
      <c r="C372" s="208">
        <f>IF(C$2&lt;=AnalysisPeriod,IF(SUM($C727:C727)&gt;0,B372+1,0),0)</f>
        <v>0</v>
      </c>
      <c r="D372" s="208">
        <f>IF(D$2&lt;=AnalysisPeriod,IF(SUM($C727:D727)&gt;0,C372+1,0),0)</f>
        <v>0</v>
      </c>
      <c r="E372" s="208">
        <f>IF(E$2&lt;=AnalysisPeriod,IF(SUM($C727:E727)&gt;0,D372+1,0),0)</f>
        <v>0</v>
      </c>
      <c r="F372" s="208">
        <f>IF(F$2&lt;=AnalysisPeriod,IF(SUM($C727:F727)&gt;0,E372+1,0),0)</f>
        <v>0</v>
      </c>
      <c r="G372" s="208">
        <f>IF(G$2&lt;=AnalysisPeriod,IF(SUM($C727:G727)&gt;0,F372+1,0),0)</f>
        <v>0</v>
      </c>
      <c r="H372" s="208">
        <f>IF(H$2&lt;=AnalysisPeriod,IF(SUM($C727:H727)&gt;0,G372+1,0),0)</f>
        <v>0</v>
      </c>
      <c r="I372" s="208">
        <f>IF(I$2&lt;=AnalysisPeriod,IF(SUM($C727:I727)&gt;0,H372+1,0),0)</f>
        <v>0</v>
      </c>
      <c r="J372" s="208">
        <f>IF(J$2&lt;=AnalysisPeriod,IF(SUM($C727:J727)&gt;0,I372+1,0),0)</f>
        <v>0</v>
      </c>
      <c r="K372" s="208">
        <f>IF(K$2&lt;=AnalysisPeriod,IF(SUM($C727:K727)&gt;0,J372+1,0),0)</f>
        <v>0</v>
      </c>
      <c r="L372" s="208">
        <f>IF(L$2&lt;=AnalysisPeriod,IF(SUM($C727:L727)&gt;0,K372+1,0),0)</f>
        <v>0</v>
      </c>
      <c r="M372" s="208">
        <f>IF(M$2&lt;=AnalysisPeriod,IF(SUM($C727:M727)&gt;0,L372+1,0),0)</f>
        <v>0</v>
      </c>
      <c r="N372" s="208">
        <f>IF(N$2&lt;=AnalysisPeriod,IF(SUM($C727:N727)&gt;0,M372+1,0),0)</f>
        <v>0</v>
      </c>
      <c r="O372" s="208">
        <f>IF(O$2&lt;=AnalysisPeriod,IF(SUM($C727:O727)&gt;0,N372+1,0),0)</f>
        <v>0</v>
      </c>
      <c r="P372" s="208">
        <f>IF(P$2&lt;=AnalysisPeriod,IF(SUM($C727:P727)&gt;0,O372+1,0),0)</f>
        <v>0</v>
      </c>
      <c r="Q372" s="208">
        <f>IF(Q$2&lt;=AnalysisPeriod,IF(SUM($C727:Q727)&gt;0,P372+1,0),0)</f>
        <v>0</v>
      </c>
      <c r="R372" s="208">
        <f>IF(R$2&lt;=AnalysisPeriod,IF(SUM($C727:R727)&gt;0,Q372+1,0),0)</f>
        <v>0</v>
      </c>
      <c r="S372" s="208">
        <f>IF(S$2&lt;=AnalysisPeriod,IF(SUM($C727:S727)&gt;0,R372+1,0),0)</f>
        <v>0</v>
      </c>
      <c r="T372" s="208">
        <f>IF(T$2&lt;=AnalysisPeriod,IF(SUM($C727:T727)&gt;0,S372+1,0),0)</f>
        <v>0</v>
      </c>
      <c r="U372" s="208">
        <f>IF(U$2&lt;=AnalysisPeriod,IF(SUM($C727:U727)&gt;0,T372+1,0),0)</f>
        <v>0</v>
      </c>
      <c r="V372" s="208">
        <f>IF(V$2&lt;=AnalysisPeriod,IF(SUM($C727:V727)&gt;0,U372+1,0),0)</f>
        <v>0</v>
      </c>
      <c r="W372" s="208">
        <f>IF(W$2&lt;=AnalysisPeriod,IF(SUM($C727:W727)&gt;0,V372+1,0),0)</f>
        <v>0</v>
      </c>
      <c r="X372" s="208">
        <f>IF(X$2&lt;=AnalysisPeriod,IF(SUM($C727:X727)&gt;0,W372+1,0),0)</f>
        <v>0</v>
      </c>
      <c r="Y372" s="208">
        <f>IF(Y$2&lt;=AnalysisPeriod,IF(SUM($C727:Y727)&gt;0,X372+1,0),0)</f>
        <v>0</v>
      </c>
      <c r="Z372" s="208">
        <f>IF(Z$2&lt;=AnalysisPeriod,IF(SUM($C727:Z727)&gt;0,Y372+1,0),0)</f>
        <v>0</v>
      </c>
      <c r="AA372" s="208">
        <f>IF(AA$2&lt;=AnalysisPeriod,IF(SUM($C727:AA727)&gt;0,Z372+1,0),0)</f>
        <v>0</v>
      </c>
      <c r="AB372" s="208">
        <f>IF(AB$2&lt;=AnalysisPeriod,IF(SUM($C727:AB727)&gt;0,AA372+1,0),0)</f>
        <v>0</v>
      </c>
      <c r="AC372" s="208">
        <f>IF(AC$2&lt;=AnalysisPeriod,IF(SUM($C727:AC727)&gt;0,AB372+1,0),0)</f>
        <v>0</v>
      </c>
      <c r="AD372" s="208">
        <f>IF(AD$2&lt;=AnalysisPeriod,IF(SUM($C727:AD727)&gt;0,AC372+1,0),0)</f>
        <v>0</v>
      </c>
      <c r="AE372" s="208">
        <f>IF(AE$2&lt;=AnalysisPeriod,IF(SUM($C727:AE727)&gt;0,AD372+1,0),0)</f>
        <v>0</v>
      </c>
      <c r="AF372" s="208">
        <f>IF(AF$2&lt;=AnalysisPeriod,IF(SUM($C727:AF727)&gt;0,AE372+1,0),0)</f>
        <v>0</v>
      </c>
      <c r="AG372" s="208">
        <f>IF(AG$2&lt;=AnalysisPeriod,IF(SUM($C727:AG727)&gt;0,AF372+1,0),0)</f>
        <v>0</v>
      </c>
      <c r="AH372" s="208">
        <f>IF(AH$2&lt;=AnalysisPeriod,IF(SUM($C727:AH727)&gt;0,AG372+1,0),0)</f>
        <v>0</v>
      </c>
      <c r="AI372" s="208">
        <f>IF(AI$2&lt;=AnalysisPeriod,IF(SUM($C727:AI727)&gt;0,AH372+1,0),0)</f>
        <v>0</v>
      </c>
      <c r="AJ372" s="208">
        <f>IF(AJ$2&lt;=AnalysisPeriod,IF(SUM($C727:AJ727)&gt;0,AI372+1,0),0)</f>
        <v>0</v>
      </c>
      <c r="AK372" s="208">
        <f>IF(AK$2&lt;=AnalysisPeriod,IF(SUM($C727:AK727)&gt;0,AJ372+1,0),0)</f>
        <v>0</v>
      </c>
      <c r="AL372" s="208">
        <f>IF(AL$2&lt;=AnalysisPeriod,IF(SUM($C727:AL727)&gt;0,AK372+1,0),0)</f>
        <v>0</v>
      </c>
      <c r="AM372" s="208">
        <f>IF(AM$2&lt;=AnalysisPeriod,IF(SUM($C727:AM727)&gt;0,AL372+1,0),0)</f>
        <v>0</v>
      </c>
      <c r="AN372" s="208">
        <f>IF(AN$2&lt;=AnalysisPeriod,IF(SUM($C727:AN727)&gt;0,AM372+1,0),0)</f>
        <v>0</v>
      </c>
      <c r="AO372" s="208">
        <f>IF(AO$2&lt;=AnalysisPeriod,IF(SUM($C727:AO727)&gt;0,AN372+1,0),0)</f>
        <v>0</v>
      </c>
      <c r="AP372" s="208">
        <f>IF(AP$2&lt;=AnalysisPeriod,IF(SUM($C727:AP727)&gt;0,AO372+1,0),0)</f>
        <v>0</v>
      </c>
    </row>
    <row r="373" spans="1:42">
      <c r="A373" s="37">
        <f t="shared" si="199"/>
        <v>4</v>
      </c>
      <c r="C373" s="208">
        <f>IF(C$2&lt;=AnalysisPeriod,IF(SUM($C728:C728)&gt;0,B373+1,0),0)</f>
        <v>0</v>
      </c>
      <c r="D373" s="208">
        <f>IF(D$2&lt;=AnalysisPeriod,IF(SUM($C728:D728)&gt;0,C373+1,0),0)</f>
        <v>0</v>
      </c>
      <c r="E373" s="208">
        <f>IF(E$2&lt;=AnalysisPeriod,IF(SUM($C728:E728)&gt;0,D373+1,0),0)</f>
        <v>0</v>
      </c>
      <c r="F373" s="208">
        <f>IF(F$2&lt;=AnalysisPeriod,IF(SUM($C728:F728)&gt;0,E373+1,0),0)</f>
        <v>0</v>
      </c>
      <c r="G373" s="208">
        <f>IF(G$2&lt;=AnalysisPeriod,IF(SUM($C728:G728)&gt;0,F373+1,0),0)</f>
        <v>0</v>
      </c>
      <c r="H373" s="208">
        <f>IF(H$2&lt;=AnalysisPeriod,IF(SUM($C728:H728)&gt;0,G373+1,0),0)</f>
        <v>0</v>
      </c>
      <c r="I373" s="208">
        <f>IF(I$2&lt;=AnalysisPeriod,IF(SUM($C728:I728)&gt;0,H373+1,0),0)</f>
        <v>0</v>
      </c>
      <c r="J373" s="208">
        <f>IF(J$2&lt;=AnalysisPeriod,IF(SUM($C728:J728)&gt;0,I373+1,0),0)</f>
        <v>0</v>
      </c>
      <c r="K373" s="208">
        <f>IF(K$2&lt;=AnalysisPeriod,IF(SUM($C728:K728)&gt;0,J373+1,0),0)</f>
        <v>0</v>
      </c>
      <c r="L373" s="208">
        <f>IF(L$2&lt;=AnalysisPeriod,IF(SUM($C728:L728)&gt;0,K373+1,0),0)</f>
        <v>0</v>
      </c>
      <c r="M373" s="208">
        <f>IF(M$2&lt;=AnalysisPeriod,IF(SUM($C728:M728)&gt;0,L373+1,0),0)</f>
        <v>0</v>
      </c>
      <c r="N373" s="208">
        <f>IF(N$2&lt;=AnalysisPeriod,IF(SUM($C728:N728)&gt;0,M373+1,0),0)</f>
        <v>0</v>
      </c>
      <c r="O373" s="208">
        <f>IF(O$2&lt;=AnalysisPeriod,IF(SUM($C728:O728)&gt;0,N373+1,0),0)</f>
        <v>0</v>
      </c>
      <c r="P373" s="208">
        <f>IF(P$2&lt;=AnalysisPeriod,IF(SUM($C728:P728)&gt;0,O373+1,0),0)</f>
        <v>0</v>
      </c>
      <c r="Q373" s="208">
        <f>IF(Q$2&lt;=AnalysisPeriod,IF(SUM($C728:Q728)&gt;0,P373+1,0),0)</f>
        <v>0</v>
      </c>
      <c r="R373" s="208">
        <f>IF(R$2&lt;=AnalysisPeriod,IF(SUM($C728:R728)&gt;0,Q373+1,0),0)</f>
        <v>0</v>
      </c>
      <c r="S373" s="208">
        <f>IF(S$2&lt;=AnalysisPeriod,IF(SUM($C728:S728)&gt;0,R373+1,0),0)</f>
        <v>0</v>
      </c>
      <c r="T373" s="208">
        <f>IF(T$2&lt;=AnalysisPeriod,IF(SUM($C728:T728)&gt;0,S373+1,0),0)</f>
        <v>0</v>
      </c>
      <c r="U373" s="208">
        <f>IF(U$2&lt;=AnalysisPeriod,IF(SUM($C728:U728)&gt;0,T373+1,0),0)</f>
        <v>0</v>
      </c>
      <c r="V373" s="208">
        <f>IF(V$2&lt;=AnalysisPeriod,IF(SUM($C728:V728)&gt;0,U373+1,0),0)</f>
        <v>0</v>
      </c>
      <c r="W373" s="208">
        <f>IF(W$2&lt;=AnalysisPeriod,IF(SUM($C728:W728)&gt;0,V373+1,0),0)</f>
        <v>0</v>
      </c>
      <c r="X373" s="208">
        <f>IF(X$2&lt;=AnalysisPeriod,IF(SUM($C728:X728)&gt;0,W373+1,0),0)</f>
        <v>0</v>
      </c>
      <c r="Y373" s="208">
        <f>IF(Y$2&lt;=AnalysisPeriod,IF(SUM($C728:Y728)&gt;0,X373+1,0),0)</f>
        <v>0</v>
      </c>
      <c r="Z373" s="208">
        <f>IF(Z$2&lt;=AnalysisPeriod,IF(SUM($C728:Z728)&gt;0,Y373+1,0),0)</f>
        <v>0</v>
      </c>
      <c r="AA373" s="208">
        <f>IF(AA$2&lt;=AnalysisPeriod,IF(SUM($C728:AA728)&gt;0,Z373+1,0),0)</f>
        <v>0</v>
      </c>
      <c r="AB373" s="208">
        <f>IF(AB$2&lt;=AnalysisPeriod,IF(SUM($C728:AB728)&gt;0,AA373+1,0),0)</f>
        <v>0</v>
      </c>
      <c r="AC373" s="208">
        <f>IF(AC$2&lt;=AnalysisPeriod,IF(SUM($C728:AC728)&gt;0,AB373+1,0),0)</f>
        <v>0</v>
      </c>
      <c r="AD373" s="208">
        <f>IF(AD$2&lt;=AnalysisPeriod,IF(SUM($C728:AD728)&gt;0,AC373+1,0),0)</f>
        <v>0</v>
      </c>
      <c r="AE373" s="208">
        <f>IF(AE$2&lt;=AnalysisPeriod,IF(SUM($C728:AE728)&gt;0,AD373+1,0),0)</f>
        <v>0</v>
      </c>
      <c r="AF373" s="208">
        <f>IF(AF$2&lt;=AnalysisPeriod,IF(SUM($C728:AF728)&gt;0,AE373+1,0),0)</f>
        <v>0</v>
      </c>
      <c r="AG373" s="208">
        <f>IF(AG$2&lt;=AnalysisPeriod,IF(SUM($C728:AG728)&gt;0,AF373+1,0),0)</f>
        <v>0</v>
      </c>
      <c r="AH373" s="208">
        <f>IF(AH$2&lt;=AnalysisPeriod,IF(SUM($C728:AH728)&gt;0,AG373+1,0),0)</f>
        <v>0</v>
      </c>
      <c r="AI373" s="208">
        <f>IF(AI$2&lt;=AnalysisPeriod,IF(SUM($C728:AI728)&gt;0,AH373+1,0),0)</f>
        <v>0</v>
      </c>
      <c r="AJ373" s="208">
        <f>IF(AJ$2&lt;=AnalysisPeriod,IF(SUM($C728:AJ728)&gt;0,AI373+1,0),0)</f>
        <v>0</v>
      </c>
      <c r="AK373" s="208">
        <f>IF(AK$2&lt;=AnalysisPeriod,IF(SUM($C728:AK728)&gt;0,AJ373+1,0),0)</f>
        <v>0</v>
      </c>
      <c r="AL373" s="208">
        <f>IF(AL$2&lt;=AnalysisPeriod,IF(SUM($C728:AL728)&gt;0,AK373+1,0),0)</f>
        <v>0</v>
      </c>
      <c r="AM373" s="208">
        <f>IF(AM$2&lt;=AnalysisPeriod,IF(SUM($C728:AM728)&gt;0,AL373+1,0),0)</f>
        <v>0</v>
      </c>
      <c r="AN373" s="208">
        <f>IF(AN$2&lt;=AnalysisPeriod,IF(SUM($C728:AN728)&gt;0,AM373+1,0),0)</f>
        <v>0</v>
      </c>
      <c r="AO373" s="208">
        <f>IF(AO$2&lt;=AnalysisPeriod,IF(SUM($C728:AO728)&gt;0,AN373+1,0),0)</f>
        <v>0</v>
      </c>
      <c r="AP373" s="208">
        <f>IF(AP$2&lt;=AnalysisPeriod,IF(SUM($C728:AP728)&gt;0,AO373+1,0),0)</f>
        <v>0</v>
      </c>
    </row>
    <row r="374" spans="1:42">
      <c r="A374" s="37">
        <f t="shared" si="199"/>
        <v>5</v>
      </c>
      <c r="C374" s="208">
        <f>IF(C$2&lt;=AnalysisPeriod,IF(SUM($C729:C729)&gt;0,B374+1,0),0)</f>
        <v>0</v>
      </c>
      <c r="D374" s="208">
        <f>IF(D$2&lt;=AnalysisPeriod,IF(SUM($C729:D729)&gt;0,C374+1,0),0)</f>
        <v>0</v>
      </c>
      <c r="E374" s="208">
        <f>IF(E$2&lt;=AnalysisPeriod,IF(SUM($C729:E729)&gt;0,D374+1,0),0)</f>
        <v>0</v>
      </c>
      <c r="F374" s="208">
        <f>IF(F$2&lt;=AnalysisPeriod,IF(SUM($C729:F729)&gt;0,E374+1,0),0)</f>
        <v>0</v>
      </c>
      <c r="G374" s="208">
        <f>IF(G$2&lt;=AnalysisPeriod,IF(SUM($C729:G729)&gt;0,F374+1,0),0)</f>
        <v>0</v>
      </c>
      <c r="H374" s="208">
        <f>IF(H$2&lt;=AnalysisPeriod,IF(SUM($C729:H729)&gt;0,G374+1,0),0)</f>
        <v>0</v>
      </c>
      <c r="I374" s="208">
        <f>IF(I$2&lt;=AnalysisPeriod,IF(SUM($C729:I729)&gt;0,H374+1,0),0)</f>
        <v>0</v>
      </c>
      <c r="J374" s="208">
        <f>IF(J$2&lt;=AnalysisPeriod,IF(SUM($C729:J729)&gt;0,I374+1,0),0)</f>
        <v>0</v>
      </c>
      <c r="K374" s="208">
        <f>IF(K$2&lt;=AnalysisPeriod,IF(SUM($C729:K729)&gt;0,J374+1,0),0)</f>
        <v>0</v>
      </c>
      <c r="L374" s="208">
        <f>IF(L$2&lt;=AnalysisPeriod,IF(SUM($C729:L729)&gt;0,K374+1,0),0)</f>
        <v>0</v>
      </c>
      <c r="M374" s="208">
        <f>IF(M$2&lt;=AnalysisPeriod,IF(SUM($C729:M729)&gt;0,L374+1,0),0)</f>
        <v>0</v>
      </c>
      <c r="N374" s="208">
        <f>IF(N$2&lt;=AnalysisPeriod,IF(SUM($C729:N729)&gt;0,M374+1,0),0)</f>
        <v>0</v>
      </c>
      <c r="O374" s="208">
        <f>IF(O$2&lt;=AnalysisPeriod,IF(SUM($C729:O729)&gt;0,N374+1,0),0)</f>
        <v>0</v>
      </c>
      <c r="P374" s="208">
        <f>IF(P$2&lt;=AnalysisPeriod,IF(SUM($C729:P729)&gt;0,O374+1,0),0)</f>
        <v>0</v>
      </c>
      <c r="Q374" s="208">
        <f>IF(Q$2&lt;=AnalysisPeriod,IF(SUM($C729:Q729)&gt;0,P374+1,0),0)</f>
        <v>0</v>
      </c>
      <c r="R374" s="208">
        <f>IF(R$2&lt;=AnalysisPeriod,IF(SUM($C729:R729)&gt;0,Q374+1,0),0)</f>
        <v>0</v>
      </c>
      <c r="S374" s="208">
        <f>IF(S$2&lt;=AnalysisPeriod,IF(SUM($C729:S729)&gt;0,R374+1,0),0)</f>
        <v>0</v>
      </c>
      <c r="T374" s="208">
        <f>IF(T$2&lt;=AnalysisPeriod,IF(SUM($C729:T729)&gt;0,S374+1,0),0)</f>
        <v>0</v>
      </c>
      <c r="U374" s="208">
        <f>IF(U$2&lt;=AnalysisPeriod,IF(SUM($C729:U729)&gt;0,T374+1,0),0)</f>
        <v>0</v>
      </c>
      <c r="V374" s="208">
        <f>IF(V$2&lt;=AnalysisPeriod,IF(SUM($C729:V729)&gt;0,U374+1,0),0)</f>
        <v>0</v>
      </c>
      <c r="W374" s="208">
        <f>IF(W$2&lt;=AnalysisPeriod,IF(SUM($C729:W729)&gt;0,V374+1,0),0)</f>
        <v>0</v>
      </c>
      <c r="X374" s="208">
        <f>IF(X$2&lt;=AnalysisPeriod,IF(SUM($C729:X729)&gt;0,W374+1,0),0)</f>
        <v>0</v>
      </c>
      <c r="Y374" s="208">
        <f>IF(Y$2&lt;=AnalysisPeriod,IF(SUM($C729:Y729)&gt;0,X374+1,0),0)</f>
        <v>0</v>
      </c>
      <c r="Z374" s="208">
        <f>IF(Z$2&lt;=AnalysisPeriod,IF(SUM($C729:Z729)&gt;0,Y374+1,0),0)</f>
        <v>0</v>
      </c>
      <c r="AA374" s="208">
        <f>IF(AA$2&lt;=AnalysisPeriod,IF(SUM($C729:AA729)&gt;0,Z374+1,0),0)</f>
        <v>0</v>
      </c>
      <c r="AB374" s="208">
        <f>IF(AB$2&lt;=AnalysisPeriod,IF(SUM($C729:AB729)&gt;0,AA374+1,0),0)</f>
        <v>0</v>
      </c>
      <c r="AC374" s="208">
        <f>IF(AC$2&lt;=AnalysisPeriod,IF(SUM($C729:AC729)&gt;0,AB374+1,0),0)</f>
        <v>0</v>
      </c>
      <c r="AD374" s="208">
        <f>IF(AD$2&lt;=AnalysisPeriod,IF(SUM($C729:AD729)&gt;0,AC374+1,0),0)</f>
        <v>0</v>
      </c>
      <c r="AE374" s="208">
        <f>IF(AE$2&lt;=AnalysisPeriod,IF(SUM($C729:AE729)&gt;0,AD374+1,0),0)</f>
        <v>0</v>
      </c>
      <c r="AF374" s="208">
        <f>IF(AF$2&lt;=AnalysisPeriod,IF(SUM($C729:AF729)&gt;0,AE374+1,0),0)</f>
        <v>0</v>
      </c>
      <c r="AG374" s="208">
        <f>IF(AG$2&lt;=AnalysisPeriod,IF(SUM($C729:AG729)&gt;0,AF374+1,0),0)</f>
        <v>0</v>
      </c>
      <c r="AH374" s="208">
        <f>IF(AH$2&lt;=AnalysisPeriod,IF(SUM($C729:AH729)&gt;0,AG374+1,0),0)</f>
        <v>0</v>
      </c>
      <c r="AI374" s="208">
        <f>IF(AI$2&lt;=AnalysisPeriod,IF(SUM($C729:AI729)&gt;0,AH374+1,0),0)</f>
        <v>0</v>
      </c>
      <c r="AJ374" s="208">
        <f>IF(AJ$2&lt;=AnalysisPeriod,IF(SUM($C729:AJ729)&gt;0,AI374+1,0),0)</f>
        <v>0</v>
      </c>
      <c r="AK374" s="208">
        <f>IF(AK$2&lt;=AnalysisPeriod,IF(SUM($C729:AK729)&gt;0,AJ374+1,0),0)</f>
        <v>0</v>
      </c>
      <c r="AL374" s="208">
        <f>IF(AL$2&lt;=AnalysisPeriod,IF(SUM($C729:AL729)&gt;0,AK374+1,0),0)</f>
        <v>0</v>
      </c>
      <c r="AM374" s="208">
        <f>IF(AM$2&lt;=AnalysisPeriod,IF(SUM($C729:AM729)&gt;0,AL374+1,0),0)</f>
        <v>0</v>
      </c>
      <c r="AN374" s="208">
        <f>IF(AN$2&lt;=AnalysisPeriod,IF(SUM($C729:AN729)&gt;0,AM374+1,0),0)</f>
        <v>0</v>
      </c>
      <c r="AO374" s="208">
        <f>IF(AO$2&lt;=AnalysisPeriod,IF(SUM($C729:AO729)&gt;0,AN374+1,0),0)</f>
        <v>0</v>
      </c>
      <c r="AP374" s="208">
        <f>IF(AP$2&lt;=AnalysisPeriod,IF(SUM($C729:AP729)&gt;0,AO374+1,0),0)</f>
        <v>0</v>
      </c>
    </row>
    <row r="375" spans="1:42">
      <c r="A375" s="37">
        <f t="shared" si="199"/>
        <v>6</v>
      </c>
      <c r="C375" s="208">
        <f>IF(C$2&lt;=AnalysisPeriod,IF(SUM($C730:C730)&gt;0,B375+1,0),0)</f>
        <v>0</v>
      </c>
      <c r="D375" s="208">
        <f>IF(D$2&lt;=AnalysisPeriod,IF(SUM($C730:D730)&gt;0,C375+1,0),0)</f>
        <v>0</v>
      </c>
      <c r="E375" s="208">
        <f>IF(E$2&lt;=AnalysisPeriod,IF(SUM($C730:E730)&gt;0,D375+1,0),0)</f>
        <v>0</v>
      </c>
      <c r="F375" s="208">
        <f>IF(F$2&lt;=AnalysisPeriod,IF(SUM($C730:F730)&gt;0,E375+1,0),0)</f>
        <v>0</v>
      </c>
      <c r="G375" s="208">
        <f>IF(G$2&lt;=AnalysisPeriod,IF(SUM($C730:G730)&gt;0,F375+1,0),0)</f>
        <v>0</v>
      </c>
      <c r="H375" s="208">
        <f>IF(H$2&lt;=AnalysisPeriod,IF(SUM($C730:H730)&gt;0,G375+1,0),0)</f>
        <v>0</v>
      </c>
      <c r="I375" s="208">
        <f>IF(I$2&lt;=AnalysisPeriod,IF(SUM($C730:I730)&gt;0,H375+1,0),0)</f>
        <v>0</v>
      </c>
      <c r="J375" s="208">
        <f>IF(J$2&lt;=AnalysisPeriod,IF(SUM($C730:J730)&gt;0,I375+1,0),0)</f>
        <v>0</v>
      </c>
      <c r="K375" s="208">
        <f>IF(K$2&lt;=AnalysisPeriod,IF(SUM($C730:K730)&gt;0,J375+1,0),0)</f>
        <v>0</v>
      </c>
      <c r="L375" s="208">
        <f>IF(L$2&lt;=AnalysisPeriod,IF(SUM($C730:L730)&gt;0,K375+1,0),0)</f>
        <v>0</v>
      </c>
      <c r="M375" s="208">
        <f>IF(M$2&lt;=AnalysisPeriod,IF(SUM($C730:M730)&gt;0,L375+1,0),0)</f>
        <v>0</v>
      </c>
      <c r="N375" s="208">
        <f>IF(N$2&lt;=AnalysisPeriod,IF(SUM($C730:N730)&gt;0,M375+1,0),0)</f>
        <v>0</v>
      </c>
      <c r="O375" s="208">
        <f>IF(O$2&lt;=AnalysisPeriod,IF(SUM($C730:O730)&gt;0,N375+1,0),0)</f>
        <v>0</v>
      </c>
      <c r="P375" s="208">
        <f>IF(P$2&lt;=AnalysisPeriod,IF(SUM($C730:P730)&gt;0,O375+1,0),0)</f>
        <v>0</v>
      </c>
      <c r="Q375" s="208">
        <f>IF(Q$2&lt;=AnalysisPeriod,IF(SUM($C730:Q730)&gt;0,P375+1,0),0)</f>
        <v>0</v>
      </c>
      <c r="R375" s="208">
        <f>IF(R$2&lt;=AnalysisPeriod,IF(SUM($C730:R730)&gt;0,Q375+1,0),0)</f>
        <v>0</v>
      </c>
      <c r="S375" s="208">
        <f>IF(S$2&lt;=AnalysisPeriod,IF(SUM($C730:S730)&gt;0,R375+1,0),0)</f>
        <v>0</v>
      </c>
      <c r="T375" s="208">
        <f>IF(T$2&lt;=AnalysisPeriod,IF(SUM($C730:T730)&gt;0,S375+1,0),0)</f>
        <v>0</v>
      </c>
      <c r="U375" s="208">
        <f>IF(U$2&lt;=AnalysisPeriod,IF(SUM($C730:U730)&gt;0,T375+1,0),0)</f>
        <v>0</v>
      </c>
      <c r="V375" s="208">
        <f>IF(V$2&lt;=AnalysisPeriod,IF(SUM($C730:V730)&gt;0,U375+1,0),0)</f>
        <v>0</v>
      </c>
      <c r="W375" s="208">
        <f>IF(W$2&lt;=AnalysisPeriod,IF(SUM($C730:W730)&gt;0,V375+1,0),0)</f>
        <v>0</v>
      </c>
      <c r="X375" s="208">
        <f>IF(X$2&lt;=AnalysisPeriod,IF(SUM($C730:X730)&gt;0,W375+1,0),0)</f>
        <v>0</v>
      </c>
      <c r="Y375" s="208">
        <f>IF(Y$2&lt;=AnalysisPeriod,IF(SUM($C730:Y730)&gt;0,X375+1,0),0)</f>
        <v>0</v>
      </c>
      <c r="Z375" s="208">
        <f>IF(Z$2&lt;=AnalysisPeriod,IF(SUM($C730:Z730)&gt;0,Y375+1,0),0)</f>
        <v>0</v>
      </c>
      <c r="AA375" s="208">
        <f>IF(AA$2&lt;=AnalysisPeriod,IF(SUM($C730:AA730)&gt;0,Z375+1,0),0)</f>
        <v>0</v>
      </c>
      <c r="AB375" s="208">
        <f>IF(AB$2&lt;=AnalysisPeriod,IF(SUM($C730:AB730)&gt;0,AA375+1,0),0)</f>
        <v>0</v>
      </c>
      <c r="AC375" s="208">
        <f>IF(AC$2&lt;=AnalysisPeriod,IF(SUM($C730:AC730)&gt;0,AB375+1,0),0)</f>
        <v>0</v>
      </c>
      <c r="AD375" s="208">
        <f>IF(AD$2&lt;=AnalysisPeriod,IF(SUM($C730:AD730)&gt;0,AC375+1,0),0)</f>
        <v>0</v>
      </c>
      <c r="AE375" s="208">
        <f>IF(AE$2&lt;=AnalysisPeriod,IF(SUM($C730:AE730)&gt;0,AD375+1,0),0)</f>
        <v>0</v>
      </c>
      <c r="AF375" s="208">
        <f>IF(AF$2&lt;=AnalysisPeriod,IF(SUM($C730:AF730)&gt;0,AE375+1,0),0)</f>
        <v>0</v>
      </c>
      <c r="AG375" s="208">
        <f>IF(AG$2&lt;=AnalysisPeriod,IF(SUM($C730:AG730)&gt;0,AF375+1,0),0)</f>
        <v>0</v>
      </c>
      <c r="AH375" s="208">
        <f>IF(AH$2&lt;=AnalysisPeriod,IF(SUM($C730:AH730)&gt;0,AG375+1,0),0)</f>
        <v>0</v>
      </c>
      <c r="AI375" s="208">
        <f>IF(AI$2&lt;=AnalysisPeriod,IF(SUM($C730:AI730)&gt;0,AH375+1,0),0)</f>
        <v>0</v>
      </c>
      <c r="AJ375" s="208">
        <f>IF(AJ$2&lt;=AnalysisPeriod,IF(SUM($C730:AJ730)&gt;0,AI375+1,0),0)</f>
        <v>0</v>
      </c>
      <c r="AK375" s="208">
        <f>IF(AK$2&lt;=AnalysisPeriod,IF(SUM($C730:AK730)&gt;0,AJ375+1,0),0)</f>
        <v>0</v>
      </c>
      <c r="AL375" s="208">
        <f>IF(AL$2&lt;=AnalysisPeriod,IF(SUM($C730:AL730)&gt;0,AK375+1,0),0)</f>
        <v>0</v>
      </c>
      <c r="AM375" s="208">
        <f>IF(AM$2&lt;=AnalysisPeriod,IF(SUM($C730:AM730)&gt;0,AL375+1,0),0)</f>
        <v>0</v>
      </c>
      <c r="AN375" s="208">
        <f>IF(AN$2&lt;=AnalysisPeriod,IF(SUM($C730:AN730)&gt;0,AM375+1,0),0)</f>
        <v>0</v>
      </c>
      <c r="AO375" s="208">
        <f>IF(AO$2&lt;=AnalysisPeriod,IF(SUM($C730:AO730)&gt;0,AN375+1,0),0)</f>
        <v>0</v>
      </c>
      <c r="AP375" s="208">
        <f>IF(AP$2&lt;=AnalysisPeriod,IF(SUM($C730:AP730)&gt;0,AO375+1,0),0)</f>
        <v>0</v>
      </c>
    </row>
    <row r="376" spans="1:42">
      <c r="A376" s="37">
        <f t="shared" si="199"/>
        <v>7</v>
      </c>
      <c r="C376" s="208">
        <f>IF(C$2&lt;=AnalysisPeriod,IF(SUM($C731:C731)&gt;0,B376+1,0),0)</f>
        <v>0</v>
      </c>
      <c r="D376" s="208">
        <f>IF(D$2&lt;=AnalysisPeriod,IF(SUM($C731:D731)&gt;0,C376+1,0),0)</f>
        <v>0</v>
      </c>
      <c r="E376" s="208">
        <f>IF(E$2&lt;=AnalysisPeriod,IF(SUM($C731:E731)&gt;0,D376+1,0),0)</f>
        <v>0</v>
      </c>
      <c r="F376" s="208">
        <f>IF(F$2&lt;=AnalysisPeriod,IF(SUM($C731:F731)&gt;0,E376+1,0),0)</f>
        <v>0</v>
      </c>
      <c r="G376" s="208">
        <f>IF(G$2&lt;=AnalysisPeriod,IF(SUM($C731:G731)&gt;0,F376+1,0),0)</f>
        <v>0</v>
      </c>
      <c r="H376" s="208">
        <f>IF(H$2&lt;=AnalysisPeriod,IF(SUM($C731:H731)&gt;0,G376+1,0),0)</f>
        <v>0</v>
      </c>
      <c r="I376" s="208">
        <f>IF(I$2&lt;=AnalysisPeriod,IF(SUM($C731:I731)&gt;0,H376+1,0),0)</f>
        <v>0</v>
      </c>
      <c r="J376" s="208">
        <f>IF(J$2&lt;=AnalysisPeriod,IF(SUM($C731:J731)&gt;0,I376+1,0),0)</f>
        <v>0</v>
      </c>
      <c r="K376" s="208">
        <f>IF(K$2&lt;=AnalysisPeriod,IF(SUM($C731:K731)&gt;0,J376+1,0),0)</f>
        <v>0</v>
      </c>
      <c r="L376" s="208">
        <f>IF(L$2&lt;=AnalysisPeriod,IF(SUM($C731:L731)&gt;0,K376+1,0),0)</f>
        <v>0</v>
      </c>
      <c r="M376" s="208">
        <f>IF(M$2&lt;=AnalysisPeriod,IF(SUM($C731:M731)&gt;0,L376+1,0),0)</f>
        <v>0</v>
      </c>
      <c r="N376" s="208">
        <f>IF(N$2&lt;=AnalysisPeriod,IF(SUM($C731:N731)&gt;0,M376+1,0),0)</f>
        <v>0</v>
      </c>
      <c r="O376" s="208">
        <f>IF(O$2&lt;=AnalysisPeriod,IF(SUM($C731:O731)&gt;0,N376+1,0),0)</f>
        <v>0</v>
      </c>
      <c r="P376" s="208">
        <f>IF(P$2&lt;=AnalysisPeriod,IF(SUM($C731:P731)&gt;0,O376+1,0),0)</f>
        <v>0</v>
      </c>
      <c r="Q376" s="208">
        <f>IF(Q$2&lt;=AnalysisPeriod,IF(SUM($C731:Q731)&gt;0,P376+1,0),0)</f>
        <v>0</v>
      </c>
      <c r="R376" s="208">
        <f>IF(R$2&lt;=AnalysisPeriod,IF(SUM($C731:R731)&gt;0,Q376+1,0),0)</f>
        <v>0</v>
      </c>
      <c r="S376" s="208">
        <f>IF(S$2&lt;=AnalysisPeriod,IF(SUM($C731:S731)&gt;0,R376+1,0),0)</f>
        <v>0</v>
      </c>
      <c r="T376" s="208">
        <f>IF(T$2&lt;=AnalysisPeriod,IF(SUM($C731:T731)&gt;0,S376+1,0),0)</f>
        <v>0</v>
      </c>
      <c r="U376" s="208">
        <f>IF(U$2&lt;=AnalysisPeriod,IF(SUM($C731:U731)&gt;0,T376+1,0),0)</f>
        <v>0</v>
      </c>
      <c r="V376" s="208">
        <f>IF(V$2&lt;=AnalysisPeriod,IF(SUM($C731:V731)&gt;0,U376+1,0),0)</f>
        <v>0</v>
      </c>
      <c r="W376" s="208">
        <f>IF(W$2&lt;=AnalysisPeriod,IF(SUM($C731:W731)&gt;0,V376+1,0),0)</f>
        <v>0</v>
      </c>
      <c r="X376" s="208">
        <f>IF(X$2&lt;=AnalysisPeriod,IF(SUM($C731:X731)&gt;0,W376+1,0),0)</f>
        <v>0</v>
      </c>
      <c r="Y376" s="208">
        <f>IF(Y$2&lt;=AnalysisPeriod,IF(SUM($C731:Y731)&gt;0,X376+1,0),0)</f>
        <v>0</v>
      </c>
      <c r="Z376" s="208">
        <f>IF(Z$2&lt;=AnalysisPeriod,IF(SUM($C731:Z731)&gt;0,Y376+1,0),0)</f>
        <v>0</v>
      </c>
      <c r="AA376" s="208">
        <f>IF(AA$2&lt;=AnalysisPeriod,IF(SUM($C731:AA731)&gt;0,Z376+1,0),0)</f>
        <v>0</v>
      </c>
      <c r="AB376" s="208">
        <f>IF(AB$2&lt;=AnalysisPeriod,IF(SUM($C731:AB731)&gt;0,AA376+1,0),0)</f>
        <v>0</v>
      </c>
      <c r="AC376" s="208">
        <f>IF(AC$2&lt;=AnalysisPeriod,IF(SUM($C731:AC731)&gt;0,AB376+1,0),0)</f>
        <v>0</v>
      </c>
      <c r="AD376" s="208">
        <f>IF(AD$2&lt;=AnalysisPeriod,IF(SUM($C731:AD731)&gt;0,AC376+1,0),0)</f>
        <v>0</v>
      </c>
      <c r="AE376" s="208">
        <f>IF(AE$2&lt;=AnalysisPeriod,IF(SUM($C731:AE731)&gt;0,AD376+1,0),0)</f>
        <v>0</v>
      </c>
      <c r="AF376" s="208">
        <f>IF(AF$2&lt;=AnalysisPeriod,IF(SUM($C731:AF731)&gt;0,AE376+1,0),0)</f>
        <v>0</v>
      </c>
      <c r="AG376" s="208">
        <f>IF(AG$2&lt;=AnalysisPeriod,IF(SUM($C731:AG731)&gt;0,AF376+1,0),0)</f>
        <v>0</v>
      </c>
      <c r="AH376" s="208">
        <f>IF(AH$2&lt;=AnalysisPeriod,IF(SUM($C731:AH731)&gt;0,AG376+1,0),0)</f>
        <v>0</v>
      </c>
      <c r="AI376" s="208">
        <f>IF(AI$2&lt;=AnalysisPeriod,IF(SUM($C731:AI731)&gt;0,AH376+1,0),0)</f>
        <v>0</v>
      </c>
      <c r="AJ376" s="208">
        <f>IF(AJ$2&lt;=AnalysisPeriod,IF(SUM($C731:AJ731)&gt;0,AI376+1,0),0)</f>
        <v>0</v>
      </c>
      <c r="AK376" s="208">
        <f>IF(AK$2&lt;=AnalysisPeriod,IF(SUM($C731:AK731)&gt;0,AJ376+1,0),0)</f>
        <v>0</v>
      </c>
      <c r="AL376" s="208">
        <f>IF(AL$2&lt;=AnalysisPeriod,IF(SUM($C731:AL731)&gt;0,AK376+1,0),0)</f>
        <v>0</v>
      </c>
      <c r="AM376" s="208">
        <f>IF(AM$2&lt;=AnalysisPeriod,IF(SUM($C731:AM731)&gt;0,AL376+1,0),0)</f>
        <v>0</v>
      </c>
      <c r="AN376" s="208">
        <f>IF(AN$2&lt;=AnalysisPeriod,IF(SUM($C731:AN731)&gt;0,AM376+1,0),0)</f>
        <v>0</v>
      </c>
      <c r="AO376" s="208">
        <f>IF(AO$2&lt;=AnalysisPeriod,IF(SUM($C731:AO731)&gt;0,AN376+1,0),0)</f>
        <v>0</v>
      </c>
      <c r="AP376" s="208">
        <f>IF(AP$2&lt;=AnalysisPeriod,IF(SUM($C731:AP731)&gt;0,AO376+1,0),0)</f>
        <v>0</v>
      </c>
    </row>
    <row r="377" spans="1:42">
      <c r="A377" s="37">
        <f t="shared" si="199"/>
        <v>8</v>
      </c>
      <c r="C377" s="208">
        <f>IF(C$2&lt;=AnalysisPeriod,IF(SUM($C732:C732)&gt;0,B377+1,0),0)</f>
        <v>0</v>
      </c>
      <c r="D377" s="208">
        <f>IF(D$2&lt;=AnalysisPeriod,IF(SUM($C732:D732)&gt;0,C377+1,0),0)</f>
        <v>0</v>
      </c>
      <c r="E377" s="208">
        <f>IF(E$2&lt;=AnalysisPeriod,IF(SUM($C732:E732)&gt;0,D377+1,0),0)</f>
        <v>0</v>
      </c>
      <c r="F377" s="208">
        <f>IF(F$2&lt;=AnalysisPeriod,IF(SUM($C732:F732)&gt;0,E377+1,0),0)</f>
        <v>0</v>
      </c>
      <c r="G377" s="208">
        <f>IF(G$2&lt;=AnalysisPeriod,IF(SUM($C732:G732)&gt;0,F377+1,0),0)</f>
        <v>0</v>
      </c>
      <c r="H377" s="208">
        <f>IF(H$2&lt;=AnalysisPeriod,IF(SUM($C732:H732)&gt;0,G377+1,0),0)</f>
        <v>0</v>
      </c>
      <c r="I377" s="208">
        <f>IF(I$2&lt;=AnalysisPeriod,IF(SUM($C732:I732)&gt;0,H377+1,0),0)</f>
        <v>0</v>
      </c>
      <c r="J377" s="208">
        <f>IF(J$2&lt;=AnalysisPeriod,IF(SUM($C732:J732)&gt;0,I377+1,0),0)</f>
        <v>0</v>
      </c>
      <c r="K377" s="208">
        <f>IF(K$2&lt;=AnalysisPeriod,IF(SUM($C732:K732)&gt;0,J377+1,0),0)</f>
        <v>0</v>
      </c>
      <c r="L377" s="208">
        <f>IF(L$2&lt;=AnalysisPeriod,IF(SUM($C732:L732)&gt;0,K377+1,0),0)</f>
        <v>0</v>
      </c>
      <c r="M377" s="208">
        <f>IF(M$2&lt;=AnalysisPeriod,IF(SUM($C732:M732)&gt;0,L377+1,0),0)</f>
        <v>0</v>
      </c>
      <c r="N377" s="208">
        <f>IF(N$2&lt;=AnalysisPeriod,IF(SUM($C732:N732)&gt;0,M377+1,0),0)</f>
        <v>0</v>
      </c>
      <c r="O377" s="208">
        <f>IF(O$2&lt;=AnalysisPeriod,IF(SUM($C732:O732)&gt;0,N377+1,0),0)</f>
        <v>0</v>
      </c>
      <c r="P377" s="208">
        <f>IF(P$2&lt;=AnalysisPeriod,IF(SUM($C732:P732)&gt;0,O377+1,0),0)</f>
        <v>0</v>
      </c>
      <c r="Q377" s="208">
        <f>IF(Q$2&lt;=AnalysisPeriod,IF(SUM($C732:Q732)&gt;0,P377+1,0),0)</f>
        <v>0</v>
      </c>
      <c r="R377" s="208">
        <f>IF(R$2&lt;=AnalysisPeriod,IF(SUM($C732:R732)&gt;0,Q377+1,0),0)</f>
        <v>0</v>
      </c>
      <c r="S377" s="208">
        <f>IF(S$2&lt;=AnalysisPeriod,IF(SUM($C732:S732)&gt;0,R377+1,0),0)</f>
        <v>0</v>
      </c>
      <c r="T377" s="208">
        <f>IF(T$2&lt;=AnalysisPeriod,IF(SUM($C732:T732)&gt;0,S377+1,0),0)</f>
        <v>0</v>
      </c>
      <c r="U377" s="208">
        <f>IF(U$2&lt;=AnalysisPeriod,IF(SUM($C732:U732)&gt;0,T377+1,0),0)</f>
        <v>0</v>
      </c>
      <c r="V377" s="208">
        <f>IF(V$2&lt;=AnalysisPeriod,IF(SUM($C732:V732)&gt;0,U377+1,0),0)</f>
        <v>0</v>
      </c>
      <c r="W377" s="208">
        <f>IF(W$2&lt;=AnalysisPeriod,IF(SUM($C732:W732)&gt;0,V377+1,0),0)</f>
        <v>0</v>
      </c>
      <c r="X377" s="208">
        <f>IF(X$2&lt;=AnalysisPeriod,IF(SUM($C732:X732)&gt;0,W377+1,0),0)</f>
        <v>0</v>
      </c>
      <c r="Y377" s="208">
        <f>IF(Y$2&lt;=AnalysisPeriod,IF(SUM($C732:Y732)&gt;0,X377+1,0),0)</f>
        <v>0</v>
      </c>
      <c r="Z377" s="208">
        <f>IF(Z$2&lt;=AnalysisPeriod,IF(SUM($C732:Z732)&gt;0,Y377+1,0),0)</f>
        <v>0</v>
      </c>
      <c r="AA377" s="208">
        <f>IF(AA$2&lt;=AnalysisPeriod,IF(SUM($C732:AA732)&gt;0,Z377+1,0),0)</f>
        <v>0</v>
      </c>
      <c r="AB377" s="208">
        <f>IF(AB$2&lt;=AnalysisPeriod,IF(SUM($C732:AB732)&gt;0,AA377+1,0),0)</f>
        <v>0</v>
      </c>
      <c r="AC377" s="208">
        <f>IF(AC$2&lt;=AnalysisPeriod,IF(SUM($C732:AC732)&gt;0,AB377+1,0),0)</f>
        <v>0</v>
      </c>
      <c r="AD377" s="208">
        <f>IF(AD$2&lt;=AnalysisPeriod,IF(SUM($C732:AD732)&gt;0,AC377+1,0),0)</f>
        <v>0</v>
      </c>
      <c r="AE377" s="208">
        <f>IF(AE$2&lt;=AnalysisPeriod,IF(SUM($C732:AE732)&gt;0,AD377+1,0),0)</f>
        <v>0</v>
      </c>
      <c r="AF377" s="208">
        <f>IF(AF$2&lt;=AnalysisPeriod,IF(SUM($C732:AF732)&gt;0,AE377+1,0),0)</f>
        <v>0</v>
      </c>
      <c r="AG377" s="208">
        <f>IF(AG$2&lt;=AnalysisPeriod,IF(SUM($C732:AG732)&gt;0,AF377+1,0),0)</f>
        <v>0</v>
      </c>
      <c r="AH377" s="208">
        <f>IF(AH$2&lt;=AnalysisPeriod,IF(SUM($C732:AH732)&gt;0,AG377+1,0),0)</f>
        <v>0</v>
      </c>
      <c r="AI377" s="208">
        <f>IF(AI$2&lt;=AnalysisPeriod,IF(SUM($C732:AI732)&gt;0,AH377+1,0),0)</f>
        <v>0</v>
      </c>
      <c r="AJ377" s="208">
        <f>IF(AJ$2&lt;=AnalysisPeriod,IF(SUM($C732:AJ732)&gt;0,AI377+1,0),0)</f>
        <v>0</v>
      </c>
      <c r="AK377" s="208">
        <f>IF(AK$2&lt;=AnalysisPeriod,IF(SUM($C732:AK732)&gt;0,AJ377+1,0),0)</f>
        <v>0</v>
      </c>
      <c r="AL377" s="208">
        <f>IF(AL$2&lt;=AnalysisPeriod,IF(SUM($C732:AL732)&gt;0,AK377+1,0),0)</f>
        <v>0</v>
      </c>
      <c r="AM377" s="208">
        <f>IF(AM$2&lt;=AnalysisPeriod,IF(SUM($C732:AM732)&gt;0,AL377+1,0),0)</f>
        <v>0</v>
      </c>
      <c r="AN377" s="208">
        <f>IF(AN$2&lt;=AnalysisPeriod,IF(SUM($C732:AN732)&gt;0,AM377+1,0),0)</f>
        <v>0</v>
      </c>
      <c r="AO377" s="208">
        <f>IF(AO$2&lt;=AnalysisPeriod,IF(SUM($C732:AO732)&gt;0,AN377+1,0),0)</f>
        <v>0</v>
      </c>
      <c r="AP377" s="208">
        <f>IF(AP$2&lt;=AnalysisPeriod,IF(SUM($C732:AP732)&gt;0,AO377+1,0),0)</f>
        <v>0</v>
      </c>
    </row>
    <row r="378" spans="1:42">
      <c r="A378" s="37">
        <f>A377+1</f>
        <v>9</v>
      </c>
      <c r="C378" s="208">
        <f>IF(C$2&lt;=AnalysisPeriod,IF(SUM($C733:C733)&gt;0,B378+1,0),0)</f>
        <v>0</v>
      </c>
      <c r="D378" s="208">
        <f>IF(D$2&lt;=AnalysisPeriod,IF(SUM($C733:D733)&gt;0,C378+1,0),0)</f>
        <v>0</v>
      </c>
      <c r="E378" s="208">
        <f>IF(E$2&lt;=AnalysisPeriod,IF(SUM($C733:E733)&gt;0,D378+1,0),0)</f>
        <v>0</v>
      </c>
      <c r="F378" s="208">
        <f>IF(F$2&lt;=AnalysisPeriod,IF(SUM($C733:F733)&gt;0,E378+1,0),0)</f>
        <v>0</v>
      </c>
      <c r="G378" s="208">
        <f>IF(G$2&lt;=AnalysisPeriod,IF(SUM($C733:G733)&gt;0,F378+1,0),0)</f>
        <v>0</v>
      </c>
      <c r="H378" s="208">
        <f>IF(H$2&lt;=AnalysisPeriod,IF(SUM($C733:H733)&gt;0,G378+1,0),0)</f>
        <v>0</v>
      </c>
      <c r="I378" s="208">
        <f>IF(I$2&lt;=AnalysisPeriod,IF(SUM($C733:I733)&gt;0,H378+1,0),0)</f>
        <v>0</v>
      </c>
      <c r="J378" s="208">
        <f>IF(J$2&lt;=AnalysisPeriod,IF(SUM($C733:J733)&gt;0,I378+1,0),0)</f>
        <v>0</v>
      </c>
      <c r="K378" s="208">
        <f>IF(K$2&lt;=AnalysisPeriod,IF(SUM($C733:K733)&gt;0,J378+1,0),0)</f>
        <v>0</v>
      </c>
      <c r="L378" s="208">
        <f>IF(L$2&lt;=AnalysisPeriod,IF(SUM($C733:L733)&gt;0,K378+1,0),0)</f>
        <v>0</v>
      </c>
      <c r="M378" s="208">
        <f>IF(M$2&lt;=AnalysisPeriod,IF(SUM($C733:M733)&gt;0,L378+1,0),0)</f>
        <v>0</v>
      </c>
      <c r="N378" s="208">
        <f>IF(N$2&lt;=AnalysisPeriod,IF(SUM($C733:N733)&gt;0,M378+1,0),0)</f>
        <v>0</v>
      </c>
      <c r="O378" s="208">
        <f>IF(O$2&lt;=AnalysisPeriod,IF(SUM($C733:O733)&gt;0,N378+1,0),0)</f>
        <v>0</v>
      </c>
      <c r="P378" s="208">
        <f>IF(P$2&lt;=AnalysisPeriod,IF(SUM($C733:P733)&gt;0,O378+1,0),0)</f>
        <v>0</v>
      </c>
      <c r="Q378" s="208">
        <f>IF(Q$2&lt;=AnalysisPeriod,IF(SUM($C733:Q733)&gt;0,P378+1,0),0)</f>
        <v>0</v>
      </c>
      <c r="R378" s="208">
        <f>IF(R$2&lt;=AnalysisPeriod,IF(SUM($C733:R733)&gt;0,Q378+1,0),0)</f>
        <v>0</v>
      </c>
      <c r="S378" s="208">
        <f>IF(S$2&lt;=AnalysisPeriod,IF(SUM($C733:S733)&gt;0,R378+1,0),0)</f>
        <v>0</v>
      </c>
      <c r="T378" s="208">
        <f>IF(T$2&lt;=AnalysisPeriod,IF(SUM($C733:T733)&gt;0,S378+1,0),0)</f>
        <v>0</v>
      </c>
      <c r="U378" s="208">
        <f>IF(U$2&lt;=AnalysisPeriod,IF(SUM($C733:U733)&gt;0,T378+1,0),0)</f>
        <v>0</v>
      </c>
      <c r="V378" s="208">
        <f>IF(V$2&lt;=AnalysisPeriod,IF(SUM($C733:V733)&gt;0,U378+1,0),0)</f>
        <v>0</v>
      </c>
      <c r="W378" s="208">
        <f>IF(W$2&lt;=AnalysisPeriod,IF(SUM($C733:W733)&gt;0,V378+1,0),0)</f>
        <v>0</v>
      </c>
      <c r="X378" s="208">
        <f>IF(X$2&lt;=AnalysisPeriod,IF(SUM($C733:X733)&gt;0,W378+1,0),0)</f>
        <v>0</v>
      </c>
      <c r="Y378" s="208">
        <f>IF(Y$2&lt;=AnalysisPeriod,IF(SUM($C733:Y733)&gt;0,X378+1,0),0)</f>
        <v>0</v>
      </c>
      <c r="Z378" s="208">
        <f>IF(Z$2&lt;=AnalysisPeriod,IF(SUM($C733:Z733)&gt;0,Y378+1,0),0)</f>
        <v>0</v>
      </c>
      <c r="AA378" s="208">
        <f>IF(AA$2&lt;=AnalysisPeriod,IF(SUM($C733:AA733)&gt;0,Z378+1,0),0)</f>
        <v>0</v>
      </c>
      <c r="AB378" s="208">
        <f>IF(AB$2&lt;=AnalysisPeriod,IF(SUM($C733:AB733)&gt;0,AA378+1,0),0)</f>
        <v>0</v>
      </c>
      <c r="AC378" s="208">
        <f>IF(AC$2&lt;=AnalysisPeriod,IF(SUM($C733:AC733)&gt;0,AB378+1,0),0)</f>
        <v>0</v>
      </c>
      <c r="AD378" s="208">
        <f>IF(AD$2&lt;=AnalysisPeriod,IF(SUM($C733:AD733)&gt;0,AC378+1,0),0)</f>
        <v>0</v>
      </c>
      <c r="AE378" s="208">
        <f>IF(AE$2&lt;=AnalysisPeriod,IF(SUM($C733:AE733)&gt;0,AD378+1,0),0)</f>
        <v>0</v>
      </c>
      <c r="AF378" s="208">
        <f>IF(AF$2&lt;=AnalysisPeriod,IF(SUM($C733:AF733)&gt;0,AE378+1,0),0)</f>
        <v>0</v>
      </c>
      <c r="AG378" s="208">
        <f>IF(AG$2&lt;=AnalysisPeriod,IF(SUM($C733:AG733)&gt;0,AF378+1,0),0)</f>
        <v>0</v>
      </c>
      <c r="AH378" s="208">
        <f>IF(AH$2&lt;=AnalysisPeriod,IF(SUM($C733:AH733)&gt;0,AG378+1,0),0)</f>
        <v>0</v>
      </c>
      <c r="AI378" s="208">
        <f>IF(AI$2&lt;=AnalysisPeriod,IF(SUM($C733:AI733)&gt;0,AH378+1,0),0)</f>
        <v>0</v>
      </c>
      <c r="AJ378" s="208">
        <f>IF(AJ$2&lt;=AnalysisPeriod,IF(SUM($C733:AJ733)&gt;0,AI378+1,0),0)</f>
        <v>0</v>
      </c>
      <c r="AK378" s="208">
        <f>IF(AK$2&lt;=AnalysisPeriod,IF(SUM($C733:AK733)&gt;0,AJ378+1,0),0)</f>
        <v>0</v>
      </c>
      <c r="AL378" s="208">
        <f>IF(AL$2&lt;=AnalysisPeriod,IF(SUM($C733:AL733)&gt;0,AK378+1,0),0)</f>
        <v>0</v>
      </c>
      <c r="AM378" s="208">
        <f>IF(AM$2&lt;=AnalysisPeriod,IF(SUM($C733:AM733)&gt;0,AL378+1,0),0)</f>
        <v>0</v>
      </c>
      <c r="AN378" s="208">
        <f>IF(AN$2&lt;=AnalysisPeriod,IF(SUM($C733:AN733)&gt;0,AM378+1,0),0)</f>
        <v>0</v>
      </c>
      <c r="AO378" s="208">
        <f>IF(AO$2&lt;=AnalysisPeriod,IF(SUM($C733:AO733)&gt;0,AN378+1,0),0)</f>
        <v>0</v>
      </c>
      <c r="AP378" s="208">
        <f>IF(AP$2&lt;=AnalysisPeriod,IF(SUM($C733:AP733)&gt;0,AO378+1,0),0)</f>
        <v>0</v>
      </c>
    </row>
    <row r="379" spans="1:42">
      <c r="A379" s="37">
        <f t="shared" si="199"/>
        <v>10</v>
      </c>
      <c r="C379" s="208">
        <f>IF(C$2&lt;=AnalysisPeriod,IF(SUM($C734:C734)&gt;0,B379+1,0),0)</f>
        <v>0</v>
      </c>
      <c r="D379" s="208">
        <f>IF(D$2&lt;=AnalysisPeriod,IF(SUM($C734:D734)&gt;0,C379+1,0),0)</f>
        <v>0</v>
      </c>
      <c r="E379" s="208">
        <f>IF(E$2&lt;=AnalysisPeriod,IF(SUM($C734:E734)&gt;0,D379+1,0),0)</f>
        <v>0</v>
      </c>
      <c r="F379" s="208">
        <f>IF(F$2&lt;=AnalysisPeriod,IF(SUM($C734:F734)&gt;0,E379+1,0),0)</f>
        <v>0</v>
      </c>
      <c r="G379" s="208">
        <f>IF(G$2&lt;=AnalysisPeriod,IF(SUM($C734:G734)&gt;0,F379+1,0),0)</f>
        <v>0</v>
      </c>
      <c r="H379" s="208">
        <f>IF(H$2&lt;=AnalysisPeriod,IF(SUM($C734:H734)&gt;0,G379+1,0),0)</f>
        <v>0</v>
      </c>
      <c r="I379" s="208">
        <f>IF(I$2&lt;=AnalysisPeriod,IF(SUM($C734:I734)&gt;0,H379+1,0),0)</f>
        <v>0</v>
      </c>
      <c r="J379" s="208">
        <f>IF(J$2&lt;=AnalysisPeriod,IF(SUM($C734:J734)&gt;0,I379+1,0),0)</f>
        <v>0</v>
      </c>
      <c r="K379" s="208">
        <f>IF(K$2&lt;=AnalysisPeriod,IF(SUM($C734:K734)&gt;0,J379+1,0),0)</f>
        <v>0</v>
      </c>
      <c r="L379" s="208">
        <f>IF(L$2&lt;=AnalysisPeriod,IF(SUM($C734:L734)&gt;0,K379+1,0),0)</f>
        <v>0</v>
      </c>
      <c r="M379" s="208">
        <f>IF(M$2&lt;=AnalysisPeriod,IF(SUM($C734:M734)&gt;0,L379+1,0),0)</f>
        <v>0</v>
      </c>
      <c r="N379" s="208">
        <f>IF(N$2&lt;=AnalysisPeriod,IF(SUM($C734:N734)&gt;0,M379+1,0),0)</f>
        <v>0</v>
      </c>
      <c r="O379" s="208">
        <f>IF(O$2&lt;=AnalysisPeriod,IF(SUM($C734:O734)&gt;0,N379+1,0),0)</f>
        <v>0</v>
      </c>
      <c r="P379" s="208">
        <f>IF(P$2&lt;=AnalysisPeriod,IF(SUM($C734:P734)&gt;0,O379+1,0),0)</f>
        <v>0</v>
      </c>
      <c r="Q379" s="208">
        <f>IF(Q$2&lt;=AnalysisPeriod,IF(SUM($C734:Q734)&gt;0,P379+1,0),0)</f>
        <v>0</v>
      </c>
      <c r="R379" s="208">
        <f>IF(R$2&lt;=AnalysisPeriod,IF(SUM($C734:R734)&gt;0,Q379+1,0),0)</f>
        <v>0</v>
      </c>
      <c r="S379" s="208">
        <f>IF(S$2&lt;=AnalysisPeriod,IF(SUM($C734:S734)&gt;0,R379+1,0),0)</f>
        <v>0</v>
      </c>
      <c r="T379" s="208">
        <f>IF(T$2&lt;=AnalysisPeriod,IF(SUM($C734:T734)&gt;0,S379+1,0),0)</f>
        <v>0</v>
      </c>
      <c r="U379" s="208">
        <f>IF(U$2&lt;=AnalysisPeriod,IF(SUM($C734:U734)&gt;0,T379+1,0),0)</f>
        <v>0</v>
      </c>
      <c r="V379" s="208">
        <f>IF(V$2&lt;=AnalysisPeriod,IF(SUM($C734:V734)&gt;0,U379+1,0),0)</f>
        <v>0</v>
      </c>
      <c r="W379" s="208">
        <f>IF(W$2&lt;=AnalysisPeriod,IF(SUM($C734:W734)&gt;0,V379+1,0),0)</f>
        <v>0</v>
      </c>
      <c r="X379" s="208">
        <f>IF(X$2&lt;=AnalysisPeriod,IF(SUM($C734:X734)&gt;0,W379+1,0),0)</f>
        <v>0</v>
      </c>
      <c r="Y379" s="208">
        <f>IF(Y$2&lt;=AnalysisPeriod,IF(SUM($C734:Y734)&gt;0,X379+1,0),0)</f>
        <v>0</v>
      </c>
      <c r="Z379" s="208">
        <f>IF(Z$2&lt;=AnalysisPeriod,IF(SUM($C734:Z734)&gt;0,Y379+1,0),0)</f>
        <v>0</v>
      </c>
      <c r="AA379" s="208">
        <f>IF(AA$2&lt;=AnalysisPeriod,IF(SUM($C734:AA734)&gt;0,Z379+1,0),0)</f>
        <v>0</v>
      </c>
      <c r="AB379" s="208">
        <f>IF(AB$2&lt;=AnalysisPeriod,IF(SUM($C734:AB734)&gt;0,AA379+1,0),0)</f>
        <v>0</v>
      </c>
      <c r="AC379" s="208">
        <f>IF(AC$2&lt;=AnalysisPeriod,IF(SUM($C734:AC734)&gt;0,AB379+1,0),0)</f>
        <v>0</v>
      </c>
      <c r="AD379" s="208">
        <f>IF(AD$2&lt;=AnalysisPeriod,IF(SUM($C734:AD734)&gt;0,AC379+1,0),0)</f>
        <v>0</v>
      </c>
      <c r="AE379" s="208">
        <f>IF(AE$2&lt;=AnalysisPeriod,IF(SUM($C734:AE734)&gt;0,AD379+1,0),0)</f>
        <v>0</v>
      </c>
      <c r="AF379" s="208">
        <f>IF(AF$2&lt;=AnalysisPeriod,IF(SUM($C734:AF734)&gt;0,AE379+1,0),0)</f>
        <v>0</v>
      </c>
      <c r="AG379" s="208">
        <f>IF(AG$2&lt;=AnalysisPeriod,IF(SUM($C734:AG734)&gt;0,AF379+1,0),0)</f>
        <v>0</v>
      </c>
      <c r="AH379" s="208">
        <f>IF(AH$2&lt;=AnalysisPeriod,IF(SUM($C734:AH734)&gt;0,AG379+1,0),0)</f>
        <v>0</v>
      </c>
      <c r="AI379" s="208">
        <f>IF(AI$2&lt;=AnalysisPeriod,IF(SUM($C734:AI734)&gt;0,AH379+1,0),0)</f>
        <v>0</v>
      </c>
      <c r="AJ379" s="208">
        <f>IF(AJ$2&lt;=AnalysisPeriod,IF(SUM($C734:AJ734)&gt;0,AI379+1,0),0)</f>
        <v>0</v>
      </c>
      <c r="AK379" s="208">
        <f>IF(AK$2&lt;=AnalysisPeriod,IF(SUM($C734:AK734)&gt;0,AJ379+1,0),0)</f>
        <v>0</v>
      </c>
      <c r="AL379" s="208">
        <f>IF(AL$2&lt;=AnalysisPeriod,IF(SUM($C734:AL734)&gt;0,AK379+1,0),0)</f>
        <v>0</v>
      </c>
      <c r="AM379" s="208">
        <f>IF(AM$2&lt;=AnalysisPeriod,IF(SUM($C734:AM734)&gt;0,AL379+1,0),0)</f>
        <v>0</v>
      </c>
      <c r="AN379" s="208">
        <f>IF(AN$2&lt;=AnalysisPeriod,IF(SUM($C734:AN734)&gt;0,AM379+1,0),0)</f>
        <v>0</v>
      </c>
      <c r="AO379" s="208">
        <f>IF(AO$2&lt;=AnalysisPeriod,IF(SUM($C734:AO734)&gt;0,AN379+1,0),0)</f>
        <v>0</v>
      </c>
      <c r="AP379" s="208">
        <f>IF(AP$2&lt;=AnalysisPeriod,IF(SUM($C734:AP734)&gt;0,AO379+1,0),0)</f>
        <v>0</v>
      </c>
    </row>
    <row r="380" spans="1:42">
      <c r="A380" s="226" t="s">
        <v>221</v>
      </c>
      <c r="C380" s="208"/>
      <c r="D380" s="208"/>
      <c r="E380" s="208"/>
      <c r="F380" s="208"/>
      <c r="G380" s="208"/>
      <c r="H380" s="208"/>
      <c r="I380" s="208"/>
      <c r="J380" s="208"/>
      <c r="K380" s="208"/>
      <c r="L380" s="208"/>
      <c r="M380" s="208"/>
      <c r="N380" s="208"/>
      <c r="O380" s="208"/>
      <c r="P380" s="208"/>
      <c r="Q380" s="208"/>
      <c r="R380" s="208"/>
      <c r="S380" s="208"/>
      <c r="T380" s="208"/>
      <c r="U380" s="208"/>
      <c r="V380" s="208"/>
      <c r="W380" s="208"/>
      <c r="X380" s="208"/>
      <c r="Y380" s="208"/>
      <c r="Z380" s="208"/>
      <c r="AA380" s="208"/>
      <c r="AB380" s="208"/>
      <c r="AC380" s="208"/>
      <c r="AD380" s="208"/>
      <c r="AE380" s="208"/>
      <c r="AF380" s="208"/>
      <c r="AG380" s="208"/>
      <c r="AH380" s="208"/>
      <c r="AI380" s="208"/>
      <c r="AJ380" s="208"/>
      <c r="AK380" s="208"/>
      <c r="AL380" s="208"/>
      <c r="AM380" s="208"/>
      <c r="AN380" s="208"/>
      <c r="AO380" s="208"/>
      <c r="AP380" s="208"/>
    </row>
    <row r="381" spans="1:42">
      <c r="A381" s="37">
        <v>1</v>
      </c>
      <c r="B381" s="218">
        <f t="shared" ref="B381:B390" si="200">SUM(C381:AP381)</f>
        <v>2944872.3435013141</v>
      </c>
      <c r="C381" s="208">
        <f t="shared" ref="C381:AP381" si="201">LOOKUP(C370,$B$365:$AP$365,$B$366:$AP$366)*$B725</f>
        <v>0</v>
      </c>
      <c r="D381" s="208">
        <f t="shared" si="201"/>
        <v>0</v>
      </c>
      <c r="E381" s="208">
        <f t="shared" si="201"/>
        <v>0</v>
      </c>
      <c r="F381" s="208">
        <f t="shared" si="201"/>
        <v>0</v>
      </c>
      <c r="G381" s="208">
        <f t="shared" si="201"/>
        <v>0</v>
      </c>
      <c r="H381" s="208">
        <f t="shared" si="201"/>
        <v>0</v>
      </c>
      <c r="I381" s="208">
        <f t="shared" si="201"/>
        <v>0</v>
      </c>
      <c r="J381" s="208">
        <f t="shared" si="201"/>
        <v>0</v>
      </c>
      <c r="K381" s="208">
        <f t="shared" si="201"/>
        <v>0</v>
      </c>
      <c r="L381" s="208">
        <f t="shared" si="201"/>
        <v>0</v>
      </c>
      <c r="M381" s="208">
        <f t="shared" si="201"/>
        <v>0</v>
      </c>
      <c r="N381" s="208">
        <f t="shared" si="201"/>
        <v>588974.46870026283</v>
      </c>
      <c r="O381" s="208">
        <f t="shared" si="201"/>
        <v>942359.14992042049</v>
      </c>
      <c r="P381" s="208">
        <f t="shared" si="201"/>
        <v>565415.48995225236</v>
      </c>
      <c r="Q381" s="208">
        <f t="shared" si="201"/>
        <v>339249.29397135135</v>
      </c>
      <c r="R381" s="208">
        <f t="shared" si="201"/>
        <v>339249.29397135135</v>
      </c>
      <c r="S381" s="208">
        <f t="shared" si="201"/>
        <v>169624.64698567567</v>
      </c>
      <c r="T381" s="208">
        <f t="shared" si="201"/>
        <v>0</v>
      </c>
      <c r="U381" s="208">
        <f t="shared" si="201"/>
        <v>0</v>
      </c>
      <c r="V381" s="208">
        <f t="shared" si="201"/>
        <v>0</v>
      </c>
      <c r="W381" s="208">
        <f t="shared" si="201"/>
        <v>0</v>
      </c>
      <c r="X381" s="208">
        <f t="shared" si="201"/>
        <v>0</v>
      </c>
      <c r="Y381" s="208">
        <f t="shared" si="201"/>
        <v>0</v>
      </c>
      <c r="Z381" s="208">
        <f t="shared" si="201"/>
        <v>0</v>
      </c>
      <c r="AA381" s="208">
        <f t="shared" si="201"/>
        <v>0</v>
      </c>
      <c r="AB381" s="208">
        <f t="shared" si="201"/>
        <v>0</v>
      </c>
      <c r="AC381" s="208">
        <f t="shared" si="201"/>
        <v>0</v>
      </c>
      <c r="AD381" s="208">
        <f t="shared" si="201"/>
        <v>0</v>
      </c>
      <c r="AE381" s="208">
        <f t="shared" si="201"/>
        <v>0</v>
      </c>
      <c r="AF381" s="208">
        <f t="shared" si="201"/>
        <v>0</v>
      </c>
      <c r="AG381" s="208">
        <f t="shared" si="201"/>
        <v>0</v>
      </c>
      <c r="AH381" s="208">
        <f t="shared" si="201"/>
        <v>0</v>
      </c>
      <c r="AI381" s="208">
        <f t="shared" si="201"/>
        <v>0</v>
      </c>
      <c r="AJ381" s="208">
        <f t="shared" si="201"/>
        <v>0</v>
      </c>
      <c r="AK381" s="208">
        <f t="shared" si="201"/>
        <v>0</v>
      </c>
      <c r="AL381" s="208">
        <f t="shared" si="201"/>
        <v>0</v>
      </c>
      <c r="AM381" s="208">
        <f t="shared" si="201"/>
        <v>0</v>
      </c>
      <c r="AN381" s="208">
        <f t="shared" si="201"/>
        <v>0</v>
      </c>
      <c r="AO381" s="208">
        <f t="shared" si="201"/>
        <v>0</v>
      </c>
      <c r="AP381" s="208">
        <f t="shared" si="201"/>
        <v>0</v>
      </c>
    </row>
    <row r="382" spans="1:42">
      <c r="A382" s="37">
        <f>A381+1</f>
        <v>2</v>
      </c>
      <c r="B382" s="218">
        <f t="shared" si="200"/>
        <v>3520942.886524681</v>
      </c>
      <c r="C382" s="208">
        <f t="shared" ref="C382:AP382" si="202">LOOKUP(C371,$B$365:$AP$365,$B$366:$AP$366)*$B726</f>
        <v>0</v>
      </c>
      <c r="D382" s="208">
        <f t="shared" si="202"/>
        <v>0</v>
      </c>
      <c r="E382" s="208">
        <f t="shared" si="202"/>
        <v>0</v>
      </c>
      <c r="F382" s="208">
        <f t="shared" si="202"/>
        <v>0</v>
      </c>
      <c r="G382" s="208">
        <f t="shared" si="202"/>
        <v>0</v>
      </c>
      <c r="H382" s="208">
        <f t="shared" si="202"/>
        <v>0</v>
      </c>
      <c r="I382" s="208">
        <f t="shared" si="202"/>
        <v>0</v>
      </c>
      <c r="J382" s="208">
        <f t="shared" si="202"/>
        <v>0</v>
      </c>
      <c r="K382" s="208">
        <f t="shared" si="202"/>
        <v>0</v>
      </c>
      <c r="L382" s="208">
        <f t="shared" si="202"/>
        <v>0</v>
      </c>
      <c r="M382" s="208">
        <f t="shared" si="202"/>
        <v>0</v>
      </c>
      <c r="N382" s="208">
        <f t="shared" si="202"/>
        <v>0</v>
      </c>
      <c r="O382" s="208">
        <f t="shared" si="202"/>
        <v>0</v>
      </c>
      <c r="P382" s="208">
        <f t="shared" si="202"/>
        <v>0</v>
      </c>
      <c r="Q382" s="208">
        <f t="shared" si="202"/>
        <v>0</v>
      </c>
      <c r="R382" s="208">
        <f t="shared" si="202"/>
        <v>0</v>
      </c>
      <c r="S382" s="208">
        <f t="shared" si="202"/>
        <v>0</v>
      </c>
      <c r="T382" s="208">
        <f t="shared" si="202"/>
        <v>0</v>
      </c>
      <c r="U382" s="208">
        <f t="shared" si="202"/>
        <v>0</v>
      </c>
      <c r="V382" s="208">
        <f t="shared" si="202"/>
        <v>0</v>
      </c>
      <c r="W382" s="208">
        <f t="shared" si="202"/>
        <v>0</v>
      </c>
      <c r="X382" s="208">
        <f t="shared" si="202"/>
        <v>0</v>
      </c>
      <c r="Y382" s="208">
        <f t="shared" si="202"/>
        <v>0</v>
      </c>
      <c r="Z382" s="208">
        <f t="shared" si="202"/>
        <v>704188.57730493625</v>
      </c>
      <c r="AA382" s="208">
        <f t="shared" si="202"/>
        <v>1126701.7236878979</v>
      </c>
      <c r="AB382" s="208">
        <f t="shared" si="202"/>
        <v>676021.03421273874</v>
      </c>
      <c r="AC382" s="208">
        <f t="shared" si="202"/>
        <v>405612.62052764324</v>
      </c>
      <c r="AD382" s="208">
        <f t="shared" si="202"/>
        <v>405612.62052764324</v>
      </c>
      <c r="AE382" s="208">
        <f t="shared" si="202"/>
        <v>202806.31026382162</v>
      </c>
      <c r="AF382" s="208">
        <f t="shared" si="202"/>
        <v>0</v>
      </c>
      <c r="AG382" s="208">
        <f t="shared" si="202"/>
        <v>0</v>
      </c>
      <c r="AH382" s="208">
        <f t="shared" si="202"/>
        <v>0</v>
      </c>
      <c r="AI382" s="208">
        <f t="shared" si="202"/>
        <v>0</v>
      </c>
      <c r="AJ382" s="208">
        <f t="shared" si="202"/>
        <v>0</v>
      </c>
      <c r="AK382" s="208">
        <f t="shared" si="202"/>
        <v>0</v>
      </c>
      <c r="AL382" s="208">
        <f t="shared" si="202"/>
        <v>0</v>
      </c>
      <c r="AM382" s="208">
        <f t="shared" si="202"/>
        <v>0</v>
      </c>
      <c r="AN382" s="208">
        <f t="shared" si="202"/>
        <v>0</v>
      </c>
      <c r="AO382" s="208">
        <f t="shared" si="202"/>
        <v>0</v>
      </c>
      <c r="AP382" s="208">
        <f t="shared" si="202"/>
        <v>0</v>
      </c>
    </row>
    <row r="383" spans="1:42">
      <c r="A383" s="37">
        <f t="shared" ref="A383:A390" si="203">A382+1</f>
        <v>3</v>
      </c>
      <c r="B383" s="218">
        <f t="shared" si="200"/>
        <v>0</v>
      </c>
      <c r="C383" s="208">
        <f t="shared" ref="C383:AP383" si="204">LOOKUP(C372,$B$365:$AP$365,$B$366:$AP$366)*$B727</f>
        <v>0</v>
      </c>
      <c r="D383" s="208">
        <f t="shared" si="204"/>
        <v>0</v>
      </c>
      <c r="E383" s="208">
        <f t="shared" si="204"/>
        <v>0</v>
      </c>
      <c r="F383" s="208">
        <f t="shared" si="204"/>
        <v>0</v>
      </c>
      <c r="G383" s="208">
        <f t="shared" si="204"/>
        <v>0</v>
      </c>
      <c r="H383" s="208">
        <f t="shared" si="204"/>
        <v>0</v>
      </c>
      <c r="I383" s="208">
        <f t="shared" si="204"/>
        <v>0</v>
      </c>
      <c r="J383" s="208">
        <f t="shared" si="204"/>
        <v>0</v>
      </c>
      <c r="K383" s="208">
        <f t="shared" si="204"/>
        <v>0</v>
      </c>
      <c r="L383" s="208">
        <f t="shared" si="204"/>
        <v>0</v>
      </c>
      <c r="M383" s="208">
        <f t="shared" si="204"/>
        <v>0</v>
      </c>
      <c r="N383" s="208">
        <f t="shared" si="204"/>
        <v>0</v>
      </c>
      <c r="O383" s="208">
        <f t="shared" si="204"/>
        <v>0</v>
      </c>
      <c r="P383" s="208">
        <f t="shared" si="204"/>
        <v>0</v>
      </c>
      <c r="Q383" s="208">
        <f t="shared" si="204"/>
        <v>0</v>
      </c>
      <c r="R383" s="208">
        <f t="shared" si="204"/>
        <v>0</v>
      </c>
      <c r="S383" s="208">
        <f t="shared" si="204"/>
        <v>0</v>
      </c>
      <c r="T383" s="208">
        <f t="shared" si="204"/>
        <v>0</v>
      </c>
      <c r="U383" s="208">
        <f t="shared" si="204"/>
        <v>0</v>
      </c>
      <c r="V383" s="208">
        <f t="shared" si="204"/>
        <v>0</v>
      </c>
      <c r="W383" s="208">
        <f t="shared" si="204"/>
        <v>0</v>
      </c>
      <c r="X383" s="208">
        <f t="shared" si="204"/>
        <v>0</v>
      </c>
      <c r="Y383" s="208">
        <f t="shared" si="204"/>
        <v>0</v>
      </c>
      <c r="Z383" s="208">
        <f t="shared" si="204"/>
        <v>0</v>
      </c>
      <c r="AA383" s="208">
        <f t="shared" si="204"/>
        <v>0</v>
      </c>
      <c r="AB383" s="208">
        <f t="shared" si="204"/>
        <v>0</v>
      </c>
      <c r="AC383" s="208">
        <f t="shared" si="204"/>
        <v>0</v>
      </c>
      <c r="AD383" s="208">
        <f t="shared" si="204"/>
        <v>0</v>
      </c>
      <c r="AE383" s="208">
        <f t="shared" si="204"/>
        <v>0</v>
      </c>
      <c r="AF383" s="208">
        <f t="shared" si="204"/>
        <v>0</v>
      </c>
      <c r="AG383" s="208">
        <f t="shared" si="204"/>
        <v>0</v>
      </c>
      <c r="AH383" s="208">
        <f t="shared" si="204"/>
        <v>0</v>
      </c>
      <c r="AI383" s="208">
        <f t="shared" si="204"/>
        <v>0</v>
      </c>
      <c r="AJ383" s="208">
        <f t="shared" si="204"/>
        <v>0</v>
      </c>
      <c r="AK383" s="208">
        <f t="shared" si="204"/>
        <v>0</v>
      </c>
      <c r="AL383" s="208">
        <f t="shared" si="204"/>
        <v>0</v>
      </c>
      <c r="AM383" s="208">
        <f t="shared" si="204"/>
        <v>0</v>
      </c>
      <c r="AN383" s="208">
        <f t="shared" si="204"/>
        <v>0</v>
      </c>
      <c r="AO383" s="208">
        <f t="shared" si="204"/>
        <v>0</v>
      </c>
      <c r="AP383" s="208">
        <f t="shared" si="204"/>
        <v>0</v>
      </c>
    </row>
    <row r="384" spans="1:42">
      <c r="A384" s="37">
        <f t="shared" si="203"/>
        <v>4</v>
      </c>
      <c r="B384" s="218">
        <f t="shared" si="200"/>
        <v>0</v>
      </c>
      <c r="C384" s="208">
        <f t="shared" ref="C384:AP384" si="205">LOOKUP(C373,$B$365:$AP$365,$B$366:$AP$366)*$B728</f>
        <v>0</v>
      </c>
      <c r="D384" s="208">
        <f t="shared" si="205"/>
        <v>0</v>
      </c>
      <c r="E384" s="208">
        <f t="shared" si="205"/>
        <v>0</v>
      </c>
      <c r="F384" s="208">
        <f t="shared" si="205"/>
        <v>0</v>
      </c>
      <c r="G384" s="208">
        <f t="shared" si="205"/>
        <v>0</v>
      </c>
      <c r="H384" s="208">
        <f t="shared" si="205"/>
        <v>0</v>
      </c>
      <c r="I384" s="208">
        <f t="shared" si="205"/>
        <v>0</v>
      </c>
      <c r="J384" s="208">
        <f t="shared" si="205"/>
        <v>0</v>
      </c>
      <c r="K384" s="208">
        <f t="shared" si="205"/>
        <v>0</v>
      </c>
      <c r="L384" s="208">
        <f t="shared" si="205"/>
        <v>0</v>
      </c>
      <c r="M384" s="208">
        <f t="shared" si="205"/>
        <v>0</v>
      </c>
      <c r="N384" s="208">
        <f t="shared" si="205"/>
        <v>0</v>
      </c>
      <c r="O384" s="208">
        <f t="shared" si="205"/>
        <v>0</v>
      </c>
      <c r="P384" s="208">
        <f t="shared" si="205"/>
        <v>0</v>
      </c>
      <c r="Q384" s="208">
        <f t="shared" si="205"/>
        <v>0</v>
      </c>
      <c r="R384" s="208">
        <f t="shared" si="205"/>
        <v>0</v>
      </c>
      <c r="S384" s="208">
        <f t="shared" si="205"/>
        <v>0</v>
      </c>
      <c r="T384" s="208">
        <f t="shared" si="205"/>
        <v>0</v>
      </c>
      <c r="U384" s="208">
        <f t="shared" si="205"/>
        <v>0</v>
      </c>
      <c r="V384" s="208">
        <f t="shared" si="205"/>
        <v>0</v>
      </c>
      <c r="W384" s="208">
        <f t="shared" si="205"/>
        <v>0</v>
      </c>
      <c r="X384" s="208">
        <f t="shared" si="205"/>
        <v>0</v>
      </c>
      <c r="Y384" s="208">
        <f t="shared" si="205"/>
        <v>0</v>
      </c>
      <c r="Z384" s="208">
        <f t="shared" si="205"/>
        <v>0</v>
      </c>
      <c r="AA384" s="208">
        <f t="shared" si="205"/>
        <v>0</v>
      </c>
      <c r="AB384" s="208">
        <f t="shared" si="205"/>
        <v>0</v>
      </c>
      <c r="AC384" s="208">
        <f t="shared" si="205"/>
        <v>0</v>
      </c>
      <c r="AD384" s="208">
        <f t="shared" si="205"/>
        <v>0</v>
      </c>
      <c r="AE384" s="208">
        <f t="shared" si="205"/>
        <v>0</v>
      </c>
      <c r="AF384" s="208">
        <f t="shared" si="205"/>
        <v>0</v>
      </c>
      <c r="AG384" s="208">
        <f t="shared" si="205"/>
        <v>0</v>
      </c>
      <c r="AH384" s="208">
        <f t="shared" si="205"/>
        <v>0</v>
      </c>
      <c r="AI384" s="208">
        <f t="shared" si="205"/>
        <v>0</v>
      </c>
      <c r="AJ384" s="208">
        <f t="shared" si="205"/>
        <v>0</v>
      </c>
      <c r="AK384" s="208">
        <f t="shared" si="205"/>
        <v>0</v>
      </c>
      <c r="AL384" s="208">
        <f t="shared" si="205"/>
        <v>0</v>
      </c>
      <c r="AM384" s="208">
        <f t="shared" si="205"/>
        <v>0</v>
      </c>
      <c r="AN384" s="208">
        <f t="shared" si="205"/>
        <v>0</v>
      </c>
      <c r="AO384" s="208">
        <f t="shared" si="205"/>
        <v>0</v>
      </c>
      <c r="AP384" s="208">
        <f t="shared" si="205"/>
        <v>0</v>
      </c>
    </row>
    <row r="385" spans="1:42">
      <c r="A385" s="37">
        <f t="shared" si="203"/>
        <v>5</v>
      </c>
      <c r="B385" s="218">
        <f t="shared" si="200"/>
        <v>0</v>
      </c>
      <c r="C385" s="208">
        <f t="shared" ref="C385:AP385" si="206">LOOKUP(C374,$B$365:$AP$365,$B$366:$AP$366)*$B729</f>
        <v>0</v>
      </c>
      <c r="D385" s="208">
        <f t="shared" si="206"/>
        <v>0</v>
      </c>
      <c r="E385" s="208">
        <f t="shared" si="206"/>
        <v>0</v>
      </c>
      <c r="F385" s="208">
        <f t="shared" si="206"/>
        <v>0</v>
      </c>
      <c r="G385" s="208">
        <f t="shared" si="206"/>
        <v>0</v>
      </c>
      <c r="H385" s="208">
        <f t="shared" si="206"/>
        <v>0</v>
      </c>
      <c r="I385" s="208">
        <f t="shared" si="206"/>
        <v>0</v>
      </c>
      <c r="J385" s="208">
        <f t="shared" si="206"/>
        <v>0</v>
      </c>
      <c r="K385" s="208">
        <f t="shared" si="206"/>
        <v>0</v>
      </c>
      <c r="L385" s="208">
        <f t="shared" si="206"/>
        <v>0</v>
      </c>
      <c r="M385" s="208">
        <f t="shared" si="206"/>
        <v>0</v>
      </c>
      <c r="N385" s="208">
        <f t="shared" si="206"/>
        <v>0</v>
      </c>
      <c r="O385" s="208">
        <f t="shared" si="206"/>
        <v>0</v>
      </c>
      <c r="P385" s="208">
        <f t="shared" si="206"/>
        <v>0</v>
      </c>
      <c r="Q385" s="208">
        <f t="shared" si="206"/>
        <v>0</v>
      </c>
      <c r="R385" s="208">
        <f t="shared" si="206"/>
        <v>0</v>
      </c>
      <c r="S385" s="208">
        <f t="shared" si="206"/>
        <v>0</v>
      </c>
      <c r="T385" s="208">
        <f t="shared" si="206"/>
        <v>0</v>
      </c>
      <c r="U385" s="208">
        <f t="shared" si="206"/>
        <v>0</v>
      </c>
      <c r="V385" s="208">
        <f t="shared" si="206"/>
        <v>0</v>
      </c>
      <c r="W385" s="208">
        <f t="shared" si="206"/>
        <v>0</v>
      </c>
      <c r="X385" s="208">
        <f t="shared" si="206"/>
        <v>0</v>
      </c>
      <c r="Y385" s="208">
        <f t="shared" si="206"/>
        <v>0</v>
      </c>
      <c r="Z385" s="208">
        <f t="shared" si="206"/>
        <v>0</v>
      </c>
      <c r="AA385" s="208">
        <f t="shared" si="206"/>
        <v>0</v>
      </c>
      <c r="AB385" s="208">
        <f t="shared" si="206"/>
        <v>0</v>
      </c>
      <c r="AC385" s="208">
        <f t="shared" si="206"/>
        <v>0</v>
      </c>
      <c r="AD385" s="208">
        <f t="shared" si="206"/>
        <v>0</v>
      </c>
      <c r="AE385" s="208">
        <f t="shared" si="206"/>
        <v>0</v>
      </c>
      <c r="AF385" s="208">
        <f t="shared" si="206"/>
        <v>0</v>
      </c>
      <c r="AG385" s="208">
        <f t="shared" si="206"/>
        <v>0</v>
      </c>
      <c r="AH385" s="208">
        <f t="shared" si="206"/>
        <v>0</v>
      </c>
      <c r="AI385" s="208">
        <f t="shared" si="206"/>
        <v>0</v>
      </c>
      <c r="AJ385" s="208">
        <f t="shared" si="206"/>
        <v>0</v>
      </c>
      <c r="AK385" s="208">
        <f t="shared" si="206"/>
        <v>0</v>
      </c>
      <c r="AL385" s="208">
        <f t="shared" si="206"/>
        <v>0</v>
      </c>
      <c r="AM385" s="208">
        <f t="shared" si="206"/>
        <v>0</v>
      </c>
      <c r="AN385" s="208">
        <f t="shared" si="206"/>
        <v>0</v>
      </c>
      <c r="AO385" s="208">
        <f t="shared" si="206"/>
        <v>0</v>
      </c>
      <c r="AP385" s="208">
        <f t="shared" si="206"/>
        <v>0</v>
      </c>
    </row>
    <row r="386" spans="1:42">
      <c r="A386" s="119">
        <f t="shared" si="203"/>
        <v>6</v>
      </c>
      <c r="B386" s="218">
        <f t="shared" si="200"/>
        <v>0</v>
      </c>
      <c r="C386" s="208">
        <f t="shared" ref="C386:AP386" si="207">LOOKUP(C375,$B$365:$AP$365,$B$366:$AP$366)*$B730</f>
        <v>0</v>
      </c>
      <c r="D386" s="208">
        <f t="shared" si="207"/>
        <v>0</v>
      </c>
      <c r="E386" s="208">
        <f t="shared" si="207"/>
        <v>0</v>
      </c>
      <c r="F386" s="208">
        <f t="shared" si="207"/>
        <v>0</v>
      </c>
      <c r="G386" s="208">
        <f t="shared" si="207"/>
        <v>0</v>
      </c>
      <c r="H386" s="208">
        <f t="shared" si="207"/>
        <v>0</v>
      </c>
      <c r="I386" s="208">
        <f t="shared" si="207"/>
        <v>0</v>
      </c>
      <c r="J386" s="208">
        <f t="shared" si="207"/>
        <v>0</v>
      </c>
      <c r="K386" s="208">
        <f t="shared" si="207"/>
        <v>0</v>
      </c>
      <c r="L386" s="208">
        <f t="shared" si="207"/>
        <v>0</v>
      </c>
      <c r="M386" s="208">
        <f t="shared" si="207"/>
        <v>0</v>
      </c>
      <c r="N386" s="208">
        <f t="shared" si="207"/>
        <v>0</v>
      </c>
      <c r="O386" s="208">
        <f t="shared" si="207"/>
        <v>0</v>
      </c>
      <c r="P386" s="208">
        <f t="shared" si="207"/>
        <v>0</v>
      </c>
      <c r="Q386" s="208">
        <f t="shared" si="207"/>
        <v>0</v>
      </c>
      <c r="R386" s="208">
        <f t="shared" si="207"/>
        <v>0</v>
      </c>
      <c r="S386" s="208">
        <f t="shared" si="207"/>
        <v>0</v>
      </c>
      <c r="T386" s="208">
        <f t="shared" si="207"/>
        <v>0</v>
      </c>
      <c r="U386" s="208">
        <f t="shared" si="207"/>
        <v>0</v>
      </c>
      <c r="V386" s="208">
        <f t="shared" si="207"/>
        <v>0</v>
      </c>
      <c r="W386" s="208">
        <f t="shared" si="207"/>
        <v>0</v>
      </c>
      <c r="X386" s="208">
        <f t="shared" si="207"/>
        <v>0</v>
      </c>
      <c r="Y386" s="208">
        <f t="shared" si="207"/>
        <v>0</v>
      </c>
      <c r="Z386" s="208">
        <f t="shared" si="207"/>
        <v>0</v>
      </c>
      <c r="AA386" s="208">
        <f t="shared" si="207"/>
        <v>0</v>
      </c>
      <c r="AB386" s="208">
        <f t="shared" si="207"/>
        <v>0</v>
      </c>
      <c r="AC386" s="208">
        <f t="shared" si="207"/>
        <v>0</v>
      </c>
      <c r="AD386" s="208">
        <f t="shared" si="207"/>
        <v>0</v>
      </c>
      <c r="AE386" s="208">
        <f t="shared" si="207"/>
        <v>0</v>
      </c>
      <c r="AF386" s="208">
        <f t="shared" si="207"/>
        <v>0</v>
      </c>
      <c r="AG386" s="208">
        <f t="shared" si="207"/>
        <v>0</v>
      </c>
      <c r="AH386" s="208">
        <f t="shared" si="207"/>
        <v>0</v>
      </c>
      <c r="AI386" s="208">
        <f t="shared" si="207"/>
        <v>0</v>
      </c>
      <c r="AJ386" s="208">
        <f t="shared" si="207"/>
        <v>0</v>
      </c>
      <c r="AK386" s="208">
        <f t="shared" si="207"/>
        <v>0</v>
      </c>
      <c r="AL386" s="208">
        <f t="shared" si="207"/>
        <v>0</v>
      </c>
      <c r="AM386" s="208">
        <f t="shared" si="207"/>
        <v>0</v>
      </c>
      <c r="AN386" s="208">
        <f t="shared" si="207"/>
        <v>0</v>
      </c>
      <c r="AO386" s="208">
        <f t="shared" si="207"/>
        <v>0</v>
      </c>
      <c r="AP386" s="208">
        <f t="shared" si="207"/>
        <v>0</v>
      </c>
    </row>
    <row r="387" spans="1:42">
      <c r="A387" s="119">
        <f t="shared" si="203"/>
        <v>7</v>
      </c>
      <c r="B387" s="218">
        <f t="shared" si="200"/>
        <v>0</v>
      </c>
      <c r="C387" s="208">
        <f t="shared" ref="C387:AP387" si="208">LOOKUP(C376,$B$365:$AP$365,$B$366:$AP$366)*$B731</f>
        <v>0</v>
      </c>
      <c r="D387" s="208">
        <f t="shared" si="208"/>
        <v>0</v>
      </c>
      <c r="E387" s="208">
        <f t="shared" si="208"/>
        <v>0</v>
      </c>
      <c r="F387" s="208">
        <f t="shared" si="208"/>
        <v>0</v>
      </c>
      <c r="G387" s="208">
        <f t="shared" si="208"/>
        <v>0</v>
      </c>
      <c r="H387" s="208">
        <f t="shared" si="208"/>
        <v>0</v>
      </c>
      <c r="I387" s="208">
        <f t="shared" si="208"/>
        <v>0</v>
      </c>
      <c r="J387" s="208">
        <f t="shared" si="208"/>
        <v>0</v>
      </c>
      <c r="K387" s="208">
        <f t="shared" si="208"/>
        <v>0</v>
      </c>
      <c r="L387" s="208">
        <f t="shared" si="208"/>
        <v>0</v>
      </c>
      <c r="M387" s="208">
        <f t="shared" si="208"/>
        <v>0</v>
      </c>
      <c r="N387" s="208">
        <f t="shared" si="208"/>
        <v>0</v>
      </c>
      <c r="O387" s="208">
        <f t="shared" si="208"/>
        <v>0</v>
      </c>
      <c r="P387" s="208">
        <f t="shared" si="208"/>
        <v>0</v>
      </c>
      <c r="Q387" s="208">
        <f t="shared" si="208"/>
        <v>0</v>
      </c>
      <c r="R387" s="208">
        <f t="shared" si="208"/>
        <v>0</v>
      </c>
      <c r="S387" s="208">
        <f t="shared" si="208"/>
        <v>0</v>
      </c>
      <c r="T387" s="208">
        <f t="shared" si="208"/>
        <v>0</v>
      </c>
      <c r="U387" s="208">
        <f t="shared" si="208"/>
        <v>0</v>
      </c>
      <c r="V387" s="208">
        <f t="shared" si="208"/>
        <v>0</v>
      </c>
      <c r="W387" s="208">
        <f t="shared" si="208"/>
        <v>0</v>
      </c>
      <c r="X387" s="208">
        <f t="shared" si="208"/>
        <v>0</v>
      </c>
      <c r="Y387" s="208">
        <f t="shared" si="208"/>
        <v>0</v>
      </c>
      <c r="Z387" s="208">
        <f t="shared" si="208"/>
        <v>0</v>
      </c>
      <c r="AA387" s="208">
        <f t="shared" si="208"/>
        <v>0</v>
      </c>
      <c r="AB387" s="208">
        <f t="shared" si="208"/>
        <v>0</v>
      </c>
      <c r="AC387" s="208">
        <f t="shared" si="208"/>
        <v>0</v>
      </c>
      <c r="AD387" s="208">
        <f t="shared" si="208"/>
        <v>0</v>
      </c>
      <c r="AE387" s="208">
        <f t="shared" si="208"/>
        <v>0</v>
      </c>
      <c r="AF387" s="208">
        <f t="shared" si="208"/>
        <v>0</v>
      </c>
      <c r="AG387" s="208">
        <f t="shared" si="208"/>
        <v>0</v>
      </c>
      <c r="AH387" s="208">
        <f t="shared" si="208"/>
        <v>0</v>
      </c>
      <c r="AI387" s="208">
        <f t="shared" si="208"/>
        <v>0</v>
      </c>
      <c r="AJ387" s="208">
        <f t="shared" si="208"/>
        <v>0</v>
      </c>
      <c r="AK387" s="208">
        <f t="shared" si="208"/>
        <v>0</v>
      </c>
      <c r="AL387" s="208">
        <f t="shared" si="208"/>
        <v>0</v>
      </c>
      <c r="AM387" s="208">
        <f t="shared" si="208"/>
        <v>0</v>
      </c>
      <c r="AN387" s="208">
        <f t="shared" si="208"/>
        <v>0</v>
      </c>
      <c r="AO387" s="208">
        <f t="shared" si="208"/>
        <v>0</v>
      </c>
      <c r="AP387" s="208">
        <f t="shared" si="208"/>
        <v>0</v>
      </c>
    </row>
    <row r="388" spans="1:42">
      <c r="A388" s="119">
        <f t="shared" si="203"/>
        <v>8</v>
      </c>
      <c r="B388" s="218">
        <f t="shared" si="200"/>
        <v>0</v>
      </c>
      <c r="C388" s="208">
        <f t="shared" ref="C388:AP388" si="209">LOOKUP(C377,$B$365:$AP$365,$B$366:$AP$366)*$B732</f>
        <v>0</v>
      </c>
      <c r="D388" s="208">
        <f t="shared" si="209"/>
        <v>0</v>
      </c>
      <c r="E388" s="208">
        <f t="shared" si="209"/>
        <v>0</v>
      </c>
      <c r="F388" s="208">
        <f t="shared" si="209"/>
        <v>0</v>
      </c>
      <c r="G388" s="208">
        <f t="shared" si="209"/>
        <v>0</v>
      </c>
      <c r="H388" s="208">
        <f t="shared" si="209"/>
        <v>0</v>
      </c>
      <c r="I388" s="208">
        <f t="shared" si="209"/>
        <v>0</v>
      </c>
      <c r="J388" s="208">
        <f t="shared" si="209"/>
        <v>0</v>
      </c>
      <c r="K388" s="208">
        <f t="shared" si="209"/>
        <v>0</v>
      </c>
      <c r="L388" s="208">
        <f t="shared" si="209"/>
        <v>0</v>
      </c>
      <c r="M388" s="208">
        <f t="shared" si="209"/>
        <v>0</v>
      </c>
      <c r="N388" s="208">
        <f t="shared" si="209"/>
        <v>0</v>
      </c>
      <c r="O388" s="208">
        <f t="shared" si="209"/>
        <v>0</v>
      </c>
      <c r="P388" s="208">
        <f t="shared" si="209"/>
        <v>0</v>
      </c>
      <c r="Q388" s="208">
        <f t="shared" si="209"/>
        <v>0</v>
      </c>
      <c r="R388" s="208">
        <f t="shared" si="209"/>
        <v>0</v>
      </c>
      <c r="S388" s="208">
        <f t="shared" si="209"/>
        <v>0</v>
      </c>
      <c r="T388" s="208">
        <f t="shared" si="209"/>
        <v>0</v>
      </c>
      <c r="U388" s="208">
        <f t="shared" si="209"/>
        <v>0</v>
      </c>
      <c r="V388" s="208">
        <f t="shared" si="209"/>
        <v>0</v>
      </c>
      <c r="W388" s="208">
        <f t="shared" si="209"/>
        <v>0</v>
      </c>
      <c r="X388" s="208">
        <f t="shared" si="209"/>
        <v>0</v>
      </c>
      <c r="Y388" s="208">
        <f t="shared" si="209"/>
        <v>0</v>
      </c>
      <c r="Z388" s="208">
        <f t="shared" si="209"/>
        <v>0</v>
      </c>
      <c r="AA388" s="208">
        <f t="shared" si="209"/>
        <v>0</v>
      </c>
      <c r="AB388" s="208">
        <f t="shared" si="209"/>
        <v>0</v>
      </c>
      <c r="AC388" s="208">
        <f t="shared" si="209"/>
        <v>0</v>
      </c>
      <c r="AD388" s="208">
        <f t="shared" si="209"/>
        <v>0</v>
      </c>
      <c r="AE388" s="208">
        <f t="shared" si="209"/>
        <v>0</v>
      </c>
      <c r="AF388" s="208">
        <f t="shared" si="209"/>
        <v>0</v>
      </c>
      <c r="AG388" s="208">
        <f t="shared" si="209"/>
        <v>0</v>
      </c>
      <c r="AH388" s="208">
        <f t="shared" si="209"/>
        <v>0</v>
      </c>
      <c r="AI388" s="208">
        <f t="shared" si="209"/>
        <v>0</v>
      </c>
      <c r="AJ388" s="208">
        <f t="shared" si="209"/>
        <v>0</v>
      </c>
      <c r="AK388" s="208">
        <f t="shared" si="209"/>
        <v>0</v>
      </c>
      <c r="AL388" s="208">
        <f t="shared" si="209"/>
        <v>0</v>
      </c>
      <c r="AM388" s="208">
        <f t="shared" si="209"/>
        <v>0</v>
      </c>
      <c r="AN388" s="208">
        <f t="shared" si="209"/>
        <v>0</v>
      </c>
      <c r="AO388" s="208">
        <f t="shared" si="209"/>
        <v>0</v>
      </c>
      <c r="AP388" s="208">
        <f t="shared" si="209"/>
        <v>0</v>
      </c>
    </row>
    <row r="389" spans="1:42">
      <c r="A389" s="119">
        <f>A388+1</f>
        <v>9</v>
      </c>
      <c r="B389" s="218">
        <f t="shared" si="200"/>
        <v>0</v>
      </c>
      <c r="C389" s="208">
        <f t="shared" ref="C389:AP389" si="210">LOOKUP(C378,$B$365:$AP$365,$B$366:$AP$366)*$B733</f>
        <v>0</v>
      </c>
      <c r="D389" s="208">
        <f t="shared" si="210"/>
        <v>0</v>
      </c>
      <c r="E389" s="208">
        <f t="shared" si="210"/>
        <v>0</v>
      </c>
      <c r="F389" s="208">
        <f t="shared" si="210"/>
        <v>0</v>
      </c>
      <c r="G389" s="208">
        <f t="shared" si="210"/>
        <v>0</v>
      </c>
      <c r="H389" s="208">
        <f t="shared" si="210"/>
        <v>0</v>
      </c>
      <c r="I389" s="208">
        <f t="shared" si="210"/>
        <v>0</v>
      </c>
      <c r="J389" s="208">
        <f t="shared" si="210"/>
        <v>0</v>
      </c>
      <c r="K389" s="208">
        <f t="shared" si="210"/>
        <v>0</v>
      </c>
      <c r="L389" s="208">
        <f t="shared" si="210"/>
        <v>0</v>
      </c>
      <c r="M389" s="208">
        <f t="shared" si="210"/>
        <v>0</v>
      </c>
      <c r="N389" s="208">
        <f t="shared" si="210"/>
        <v>0</v>
      </c>
      <c r="O389" s="208">
        <f t="shared" si="210"/>
        <v>0</v>
      </c>
      <c r="P389" s="208">
        <f t="shared" si="210"/>
        <v>0</v>
      </c>
      <c r="Q389" s="208">
        <f t="shared" si="210"/>
        <v>0</v>
      </c>
      <c r="R389" s="208">
        <f t="shared" si="210"/>
        <v>0</v>
      </c>
      <c r="S389" s="208">
        <f t="shared" si="210"/>
        <v>0</v>
      </c>
      <c r="T389" s="208">
        <f t="shared" si="210"/>
        <v>0</v>
      </c>
      <c r="U389" s="208">
        <f t="shared" si="210"/>
        <v>0</v>
      </c>
      <c r="V389" s="208">
        <f t="shared" si="210"/>
        <v>0</v>
      </c>
      <c r="W389" s="208">
        <f t="shared" si="210"/>
        <v>0</v>
      </c>
      <c r="X389" s="208">
        <f t="shared" si="210"/>
        <v>0</v>
      </c>
      <c r="Y389" s="208">
        <f t="shared" si="210"/>
        <v>0</v>
      </c>
      <c r="Z389" s="208">
        <f t="shared" si="210"/>
        <v>0</v>
      </c>
      <c r="AA389" s="208">
        <f t="shared" si="210"/>
        <v>0</v>
      </c>
      <c r="AB389" s="208">
        <f t="shared" si="210"/>
        <v>0</v>
      </c>
      <c r="AC389" s="208">
        <f t="shared" si="210"/>
        <v>0</v>
      </c>
      <c r="AD389" s="208">
        <f t="shared" si="210"/>
        <v>0</v>
      </c>
      <c r="AE389" s="208">
        <f t="shared" si="210"/>
        <v>0</v>
      </c>
      <c r="AF389" s="208">
        <f t="shared" si="210"/>
        <v>0</v>
      </c>
      <c r="AG389" s="208">
        <f t="shared" si="210"/>
        <v>0</v>
      </c>
      <c r="AH389" s="208">
        <f t="shared" si="210"/>
        <v>0</v>
      </c>
      <c r="AI389" s="208">
        <f t="shared" si="210"/>
        <v>0</v>
      </c>
      <c r="AJ389" s="208">
        <f t="shared" si="210"/>
        <v>0</v>
      </c>
      <c r="AK389" s="208">
        <f t="shared" si="210"/>
        <v>0</v>
      </c>
      <c r="AL389" s="208">
        <f t="shared" si="210"/>
        <v>0</v>
      </c>
      <c r="AM389" s="208">
        <f t="shared" si="210"/>
        <v>0</v>
      </c>
      <c r="AN389" s="208">
        <f t="shared" si="210"/>
        <v>0</v>
      </c>
      <c r="AO389" s="208">
        <f t="shared" si="210"/>
        <v>0</v>
      </c>
      <c r="AP389" s="208">
        <f t="shared" si="210"/>
        <v>0</v>
      </c>
    </row>
    <row r="390" spans="1:42">
      <c r="A390" s="119">
        <f t="shared" si="203"/>
        <v>10</v>
      </c>
      <c r="B390" s="218">
        <f t="shared" si="200"/>
        <v>0</v>
      </c>
      <c r="C390" s="246">
        <f t="shared" ref="C390:AP390" si="211">LOOKUP(C379,$B$365:$AP$365,$B$366:$AP$366)*$B734</f>
        <v>0</v>
      </c>
      <c r="D390" s="209">
        <f t="shared" si="211"/>
        <v>0</v>
      </c>
      <c r="E390" s="209">
        <f t="shared" si="211"/>
        <v>0</v>
      </c>
      <c r="F390" s="209">
        <f t="shared" si="211"/>
        <v>0</v>
      </c>
      <c r="G390" s="209">
        <f t="shared" si="211"/>
        <v>0</v>
      </c>
      <c r="H390" s="209">
        <f t="shared" si="211"/>
        <v>0</v>
      </c>
      <c r="I390" s="209">
        <f t="shared" si="211"/>
        <v>0</v>
      </c>
      <c r="J390" s="209">
        <f t="shared" si="211"/>
        <v>0</v>
      </c>
      <c r="K390" s="209">
        <f t="shared" si="211"/>
        <v>0</v>
      </c>
      <c r="L390" s="209">
        <f t="shared" si="211"/>
        <v>0</v>
      </c>
      <c r="M390" s="209">
        <f t="shared" si="211"/>
        <v>0</v>
      </c>
      <c r="N390" s="209">
        <f t="shared" si="211"/>
        <v>0</v>
      </c>
      <c r="O390" s="209">
        <f t="shared" si="211"/>
        <v>0</v>
      </c>
      <c r="P390" s="209">
        <f t="shared" si="211"/>
        <v>0</v>
      </c>
      <c r="Q390" s="209">
        <f t="shared" si="211"/>
        <v>0</v>
      </c>
      <c r="R390" s="209">
        <f t="shared" si="211"/>
        <v>0</v>
      </c>
      <c r="S390" s="209">
        <f t="shared" si="211"/>
        <v>0</v>
      </c>
      <c r="T390" s="209">
        <f t="shared" si="211"/>
        <v>0</v>
      </c>
      <c r="U390" s="209">
        <f t="shared" si="211"/>
        <v>0</v>
      </c>
      <c r="V390" s="209">
        <f t="shared" si="211"/>
        <v>0</v>
      </c>
      <c r="W390" s="209">
        <f t="shared" si="211"/>
        <v>0</v>
      </c>
      <c r="X390" s="209">
        <f t="shared" si="211"/>
        <v>0</v>
      </c>
      <c r="Y390" s="209">
        <f t="shared" si="211"/>
        <v>0</v>
      </c>
      <c r="Z390" s="209">
        <f t="shared" si="211"/>
        <v>0</v>
      </c>
      <c r="AA390" s="209">
        <f t="shared" si="211"/>
        <v>0</v>
      </c>
      <c r="AB390" s="209">
        <f t="shared" si="211"/>
        <v>0</v>
      </c>
      <c r="AC390" s="209">
        <f t="shared" si="211"/>
        <v>0</v>
      </c>
      <c r="AD390" s="209">
        <f t="shared" si="211"/>
        <v>0</v>
      </c>
      <c r="AE390" s="209">
        <f t="shared" si="211"/>
        <v>0</v>
      </c>
      <c r="AF390" s="209">
        <f t="shared" si="211"/>
        <v>0</v>
      </c>
      <c r="AG390" s="209">
        <f t="shared" si="211"/>
        <v>0</v>
      </c>
      <c r="AH390" s="209">
        <f t="shared" si="211"/>
        <v>0</v>
      </c>
      <c r="AI390" s="209">
        <f t="shared" si="211"/>
        <v>0</v>
      </c>
      <c r="AJ390" s="209">
        <f t="shared" si="211"/>
        <v>0</v>
      </c>
      <c r="AK390" s="209">
        <f t="shared" si="211"/>
        <v>0</v>
      </c>
      <c r="AL390" s="209">
        <f t="shared" si="211"/>
        <v>0</v>
      </c>
      <c r="AM390" s="209">
        <f t="shared" si="211"/>
        <v>0</v>
      </c>
      <c r="AN390" s="209">
        <f t="shared" si="211"/>
        <v>0</v>
      </c>
      <c r="AO390" s="209">
        <f t="shared" si="211"/>
        <v>0</v>
      </c>
      <c r="AP390" s="209">
        <f t="shared" si="211"/>
        <v>0</v>
      </c>
    </row>
    <row r="391" spans="1:42" s="119" customFormat="1" ht="12" customHeight="1">
      <c r="A391" s="247" t="s">
        <v>53</v>
      </c>
      <c r="B391" s="146"/>
      <c r="C391" s="146">
        <f>SUM(C381:C390)</f>
        <v>0</v>
      </c>
      <c r="D391" s="146">
        <f t="shared" ref="D391:AP391" si="212">SUM(D381:D390)</f>
        <v>0</v>
      </c>
      <c r="E391" s="146">
        <f t="shared" si="212"/>
        <v>0</v>
      </c>
      <c r="F391" s="146">
        <f t="shared" si="212"/>
        <v>0</v>
      </c>
      <c r="G391" s="146">
        <f t="shared" si="212"/>
        <v>0</v>
      </c>
      <c r="H391" s="146">
        <f t="shared" si="212"/>
        <v>0</v>
      </c>
      <c r="I391" s="146">
        <f t="shared" si="212"/>
        <v>0</v>
      </c>
      <c r="J391" s="146">
        <f t="shared" si="212"/>
        <v>0</v>
      </c>
      <c r="K391" s="146">
        <f t="shared" si="212"/>
        <v>0</v>
      </c>
      <c r="L391" s="146">
        <f t="shared" si="212"/>
        <v>0</v>
      </c>
      <c r="M391" s="146">
        <f t="shared" si="212"/>
        <v>0</v>
      </c>
      <c r="N391" s="146">
        <f t="shared" si="212"/>
        <v>588974.46870026283</v>
      </c>
      <c r="O391" s="146">
        <f t="shared" si="212"/>
        <v>942359.14992042049</v>
      </c>
      <c r="P391" s="146">
        <f t="shared" si="212"/>
        <v>565415.48995225236</v>
      </c>
      <c r="Q391" s="146">
        <f t="shared" si="212"/>
        <v>339249.29397135135</v>
      </c>
      <c r="R391" s="146">
        <f t="shared" si="212"/>
        <v>339249.29397135135</v>
      </c>
      <c r="S391" s="146">
        <f t="shared" si="212"/>
        <v>169624.64698567567</v>
      </c>
      <c r="T391" s="146">
        <f t="shared" si="212"/>
        <v>0</v>
      </c>
      <c r="U391" s="146">
        <f t="shared" si="212"/>
        <v>0</v>
      </c>
      <c r="V391" s="146">
        <f t="shared" si="212"/>
        <v>0</v>
      </c>
      <c r="W391" s="146">
        <f t="shared" si="212"/>
        <v>0</v>
      </c>
      <c r="X391" s="146">
        <f t="shared" si="212"/>
        <v>0</v>
      </c>
      <c r="Y391" s="146">
        <f t="shared" si="212"/>
        <v>0</v>
      </c>
      <c r="Z391" s="146">
        <f t="shared" si="212"/>
        <v>704188.57730493625</v>
      </c>
      <c r="AA391" s="146">
        <f t="shared" si="212"/>
        <v>1126701.7236878979</v>
      </c>
      <c r="AB391" s="146">
        <f t="shared" si="212"/>
        <v>676021.03421273874</v>
      </c>
      <c r="AC391" s="146">
        <f t="shared" si="212"/>
        <v>405612.62052764324</v>
      </c>
      <c r="AD391" s="146">
        <f t="shared" si="212"/>
        <v>405612.62052764324</v>
      </c>
      <c r="AE391" s="146">
        <f t="shared" si="212"/>
        <v>202806.31026382162</v>
      </c>
      <c r="AF391" s="146">
        <f t="shared" si="212"/>
        <v>0</v>
      </c>
      <c r="AG391" s="146">
        <f t="shared" si="212"/>
        <v>0</v>
      </c>
      <c r="AH391" s="146">
        <f t="shared" si="212"/>
        <v>0</v>
      </c>
      <c r="AI391" s="146">
        <f t="shared" si="212"/>
        <v>0</v>
      </c>
      <c r="AJ391" s="146">
        <f t="shared" si="212"/>
        <v>0</v>
      </c>
      <c r="AK391" s="146">
        <f t="shared" si="212"/>
        <v>0</v>
      </c>
      <c r="AL391" s="146">
        <f t="shared" si="212"/>
        <v>0</v>
      </c>
      <c r="AM391" s="146">
        <f t="shared" si="212"/>
        <v>0</v>
      </c>
      <c r="AN391" s="146">
        <f t="shared" si="212"/>
        <v>0</v>
      </c>
      <c r="AO391" s="146">
        <f t="shared" si="212"/>
        <v>0</v>
      </c>
      <c r="AP391" s="146">
        <f t="shared" si="212"/>
        <v>0</v>
      </c>
    </row>
    <row r="392" spans="1:42">
      <c r="A392" s="226"/>
      <c r="C392" s="208"/>
      <c r="D392" s="208"/>
      <c r="E392" s="208"/>
      <c r="F392" s="208"/>
      <c r="G392" s="208"/>
      <c r="H392" s="208"/>
      <c r="I392" s="208"/>
      <c r="J392" s="208"/>
      <c r="K392" s="208"/>
      <c r="L392" s="208"/>
      <c r="M392" s="208"/>
      <c r="N392" s="208"/>
      <c r="O392" s="208"/>
      <c r="P392" s="208"/>
      <c r="Q392" s="208"/>
      <c r="R392" s="208"/>
      <c r="S392" s="208"/>
      <c r="T392" s="208"/>
      <c r="U392" s="208"/>
      <c r="V392" s="208"/>
      <c r="W392" s="208"/>
      <c r="X392" s="208"/>
      <c r="Y392" s="208"/>
      <c r="Z392" s="208"/>
      <c r="AA392" s="208"/>
      <c r="AB392" s="208"/>
      <c r="AC392" s="208"/>
      <c r="AD392" s="208"/>
      <c r="AE392" s="208"/>
      <c r="AF392" s="208"/>
      <c r="AG392" s="208"/>
      <c r="AH392" s="208"/>
      <c r="AI392" s="208"/>
      <c r="AJ392" s="208"/>
      <c r="AK392" s="208"/>
      <c r="AL392" s="208"/>
      <c r="AM392" s="208"/>
      <c r="AN392" s="208"/>
      <c r="AO392" s="208"/>
      <c r="AP392" s="208"/>
    </row>
    <row r="393" spans="1:42">
      <c r="A393" s="219" t="s">
        <v>384</v>
      </c>
      <c r="C393" s="208"/>
      <c r="D393" s="208"/>
      <c r="E393" s="208"/>
      <c r="F393" s="208"/>
      <c r="G393" s="208"/>
      <c r="H393" s="208"/>
      <c r="I393" s="208"/>
      <c r="J393" s="208"/>
      <c r="K393" s="208"/>
      <c r="L393" s="208"/>
      <c r="M393" s="208"/>
      <c r="N393" s="208"/>
      <c r="O393" s="208"/>
      <c r="P393" s="208"/>
      <c r="Q393" s="208"/>
      <c r="R393" s="208"/>
      <c r="S393" s="208"/>
      <c r="T393" s="208"/>
      <c r="U393" s="208"/>
      <c r="V393" s="208"/>
      <c r="W393" s="208"/>
      <c r="X393" s="208"/>
      <c r="Y393" s="208"/>
      <c r="Z393" s="208"/>
      <c r="AA393" s="208"/>
      <c r="AB393" s="208"/>
      <c r="AC393" s="208"/>
      <c r="AD393" s="208"/>
      <c r="AE393" s="208"/>
      <c r="AF393" s="208"/>
      <c r="AG393" s="208"/>
      <c r="AH393" s="208"/>
      <c r="AI393" s="208"/>
      <c r="AJ393" s="208"/>
      <c r="AK393" s="208"/>
      <c r="AL393" s="208"/>
      <c r="AM393" s="208"/>
      <c r="AN393" s="208"/>
      <c r="AO393" s="208"/>
      <c r="AP393" s="208"/>
    </row>
    <row r="394" spans="1:42">
      <c r="A394" s="226" t="s">
        <v>217</v>
      </c>
      <c r="C394" s="208"/>
      <c r="D394" s="208"/>
      <c r="E394" s="208"/>
      <c r="F394" s="208"/>
      <c r="G394" s="208"/>
      <c r="H394" s="208"/>
      <c r="I394" s="208"/>
      <c r="J394" s="208"/>
      <c r="K394" s="208"/>
      <c r="L394" s="208"/>
      <c r="M394" s="208"/>
      <c r="N394" s="208"/>
      <c r="O394" s="208"/>
      <c r="P394" s="208"/>
      <c r="Q394" s="208"/>
      <c r="R394" s="208"/>
      <c r="S394" s="208"/>
      <c r="T394" s="208"/>
      <c r="U394" s="208"/>
      <c r="V394" s="208"/>
      <c r="W394" s="208"/>
      <c r="X394" s="208"/>
      <c r="Y394" s="208"/>
      <c r="Z394" s="208"/>
      <c r="AA394" s="208"/>
      <c r="AB394" s="208"/>
      <c r="AC394" s="208"/>
      <c r="AD394" s="208"/>
      <c r="AE394" s="208"/>
      <c r="AF394" s="208"/>
      <c r="AG394" s="208"/>
      <c r="AH394" s="208"/>
      <c r="AI394" s="208"/>
      <c r="AJ394" s="208"/>
      <c r="AK394" s="208"/>
      <c r="AL394" s="208"/>
      <c r="AM394" s="208"/>
      <c r="AN394" s="208"/>
      <c r="AO394" s="208"/>
      <c r="AP394" s="208"/>
    </row>
    <row r="395" spans="1:42">
      <c r="A395" s="119">
        <v>1</v>
      </c>
      <c r="C395" s="208">
        <f>IF(C$2&lt;=AnalysisPeriod,IF(SUM($C757:C757)&gt;0,B395+1,0),0)</f>
        <v>0</v>
      </c>
      <c r="D395" s="208">
        <f>IF(D$2&lt;=AnalysisPeriod,IF(SUM($C757:D757)&gt;0,C395+1,0),0)</f>
        <v>0</v>
      </c>
      <c r="E395" s="208">
        <f>IF(E$2&lt;=AnalysisPeriod,IF(SUM($C757:E757)&gt;0,D395+1,0),0)</f>
        <v>0</v>
      </c>
      <c r="F395" s="208">
        <f>IF(F$2&lt;=AnalysisPeriod,IF(SUM($C757:F757)&gt;0,E395+1,0),0)</f>
        <v>0</v>
      </c>
      <c r="G395" s="208">
        <f>IF(G$2&lt;=AnalysisPeriod,IF(SUM($C757:G757)&gt;0,F395+1,0),0)</f>
        <v>0</v>
      </c>
      <c r="H395" s="208">
        <f>IF(H$2&lt;=AnalysisPeriod,IF(SUM($C757:H757)&gt;0,G395+1,0),0)</f>
        <v>0</v>
      </c>
      <c r="I395" s="208">
        <f>IF(I$2&lt;=AnalysisPeriod,IF(SUM($C757:I757)&gt;0,H395+1,0),0)</f>
        <v>0</v>
      </c>
      <c r="J395" s="208">
        <f>IF(J$2&lt;=AnalysisPeriod,IF(SUM($C757:J757)&gt;0,I395+1,0),0)</f>
        <v>0</v>
      </c>
      <c r="K395" s="208">
        <f>IF(K$2&lt;=AnalysisPeriod,IF(SUM($C757:K757)&gt;0,J395+1,0),0)</f>
        <v>0</v>
      </c>
      <c r="L395" s="208">
        <f>IF(L$2&lt;=AnalysisPeriod,IF(SUM($C757:L757)&gt;0,K395+1,0),0)</f>
        <v>0</v>
      </c>
      <c r="M395" s="208">
        <f>IF(M$2&lt;=AnalysisPeriod,IF(SUM($C757:M757)&gt;0,L395+1,0),0)</f>
        <v>0</v>
      </c>
      <c r="N395" s="208">
        <f>IF(N$2&lt;=AnalysisPeriod,IF(SUM($C757:N757)&gt;0,M395+1,0),0)</f>
        <v>0</v>
      </c>
      <c r="O395" s="208">
        <f>IF(O$2&lt;=AnalysisPeriod,IF(SUM($C757:O757)&gt;0,N395+1,0),0)</f>
        <v>0</v>
      </c>
      <c r="P395" s="208">
        <f>IF(P$2&lt;=AnalysisPeriod,IF(SUM($C757:P757)&gt;0,O395+1,0),0)</f>
        <v>0</v>
      </c>
      <c r="Q395" s="208">
        <f>IF(Q$2&lt;=AnalysisPeriod,IF(SUM($C757:Q757)&gt;0,P395+1,0),0)</f>
        <v>1</v>
      </c>
      <c r="R395" s="208">
        <f>IF(R$2&lt;=AnalysisPeriod,IF(SUM($C757:R757)&gt;0,Q395+1,0),0)</f>
        <v>2</v>
      </c>
      <c r="S395" s="208">
        <f>IF(S$2&lt;=AnalysisPeriod,IF(SUM($C757:S757)&gt;0,R395+1,0),0)</f>
        <v>3</v>
      </c>
      <c r="T395" s="208">
        <f>IF(T$2&lt;=AnalysisPeriod,IF(SUM($C757:T757)&gt;0,S395+1,0),0)</f>
        <v>4</v>
      </c>
      <c r="U395" s="208">
        <f>IF(U$2&lt;=AnalysisPeriod,IF(SUM($C757:U757)&gt;0,T395+1,0),0)</f>
        <v>5</v>
      </c>
      <c r="V395" s="208">
        <f>IF(V$2&lt;=AnalysisPeriod,IF(SUM($C757:V757)&gt;0,U395+1,0),0)</f>
        <v>6</v>
      </c>
      <c r="W395" s="208">
        <f>IF(W$2&lt;=AnalysisPeriod,IF(SUM($C757:W757)&gt;0,V395+1,0),0)</f>
        <v>7</v>
      </c>
      <c r="X395" s="208">
        <f>IF(X$2&lt;=AnalysisPeriod,IF(SUM($C757:X757)&gt;0,W395+1,0),0)</f>
        <v>8</v>
      </c>
      <c r="Y395" s="208">
        <f>IF(Y$2&lt;=AnalysisPeriod,IF(SUM($C757:Y757)&gt;0,X395+1,0),0)</f>
        <v>9</v>
      </c>
      <c r="Z395" s="208">
        <f>IF(Z$2&lt;=AnalysisPeriod,IF(SUM($C757:Z757)&gt;0,Y395+1,0),0)</f>
        <v>10</v>
      </c>
      <c r="AA395" s="208">
        <f>IF(AA$2&lt;=AnalysisPeriod,IF(SUM($C757:AA757)&gt;0,Z395+1,0),0)</f>
        <v>11</v>
      </c>
      <c r="AB395" s="208">
        <f>IF(AB$2&lt;=AnalysisPeriod,IF(SUM($C757:AB757)&gt;0,AA395+1,0),0)</f>
        <v>12</v>
      </c>
      <c r="AC395" s="208">
        <f>IF(AC$2&lt;=AnalysisPeriod,IF(SUM($C757:AC757)&gt;0,AB395+1,0),0)</f>
        <v>13</v>
      </c>
      <c r="AD395" s="208">
        <f>IF(AD$2&lt;=AnalysisPeriod,IF(SUM($C757:AD757)&gt;0,AC395+1,0),0)</f>
        <v>14</v>
      </c>
      <c r="AE395" s="208">
        <f>IF(AE$2&lt;=AnalysisPeriod,IF(SUM($C757:AE757)&gt;0,AD395+1,0),0)</f>
        <v>15</v>
      </c>
      <c r="AF395" s="208">
        <f>IF(AF$2&lt;=AnalysisPeriod,IF(SUM($C757:AF757)&gt;0,AE395+1,0),0)</f>
        <v>16</v>
      </c>
      <c r="AG395" s="208">
        <f>IF(AG$2&lt;=AnalysisPeriod,IF(SUM($C757:AG757)&gt;0,AF395+1,0),0)</f>
        <v>0</v>
      </c>
      <c r="AH395" s="208">
        <f>IF(AH$2&lt;=AnalysisPeriod,IF(SUM($C757:AH757)&gt;0,AG395+1,0),0)</f>
        <v>0</v>
      </c>
      <c r="AI395" s="208">
        <f>IF(AI$2&lt;=AnalysisPeriod,IF(SUM($C757:AI757)&gt;0,AH395+1,0),0)</f>
        <v>0</v>
      </c>
      <c r="AJ395" s="208">
        <f>IF(AJ$2&lt;=AnalysisPeriod,IF(SUM($C757:AJ757)&gt;0,AI395+1,0),0)</f>
        <v>0</v>
      </c>
      <c r="AK395" s="208">
        <f>IF(AK$2&lt;=AnalysisPeriod,IF(SUM($C757:AK757)&gt;0,AJ395+1,0),0)</f>
        <v>0</v>
      </c>
      <c r="AL395" s="208">
        <f>IF(AL$2&lt;=AnalysisPeriod,IF(SUM($C757:AL757)&gt;0,AK395+1,0),0)</f>
        <v>0</v>
      </c>
      <c r="AM395" s="208">
        <f>IF(AM$2&lt;=AnalysisPeriod,IF(SUM($C757:AM757)&gt;0,AL395+1,0),0)</f>
        <v>0</v>
      </c>
      <c r="AN395" s="208">
        <f>IF(AN$2&lt;=AnalysisPeriod,IF(SUM($C757:AN757)&gt;0,AM395+1,0),0)</f>
        <v>0</v>
      </c>
      <c r="AO395" s="208">
        <f>IF(AO$2&lt;=AnalysisPeriod,IF(SUM($C757:AO757)&gt;0,AN395+1,0),0)</f>
        <v>0</v>
      </c>
      <c r="AP395" s="208">
        <f>IF(AP$2&lt;=AnalysisPeriod,IF(SUM($C757:AP757)&gt;0,AO395+1,0),0)</f>
        <v>0</v>
      </c>
    </row>
    <row r="396" spans="1:42">
      <c r="A396" s="119">
        <f>A395+1</f>
        <v>2</v>
      </c>
      <c r="C396" s="208">
        <f>IF(C$2&lt;=AnalysisPeriod,IF(SUM($C758:C758)&gt;0,B396+1,0),0)</f>
        <v>0</v>
      </c>
      <c r="D396" s="208">
        <f>IF(D$2&lt;=AnalysisPeriod,IF(SUM($C758:D758)&gt;0,C396+1,0),0)</f>
        <v>0</v>
      </c>
      <c r="E396" s="208">
        <f>IF(E$2&lt;=AnalysisPeriod,IF(SUM($C758:E758)&gt;0,D396+1,0),0)</f>
        <v>0</v>
      </c>
      <c r="F396" s="208">
        <f>IF(F$2&lt;=AnalysisPeriod,IF(SUM($C758:F758)&gt;0,E396+1,0),0)</f>
        <v>0</v>
      </c>
      <c r="G396" s="208">
        <f>IF(G$2&lt;=AnalysisPeriod,IF(SUM($C758:G758)&gt;0,F396+1,0),0)</f>
        <v>0</v>
      </c>
      <c r="H396" s="208">
        <f>IF(H$2&lt;=AnalysisPeriod,IF(SUM($C758:H758)&gt;0,G396+1,0),0)</f>
        <v>0</v>
      </c>
      <c r="I396" s="208">
        <f>IF(I$2&lt;=AnalysisPeriod,IF(SUM($C758:I758)&gt;0,H396+1,0),0)</f>
        <v>0</v>
      </c>
      <c r="J396" s="208">
        <f>IF(J$2&lt;=AnalysisPeriod,IF(SUM($C758:J758)&gt;0,I396+1,0),0)</f>
        <v>0</v>
      </c>
      <c r="K396" s="208">
        <f>IF(K$2&lt;=AnalysisPeriod,IF(SUM($C758:K758)&gt;0,J396+1,0),0)</f>
        <v>0</v>
      </c>
      <c r="L396" s="208">
        <f>IF(L$2&lt;=AnalysisPeriod,IF(SUM($C758:L758)&gt;0,K396+1,0),0)</f>
        <v>0</v>
      </c>
      <c r="M396" s="208">
        <f>IF(M$2&lt;=AnalysisPeriod,IF(SUM($C758:M758)&gt;0,L396+1,0),0)</f>
        <v>0</v>
      </c>
      <c r="N396" s="208">
        <f>IF(N$2&lt;=AnalysisPeriod,IF(SUM($C758:N758)&gt;0,M396+1,0),0)</f>
        <v>0</v>
      </c>
      <c r="O396" s="208">
        <f>IF(O$2&lt;=AnalysisPeriod,IF(SUM($C758:O758)&gt;0,N396+1,0),0)</f>
        <v>0</v>
      </c>
      <c r="P396" s="208">
        <f>IF(P$2&lt;=AnalysisPeriod,IF(SUM($C758:P758)&gt;0,O396+1,0),0)</f>
        <v>0</v>
      </c>
      <c r="Q396" s="208">
        <f>IF(Q$2&lt;=AnalysisPeriod,IF(SUM($C758:Q758)&gt;0,P396+1,0),0)</f>
        <v>0</v>
      </c>
      <c r="R396" s="208">
        <f>IF(R$2&lt;=AnalysisPeriod,IF(SUM($C758:R758)&gt;0,Q396+1,0),0)</f>
        <v>0</v>
      </c>
      <c r="S396" s="208">
        <f>IF(S$2&lt;=AnalysisPeriod,IF(SUM($C758:S758)&gt;0,R396+1,0),0)</f>
        <v>0</v>
      </c>
      <c r="T396" s="208">
        <f>IF(T$2&lt;=AnalysisPeriod,IF(SUM($C758:T758)&gt;0,S396+1,0),0)</f>
        <v>0</v>
      </c>
      <c r="U396" s="208">
        <f>IF(U$2&lt;=AnalysisPeriod,IF(SUM($C758:U758)&gt;0,T396+1,0),0)</f>
        <v>0</v>
      </c>
      <c r="V396" s="208">
        <f>IF(V$2&lt;=AnalysisPeriod,IF(SUM($C758:V758)&gt;0,U396+1,0),0)</f>
        <v>0</v>
      </c>
      <c r="W396" s="208">
        <f>IF(W$2&lt;=AnalysisPeriod,IF(SUM($C758:W758)&gt;0,V396+1,0),0)</f>
        <v>0</v>
      </c>
      <c r="X396" s="208">
        <f>IF(X$2&lt;=AnalysisPeriod,IF(SUM($C758:X758)&gt;0,W396+1,0),0)</f>
        <v>0</v>
      </c>
      <c r="Y396" s="208">
        <f>IF(Y$2&lt;=AnalysisPeriod,IF(SUM($C758:Y758)&gt;0,X396+1,0),0)</f>
        <v>0</v>
      </c>
      <c r="Z396" s="208">
        <f>IF(Z$2&lt;=AnalysisPeriod,IF(SUM($C758:Z758)&gt;0,Y396+1,0),0)</f>
        <v>0</v>
      </c>
      <c r="AA396" s="208">
        <f>IF(AA$2&lt;=AnalysisPeriod,IF(SUM($C758:AA758)&gt;0,Z396+1,0),0)</f>
        <v>0</v>
      </c>
      <c r="AB396" s="208">
        <f>IF(AB$2&lt;=AnalysisPeriod,IF(SUM($C758:AB758)&gt;0,AA396+1,0),0)</f>
        <v>0</v>
      </c>
      <c r="AC396" s="208">
        <f>IF(AC$2&lt;=AnalysisPeriod,IF(SUM($C758:AC758)&gt;0,AB396+1,0),0)</f>
        <v>0</v>
      </c>
      <c r="AD396" s="208">
        <f>IF(AD$2&lt;=AnalysisPeriod,IF(SUM($C758:AD758)&gt;0,AC396+1,0),0)</f>
        <v>0</v>
      </c>
      <c r="AE396" s="208">
        <f>IF(AE$2&lt;=AnalysisPeriod,IF(SUM($C758:AE758)&gt;0,AD396+1,0),0)</f>
        <v>0</v>
      </c>
      <c r="AF396" s="208">
        <f>IF(AF$2&lt;=AnalysisPeriod,IF(SUM($C758:AF758)&gt;0,AE396+1,0),0)</f>
        <v>1</v>
      </c>
      <c r="AG396" s="208">
        <f>IF(AG$2&lt;=AnalysisPeriod,IF(SUM($C758:AG758)&gt;0,AF396+1,0),0)</f>
        <v>0</v>
      </c>
      <c r="AH396" s="208">
        <f>IF(AH$2&lt;=AnalysisPeriod,IF(SUM($C758:AH758)&gt;0,AG396+1,0),0)</f>
        <v>0</v>
      </c>
      <c r="AI396" s="208">
        <f>IF(AI$2&lt;=AnalysisPeriod,IF(SUM($C758:AI758)&gt;0,AH396+1,0),0)</f>
        <v>0</v>
      </c>
      <c r="AJ396" s="208">
        <f>IF(AJ$2&lt;=AnalysisPeriod,IF(SUM($C758:AJ758)&gt;0,AI396+1,0),0)</f>
        <v>0</v>
      </c>
      <c r="AK396" s="208">
        <f>IF(AK$2&lt;=AnalysisPeriod,IF(SUM($C758:AK758)&gt;0,AJ396+1,0),0)</f>
        <v>0</v>
      </c>
      <c r="AL396" s="208">
        <f>IF(AL$2&lt;=AnalysisPeriod,IF(SUM($C758:AL758)&gt;0,AK396+1,0),0)</f>
        <v>0</v>
      </c>
      <c r="AM396" s="208">
        <f>IF(AM$2&lt;=AnalysisPeriod,IF(SUM($C758:AM758)&gt;0,AL396+1,0),0)</f>
        <v>0</v>
      </c>
      <c r="AN396" s="208">
        <f>IF(AN$2&lt;=AnalysisPeriod,IF(SUM($C758:AN758)&gt;0,AM396+1,0),0)</f>
        <v>0</v>
      </c>
      <c r="AO396" s="208">
        <f>IF(AO$2&lt;=AnalysisPeriod,IF(SUM($C758:AO758)&gt;0,AN396+1,0),0)</f>
        <v>0</v>
      </c>
      <c r="AP396" s="208">
        <f>IF(AP$2&lt;=AnalysisPeriod,IF(SUM($C758:AP758)&gt;0,AO396+1,0),0)</f>
        <v>0</v>
      </c>
    </row>
    <row r="397" spans="1:42">
      <c r="A397" s="119">
        <f t="shared" ref="A397:A404" si="213">A396+1</f>
        <v>3</v>
      </c>
      <c r="C397" s="208">
        <f>IF(C$2&lt;=AnalysisPeriod,IF(SUM($C759:C759)&gt;0,B397+1,0),0)</f>
        <v>0</v>
      </c>
      <c r="D397" s="208">
        <f>IF(D$2&lt;=AnalysisPeriod,IF(SUM($C759:D759)&gt;0,C397+1,0),0)</f>
        <v>0</v>
      </c>
      <c r="E397" s="208">
        <f>IF(E$2&lt;=AnalysisPeriod,IF(SUM($C759:E759)&gt;0,D397+1,0),0)</f>
        <v>0</v>
      </c>
      <c r="F397" s="208">
        <f>IF(F$2&lt;=AnalysisPeriod,IF(SUM($C759:F759)&gt;0,E397+1,0),0)</f>
        <v>0</v>
      </c>
      <c r="G397" s="208">
        <f>IF(G$2&lt;=AnalysisPeriod,IF(SUM($C759:G759)&gt;0,F397+1,0),0)</f>
        <v>0</v>
      </c>
      <c r="H397" s="208">
        <f>IF(H$2&lt;=AnalysisPeriod,IF(SUM($C759:H759)&gt;0,G397+1,0),0)</f>
        <v>0</v>
      </c>
      <c r="I397" s="208">
        <f>IF(I$2&lt;=AnalysisPeriod,IF(SUM($C759:I759)&gt;0,H397+1,0),0)</f>
        <v>0</v>
      </c>
      <c r="J397" s="208">
        <f>IF(J$2&lt;=AnalysisPeriod,IF(SUM($C759:J759)&gt;0,I397+1,0),0)</f>
        <v>0</v>
      </c>
      <c r="K397" s="208">
        <f>IF(K$2&lt;=AnalysisPeriod,IF(SUM($C759:K759)&gt;0,J397+1,0),0)</f>
        <v>0</v>
      </c>
      <c r="L397" s="208">
        <f>IF(L$2&lt;=AnalysisPeriod,IF(SUM($C759:L759)&gt;0,K397+1,0),0)</f>
        <v>0</v>
      </c>
      <c r="M397" s="208">
        <f>IF(M$2&lt;=AnalysisPeriod,IF(SUM($C759:M759)&gt;0,L397+1,0),0)</f>
        <v>0</v>
      </c>
      <c r="N397" s="208">
        <f>IF(N$2&lt;=AnalysisPeriod,IF(SUM($C759:N759)&gt;0,M397+1,0),0)</f>
        <v>0</v>
      </c>
      <c r="O397" s="208">
        <f>IF(O$2&lt;=AnalysisPeriod,IF(SUM($C759:O759)&gt;0,N397+1,0),0)</f>
        <v>0</v>
      </c>
      <c r="P397" s="208">
        <f>IF(P$2&lt;=AnalysisPeriod,IF(SUM($C759:P759)&gt;0,O397+1,0),0)</f>
        <v>0</v>
      </c>
      <c r="Q397" s="208">
        <f>IF(Q$2&lt;=AnalysisPeriod,IF(SUM($C759:Q759)&gt;0,P397+1,0),0)</f>
        <v>0</v>
      </c>
      <c r="R397" s="208">
        <f>IF(R$2&lt;=AnalysisPeriod,IF(SUM($C759:R759)&gt;0,Q397+1,0),0)</f>
        <v>0</v>
      </c>
      <c r="S397" s="208">
        <f>IF(S$2&lt;=AnalysisPeriod,IF(SUM($C759:S759)&gt;0,R397+1,0),0)</f>
        <v>0</v>
      </c>
      <c r="T397" s="208">
        <f>IF(T$2&lt;=AnalysisPeriod,IF(SUM($C759:T759)&gt;0,S397+1,0),0)</f>
        <v>0</v>
      </c>
      <c r="U397" s="208">
        <f>IF(U$2&lt;=AnalysisPeriod,IF(SUM($C759:U759)&gt;0,T397+1,0),0)</f>
        <v>0</v>
      </c>
      <c r="V397" s="208">
        <f>IF(V$2&lt;=AnalysisPeriod,IF(SUM($C759:V759)&gt;0,U397+1,0),0)</f>
        <v>0</v>
      </c>
      <c r="W397" s="208">
        <f>IF(W$2&lt;=AnalysisPeriod,IF(SUM($C759:W759)&gt;0,V397+1,0),0)</f>
        <v>0</v>
      </c>
      <c r="X397" s="208">
        <f>IF(X$2&lt;=AnalysisPeriod,IF(SUM($C759:X759)&gt;0,W397+1,0),0)</f>
        <v>0</v>
      </c>
      <c r="Y397" s="208">
        <f>IF(Y$2&lt;=AnalysisPeriod,IF(SUM($C759:Y759)&gt;0,X397+1,0),0)</f>
        <v>0</v>
      </c>
      <c r="Z397" s="208">
        <f>IF(Z$2&lt;=AnalysisPeriod,IF(SUM($C759:Z759)&gt;0,Y397+1,0),0)</f>
        <v>0</v>
      </c>
      <c r="AA397" s="208">
        <f>IF(AA$2&lt;=AnalysisPeriod,IF(SUM($C759:AA759)&gt;0,Z397+1,0),0)</f>
        <v>0</v>
      </c>
      <c r="AB397" s="208">
        <f>IF(AB$2&lt;=AnalysisPeriod,IF(SUM($C759:AB759)&gt;0,AA397+1,0),0)</f>
        <v>0</v>
      </c>
      <c r="AC397" s="208">
        <f>IF(AC$2&lt;=AnalysisPeriod,IF(SUM($C759:AC759)&gt;0,AB397+1,0),0)</f>
        <v>0</v>
      </c>
      <c r="AD397" s="208">
        <f>IF(AD$2&lt;=AnalysisPeriod,IF(SUM($C759:AD759)&gt;0,AC397+1,0),0)</f>
        <v>0</v>
      </c>
      <c r="AE397" s="208">
        <f>IF(AE$2&lt;=AnalysisPeriod,IF(SUM($C759:AE759)&gt;0,AD397+1,0),0)</f>
        <v>0</v>
      </c>
      <c r="AF397" s="208">
        <f>IF(AF$2&lt;=AnalysisPeriod,IF(SUM($C759:AF759)&gt;0,AE397+1,0),0)</f>
        <v>0</v>
      </c>
      <c r="AG397" s="208">
        <f>IF(AG$2&lt;=AnalysisPeriod,IF(SUM($C759:AG759)&gt;0,AF397+1,0),0)</f>
        <v>0</v>
      </c>
      <c r="AH397" s="208">
        <f>IF(AH$2&lt;=AnalysisPeriod,IF(SUM($C759:AH759)&gt;0,AG397+1,0),0)</f>
        <v>0</v>
      </c>
      <c r="AI397" s="208">
        <f>IF(AI$2&lt;=AnalysisPeriod,IF(SUM($C759:AI759)&gt;0,AH397+1,0),0)</f>
        <v>0</v>
      </c>
      <c r="AJ397" s="208">
        <f>IF(AJ$2&lt;=AnalysisPeriod,IF(SUM($C759:AJ759)&gt;0,AI397+1,0),0)</f>
        <v>0</v>
      </c>
      <c r="AK397" s="208">
        <f>IF(AK$2&lt;=AnalysisPeriod,IF(SUM($C759:AK759)&gt;0,AJ397+1,0),0)</f>
        <v>0</v>
      </c>
      <c r="AL397" s="208">
        <f>IF(AL$2&lt;=AnalysisPeriod,IF(SUM($C759:AL759)&gt;0,AK397+1,0),0)</f>
        <v>0</v>
      </c>
      <c r="AM397" s="208">
        <f>IF(AM$2&lt;=AnalysisPeriod,IF(SUM($C759:AM759)&gt;0,AL397+1,0),0)</f>
        <v>0</v>
      </c>
      <c r="AN397" s="208">
        <f>IF(AN$2&lt;=AnalysisPeriod,IF(SUM($C759:AN759)&gt;0,AM397+1,0),0)</f>
        <v>0</v>
      </c>
      <c r="AO397" s="208">
        <f>IF(AO$2&lt;=AnalysisPeriod,IF(SUM($C759:AO759)&gt;0,AN397+1,0),0)</f>
        <v>0</v>
      </c>
      <c r="AP397" s="208">
        <f>IF(AP$2&lt;=AnalysisPeriod,IF(SUM($C759:AP759)&gt;0,AO397+1,0),0)</f>
        <v>0</v>
      </c>
    </row>
    <row r="398" spans="1:42">
      <c r="A398" s="119">
        <f t="shared" si="213"/>
        <v>4</v>
      </c>
      <c r="C398" s="208">
        <f>IF(C$2&lt;=AnalysisPeriod,IF(SUM($C760:C760)&gt;0,B398+1,0),0)</f>
        <v>0</v>
      </c>
      <c r="D398" s="208">
        <f>IF(D$2&lt;=AnalysisPeriod,IF(SUM($C760:D760)&gt;0,C398+1,0),0)</f>
        <v>0</v>
      </c>
      <c r="E398" s="208">
        <f>IF(E$2&lt;=AnalysisPeriod,IF(SUM($C760:E760)&gt;0,D398+1,0),0)</f>
        <v>0</v>
      </c>
      <c r="F398" s="208">
        <f>IF(F$2&lt;=AnalysisPeriod,IF(SUM($C760:F760)&gt;0,E398+1,0),0)</f>
        <v>0</v>
      </c>
      <c r="G398" s="208">
        <f>IF(G$2&lt;=AnalysisPeriod,IF(SUM($C760:G760)&gt;0,F398+1,0),0)</f>
        <v>0</v>
      </c>
      <c r="H398" s="208">
        <f>IF(H$2&lt;=AnalysisPeriod,IF(SUM($C760:H760)&gt;0,G398+1,0),0)</f>
        <v>0</v>
      </c>
      <c r="I398" s="208">
        <f>IF(I$2&lt;=AnalysisPeriod,IF(SUM($C760:I760)&gt;0,H398+1,0),0)</f>
        <v>0</v>
      </c>
      <c r="J398" s="208">
        <f>IF(J$2&lt;=AnalysisPeriod,IF(SUM($C760:J760)&gt;0,I398+1,0),0)</f>
        <v>0</v>
      </c>
      <c r="K398" s="208">
        <f>IF(K$2&lt;=AnalysisPeriod,IF(SUM($C760:K760)&gt;0,J398+1,0),0)</f>
        <v>0</v>
      </c>
      <c r="L398" s="208">
        <f>IF(L$2&lt;=AnalysisPeriod,IF(SUM($C760:L760)&gt;0,K398+1,0),0)</f>
        <v>0</v>
      </c>
      <c r="M398" s="208">
        <f>IF(M$2&lt;=AnalysisPeriod,IF(SUM($C760:M760)&gt;0,L398+1,0),0)</f>
        <v>0</v>
      </c>
      <c r="N398" s="208">
        <f>IF(N$2&lt;=AnalysisPeriod,IF(SUM($C760:N760)&gt;0,M398+1,0),0)</f>
        <v>0</v>
      </c>
      <c r="O398" s="208">
        <f>IF(O$2&lt;=AnalysisPeriod,IF(SUM($C760:O760)&gt;0,N398+1,0),0)</f>
        <v>0</v>
      </c>
      <c r="P398" s="208">
        <f>IF(P$2&lt;=AnalysisPeriod,IF(SUM($C760:P760)&gt;0,O398+1,0),0)</f>
        <v>0</v>
      </c>
      <c r="Q398" s="208">
        <f>IF(Q$2&lt;=AnalysisPeriod,IF(SUM($C760:Q760)&gt;0,P398+1,0),0)</f>
        <v>0</v>
      </c>
      <c r="R398" s="208">
        <f>IF(R$2&lt;=AnalysisPeriod,IF(SUM($C760:R760)&gt;0,Q398+1,0),0)</f>
        <v>0</v>
      </c>
      <c r="S398" s="208">
        <f>IF(S$2&lt;=AnalysisPeriod,IF(SUM($C760:S760)&gt;0,R398+1,0),0)</f>
        <v>0</v>
      </c>
      <c r="T398" s="208">
        <f>IF(T$2&lt;=AnalysisPeriod,IF(SUM($C760:T760)&gt;0,S398+1,0),0)</f>
        <v>0</v>
      </c>
      <c r="U398" s="208">
        <f>IF(U$2&lt;=AnalysisPeriod,IF(SUM($C760:U760)&gt;0,T398+1,0),0)</f>
        <v>0</v>
      </c>
      <c r="V398" s="208">
        <f>IF(V$2&lt;=AnalysisPeriod,IF(SUM($C760:V760)&gt;0,U398+1,0),0)</f>
        <v>0</v>
      </c>
      <c r="W398" s="208">
        <f>IF(W$2&lt;=AnalysisPeriod,IF(SUM($C760:W760)&gt;0,V398+1,0),0)</f>
        <v>0</v>
      </c>
      <c r="X398" s="208">
        <f>IF(X$2&lt;=AnalysisPeriod,IF(SUM($C760:X760)&gt;0,W398+1,0),0)</f>
        <v>0</v>
      </c>
      <c r="Y398" s="208">
        <f>IF(Y$2&lt;=AnalysisPeriod,IF(SUM($C760:Y760)&gt;0,X398+1,0),0)</f>
        <v>0</v>
      </c>
      <c r="Z398" s="208">
        <f>IF(Z$2&lt;=AnalysisPeriod,IF(SUM($C760:Z760)&gt;0,Y398+1,0),0)</f>
        <v>0</v>
      </c>
      <c r="AA398" s="208">
        <f>IF(AA$2&lt;=AnalysisPeriod,IF(SUM($C760:AA760)&gt;0,Z398+1,0),0)</f>
        <v>0</v>
      </c>
      <c r="AB398" s="208">
        <f>IF(AB$2&lt;=AnalysisPeriod,IF(SUM($C760:AB760)&gt;0,AA398+1,0),0)</f>
        <v>0</v>
      </c>
      <c r="AC398" s="208">
        <f>IF(AC$2&lt;=AnalysisPeriod,IF(SUM($C760:AC760)&gt;0,AB398+1,0),0)</f>
        <v>0</v>
      </c>
      <c r="AD398" s="208">
        <f>IF(AD$2&lt;=AnalysisPeriod,IF(SUM($C760:AD760)&gt;0,AC398+1,0),0)</f>
        <v>0</v>
      </c>
      <c r="AE398" s="208">
        <f>IF(AE$2&lt;=AnalysisPeriod,IF(SUM($C760:AE760)&gt;0,AD398+1,0),0)</f>
        <v>0</v>
      </c>
      <c r="AF398" s="208">
        <f>IF(AF$2&lt;=AnalysisPeriod,IF(SUM($C760:AF760)&gt;0,AE398+1,0),0)</f>
        <v>0</v>
      </c>
      <c r="AG398" s="208">
        <f>IF(AG$2&lt;=AnalysisPeriod,IF(SUM($C760:AG760)&gt;0,AF398+1,0),0)</f>
        <v>0</v>
      </c>
      <c r="AH398" s="208">
        <f>IF(AH$2&lt;=AnalysisPeriod,IF(SUM($C760:AH760)&gt;0,AG398+1,0),0)</f>
        <v>0</v>
      </c>
      <c r="AI398" s="208">
        <f>IF(AI$2&lt;=AnalysisPeriod,IF(SUM($C760:AI760)&gt;0,AH398+1,0),0)</f>
        <v>0</v>
      </c>
      <c r="AJ398" s="208">
        <f>IF(AJ$2&lt;=AnalysisPeriod,IF(SUM($C760:AJ760)&gt;0,AI398+1,0),0)</f>
        <v>0</v>
      </c>
      <c r="AK398" s="208">
        <f>IF(AK$2&lt;=AnalysisPeriod,IF(SUM($C760:AK760)&gt;0,AJ398+1,0),0)</f>
        <v>0</v>
      </c>
      <c r="AL398" s="208">
        <f>IF(AL$2&lt;=AnalysisPeriod,IF(SUM($C760:AL760)&gt;0,AK398+1,0),0)</f>
        <v>0</v>
      </c>
      <c r="AM398" s="208">
        <f>IF(AM$2&lt;=AnalysisPeriod,IF(SUM($C760:AM760)&gt;0,AL398+1,0),0)</f>
        <v>0</v>
      </c>
      <c r="AN398" s="208">
        <f>IF(AN$2&lt;=AnalysisPeriod,IF(SUM($C760:AN760)&gt;0,AM398+1,0),0)</f>
        <v>0</v>
      </c>
      <c r="AO398" s="208">
        <f>IF(AO$2&lt;=AnalysisPeriod,IF(SUM($C760:AO760)&gt;0,AN398+1,0),0)</f>
        <v>0</v>
      </c>
      <c r="AP398" s="208">
        <f>IF(AP$2&lt;=AnalysisPeriod,IF(SUM($C760:AP760)&gt;0,AO398+1,0),0)</f>
        <v>0</v>
      </c>
    </row>
    <row r="399" spans="1:42">
      <c r="A399" s="119">
        <f t="shared" si="213"/>
        <v>5</v>
      </c>
      <c r="C399" s="208">
        <f>IF(C$2&lt;=AnalysisPeriod,IF(SUM($C761:C761)&gt;0,B399+1,0),0)</f>
        <v>0</v>
      </c>
      <c r="D399" s="208">
        <f>IF(D$2&lt;=AnalysisPeriod,IF(SUM($C761:D761)&gt;0,C399+1,0),0)</f>
        <v>0</v>
      </c>
      <c r="E399" s="208">
        <f>IF(E$2&lt;=AnalysisPeriod,IF(SUM($C761:E761)&gt;0,D399+1,0),0)</f>
        <v>0</v>
      </c>
      <c r="F399" s="208">
        <f>IF(F$2&lt;=AnalysisPeriod,IF(SUM($C761:F761)&gt;0,E399+1,0),0)</f>
        <v>0</v>
      </c>
      <c r="G399" s="208">
        <f>IF(G$2&lt;=AnalysisPeriod,IF(SUM($C761:G761)&gt;0,F399+1,0),0)</f>
        <v>0</v>
      </c>
      <c r="H399" s="208">
        <f>IF(H$2&lt;=AnalysisPeriod,IF(SUM($C761:H761)&gt;0,G399+1,0),0)</f>
        <v>0</v>
      </c>
      <c r="I399" s="208">
        <f>IF(I$2&lt;=AnalysisPeriod,IF(SUM($C761:I761)&gt;0,H399+1,0),0)</f>
        <v>0</v>
      </c>
      <c r="J399" s="208">
        <f>IF(J$2&lt;=AnalysisPeriod,IF(SUM($C761:J761)&gt;0,I399+1,0),0)</f>
        <v>0</v>
      </c>
      <c r="K399" s="208">
        <f>IF(K$2&lt;=AnalysisPeriod,IF(SUM($C761:K761)&gt;0,J399+1,0),0)</f>
        <v>0</v>
      </c>
      <c r="L399" s="208">
        <f>IF(L$2&lt;=AnalysisPeriod,IF(SUM($C761:L761)&gt;0,K399+1,0),0)</f>
        <v>0</v>
      </c>
      <c r="M399" s="208">
        <f>IF(M$2&lt;=AnalysisPeriod,IF(SUM($C761:M761)&gt;0,L399+1,0),0)</f>
        <v>0</v>
      </c>
      <c r="N399" s="208">
        <f>IF(N$2&lt;=AnalysisPeriod,IF(SUM($C761:N761)&gt;0,M399+1,0),0)</f>
        <v>0</v>
      </c>
      <c r="O399" s="208">
        <f>IF(O$2&lt;=AnalysisPeriod,IF(SUM($C761:O761)&gt;0,N399+1,0),0)</f>
        <v>0</v>
      </c>
      <c r="P399" s="208">
        <f>IF(P$2&lt;=AnalysisPeriod,IF(SUM($C761:P761)&gt;0,O399+1,0),0)</f>
        <v>0</v>
      </c>
      <c r="Q399" s="208">
        <f>IF(Q$2&lt;=AnalysisPeriod,IF(SUM($C761:Q761)&gt;0,P399+1,0),0)</f>
        <v>0</v>
      </c>
      <c r="R399" s="208">
        <f>IF(R$2&lt;=AnalysisPeriod,IF(SUM($C761:R761)&gt;0,Q399+1,0),0)</f>
        <v>0</v>
      </c>
      <c r="S399" s="208">
        <f>IF(S$2&lt;=AnalysisPeriod,IF(SUM($C761:S761)&gt;0,R399+1,0),0)</f>
        <v>0</v>
      </c>
      <c r="T399" s="208">
        <f>IF(T$2&lt;=AnalysisPeriod,IF(SUM($C761:T761)&gt;0,S399+1,0),0)</f>
        <v>0</v>
      </c>
      <c r="U399" s="208">
        <f>IF(U$2&lt;=AnalysisPeriod,IF(SUM($C761:U761)&gt;0,T399+1,0),0)</f>
        <v>0</v>
      </c>
      <c r="V399" s="208">
        <f>IF(V$2&lt;=AnalysisPeriod,IF(SUM($C761:V761)&gt;0,U399+1,0),0)</f>
        <v>0</v>
      </c>
      <c r="W399" s="208">
        <f>IF(W$2&lt;=AnalysisPeriod,IF(SUM($C761:W761)&gt;0,V399+1,0),0)</f>
        <v>0</v>
      </c>
      <c r="X399" s="208">
        <f>IF(X$2&lt;=AnalysisPeriod,IF(SUM($C761:X761)&gt;0,W399+1,0),0)</f>
        <v>0</v>
      </c>
      <c r="Y399" s="208">
        <f>IF(Y$2&lt;=AnalysisPeriod,IF(SUM($C761:Y761)&gt;0,X399+1,0),0)</f>
        <v>0</v>
      </c>
      <c r="Z399" s="208">
        <f>IF(Z$2&lt;=AnalysisPeriod,IF(SUM($C761:Z761)&gt;0,Y399+1,0),0)</f>
        <v>0</v>
      </c>
      <c r="AA399" s="208">
        <f>IF(AA$2&lt;=AnalysisPeriod,IF(SUM($C761:AA761)&gt;0,Z399+1,0),0)</f>
        <v>0</v>
      </c>
      <c r="AB399" s="208">
        <f>IF(AB$2&lt;=AnalysisPeriod,IF(SUM($C761:AB761)&gt;0,AA399+1,0),0)</f>
        <v>0</v>
      </c>
      <c r="AC399" s="208">
        <f>IF(AC$2&lt;=AnalysisPeriod,IF(SUM($C761:AC761)&gt;0,AB399+1,0),0)</f>
        <v>0</v>
      </c>
      <c r="AD399" s="208">
        <f>IF(AD$2&lt;=AnalysisPeriod,IF(SUM($C761:AD761)&gt;0,AC399+1,0),0)</f>
        <v>0</v>
      </c>
      <c r="AE399" s="208">
        <f>IF(AE$2&lt;=AnalysisPeriod,IF(SUM($C761:AE761)&gt;0,AD399+1,0),0)</f>
        <v>0</v>
      </c>
      <c r="AF399" s="208">
        <f>IF(AF$2&lt;=AnalysisPeriod,IF(SUM($C761:AF761)&gt;0,AE399+1,0),0)</f>
        <v>0</v>
      </c>
      <c r="AG399" s="208">
        <f>IF(AG$2&lt;=AnalysisPeriod,IF(SUM($C761:AG761)&gt;0,AF399+1,0),0)</f>
        <v>0</v>
      </c>
      <c r="AH399" s="208">
        <f>IF(AH$2&lt;=AnalysisPeriod,IF(SUM($C761:AH761)&gt;0,AG399+1,0),0)</f>
        <v>0</v>
      </c>
      <c r="AI399" s="208">
        <f>IF(AI$2&lt;=AnalysisPeriod,IF(SUM($C761:AI761)&gt;0,AH399+1,0),0)</f>
        <v>0</v>
      </c>
      <c r="AJ399" s="208">
        <f>IF(AJ$2&lt;=AnalysisPeriod,IF(SUM($C761:AJ761)&gt;0,AI399+1,0),0)</f>
        <v>0</v>
      </c>
      <c r="AK399" s="208">
        <f>IF(AK$2&lt;=AnalysisPeriod,IF(SUM($C761:AK761)&gt;0,AJ399+1,0),0)</f>
        <v>0</v>
      </c>
      <c r="AL399" s="208">
        <f>IF(AL$2&lt;=AnalysisPeriod,IF(SUM($C761:AL761)&gt;0,AK399+1,0),0)</f>
        <v>0</v>
      </c>
      <c r="AM399" s="208">
        <f>IF(AM$2&lt;=AnalysisPeriod,IF(SUM($C761:AM761)&gt;0,AL399+1,0),0)</f>
        <v>0</v>
      </c>
      <c r="AN399" s="208">
        <f>IF(AN$2&lt;=AnalysisPeriod,IF(SUM($C761:AN761)&gt;0,AM399+1,0),0)</f>
        <v>0</v>
      </c>
      <c r="AO399" s="208">
        <f>IF(AO$2&lt;=AnalysisPeriod,IF(SUM($C761:AO761)&gt;0,AN399+1,0),0)</f>
        <v>0</v>
      </c>
      <c r="AP399" s="208">
        <f>IF(AP$2&lt;=AnalysisPeriod,IF(SUM($C761:AP761)&gt;0,AO399+1,0),0)</f>
        <v>0</v>
      </c>
    </row>
    <row r="400" spans="1:42">
      <c r="A400" s="119">
        <f t="shared" si="213"/>
        <v>6</v>
      </c>
      <c r="C400" s="208">
        <f>IF(C$2&lt;=AnalysisPeriod,IF(SUM($C762:C762)&gt;0,B400+1,0),0)</f>
        <v>0</v>
      </c>
      <c r="D400" s="208">
        <f>IF(D$2&lt;=AnalysisPeriod,IF(SUM($C762:D762)&gt;0,C400+1,0),0)</f>
        <v>0</v>
      </c>
      <c r="E400" s="208">
        <f>IF(E$2&lt;=AnalysisPeriod,IF(SUM($C762:E762)&gt;0,D400+1,0),0)</f>
        <v>0</v>
      </c>
      <c r="F400" s="208">
        <f>IF(F$2&lt;=AnalysisPeriod,IF(SUM($C762:F762)&gt;0,E400+1,0),0)</f>
        <v>0</v>
      </c>
      <c r="G400" s="208">
        <f>IF(G$2&lt;=AnalysisPeriod,IF(SUM($C762:G762)&gt;0,F400+1,0),0)</f>
        <v>0</v>
      </c>
      <c r="H400" s="208">
        <f>IF(H$2&lt;=AnalysisPeriod,IF(SUM($C762:H762)&gt;0,G400+1,0),0)</f>
        <v>0</v>
      </c>
      <c r="I400" s="208">
        <f>IF(I$2&lt;=AnalysisPeriod,IF(SUM($C762:I762)&gt;0,H400+1,0),0)</f>
        <v>0</v>
      </c>
      <c r="J400" s="208">
        <f>IF(J$2&lt;=AnalysisPeriod,IF(SUM($C762:J762)&gt;0,I400+1,0),0)</f>
        <v>0</v>
      </c>
      <c r="K400" s="208">
        <f>IF(K$2&lt;=AnalysisPeriod,IF(SUM($C762:K762)&gt;0,J400+1,0),0)</f>
        <v>0</v>
      </c>
      <c r="L400" s="208">
        <f>IF(L$2&lt;=AnalysisPeriod,IF(SUM($C762:L762)&gt;0,K400+1,0),0)</f>
        <v>0</v>
      </c>
      <c r="M400" s="208">
        <f>IF(M$2&lt;=AnalysisPeriod,IF(SUM($C762:M762)&gt;0,L400+1,0),0)</f>
        <v>0</v>
      </c>
      <c r="N400" s="208">
        <f>IF(N$2&lt;=AnalysisPeriod,IF(SUM($C762:N762)&gt;0,M400+1,0),0)</f>
        <v>0</v>
      </c>
      <c r="O400" s="208">
        <f>IF(O$2&lt;=AnalysisPeriod,IF(SUM($C762:O762)&gt;0,N400+1,0),0)</f>
        <v>0</v>
      </c>
      <c r="P400" s="208">
        <f>IF(P$2&lt;=AnalysisPeriod,IF(SUM($C762:P762)&gt;0,O400+1,0),0)</f>
        <v>0</v>
      </c>
      <c r="Q400" s="208">
        <f>IF(Q$2&lt;=AnalysisPeriod,IF(SUM($C762:Q762)&gt;0,P400+1,0),0)</f>
        <v>0</v>
      </c>
      <c r="R400" s="208">
        <f>IF(R$2&lt;=AnalysisPeriod,IF(SUM($C762:R762)&gt;0,Q400+1,0),0)</f>
        <v>0</v>
      </c>
      <c r="S400" s="208">
        <f>IF(S$2&lt;=AnalysisPeriod,IF(SUM($C762:S762)&gt;0,R400+1,0),0)</f>
        <v>0</v>
      </c>
      <c r="T400" s="208">
        <f>IF(T$2&lt;=AnalysisPeriod,IF(SUM($C762:T762)&gt;0,S400+1,0),0)</f>
        <v>0</v>
      </c>
      <c r="U400" s="208">
        <f>IF(U$2&lt;=AnalysisPeriod,IF(SUM($C762:U762)&gt;0,T400+1,0),0)</f>
        <v>0</v>
      </c>
      <c r="V400" s="208">
        <f>IF(V$2&lt;=AnalysisPeriod,IF(SUM($C762:V762)&gt;0,U400+1,0),0)</f>
        <v>0</v>
      </c>
      <c r="W400" s="208">
        <f>IF(W$2&lt;=AnalysisPeriod,IF(SUM($C762:W762)&gt;0,V400+1,0),0)</f>
        <v>0</v>
      </c>
      <c r="X400" s="208">
        <f>IF(X$2&lt;=AnalysisPeriod,IF(SUM($C762:X762)&gt;0,W400+1,0),0)</f>
        <v>0</v>
      </c>
      <c r="Y400" s="208">
        <f>IF(Y$2&lt;=AnalysisPeriod,IF(SUM($C762:Y762)&gt;0,X400+1,0),0)</f>
        <v>0</v>
      </c>
      <c r="Z400" s="208">
        <f>IF(Z$2&lt;=AnalysisPeriod,IF(SUM($C762:Z762)&gt;0,Y400+1,0),0)</f>
        <v>0</v>
      </c>
      <c r="AA400" s="208">
        <f>IF(AA$2&lt;=AnalysisPeriod,IF(SUM($C762:AA762)&gt;0,Z400+1,0),0)</f>
        <v>0</v>
      </c>
      <c r="AB400" s="208">
        <f>IF(AB$2&lt;=AnalysisPeriod,IF(SUM($C762:AB762)&gt;0,AA400+1,0),0)</f>
        <v>0</v>
      </c>
      <c r="AC400" s="208">
        <f>IF(AC$2&lt;=AnalysisPeriod,IF(SUM($C762:AC762)&gt;0,AB400+1,0),0)</f>
        <v>0</v>
      </c>
      <c r="AD400" s="208">
        <f>IF(AD$2&lt;=AnalysisPeriod,IF(SUM($C762:AD762)&gt;0,AC400+1,0),0)</f>
        <v>0</v>
      </c>
      <c r="AE400" s="208">
        <f>IF(AE$2&lt;=AnalysisPeriod,IF(SUM($C762:AE762)&gt;0,AD400+1,0),0)</f>
        <v>0</v>
      </c>
      <c r="AF400" s="208">
        <f>IF(AF$2&lt;=AnalysisPeriod,IF(SUM($C762:AF762)&gt;0,AE400+1,0),0)</f>
        <v>0</v>
      </c>
      <c r="AG400" s="208">
        <f>IF(AG$2&lt;=AnalysisPeriod,IF(SUM($C762:AG762)&gt;0,AF400+1,0),0)</f>
        <v>0</v>
      </c>
      <c r="AH400" s="208">
        <f>IF(AH$2&lt;=AnalysisPeriod,IF(SUM($C762:AH762)&gt;0,AG400+1,0),0)</f>
        <v>0</v>
      </c>
      <c r="AI400" s="208">
        <f>IF(AI$2&lt;=AnalysisPeriod,IF(SUM($C762:AI762)&gt;0,AH400+1,0),0)</f>
        <v>0</v>
      </c>
      <c r="AJ400" s="208">
        <f>IF(AJ$2&lt;=AnalysisPeriod,IF(SUM($C762:AJ762)&gt;0,AI400+1,0),0)</f>
        <v>0</v>
      </c>
      <c r="AK400" s="208">
        <f>IF(AK$2&lt;=AnalysisPeriod,IF(SUM($C762:AK762)&gt;0,AJ400+1,0),0)</f>
        <v>0</v>
      </c>
      <c r="AL400" s="208">
        <f>IF(AL$2&lt;=AnalysisPeriod,IF(SUM($C762:AL762)&gt;0,AK400+1,0),0)</f>
        <v>0</v>
      </c>
      <c r="AM400" s="208">
        <f>IF(AM$2&lt;=AnalysisPeriod,IF(SUM($C762:AM762)&gt;0,AL400+1,0),0)</f>
        <v>0</v>
      </c>
      <c r="AN400" s="208">
        <f>IF(AN$2&lt;=AnalysisPeriod,IF(SUM($C762:AN762)&gt;0,AM400+1,0),0)</f>
        <v>0</v>
      </c>
      <c r="AO400" s="208">
        <f>IF(AO$2&lt;=AnalysisPeriod,IF(SUM($C762:AO762)&gt;0,AN400+1,0),0)</f>
        <v>0</v>
      </c>
      <c r="AP400" s="208">
        <f>IF(AP$2&lt;=AnalysisPeriod,IF(SUM($C762:AP762)&gt;0,AO400+1,0),0)</f>
        <v>0</v>
      </c>
    </row>
    <row r="401" spans="1:42">
      <c r="A401" s="119">
        <f t="shared" si="213"/>
        <v>7</v>
      </c>
      <c r="C401" s="208">
        <f>IF(C$2&lt;=AnalysisPeriod,IF(SUM($C763:C763)&gt;0,B401+1,0),0)</f>
        <v>0</v>
      </c>
      <c r="D401" s="208">
        <f>IF(D$2&lt;=AnalysisPeriod,IF(SUM($C763:D763)&gt;0,C401+1,0),0)</f>
        <v>0</v>
      </c>
      <c r="E401" s="208">
        <f>IF(E$2&lt;=AnalysisPeriod,IF(SUM($C763:E763)&gt;0,D401+1,0),0)</f>
        <v>0</v>
      </c>
      <c r="F401" s="208">
        <f>IF(F$2&lt;=AnalysisPeriod,IF(SUM($C763:F763)&gt;0,E401+1,0),0)</f>
        <v>0</v>
      </c>
      <c r="G401" s="208">
        <f>IF(G$2&lt;=AnalysisPeriod,IF(SUM($C763:G763)&gt;0,F401+1,0),0)</f>
        <v>0</v>
      </c>
      <c r="H401" s="208">
        <f>IF(H$2&lt;=AnalysisPeriod,IF(SUM($C763:H763)&gt;0,G401+1,0),0)</f>
        <v>0</v>
      </c>
      <c r="I401" s="208">
        <f>IF(I$2&lt;=AnalysisPeriod,IF(SUM($C763:I763)&gt;0,H401+1,0),0)</f>
        <v>0</v>
      </c>
      <c r="J401" s="208">
        <f>IF(J$2&lt;=AnalysisPeriod,IF(SUM($C763:J763)&gt;0,I401+1,0),0)</f>
        <v>0</v>
      </c>
      <c r="K401" s="208">
        <f>IF(K$2&lt;=AnalysisPeriod,IF(SUM($C763:K763)&gt;0,J401+1,0),0)</f>
        <v>0</v>
      </c>
      <c r="L401" s="208">
        <f>IF(L$2&lt;=AnalysisPeriod,IF(SUM($C763:L763)&gt;0,K401+1,0),0)</f>
        <v>0</v>
      </c>
      <c r="M401" s="208">
        <f>IF(M$2&lt;=AnalysisPeriod,IF(SUM($C763:M763)&gt;0,L401+1,0),0)</f>
        <v>0</v>
      </c>
      <c r="N401" s="208">
        <f>IF(N$2&lt;=AnalysisPeriod,IF(SUM($C763:N763)&gt;0,M401+1,0),0)</f>
        <v>0</v>
      </c>
      <c r="O401" s="208">
        <f>IF(O$2&lt;=AnalysisPeriod,IF(SUM($C763:O763)&gt;0,N401+1,0),0)</f>
        <v>0</v>
      </c>
      <c r="P401" s="208">
        <f>IF(P$2&lt;=AnalysisPeriod,IF(SUM($C763:P763)&gt;0,O401+1,0),0)</f>
        <v>0</v>
      </c>
      <c r="Q401" s="208">
        <f>IF(Q$2&lt;=AnalysisPeriod,IF(SUM($C763:Q763)&gt;0,P401+1,0),0)</f>
        <v>0</v>
      </c>
      <c r="R401" s="208">
        <f>IF(R$2&lt;=AnalysisPeriod,IF(SUM($C763:R763)&gt;0,Q401+1,0),0)</f>
        <v>0</v>
      </c>
      <c r="S401" s="208">
        <f>IF(S$2&lt;=AnalysisPeriod,IF(SUM($C763:S763)&gt;0,R401+1,0),0)</f>
        <v>0</v>
      </c>
      <c r="T401" s="208">
        <f>IF(T$2&lt;=AnalysisPeriod,IF(SUM($C763:T763)&gt;0,S401+1,0),0)</f>
        <v>0</v>
      </c>
      <c r="U401" s="208">
        <f>IF(U$2&lt;=AnalysisPeriod,IF(SUM($C763:U763)&gt;0,T401+1,0),0)</f>
        <v>0</v>
      </c>
      <c r="V401" s="208">
        <f>IF(V$2&lt;=AnalysisPeriod,IF(SUM($C763:V763)&gt;0,U401+1,0),0)</f>
        <v>0</v>
      </c>
      <c r="W401" s="208">
        <f>IF(W$2&lt;=AnalysisPeriod,IF(SUM($C763:W763)&gt;0,V401+1,0),0)</f>
        <v>0</v>
      </c>
      <c r="X401" s="208">
        <f>IF(X$2&lt;=AnalysisPeriod,IF(SUM($C763:X763)&gt;0,W401+1,0),0)</f>
        <v>0</v>
      </c>
      <c r="Y401" s="208">
        <f>IF(Y$2&lt;=AnalysisPeriod,IF(SUM($C763:Y763)&gt;0,X401+1,0),0)</f>
        <v>0</v>
      </c>
      <c r="Z401" s="208">
        <f>IF(Z$2&lt;=AnalysisPeriod,IF(SUM($C763:Z763)&gt;0,Y401+1,0),0)</f>
        <v>0</v>
      </c>
      <c r="AA401" s="208">
        <f>IF(AA$2&lt;=AnalysisPeriod,IF(SUM($C763:AA763)&gt;0,Z401+1,0),0)</f>
        <v>0</v>
      </c>
      <c r="AB401" s="208">
        <f>IF(AB$2&lt;=AnalysisPeriod,IF(SUM($C763:AB763)&gt;0,AA401+1,0),0)</f>
        <v>0</v>
      </c>
      <c r="AC401" s="208">
        <f>IF(AC$2&lt;=AnalysisPeriod,IF(SUM($C763:AC763)&gt;0,AB401+1,0),0)</f>
        <v>0</v>
      </c>
      <c r="AD401" s="208">
        <f>IF(AD$2&lt;=AnalysisPeriod,IF(SUM($C763:AD763)&gt;0,AC401+1,0),0)</f>
        <v>0</v>
      </c>
      <c r="AE401" s="208">
        <f>IF(AE$2&lt;=AnalysisPeriod,IF(SUM($C763:AE763)&gt;0,AD401+1,0),0)</f>
        <v>0</v>
      </c>
      <c r="AF401" s="208">
        <f>IF(AF$2&lt;=AnalysisPeriod,IF(SUM($C763:AF763)&gt;0,AE401+1,0),0)</f>
        <v>0</v>
      </c>
      <c r="AG401" s="208">
        <f>IF(AG$2&lt;=AnalysisPeriod,IF(SUM($C763:AG763)&gt;0,AF401+1,0),0)</f>
        <v>0</v>
      </c>
      <c r="AH401" s="208">
        <f>IF(AH$2&lt;=AnalysisPeriod,IF(SUM($C763:AH763)&gt;0,AG401+1,0),0)</f>
        <v>0</v>
      </c>
      <c r="AI401" s="208">
        <f>IF(AI$2&lt;=AnalysisPeriod,IF(SUM($C763:AI763)&gt;0,AH401+1,0),0)</f>
        <v>0</v>
      </c>
      <c r="AJ401" s="208">
        <f>IF(AJ$2&lt;=AnalysisPeriod,IF(SUM($C763:AJ763)&gt;0,AI401+1,0),0)</f>
        <v>0</v>
      </c>
      <c r="AK401" s="208">
        <f>IF(AK$2&lt;=AnalysisPeriod,IF(SUM($C763:AK763)&gt;0,AJ401+1,0),0)</f>
        <v>0</v>
      </c>
      <c r="AL401" s="208">
        <f>IF(AL$2&lt;=AnalysisPeriod,IF(SUM($C763:AL763)&gt;0,AK401+1,0),0)</f>
        <v>0</v>
      </c>
      <c r="AM401" s="208">
        <f>IF(AM$2&lt;=AnalysisPeriod,IF(SUM($C763:AM763)&gt;0,AL401+1,0),0)</f>
        <v>0</v>
      </c>
      <c r="AN401" s="208">
        <f>IF(AN$2&lt;=AnalysisPeriod,IF(SUM($C763:AN763)&gt;0,AM401+1,0),0)</f>
        <v>0</v>
      </c>
      <c r="AO401" s="208">
        <f>IF(AO$2&lt;=AnalysisPeriod,IF(SUM($C763:AO763)&gt;0,AN401+1,0),0)</f>
        <v>0</v>
      </c>
      <c r="AP401" s="208">
        <f>IF(AP$2&lt;=AnalysisPeriod,IF(SUM($C763:AP763)&gt;0,AO401+1,0),0)</f>
        <v>0</v>
      </c>
    </row>
    <row r="402" spans="1:42">
      <c r="A402" s="119">
        <f t="shared" si="213"/>
        <v>8</v>
      </c>
      <c r="C402" s="208">
        <f>IF(C$2&lt;=AnalysisPeriod,IF(SUM($C764:C764)&gt;0,B402+1,0),0)</f>
        <v>0</v>
      </c>
      <c r="D402" s="208">
        <f>IF(D$2&lt;=AnalysisPeriod,IF(SUM($C764:D764)&gt;0,C402+1,0),0)</f>
        <v>0</v>
      </c>
      <c r="E402" s="208">
        <f>IF(E$2&lt;=AnalysisPeriod,IF(SUM($C764:E764)&gt;0,D402+1,0),0)</f>
        <v>0</v>
      </c>
      <c r="F402" s="208">
        <f>IF(F$2&lt;=AnalysisPeriod,IF(SUM($C764:F764)&gt;0,E402+1,0),0)</f>
        <v>0</v>
      </c>
      <c r="G402" s="208">
        <f>IF(G$2&lt;=AnalysisPeriod,IF(SUM($C764:G764)&gt;0,F402+1,0),0)</f>
        <v>0</v>
      </c>
      <c r="H402" s="208">
        <f>IF(H$2&lt;=AnalysisPeriod,IF(SUM($C764:H764)&gt;0,G402+1,0),0)</f>
        <v>0</v>
      </c>
      <c r="I402" s="208">
        <f>IF(I$2&lt;=AnalysisPeriod,IF(SUM($C764:I764)&gt;0,H402+1,0),0)</f>
        <v>0</v>
      </c>
      <c r="J402" s="208">
        <f>IF(J$2&lt;=AnalysisPeriod,IF(SUM($C764:J764)&gt;0,I402+1,0),0)</f>
        <v>0</v>
      </c>
      <c r="K402" s="208">
        <f>IF(K$2&lt;=AnalysisPeriod,IF(SUM($C764:K764)&gt;0,J402+1,0),0)</f>
        <v>0</v>
      </c>
      <c r="L402" s="208">
        <f>IF(L$2&lt;=AnalysisPeriod,IF(SUM($C764:L764)&gt;0,K402+1,0),0)</f>
        <v>0</v>
      </c>
      <c r="M402" s="208">
        <f>IF(M$2&lt;=AnalysisPeriod,IF(SUM($C764:M764)&gt;0,L402+1,0),0)</f>
        <v>0</v>
      </c>
      <c r="N402" s="208">
        <f>IF(N$2&lt;=AnalysisPeriod,IF(SUM($C764:N764)&gt;0,M402+1,0),0)</f>
        <v>0</v>
      </c>
      <c r="O402" s="208">
        <f>IF(O$2&lt;=AnalysisPeriod,IF(SUM($C764:O764)&gt;0,N402+1,0),0)</f>
        <v>0</v>
      </c>
      <c r="P402" s="208">
        <f>IF(P$2&lt;=AnalysisPeriod,IF(SUM($C764:P764)&gt;0,O402+1,0),0)</f>
        <v>0</v>
      </c>
      <c r="Q402" s="208">
        <f>IF(Q$2&lt;=AnalysisPeriod,IF(SUM($C764:Q764)&gt;0,P402+1,0),0)</f>
        <v>0</v>
      </c>
      <c r="R402" s="208">
        <f>IF(R$2&lt;=AnalysisPeriod,IF(SUM($C764:R764)&gt;0,Q402+1,0),0)</f>
        <v>0</v>
      </c>
      <c r="S402" s="208">
        <f>IF(S$2&lt;=AnalysisPeriod,IF(SUM($C764:S764)&gt;0,R402+1,0),0)</f>
        <v>0</v>
      </c>
      <c r="T402" s="208">
        <f>IF(T$2&lt;=AnalysisPeriod,IF(SUM($C764:T764)&gt;0,S402+1,0),0)</f>
        <v>0</v>
      </c>
      <c r="U402" s="208">
        <f>IF(U$2&lt;=AnalysisPeriod,IF(SUM($C764:U764)&gt;0,T402+1,0),0)</f>
        <v>0</v>
      </c>
      <c r="V402" s="208">
        <f>IF(V$2&lt;=AnalysisPeriod,IF(SUM($C764:V764)&gt;0,U402+1,0),0)</f>
        <v>0</v>
      </c>
      <c r="W402" s="208">
        <f>IF(W$2&lt;=AnalysisPeriod,IF(SUM($C764:W764)&gt;0,V402+1,0),0)</f>
        <v>0</v>
      </c>
      <c r="X402" s="208">
        <f>IF(X$2&lt;=AnalysisPeriod,IF(SUM($C764:X764)&gt;0,W402+1,0),0)</f>
        <v>0</v>
      </c>
      <c r="Y402" s="208">
        <f>IF(Y$2&lt;=AnalysisPeriod,IF(SUM($C764:Y764)&gt;0,X402+1,0),0)</f>
        <v>0</v>
      </c>
      <c r="Z402" s="208">
        <f>IF(Z$2&lt;=AnalysisPeriod,IF(SUM($C764:Z764)&gt;0,Y402+1,0),0)</f>
        <v>0</v>
      </c>
      <c r="AA402" s="208">
        <f>IF(AA$2&lt;=AnalysisPeriod,IF(SUM($C764:AA764)&gt;0,Z402+1,0),0)</f>
        <v>0</v>
      </c>
      <c r="AB402" s="208">
        <f>IF(AB$2&lt;=AnalysisPeriod,IF(SUM($C764:AB764)&gt;0,AA402+1,0),0)</f>
        <v>0</v>
      </c>
      <c r="AC402" s="208">
        <f>IF(AC$2&lt;=AnalysisPeriod,IF(SUM($C764:AC764)&gt;0,AB402+1,0),0)</f>
        <v>0</v>
      </c>
      <c r="AD402" s="208">
        <f>IF(AD$2&lt;=AnalysisPeriod,IF(SUM($C764:AD764)&gt;0,AC402+1,0),0)</f>
        <v>0</v>
      </c>
      <c r="AE402" s="208">
        <f>IF(AE$2&lt;=AnalysisPeriod,IF(SUM($C764:AE764)&gt;0,AD402+1,0),0)</f>
        <v>0</v>
      </c>
      <c r="AF402" s="208">
        <f>IF(AF$2&lt;=AnalysisPeriod,IF(SUM($C764:AF764)&gt;0,AE402+1,0),0)</f>
        <v>0</v>
      </c>
      <c r="AG402" s="208">
        <f>IF(AG$2&lt;=AnalysisPeriod,IF(SUM($C764:AG764)&gt;0,AF402+1,0),0)</f>
        <v>0</v>
      </c>
      <c r="AH402" s="208">
        <f>IF(AH$2&lt;=AnalysisPeriod,IF(SUM($C764:AH764)&gt;0,AG402+1,0),0)</f>
        <v>0</v>
      </c>
      <c r="AI402" s="208">
        <f>IF(AI$2&lt;=AnalysisPeriod,IF(SUM($C764:AI764)&gt;0,AH402+1,0),0)</f>
        <v>0</v>
      </c>
      <c r="AJ402" s="208">
        <f>IF(AJ$2&lt;=AnalysisPeriod,IF(SUM($C764:AJ764)&gt;0,AI402+1,0),0)</f>
        <v>0</v>
      </c>
      <c r="AK402" s="208">
        <f>IF(AK$2&lt;=AnalysisPeriod,IF(SUM($C764:AK764)&gt;0,AJ402+1,0),0)</f>
        <v>0</v>
      </c>
      <c r="AL402" s="208">
        <f>IF(AL$2&lt;=AnalysisPeriod,IF(SUM($C764:AL764)&gt;0,AK402+1,0),0)</f>
        <v>0</v>
      </c>
      <c r="AM402" s="208">
        <f>IF(AM$2&lt;=AnalysisPeriod,IF(SUM($C764:AM764)&gt;0,AL402+1,0),0)</f>
        <v>0</v>
      </c>
      <c r="AN402" s="208">
        <f>IF(AN$2&lt;=AnalysisPeriod,IF(SUM($C764:AN764)&gt;0,AM402+1,0),0)</f>
        <v>0</v>
      </c>
      <c r="AO402" s="208">
        <f>IF(AO$2&lt;=AnalysisPeriod,IF(SUM($C764:AO764)&gt;0,AN402+1,0),0)</f>
        <v>0</v>
      </c>
      <c r="AP402" s="208">
        <f>IF(AP$2&lt;=AnalysisPeriod,IF(SUM($C764:AP764)&gt;0,AO402+1,0),0)</f>
        <v>0</v>
      </c>
    </row>
    <row r="403" spans="1:42">
      <c r="A403" s="119">
        <f>A402+1</f>
        <v>9</v>
      </c>
      <c r="C403" s="208">
        <f>IF(C$2&lt;=AnalysisPeriod,IF(SUM($C765:C765)&gt;0,B403+1,0),0)</f>
        <v>0</v>
      </c>
      <c r="D403" s="208">
        <f>IF(D$2&lt;=AnalysisPeriod,IF(SUM($C765:D765)&gt;0,C403+1,0),0)</f>
        <v>0</v>
      </c>
      <c r="E403" s="208">
        <f>IF(E$2&lt;=AnalysisPeriod,IF(SUM($C765:E765)&gt;0,D403+1,0),0)</f>
        <v>0</v>
      </c>
      <c r="F403" s="208">
        <f>IF(F$2&lt;=AnalysisPeriod,IF(SUM($C765:F765)&gt;0,E403+1,0),0)</f>
        <v>0</v>
      </c>
      <c r="G403" s="208">
        <f>IF(G$2&lt;=AnalysisPeriod,IF(SUM($C765:G765)&gt;0,F403+1,0),0)</f>
        <v>0</v>
      </c>
      <c r="H403" s="208">
        <f>IF(H$2&lt;=AnalysisPeriod,IF(SUM($C765:H765)&gt;0,G403+1,0),0)</f>
        <v>0</v>
      </c>
      <c r="I403" s="208">
        <f>IF(I$2&lt;=AnalysisPeriod,IF(SUM($C765:I765)&gt;0,H403+1,0),0)</f>
        <v>0</v>
      </c>
      <c r="J403" s="208">
        <f>IF(J$2&lt;=AnalysisPeriod,IF(SUM($C765:J765)&gt;0,I403+1,0),0)</f>
        <v>0</v>
      </c>
      <c r="K403" s="208">
        <f>IF(K$2&lt;=AnalysisPeriod,IF(SUM($C765:K765)&gt;0,J403+1,0),0)</f>
        <v>0</v>
      </c>
      <c r="L403" s="208">
        <f>IF(L$2&lt;=AnalysisPeriod,IF(SUM($C765:L765)&gt;0,K403+1,0),0)</f>
        <v>0</v>
      </c>
      <c r="M403" s="208">
        <f>IF(M$2&lt;=AnalysisPeriod,IF(SUM($C765:M765)&gt;0,L403+1,0),0)</f>
        <v>0</v>
      </c>
      <c r="N403" s="208">
        <f>IF(N$2&lt;=AnalysisPeriod,IF(SUM($C765:N765)&gt;0,M403+1,0),0)</f>
        <v>0</v>
      </c>
      <c r="O403" s="208">
        <f>IF(O$2&lt;=AnalysisPeriod,IF(SUM($C765:O765)&gt;0,N403+1,0),0)</f>
        <v>0</v>
      </c>
      <c r="P403" s="208">
        <f>IF(P$2&lt;=AnalysisPeriod,IF(SUM($C765:P765)&gt;0,O403+1,0),0)</f>
        <v>0</v>
      </c>
      <c r="Q403" s="208">
        <f>IF(Q$2&lt;=AnalysisPeriod,IF(SUM($C765:Q765)&gt;0,P403+1,0),0)</f>
        <v>0</v>
      </c>
      <c r="R403" s="208">
        <f>IF(R$2&lt;=AnalysisPeriod,IF(SUM($C765:R765)&gt;0,Q403+1,0),0)</f>
        <v>0</v>
      </c>
      <c r="S403" s="208">
        <f>IF(S$2&lt;=AnalysisPeriod,IF(SUM($C765:S765)&gt;0,R403+1,0),0)</f>
        <v>0</v>
      </c>
      <c r="T403" s="208">
        <f>IF(T$2&lt;=AnalysisPeriod,IF(SUM($C765:T765)&gt;0,S403+1,0),0)</f>
        <v>0</v>
      </c>
      <c r="U403" s="208">
        <f>IF(U$2&lt;=AnalysisPeriod,IF(SUM($C765:U765)&gt;0,T403+1,0),0)</f>
        <v>0</v>
      </c>
      <c r="V403" s="208">
        <f>IF(V$2&lt;=AnalysisPeriod,IF(SUM($C765:V765)&gt;0,U403+1,0),0)</f>
        <v>0</v>
      </c>
      <c r="W403" s="208">
        <f>IF(W$2&lt;=AnalysisPeriod,IF(SUM($C765:W765)&gt;0,V403+1,0),0)</f>
        <v>0</v>
      </c>
      <c r="X403" s="208">
        <f>IF(X$2&lt;=AnalysisPeriod,IF(SUM($C765:X765)&gt;0,W403+1,0),0)</f>
        <v>0</v>
      </c>
      <c r="Y403" s="208">
        <f>IF(Y$2&lt;=AnalysisPeriod,IF(SUM($C765:Y765)&gt;0,X403+1,0),0)</f>
        <v>0</v>
      </c>
      <c r="Z403" s="208">
        <f>IF(Z$2&lt;=AnalysisPeriod,IF(SUM($C765:Z765)&gt;0,Y403+1,0),0)</f>
        <v>0</v>
      </c>
      <c r="AA403" s="208">
        <f>IF(AA$2&lt;=AnalysisPeriod,IF(SUM($C765:AA765)&gt;0,Z403+1,0),0)</f>
        <v>0</v>
      </c>
      <c r="AB403" s="208">
        <f>IF(AB$2&lt;=AnalysisPeriod,IF(SUM($C765:AB765)&gt;0,AA403+1,0),0)</f>
        <v>0</v>
      </c>
      <c r="AC403" s="208">
        <f>IF(AC$2&lt;=AnalysisPeriod,IF(SUM($C765:AC765)&gt;0,AB403+1,0),0)</f>
        <v>0</v>
      </c>
      <c r="AD403" s="208">
        <f>IF(AD$2&lt;=AnalysisPeriod,IF(SUM($C765:AD765)&gt;0,AC403+1,0),0)</f>
        <v>0</v>
      </c>
      <c r="AE403" s="208">
        <f>IF(AE$2&lt;=AnalysisPeriod,IF(SUM($C765:AE765)&gt;0,AD403+1,0),0)</f>
        <v>0</v>
      </c>
      <c r="AF403" s="208">
        <f>IF(AF$2&lt;=AnalysisPeriod,IF(SUM($C765:AF765)&gt;0,AE403+1,0),0)</f>
        <v>0</v>
      </c>
      <c r="AG403" s="208">
        <f>IF(AG$2&lt;=AnalysisPeriod,IF(SUM($C765:AG765)&gt;0,AF403+1,0),0)</f>
        <v>0</v>
      </c>
      <c r="AH403" s="208">
        <f>IF(AH$2&lt;=AnalysisPeriod,IF(SUM($C765:AH765)&gt;0,AG403+1,0),0)</f>
        <v>0</v>
      </c>
      <c r="AI403" s="208">
        <f>IF(AI$2&lt;=AnalysisPeriod,IF(SUM($C765:AI765)&gt;0,AH403+1,0),0)</f>
        <v>0</v>
      </c>
      <c r="AJ403" s="208">
        <f>IF(AJ$2&lt;=AnalysisPeriod,IF(SUM($C765:AJ765)&gt;0,AI403+1,0),0)</f>
        <v>0</v>
      </c>
      <c r="AK403" s="208">
        <f>IF(AK$2&lt;=AnalysisPeriod,IF(SUM($C765:AK765)&gt;0,AJ403+1,0),0)</f>
        <v>0</v>
      </c>
      <c r="AL403" s="208">
        <f>IF(AL$2&lt;=AnalysisPeriod,IF(SUM($C765:AL765)&gt;0,AK403+1,0),0)</f>
        <v>0</v>
      </c>
      <c r="AM403" s="208">
        <f>IF(AM$2&lt;=AnalysisPeriod,IF(SUM($C765:AM765)&gt;0,AL403+1,0),0)</f>
        <v>0</v>
      </c>
      <c r="AN403" s="208">
        <f>IF(AN$2&lt;=AnalysisPeriod,IF(SUM($C765:AN765)&gt;0,AM403+1,0),0)</f>
        <v>0</v>
      </c>
      <c r="AO403" s="208">
        <f>IF(AO$2&lt;=AnalysisPeriod,IF(SUM($C765:AO765)&gt;0,AN403+1,0),0)</f>
        <v>0</v>
      </c>
      <c r="AP403" s="208">
        <f>IF(AP$2&lt;=AnalysisPeriod,IF(SUM($C765:AP765)&gt;0,AO403+1,0),0)</f>
        <v>0</v>
      </c>
    </row>
    <row r="404" spans="1:42">
      <c r="A404" s="119">
        <f t="shared" si="213"/>
        <v>10</v>
      </c>
      <c r="C404" s="208">
        <f>IF(C$2&lt;=AnalysisPeriod,IF(SUM($C766:C766)&gt;0,B404+1,0),0)</f>
        <v>0</v>
      </c>
      <c r="D404" s="208">
        <f>IF(D$2&lt;=AnalysisPeriod,IF(SUM($C766:D766)&gt;0,C404+1,0),0)</f>
        <v>0</v>
      </c>
      <c r="E404" s="208">
        <f>IF(E$2&lt;=AnalysisPeriod,IF(SUM($C766:E766)&gt;0,D404+1,0),0)</f>
        <v>0</v>
      </c>
      <c r="F404" s="208">
        <f>IF(F$2&lt;=AnalysisPeriod,IF(SUM($C766:F766)&gt;0,E404+1,0),0)</f>
        <v>0</v>
      </c>
      <c r="G404" s="208">
        <f>IF(G$2&lt;=AnalysisPeriod,IF(SUM($C766:G766)&gt;0,F404+1,0),0)</f>
        <v>0</v>
      </c>
      <c r="H404" s="208">
        <f>IF(H$2&lt;=AnalysisPeriod,IF(SUM($C766:H766)&gt;0,G404+1,0),0)</f>
        <v>0</v>
      </c>
      <c r="I404" s="208">
        <f>IF(I$2&lt;=AnalysisPeriod,IF(SUM($C766:I766)&gt;0,H404+1,0),0)</f>
        <v>0</v>
      </c>
      <c r="J404" s="208">
        <f>IF(J$2&lt;=AnalysisPeriod,IF(SUM($C766:J766)&gt;0,I404+1,0),0)</f>
        <v>0</v>
      </c>
      <c r="K404" s="208">
        <f>IF(K$2&lt;=AnalysisPeriod,IF(SUM($C766:K766)&gt;0,J404+1,0),0)</f>
        <v>0</v>
      </c>
      <c r="L404" s="208">
        <f>IF(L$2&lt;=AnalysisPeriod,IF(SUM($C766:L766)&gt;0,K404+1,0),0)</f>
        <v>0</v>
      </c>
      <c r="M404" s="208">
        <f>IF(M$2&lt;=AnalysisPeriod,IF(SUM($C766:M766)&gt;0,L404+1,0),0)</f>
        <v>0</v>
      </c>
      <c r="N404" s="208">
        <f>IF(N$2&lt;=AnalysisPeriod,IF(SUM($C766:N766)&gt;0,M404+1,0),0)</f>
        <v>0</v>
      </c>
      <c r="O404" s="208">
        <f>IF(O$2&lt;=AnalysisPeriod,IF(SUM($C766:O766)&gt;0,N404+1,0),0)</f>
        <v>0</v>
      </c>
      <c r="P404" s="208">
        <f>IF(P$2&lt;=AnalysisPeriod,IF(SUM($C766:P766)&gt;0,O404+1,0),0)</f>
        <v>0</v>
      </c>
      <c r="Q404" s="208">
        <f>IF(Q$2&lt;=AnalysisPeriod,IF(SUM($C766:Q766)&gt;0,P404+1,0),0)</f>
        <v>0</v>
      </c>
      <c r="R404" s="208">
        <f>IF(R$2&lt;=AnalysisPeriod,IF(SUM($C766:R766)&gt;0,Q404+1,0),0)</f>
        <v>0</v>
      </c>
      <c r="S404" s="208">
        <f>IF(S$2&lt;=AnalysisPeriod,IF(SUM($C766:S766)&gt;0,R404+1,0),0)</f>
        <v>0</v>
      </c>
      <c r="T404" s="208">
        <f>IF(T$2&lt;=AnalysisPeriod,IF(SUM($C766:T766)&gt;0,S404+1,0),0)</f>
        <v>0</v>
      </c>
      <c r="U404" s="208">
        <f>IF(U$2&lt;=AnalysisPeriod,IF(SUM($C766:U766)&gt;0,T404+1,0),0)</f>
        <v>0</v>
      </c>
      <c r="V404" s="208">
        <f>IF(V$2&lt;=AnalysisPeriod,IF(SUM($C766:V766)&gt;0,U404+1,0),0)</f>
        <v>0</v>
      </c>
      <c r="W404" s="208">
        <f>IF(W$2&lt;=AnalysisPeriod,IF(SUM($C766:W766)&gt;0,V404+1,0),0)</f>
        <v>0</v>
      </c>
      <c r="X404" s="208">
        <f>IF(X$2&lt;=AnalysisPeriod,IF(SUM($C766:X766)&gt;0,W404+1,0),0)</f>
        <v>0</v>
      </c>
      <c r="Y404" s="208">
        <f>IF(Y$2&lt;=AnalysisPeriod,IF(SUM($C766:Y766)&gt;0,X404+1,0),0)</f>
        <v>0</v>
      </c>
      <c r="Z404" s="208">
        <f>IF(Z$2&lt;=AnalysisPeriod,IF(SUM($C766:Z766)&gt;0,Y404+1,0),0)</f>
        <v>0</v>
      </c>
      <c r="AA404" s="208">
        <f>IF(AA$2&lt;=AnalysisPeriod,IF(SUM($C766:AA766)&gt;0,Z404+1,0),0)</f>
        <v>0</v>
      </c>
      <c r="AB404" s="208">
        <f>IF(AB$2&lt;=AnalysisPeriod,IF(SUM($C766:AB766)&gt;0,AA404+1,0),0)</f>
        <v>0</v>
      </c>
      <c r="AC404" s="208">
        <f>IF(AC$2&lt;=AnalysisPeriod,IF(SUM($C766:AC766)&gt;0,AB404+1,0),0)</f>
        <v>0</v>
      </c>
      <c r="AD404" s="208">
        <f>IF(AD$2&lt;=AnalysisPeriod,IF(SUM($C766:AD766)&gt;0,AC404+1,0),0)</f>
        <v>0</v>
      </c>
      <c r="AE404" s="208">
        <f>IF(AE$2&lt;=AnalysisPeriod,IF(SUM($C766:AE766)&gt;0,AD404+1,0),0)</f>
        <v>0</v>
      </c>
      <c r="AF404" s="208">
        <f>IF(AF$2&lt;=AnalysisPeriod,IF(SUM($C766:AF766)&gt;0,AE404+1,0),0)</f>
        <v>0</v>
      </c>
      <c r="AG404" s="208">
        <f>IF(AG$2&lt;=AnalysisPeriod,IF(SUM($C766:AG766)&gt;0,AF404+1,0),0)</f>
        <v>0</v>
      </c>
      <c r="AH404" s="208">
        <f>IF(AH$2&lt;=AnalysisPeriod,IF(SUM($C766:AH766)&gt;0,AG404+1,0),0)</f>
        <v>0</v>
      </c>
      <c r="AI404" s="208">
        <f>IF(AI$2&lt;=AnalysisPeriod,IF(SUM($C766:AI766)&gt;0,AH404+1,0),0)</f>
        <v>0</v>
      </c>
      <c r="AJ404" s="208">
        <f>IF(AJ$2&lt;=AnalysisPeriod,IF(SUM($C766:AJ766)&gt;0,AI404+1,0),0)</f>
        <v>0</v>
      </c>
      <c r="AK404" s="208">
        <f>IF(AK$2&lt;=AnalysisPeriod,IF(SUM($C766:AK766)&gt;0,AJ404+1,0),0)</f>
        <v>0</v>
      </c>
      <c r="AL404" s="208">
        <f>IF(AL$2&lt;=AnalysisPeriod,IF(SUM($C766:AL766)&gt;0,AK404+1,0),0)</f>
        <v>0</v>
      </c>
      <c r="AM404" s="208">
        <f>IF(AM$2&lt;=AnalysisPeriod,IF(SUM($C766:AM766)&gt;0,AL404+1,0),0)</f>
        <v>0</v>
      </c>
      <c r="AN404" s="208">
        <f>IF(AN$2&lt;=AnalysisPeriod,IF(SUM($C766:AN766)&gt;0,AM404+1,0),0)</f>
        <v>0</v>
      </c>
      <c r="AO404" s="208">
        <f>IF(AO$2&lt;=AnalysisPeriod,IF(SUM($C766:AO766)&gt;0,AN404+1,0),0)</f>
        <v>0</v>
      </c>
      <c r="AP404" s="208">
        <f>IF(AP$2&lt;=AnalysisPeriod,IF(SUM($C766:AP766)&gt;0,AO404+1,0),0)</f>
        <v>0</v>
      </c>
    </row>
    <row r="405" spans="1:42">
      <c r="A405" s="226"/>
      <c r="C405" s="208"/>
      <c r="D405" s="208"/>
      <c r="E405" s="208"/>
      <c r="F405" s="208"/>
      <c r="G405" s="208"/>
      <c r="H405" s="208"/>
      <c r="I405" s="208"/>
      <c r="J405" s="208"/>
      <c r="K405" s="208"/>
      <c r="L405" s="208"/>
      <c r="M405" s="208"/>
      <c r="N405" s="208"/>
      <c r="O405" s="208"/>
      <c r="P405" s="208"/>
      <c r="Q405" s="208"/>
      <c r="R405" s="208"/>
      <c r="S405" s="208"/>
      <c r="T405" s="208"/>
      <c r="U405" s="208"/>
      <c r="V405" s="208"/>
      <c r="W405" s="208"/>
      <c r="X405" s="208"/>
      <c r="Y405" s="208"/>
      <c r="Z405" s="208"/>
      <c r="AA405" s="208"/>
      <c r="AB405" s="208"/>
      <c r="AC405" s="208"/>
      <c r="AD405" s="208"/>
      <c r="AE405" s="208"/>
      <c r="AF405" s="208"/>
      <c r="AG405" s="208"/>
      <c r="AH405" s="208"/>
      <c r="AI405" s="208"/>
      <c r="AJ405" s="208"/>
      <c r="AK405" s="208"/>
      <c r="AL405" s="208"/>
      <c r="AM405" s="208"/>
      <c r="AN405" s="208"/>
      <c r="AO405" s="208"/>
      <c r="AP405" s="208"/>
    </row>
    <row r="406" spans="1:42">
      <c r="A406" s="226" t="s">
        <v>221</v>
      </c>
      <c r="C406" s="208"/>
      <c r="D406" s="208"/>
      <c r="E406" s="208"/>
      <c r="F406" s="208"/>
      <c r="G406" s="208"/>
      <c r="H406" s="208"/>
      <c r="I406" s="208"/>
      <c r="J406" s="208"/>
      <c r="K406" s="208"/>
      <c r="L406" s="208"/>
      <c r="M406" s="208"/>
      <c r="N406" s="208"/>
      <c r="O406" s="208"/>
      <c r="P406" s="208"/>
      <c r="Q406" s="208"/>
      <c r="R406" s="208"/>
      <c r="S406" s="208"/>
      <c r="T406" s="208"/>
      <c r="U406" s="208"/>
      <c r="V406" s="208"/>
      <c r="W406" s="208"/>
      <c r="X406" s="208"/>
      <c r="Y406" s="208"/>
      <c r="Z406" s="208"/>
      <c r="AA406" s="208"/>
      <c r="AB406" s="208"/>
      <c r="AC406" s="208"/>
      <c r="AD406" s="208"/>
      <c r="AE406" s="208"/>
      <c r="AF406" s="208"/>
      <c r="AG406" s="208"/>
      <c r="AH406" s="208"/>
      <c r="AI406" s="208"/>
      <c r="AJ406" s="208"/>
      <c r="AK406" s="208"/>
      <c r="AL406" s="208"/>
      <c r="AM406" s="208"/>
      <c r="AN406" s="208"/>
      <c r="AO406" s="208"/>
      <c r="AP406" s="208"/>
    </row>
    <row r="407" spans="1:42">
      <c r="A407" s="119">
        <v>1</v>
      </c>
      <c r="B407" s="218">
        <f t="shared" ref="B407:B416" si="214">SUM(C407:AP407)</f>
        <v>6158778.6534697898</v>
      </c>
      <c r="C407" s="250">
        <f t="shared" ref="C407:AP407" si="215">LOOKUP(C395,$B$365:$AP$365,$B$366:$AP$366)*$B757</f>
        <v>0</v>
      </c>
      <c r="D407" s="208">
        <f t="shared" si="215"/>
        <v>0</v>
      </c>
      <c r="E407" s="208">
        <f t="shared" si="215"/>
        <v>0</v>
      </c>
      <c r="F407" s="208">
        <f t="shared" si="215"/>
        <v>0</v>
      </c>
      <c r="G407" s="208">
        <f t="shared" si="215"/>
        <v>0</v>
      </c>
      <c r="H407" s="208">
        <f t="shared" si="215"/>
        <v>0</v>
      </c>
      <c r="I407" s="208">
        <f t="shared" si="215"/>
        <v>0</v>
      </c>
      <c r="J407" s="208">
        <f t="shared" si="215"/>
        <v>0</v>
      </c>
      <c r="K407" s="208">
        <f t="shared" si="215"/>
        <v>0</v>
      </c>
      <c r="L407" s="208">
        <f t="shared" si="215"/>
        <v>0</v>
      </c>
      <c r="M407" s="208">
        <f t="shared" si="215"/>
        <v>0</v>
      </c>
      <c r="N407" s="208">
        <f t="shared" si="215"/>
        <v>0</v>
      </c>
      <c r="O407" s="208">
        <f t="shared" si="215"/>
        <v>0</v>
      </c>
      <c r="P407" s="208">
        <f t="shared" si="215"/>
        <v>0</v>
      </c>
      <c r="Q407" s="208">
        <f t="shared" si="215"/>
        <v>1231755.7306939578</v>
      </c>
      <c r="R407" s="208">
        <f t="shared" si="215"/>
        <v>1970809.1691103324</v>
      </c>
      <c r="S407" s="208">
        <f t="shared" si="215"/>
        <v>1182485.5014661995</v>
      </c>
      <c r="T407" s="208">
        <f t="shared" si="215"/>
        <v>709491.30087971967</v>
      </c>
      <c r="U407" s="208">
        <f t="shared" si="215"/>
        <v>709491.30087971967</v>
      </c>
      <c r="V407" s="208">
        <f t="shared" si="215"/>
        <v>354745.65043985983</v>
      </c>
      <c r="W407" s="208">
        <f t="shared" si="215"/>
        <v>0</v>
      </c>
      <c r="X407" s="208">
        <f t="shared" si="215"/>
        <v>0</v>
      </c>
      <c r="Y407" s="208">
        <f t="shared" si="215"/>
        <v>0</v>
      </c>
      <c r="Z407" s="208">
        <f t="shared" si="215"/>
        <v>0</v>
      </c>
      <c r="AA407" s="208">
        <f t="shared" si="215"/>
        <v>0</v>
      </c>
      <c r="AB407" s="208">
        <f t="shared" si="215"/>
        <v>0</v>
      </c>
      <c r="AC407" s="208">
        <f t="shared" si="215"/>
        <v>0</v>
      </c>
      <c r="AD407" s="208">
        <f t="shared" si="215"/>
        <v>0</v>
      </c>
      <c r="AE407" s="208">
        <f t="shared" si="215"/>
        <v>0</v>
      </c>
      <c r="AF407" s="208">
        <f t="shared" si="215"/>
        <v>0</v>
      </c>
      <c r="AG407" s="208">
        <f t="shared" si="215"/>
        <v>0</v>
      </c>
      <c r="AH407" s="208">
        <f t="shared" si="215"/>
        <v>0</v>
      </c>
      <c r="AI407" s="208">
        <f t="shared" si="215"/>
        <v>0</v>
      </c>
      <c r="AJ407" s="208">
        <f t="shared" si="215"/>
        <v>0</v>
      </c>
      <c r="AK407" s="208">
        <f t="shared" si="215"/>
        <v>0</v>
      </c>
      <c r="AL407" s="208">
        <f t="shared" si="215"/>
        <v>0</v>
      </c>
      <c r="AM407" s="208">
        <f t="shared" si="215"/>
        <v>0</v>
      </c>
      <c r="AN407" s="208">
        <f t="shared" si="215"/>
        <v>0</v>
      </c>
      <c r="AO407" s="208">
        <f t="shared" si="215"/>
        <v>0</v>
      </c>
      <c r="AP407" s="208">
        <f t="shared" si="215"/>
        <v>0</v>
      </c>
    </row>
    <row r="408" spans="1:42">
      <c r="A408" s="119">
        <f>A407+1</f>
        <v>2</v>
      </c>
      <c r="B408" s="218">
        <f t="shared" si="214"/>
        <v>1539980.512798867</v>
      </c>
      <c r="C408" s="250">
        <f t="shared" ref="C408:AP408" si="216">LOOKUP(C396,$B$365:$AP$365,$B$366:$AP$366)*$B758</f>
        <v>0</v>
      </c>
      <c r="D408" s="208">
        <f t="shared" si="216"/>
        <v>0</v>
      </c>
      <c r="E408" s="208">
        <f t="shared" si="216"/>
        <v>0</v>
      </c>
      <c r="F408" s="208">
        <f t="shared" si="216"/>
        <v>0</v>
      </c>
      <c r="G408" s="208">
        <f t="shared" si="216"/>
        <v>0</v>
      </c>
      <c r="H408" s="208">
        <f t="shared" si="216"/>
        <v>0</v>
      </c>
      <c r="I408" s="208">
        <f t="shared" si="216"/>
        <v>0</v>
      </c>
      <c r="J408" s="208">
        <f t="shared" si="216"/>
        <v>0</v>
      </c>
      <c r="K408" s="208">
        <f t="shared" si="216"/>
        <v>0</v>
      </c>
      <c r="L408" s="208">
        <f t="shared" si="216"/>
        <v>0</v>
      </c>
      <c r="M408" s="208">
        <f t="shared" si="216"/>
        <v>0</v>
      </c>
      <c r="N408" s="208">
        <f t="shared" si="216"/>
        <v>0</v>
      </c>
      <c r="O408" s="208">
        <f t="shared" si="216"/>
        <v>0</v>
      </c>
      <c r="P408" s="208">
        <f t="shared" si="216"/>
        <v>0</v>
      </c>
      <c r="Q408" s="208">
        <f t="shared" si="216"/>
        <v>0</v>
      </c>
      <c r="R408" s="208">
        <f t="shared" si="216"/>
        <v>0</v>
      </c>
      <c r="S408" s="208">
        <f t="shared" si="216"/>
        <v>0</v>
      </c>
      <c r="T408" s="208">
        <f t="shared" si="216"/>
        <v>0</v>
      </c>
      <c r="U408" s="208">
        <f t="shared" si="216"/>
        <v>0</v>
      </c>
      <c r="V408" s="208">
        <f t="shared" si="216"/>
        <v>0</v>
      </c>
      <c r="W408" s="208">
        <f t="shared" si="216"/>
        <v>0</v>
      </c>
      <c r="X408" s="208">
        <f t="shared" si="216"/>
        <v>0</v>
      </c>
      <c r="Y408" s="208">
        <f t="shared" si="216"/>
        <v>0</v>
      </c>
      <c r="Z408" s="208">
        <f t="shared" si="216"/>
        <v>0</v>
      </c>
      <c r="AA408" s="208">
        <f t="shared" si="216"/>
        <v>0</v>
      </c>
      <c r="AB408" s="208">
        <f t="shared" si="216"/>
        <v>0</v>
      </c>
      <c r="AC408" s="208">
        <f t="shared" si="216"/>
        <v>0</v>
      </c>
      <c r="AD408" s="208">
        <f t="shared" si="216"/>
        <v>0</v>
      </c>
      <c r="AE408" s="208">
        <f t="shared" si="216"/>
        <v>0</v>
      </c>
      <c r="AF408" s="208">
        <f t="shared" si="216"/>
        <v>1539980.512798867</v>
      </c>
      <c r="AG408" s="208">
        <f t="shared" si="216"/>
        <v>0</v>
      </c>
      <c r="AH408" s="208">
        <f t="shared" si="216"/>
        <v>0</v>
      </c>
      <c r="AI408" s="208">
        <f t="shared" si="216"/>
        <v>0</v>
      </c>
      <c r="AJ408" s="208">
        <f t="shared" si="216"/>
        <v>0</v>
      </c>
      <c r="AK408" s="208">
        <f t="shared" si="216"/>
        <v>0</v>
      </c>
      <c r="AL408" s="208">
        <f t="shared" si="216"/>
        <v>0</v>
      </c>
      <c r="AM408" s="208">
        <f t="shared" si="216"/>
        <v>0</v>
      </c>
      <c r="AN408" s="208">
        <f t="shared" si="216"/>
        <v>0</v>
      </c>
      <c r="AO408" s="208">
        <f t="shared" si="216"/>
        <v>0</v>
      </c>
      <c r="AP408" s="208">
        <f t="shared" si="216"/>
        <v>0</v>
      </c>
    </row>
    <row r="409" spans="1:42">
      <c r="A409" s="119">
        <f t="shared" ref="A409:A416" si="217">A408+1</f>
        <v>3</v>
      </c>
      <c r="B409" s="218">
        <f t="shared" si="214"/>
        <v>0</v>
      </c>
      <c r="C409" s="250">
        <f t="shared" ref="C409:AP409" si="218">LOOKUP(C397,$B$365:$AP$365,$B$366:$AP$366)*$B759</f>
        <v>0</v>
      </c>
      <c r="D409" s="208">
        <f t="shared" si="218"/>
        <v>0</v>
      </c>
      <c r="E409" s="208">
        <f t="shared" si="218"/>
        <v>0</v>
      </c>
      <c r="F409" s="208">
        <f t="shared" si="218"/>
        <v>0</v>
      </c>
      <c r="G409" s="208">
        <f t="shared" si="218"/>
        <v>0</v>
      </c>
      <c r="H409" s="208">
        <f t="shared" si="218"/>
        <v>0</v>
      </c>
      <c r="I409" s="208">
        <f t="shared" si="218"/>
        <v>0</v>
      </c>
      <c r="J409" s="208">
        <f t="shared" si="218"/>
        <v>0</v>
      </c>
      <c r="K409" s="208">
        <f t="shared" si="218"/>
        <v>0</v>
      </c>
      <c r="L409" s="208">
        <f t="shared" si="218"/>
        <v>0</v>
      </c>
      <c r="M409" s="208">
        <f t="shared" si="218"/>
        <v>0</v>
      </c>
      <c r="N409" s="208">
        <f t="shared" si="218"/>
        <v>0</v>
      </c>
      <c r="O409" s="208">
        <f t="shared" si="218"/>
        <v>0</v>
      </c>
      <c r="P409" s="208">
        <f t="shared" si="218"/>
        <v>0</v>
      </c>
      <c r="Q409" s="208">
        <f t="shared" si="218"/>
        <v>0</v>
      </c>
      <c r="R409" s="208">
        <f t="shared" si="218"/>
        <v>0</v>
      </c>
      <c r="S409" s="208">
        <f t="shared" si="218"/>
        <v>0</v>
      </c>
      <c r="T409" s="208">
        <f t="shared" si="218"/>
        <v>0</v>
      </c>
      <c r="U409" s="208">
        <f t="shared" si="218"/>
        <v>0</v>
      </c>
      <c r="V409" s="208">
        <f t="shared" si="218"/>
        <v>0</v>
      </c>
      <c r="W409" s="208">
        <f t="shared" si="218"/>
        <v>0</v>
      </c>
      <c r="X409" s="208">
        <f t="shared" si="218"/>
        <v>0</v>
      </c>
      <c r="Y409" s="208">
        <f t="shared" si="218"/>
        <v>0</v>
      </c>
      <c r="Z409" s="208">
        <f t="shared" si="218"/>
        <v>0</v>
      </c>
      <c r="AA409" s="208">
        <f t="shared" si="218"/>
        <v>0</v>
      </c>
      <c r="AB409" s="208">
        <f t="shared" si="218"/>
        <v>0</v>
      </c>
      <c r="AC409" s="208">
        <f t="shared" si="218"/>
        <v>0</v>
      </c>
      <c r="AD409" s="208">
        <f t="shared" si="218"/>
        <v>0</v>
      </c>
      <c r="AE409" s="208">
        <f t="shared" si="218"/>
        <v>0</v>
      </c>
      <c r="AF409" s="208">
        <f t="shared" si="218"/>
        <v>0</v>
      </c>
      <c r="AG409" s="208">
        <f t="shared" si="218"/>
        <v>0</v>
      </c>
      <c r="AH409" s="208">
        <f t="shared" si="218"/>
        <v>0</v>
      </c>
      <c r="AI409" s="208">
        <f t="shared" si="218"/>
        <v>0</v>
      </c>
      <c r="AJ409" s="208">
        <f t="shared" si="218"/>
        <v>0</v>
      </c>
      <c r="AK409" s="208">
        <f t="shared" si="218"/>
        <v>0</v>
      </c>
      <c r="AL409" s="208">
        <f t="shared" si="218"/>
        <v>0</v>
      </c>
      <c r="AM409" s="208">
        <f t="shared" si="218"/>
        <v>0</v>
      </c>
      <c r="AN409" s="208">
        <f t="shared" si="218"/>
        <v>0</v>
      </c>
      <c r="AO409" s="208">
        <f t="shared" si="218"/>
        <v>0</v>
      </c>
      <c r="AP409" s="208">
        <f t="shared" si="218"/>
        <v>0</v>
      </c>
    </row>
    <row r="410" spans="1:42">
      <c r="A410" s="119">
        <f t="shared" si="217"/>
        <v>4</v>
      </c>
      <c r="B410" s="218">
        <f t="shared" si="214"/>
        <v>0</v>
      </c>
      <c r="C410" s="250">
        <f t="shared" ref="C410:AP410" si="219">LOOKUP(C398,$B$365:$AP$365,$B$366:$AP$366)*$B760</f>
        <v>0</v>
      </c>
      <c r="D410" s="208">
        <f t="shared" si="219"/>
        <v>0</v>
      </c>
      <c r="E410" s="208">
        <f t="shared" si="219"/>
        <v>0</v>
      </c>
      <c r="F410" s="208">
        <f t="shared" si="219"/>
        <v>0</v>
      </c>
      <c r="G410" s="208">
        <f t="shared" si="219"/>
        <v>0</v>
      </c>
      <c r="H410" s="208">
        <f t="shared" si="219"/>
        <v>0</v>
      </c>
      <c r="I410" s="208">
        <f t="shared" si="219"/>
        <v>0</v>
      </c>
      <c r="J410" s="208">
        <f t="shared" si="219"/>
        <v>0</v>
      </c>
      <c r="K410" s="208">
        <f t="shared" si="219"/>
        <v>0</v>
      </c>
      <c r="L410" s="208">
        <f t="shared" si="219"/>
        <v>0</v>
      </c>
      <c r="M410" s="208">
        <f t="shared" si="219"/>
        <v>0</v>
      </c>
      <c r="N410" s="208">
        <f t="shared" si="219"/>
        <v>0</v>
      </c>
      <c r="O410" s="208">
        <f t="shared" si="219"/>
        <v>0</v>
      </c>
      <c r="P410" s="208">
        <f t="shared" si="219"/>
        <v>0</v>
      </c>
      <c r="Q410" s="208">
        <f t="shared" si="219"/>
        <v>0</v>
      </c>
      <c r="R410" s="208">
        <f t="shared" si="219"/>
        <v>0</v>
      </c>
      <c r="S410" s="208">
        <f t="shared" si="219"/>
        <v>0</v>
      </c>
      <c r="T410" s="208">
        <f t="shared" si="219"/>
        <v>0</v>
      </c>
      <c r="U410" s="208">
        <f t="shared" si="219"/>
        <v>0</v>
      </c>
      <c r="V410" s="208">
        <f t="shared" si="219"/>
        <v>0</v>
      </c>
      <c r="W410" s="208">
        <f t="shared" si="219"/>
        <v>0</v>
      </c>
      <c r="X410" s="208">
        <f t="shared" si="219"/>
        <v>0</v>
      </c>
      <c r="Y410" s="208">
        <f t="shared" si="219"/>
        <v>0</v>
      </c>
      <c r="Z410" s="208">
        <f t="shared" si="219"/>
        <v>0</v>
      </c>
      <c r="AA410" s="208">
        <f t="shared" si="219"/>
        <v>0</v>
      </c>
      <c r="AB410" s="208">
        <f t="shared" si="219"/>
        <v>0</v>
      </c>
      <c r="AC410" s="208">
        <f t="shared" si="219"/>
        <v>0</v>
      </c>
      <c r="AD410" s="208">
        <f t="shared" si="219"/>
        <v>0</v>
      </c>
      <c r="AE410" s="208">
        <f t="shared" si="219"/>
        <v>0</v>
      </c>
      <c r="AF410" s="208">
        <f t="shared" si="219"/>
        <v>0</v>
      </c>
      <c r="AG410" s="208">
        <f t="shared" si="219"/>
        <v>0</v>
      </c>
      <c r="AH410" s="208">
        <f t="shared" si="219"/>
        <v>0</v>
      </c>
      <c r="AI410" s="208">
        <f t="shared" si="219"/>
        <v>0</v>
      </c>
      <c r="AJ410" s="208">
        <f t="shared" si="219"/>
        <v>0</v>
      </c>
      <c r="AK410" s="208">
        <f t="shared" si="219"/>
        <v>0</v>
      </c>
      <c r="AL410" s="208">
        <f t="shared" si="219"/>
        <v>0</v>
      </c>
      <c r="AM410" s="208">
        <f t="shared" si="219"/>
        <v>0</v>
      </c>
      <c r="AN410" s="208">
        <f t="shared" si="219"/>
        <v>0</v>
      </c>
      <c r="AO410" s="208">
        <f t="shared" si="219"/>
        <v>0</v>
      </c>
      <c r="AP410" s="208">
        <f t="shared" si="219"/>
        <v>0</v>
      </c>
    </row>
    <row r="411" spans="1:42">
      <c r="A411" s="119">
        <f t="shared" si="217"/>
        <v>5</v>
      </c>
      <c r="B411" s="218">
        <f t="shared" si="214"/>
        <v>0</v>
      </c>
      <c r="C411" s="250">
        <f t="shared" ref="C411:AP411" si="220">LOOKUP(C399,$B$365:$AP$365,$B$366:$AP$366)*$B761</f>
        <v>0</v>
      </c>
      <c r="D411" s="208">
        <f t="shared" si="220"/>
        <v>0</v>
      </c>
      <c r="E411" s="208">
        <f t="shared" si="220"/>
        <v>0</v>
      </c>
      <c r="F411" s="208">
        <f t="shared" si="220"/>
        <v>0</v>
      </c>
      <c r="G411" s="208">
        <f t="shared" si="220"/>
        <v>0</v>
      </c>
      <c r="H411" s="208">
        <f t="shared" si="220"/>
        <v>0</v>
      </c>
      <c r="I411" s="208">
        <f t="shared" si="220"/>
        <v>0</v>
      </c>
      <c r="J411" s="208">
        <f t="shared" si="220"/>
        <v>0</v>
      </c>
      <c r="K411" s="208">
        <f t="shared" si="220"/>
        <v>0</v>
      </c>
      <c r="L411" s="208">
        <f t="shared" si="220"/>
        <v>0</v>
      </c>
      <c r="M411" s="208">
        <f t="shared" si="220"/>
        <v>0</v>
      </c>
      <c r="N411" s="208">
        <f t="shared" si="220"/>
        <v>0</v>
      </c>
      <c r="O411" s="208">
        <f t="shared" si="220"/>
        <v>0</v>
      </c>
      <c r="P411" s="208">
        <f t="shared" si="220"/>
        <v>0</v>
      </c>
      <c r="Q411" s="208">
        <f t="shared" si="220"/>
        <v>0</v>
      </c>
      <c r="R411" s="208">
        <f t="shared" si="220"/>
        <v>0</v>
      </c>
      <c r="S411" s="208">
        <f t="shared" si="220"/>
        <v>0</v>
      </c>
      <c r="T411" s="208">
        <f t="shared" si="220"/>
        <v>0</v>
      </c>
      <c r="U411" s="208">
        <f t="shared" si="220"/>
        <v>0</v>
      </c>
      <c r="V411" s="208">
        <f t="shared" si="220"/>
        <v>0</v>
      </c>
      <c r="W411" s="208">
        <f t="shared" si="220"/>
        <v>0</v>
      </c>
      <c r="X411" s="208">
        <f t="shared" si="220"/>
        <v>0</v>
      </c>
      <c r="Y411" s="208">
        <f t="shared" si="220"/>
        <v>0</v>
      </c>
      <c r="Z411" s="208">
        <f t="shared" si="220"/>
        <v>0</v>
      </c>
      <c r="AA411" s="208">
        <f t="shared" si="220"/>
        <v>0</v>
      </c>
      <c r="AB411" s="208">
        <f t="shared" si="220"/>
        <v>0</v>
      </c>
      <c r="AC411" s="208">
        <f t="shared" si="220"/>
        <v>0</v>
      </c>
      <c r="AD411" s="208">
        <f t="shared" si="220"/>
        <v>0</v>
      </c>
      <c r="AE411" s="208">
        <f t="shared" si="220"/>
        <v>0</v>
      </c>
      <c r="AF411" s="208">
        <f t="shared" si="220"/>
        <v>0</v>
      </c>
      <c r="AG411" s="208">
        <f t="shared" si="220"/>
        <v>0</v>
      </c>
      <c r="AH411" s="208">
        <f t="shared" si="220"/>
        <v>0</v>
      </c>
      <c r="AI411" s="208">
        <f t="shared" si="220"/>
        <v>0</v>
      </c>
      <c r="AJ411" s="208">
        <f t="shared" si="220"/>
        <v>0</v>
      </c>
      <c r="AK411" s="208">
        <f t="shared" si="220"/>
        <v>0</v>
      </c>
      <c r="AL411" s="208">
        <f t="shared" si="220"/>
        <v>0</v>
      </c>
      <c r="AM411" s="208">
        <f t="shared" si="220"/>
        <v>0</v>
      </c>
      <c r="AN411" s="208">
        <f t="shared" si="220"/>
        <v>0</v>
      </c>
      <c r="AO411" s="208">
        <f t="shared" si="220"/>
        <v>0</v>
      </c>
      <c r="AP411" s="208">
        <f t="shared" si="220"/>
        <v>0</v>
      </c>
    </row>
    <row r="412" spans="1:42">
      <c r="A412" s="119">
        <f t="shared" si="217"/>
        <v>6</v>
      </c>
      <c r="B412" s="218">
        <f t="shared" si="214"/>
        <v>0</v>
      </c>
      <c r="C412" s="250">
        <f t="shared" ref="C412:AP412" si="221">LOOKUP(C400,$B$365:$AP$365,$B$366:$AP$366)*$B762</f>
        <v>0</v>
      </c>
      <c r="D412" s="208">
        <f t="shared" si="221"/>
        <v>0</v>
      </c>
      <c r="E412" s="208">
        <f t="shared" si="221"/>
        <v>0</v>
      </c>
      <c r="F412" s="208">
        <f t="shared" si="221"/>
        <v>0</v>
      </c>
      <c r="G412" s="208">
        <f t="shared" si="221"/>
        <v>0</v>
      </c>
      <c r="H412" s="208">
        <f t="shared" si="221"/>
        <v>0</v>
      </c>
      <c r="I412" s="208">
        <f t="shared" si="221"/>
        <v>0</v>
      </c>
      <c r="J412" s="208">
        <f t="shared" si="221"/>
        <v>0</v>
      </c>
      <c r="K412" s="208">
        <f t="shared" si="221"/>
        <v>0</v>
      </c>
      <c r="L412" s="208">
        <f t="shared" si="221"/>
        <v>0</v>
      </c>
      <c r="M412" s="208">
        <f t="shared" si="221"/>
        <v>0</v>
      </c>
      <c r="N412" s="208">
        <f t="shared" si="221"/>
        <v>0</v>
      </c>
      <c r="O412" s="208">
        <f t="shared" si="221"/>
        <v>0</v>
      </c>
      <c r="P412" s="208">
        <f t="shared" si="221"/>
        <v>0</v>
      </c>
      <c r="Q412" s="208">
        <f t="shared" si="221"/>
        <v>0</v>
      </c>
      <c r="R412" s="208">
        <f t="shared" si="221"/>
        <v>0</v>
      </c>
      <c r="S412" s="208">
        <f t="shared" si="221"/>
        <v>0</v>
      </c>
      <c r="T412" s="208">
        <f t="shared" si="221"/>
        <v>0</v>
      </c>
      <c r="U412" s="208">
        <f t="shared" si="221"/>
        <v>0</v>
      </c>
      <c r="V412" s="208">
        <f t="shared" si="221"/>
        <v>0</v>
      </c>
      <c r="W412" s="208">
        <f t="shared" si="221"/>
        <v>0</v>
      </c>
      <c r="X412" s="208">
        <f t="shared" si="221"/>
        <v>0</v>
      </c>
      <c r="Y412" s="208">
        <f t="shared" si="221"/>
        <v>0</v>
      </c>
      <c r="Z412" s="208">
        <f t="shared" si="221"/>
        <v>0</v>
      </c>
      <c r="AA412" s="208">
        <f t="shared" si="221"/>
        <v>0</v>
      </c>
      <c r="AB412" s="208">
        <f t="shared" si="221"/>
        <v>0</v>
      </c>
      <c r="AC412" s="208">
        <f t="shared" si="221"/>
        <v>0</v>
      </c>
      <c r="AD412" s="208">
        <f t="shared" si="221"/>
        <v>0</v>
      </c>
      <c r="AE412" s="208">
        <f t="shared" si="221"/>
        <v>0</v>
      </c>
      <c r="AF412" s="208">
        <f t="shared" si="221"/>
        <v>0</v>
      </c>
      <c r="AG412" s="208">
        <f t="shared" si="221"/>
        <v>0</v>
      </c>
      <c r="AH412" s="208">
        <f t="shared" si="221"/>
        <v>0</v>
      </c>
      <c r="AI412" s="208">
        <f t="shared" si="221"/>
        <v>0</v>
      </c>
      <c r="AJ412" s="208">
        <f t="shared" si="221"/>
        <v>0</v>
      </c>
      <c r="AK412" s="208">
        <f t="shared" si="221"/>
        <v>0</v>
      </c>
      <c r="AL412" s="208">
        <f t="shared" si="221"/>
        <v>0</v>
      </c>
      <c r="AM412" s="208">
        <f t="shared" si="221"/>
        <v>0</v>
      </c>
      <c r="AN412" s="208">
        <f t="shared" si="221"/>
        <v>0</v>
      </c>
      <c r="AO412" s="208">
        <f t="shared" si="221"/>
        <v>0</v>
      </c>
      <c r="AP412" s="208">
        <f t="shared" si="221"/>
        <v>0</v>
      </c>
    </row>
    <row r="413" spans="1:42">
      <c r="A413" s="119">
        <f t="shared" si="217"/>
        <v>7</v>
      </c>
      <c r="B413" s="218">
        <f t="shared" si="214"/>
        <v>0</v>
      </c>
      <c r="C413" s="250">
        <f t="shared" ref="C413:AP413" si="222">LOOKUP(C401,$B$365:$AP$365,$B$366:$AP$366)*$B763</f>
        <v>0</v>
      </c>
      <c r="D413" s="208">
        <f t="shared" si="222"/>
        <v>0</v>
      </c>
      <c r="E413" s="208">
        <f t="shared" si="222"/>
        <v>0</v>
      </c>
      <c r="F413" s="208">
        <f t="shared" si="222"/>
        <v>0</v>
      </c>
      <c r="G413" s="208">
        <f t="shared" si="222"/>
        <v>0</v>
      </c>
      <c r="H413" s="208">
        <f t="shared" si="222"/>
        <v>0</v>
      </c>
      <c r="I413" s="208">
        <f t="shared" si="222"/>
        <v>0</v>
      </c>
      <c r="J413" s="208">
        <f t="shared" si="222"/>
        <v>0</v>
      </c>
      <c r="K413" s="208">
        <f t="shared" si="222"/>
        <v>0</v>
      </c>
      <c r="L413" s="208">
        <f t="shared" si="222"/>
        <v>0</v>
      </c>
      <c r="M413" s="208">
        <f t="shared" si="222"/>
        <v>0</v>
      </c>
      <c r="N413" s="208">
        <f t="shared" si="222"/>
        <v>0</v>
      </c>
      <c r="O413" s="208">
        <f t="shared" si="222"/>
        <v>0</v>
      </c>
      <c r="P413" s="208">
        <f t="shared" si="222"/>
        <v>0</v>
      </c>
      <c r="Q413" s="208">
        <f t="shared" si="222"/>
        <v>0</v>
      </c>
      <c r="R413" s="208">
        <f t="shared" si="222"/>
        <v>0</v>
      </c>
      <c r="S413" s="208">
        <f t="shared" si="222"/>
        <v>0</v>
      </c>
      <c r="T413" s="208">
        <f t="shared" si="222"/>
        <v>0</v>
      </c>
      <c r="U413" s="208">
        <f t="shared" si="222"/>
        <v>0</v>
      </c>
      <c r="V413" s="208">
        <f t="shared" si="222"/>
        <v>0</v>
      </c>
      <c r="W413" s="208">
        <f t="shared" si="222"/>
        <v>0</v>
      </c>
      <c r="X413" s="208">
        <f t="shared" si="222"/>
        <v>0</v>
      </c>
      <c r="Y413" s="208">
        <f t="shared" si="222"/>
        <v>0</v>
      </c>
      <c r="Z413" s="208">
        <f t="shared" si="222"/>
        <v>0</v>
      </c>
      <c r="AA413" s="208">
        <f t="shared" si="222"/>
        <v>0</v>
      </c>
      <c r="AB413" s="208">
        <f t="shared" si="222"/>
        <v>0</v>
      </c>
      <c r="AC413" s="208">
        <f t="shared" si="222"/>
        <v>0</v>
      </c>
      <c r="AD413" s="208">
        <f t="shared" si="222"/>
        <v>0</v>
      </c>
      <c r="AE413" s="208">
        <f t="shared" si="222"/>
        <v>0</v>
      </c>
      <c r="AF413" s="208">
        <f t="shared" si="222"/>
        <v>0</v>
      </c>
      <c r="AG413" s="208">
        <f t="shared" si="222"/>
        <v>0</v>
      </c>
      <c r="AH413" s="208">
        <f t="shared" si="222"/>
        <v>0</v>
      </c>
      <c r="AI413" s="208">
        <f t="shared" si="222"/>
        <v>0</v>
      </c>
      <c r="AJ413" s="208">
        <f t="shared" si="222"/>
        <v>0</v>
      </c>
      <c r="AK413" s="208">
        <f t="shared" si="222"/>
        <v>0</v>
      </c>
      <c r="AL413" s="208">
        <f t="shared" si="222"/>
        <v>0</v>
      </c>
      <c r="AM413" s="208">
        <f t="shared" si="222"/>
        <v>0</v>
      </c>
      <c r="AN413" s="208">
        <f t="shared" si="222"/>
        <v>0</v>
      </c>
      <c r="AO413" s="208">
        <f t="shared" si="222"/>
        <v>0</v>
      </c>
      <c r="AP413" s="208">
        <f t="shared" si="222"/>
        <v>0</v>
      </c>
    </row>
    <row r="414" spans="1:42">
      <c r="A414" s="119">
        <f t="shared" si="217"/>
        <v>8</v>
      </c>
      <c r="B414" s="218">
        <f t="shared" si="214"/>
        <v>0</v>
      </c>
      <c r="C414" s="250">
        <f t="shared" ref="C414:AP414" si="223">LOOKUP(C402,$B$365:$AP$365,$B$366:$AP$366)*$B764</f>
        <v>0</v>
      </c>
      <c r="D414" s="208">
        <f t="shared" si="223"/>
        <v>0</v>
      </c>
      <c r="E414" s="208">
        <f t="shared" si="223"/>
        <v>0</v>
      </c>
      <c r="F414" s="208">
        <f t="shared" si="223"/>
        <v>0</v>
      </c>
      <c r="G414" s="208">
        <f t="shared" si="223"/>
        <v>0</v>
      </c>
      <c r="H414" s="208">
        <f t="shared" si="223"/>
        <v>0</v>
      </c>
      <c r="I414" s="208">
        <f t="shared" si="223"/>
        <v>0</v>
      </c>
      <c r="J414" s="208">
        <f t="shared" si="223"/>
        <v>0</v>
      </c>
      <c r="K414" s="208">
        <f t="shared" si="223"/>
        <v>0</v>
      </c>
      <c r="L414" s="208">
        <f t="shared" si="223"/>
        <v>0</v>
      </c>
      <c r="M414" s="208">
        <f t="shared" si="223"/>
        <v>0</v>
      </c>
      <c r="N414" s="208">
        <f t="shared" si="223"/>
        <v>0</v>
      </c>
      <c r="O414" s="208">
        <f t="shared" si="223"/>
        <v>0</v>
      </c>
      <c r="P414" s="208">
        <f t="shared" si="223"/>
        <v>0</v>
      </c>
      <c r="Q414" s="208">
        <f t="shared" si="223"/>
        <v>0</v>
      </c>
      <c r="R414" s="208">
        <f t="shared" si="223"/>
        <v>0</v>
      </c>
      <c r="S414" s="208">
        <f t="shared" si="223"/>
        <v>0</v>
      </c>
      <c r="T414" s="208">
        <f t="shared" si="223"/>
        <v>0</v>
      </c>
      <c r="U414" s="208">
        <f t="shared" si="223"/>
        <v>0</v>
      </c>
      <c r="V414" s="208">
        <f t="shared" si="223"/>
        <v>0</v>
      </c>
      <c r="W414" s="208">
        <f t="shared" si="223"/>
        <v>0</v>
      </c>
      <c r="X414" s="208">
        <f t="shared" si="223"/>
        <v>0</v>
      </c>
      <c r="Y414" s="208">
        <f t="shared" si="223"/>
        <v>0</v>
      </c>
      <c r="Z414" s="208">
        <f t="shared" si="223"/>
        <v>0</v>
      </c>
      <c r="AA414" s="208">
        <f t="shared" si="223"/>
        <v>0</v>
      </c>
      <c r="AB414" s="208">
        <f t="shared" si="223"/>
        <v>0</v>
      </c>
      <c r="AC414" s="208">
        <f t="shared" si="223"/>
        <v>0</v>
      </c>
      <c r="AD414" s="208">
        <f t="shared" si="223"/>
        <v>0</v>
      </c>
      <c r="AE414" s="208">
        <f t="shared" si="223"/>
        <v>0</v>
      </c>
      <c r="AF414" s="208">
        <f t="shared" si="223"/>
        <v>0</v>
      </c>
      <c r="AG414" s="208">
        <f t="shared" si="223"/>
        <v>0</v>
      </c>
      <c r="AH414" s="208">
        <f t="shared" si="223"/>
        <v>0</v>
      </c>
      <c r="AI414" s="208">
        <f t="shared" si="223"/>
        <v>0</v>
      </c>
      <c r="AJ414" s="208">
        <f t="shared" si="223"/>
        <v>0</v>
      </c>
      <c r="AK414" s="208">
        <f t="shared" si="223"/>
        <v>0</v>
      </c>
      <c r="AL414" s="208">
        <f t="shared" si="223"/>
        <v>0</v>
      </c>
      <c r="AM414" s="208">
        <f t="shared" si="223"/>
        <v>0</v>
      </c>
      <c r="AN414" s="208">
        <f t="shared" si="223"/>
        <v>0</v>
      </c>
      <c r="AO414" s="208">
        <f t="shared" si="223"/>
        <v>0</v>
      </c>
      <c r="AP414" s="208">
        <f t="shared" si="223"/>
        <v>0</v>
      </c>
    </row>
    <row r="415" spans="1:42">
      <c r="A415" s="119">
        <f>A414+1</f>
        <v>9</v>
      </c>
      <c r="B415" s="218">
        <f t="shared" si="214"/>
        <v>0</v>
      </c>
      <c r="C415" s="250">
        <f t="shared" ref="C415:AP415" si="224">LOOKUP(C403,$B$365:$AP$365,$B$366:$AP$366)*$B765</f>
        <v>0</v>
      </c>
      <c r="D415" s="208">
        <f t="shared" si="224"/>
        <v>0</v>
      </c>
      <c r="E415" s="208">
        <f t="shared" si="224"/>
        <v>0</v>
      </c>
      <c r="F415" s="208">
        <f t="shared" si="224"/>
        <v>0</v>
      </c>
      <c r="G415" s="208">
        <f t="shared" si="224"/>
        <v>0</v>
      </c>
      <c r="H415" s="208">
        <f t="shared" si="224"/>
        <v>0</v>
      </c>
      <c r="I415" s="208">
        <f t="shared" si="224"/>
        <v>0</v>
      </c>
      <c r="J415" s="208">
        <f t="shared" si="224"/>
        <v>0</v>
      </c>
      <c r="K415" s="208">
        <f t="shared" si="224"/>
        <v>0</v>
      </c>
      <c r="L415" s="208">
        <f t="shared" si="224"/>
        <v>0</v>
      </c>
      <c r="M415" s="208">
        <f t="shared" si="224"/>
        <v>0</v>
      </c>
      <c r="N415" s="208">
        <f t="shared" si="224"/>
        <v>0</v>
      </c>
      <c r="O415" s="208">
        <f t="shared" si="224"/>
        <v>0</v>
      </c>
      <c r="P415" s="208">
        <f t="shared" si="224"/>
        <v>0</v>
      </c>
      <c r="Q415" s="208">
        <f t="shared" si="224"/>
        <v>0</v>
      </c>
      <c r="R415" s="208">
        <f t="shared" si="224"/>
        <v>0</v>
      </c>
      <c r="S415" s="208">
        <f t="shared" si="224"/>
        <v>0</v>
      </c>
      <c r="T415" s="208">
        <f t="shared" si="224"/>
        <v>0</v>
      </c>
      <c r="U415" s="208">
        <f t="shared" si="224"/>
        <v>0</v>
      </c>
      <c r="V415" s="208">
        <f t="shared" si="224"/>
        <v>0</v>
      </c>
      <c r="W415" s="208">
        <f t="shared" si="224"/>
        <v>0</v>
      </c>
      <c r="X415" s="208">
        <f t="shared" si="224"/>
        <v>0</v>
      </c>
      <c r="Y415" s="208">
        <f t="shared" si="224"/>
        <v>0</v>
      </c>
      <c r="Z415" s="208">
        <f t="shared" si="224"/>
        <v>0</v>
      </c>
      <c r="AA415" s="208">
        <f t="shared" si="224"/>
        <v>0</v>
      </c>
      <c r="AB415" s="208">
        <f t="shared" si="224"/>
        <v>0</v>
      </c>
      <c r="AC415" s="208">
        <f t="shared" si="224"/>
        <v>0</v>
      </c>
      <c r="AD415" s="208">
        <f t="shared" si="224"/>
        <v>0</v>
      </c>
      <c r="AE415" s="208">
        <f t="shared" si="224"/>
        <v>0</v>
      </c>
      <c r="AF415" s="208">
        <f t="shared" si="224"/>
        <v>0</v>
      </c>
      <c r="AG415" s="208">
        <f t="shared" si="224"/>
        <v>0</v>
      </c>
      <c r="AH415" s="208">
        <f t="shared" si="224"/>
        <v>0</v>
      </c>
      <c r="AI415" s="208">
        <f t="shared" si="224"/>
        <v>0</v>
      </c>
      <c r="AJ415" s="208">
        <f t="shared" si="224"/>
        <v>0</v>
      </c>
      <c r="AK415" s="208">
        <f t="shared" si="224"/>
        <v>0</v>
      </c>
      <c r="AL415" s="208">
        <f t="shared" si="224"/>
        <v>0</v>
      </c>
      <c r="AM415" s="208">
        <f t="shared" si="224"/>
        <v>0</v>
      </c>
      <c r="AN415" s="208">
        <f t="shared" si="224"/>
        <v>0</v>
      </c>
      <c r="AO415" s="208">
        <f t="shared" si="224"/>
        <v>0</v>
      </c>
      <c r="AP415" s="208">
        <f t="shared" si="224"/>
        <v>0</v>
      </c>
    </row>
    <row r="416" spans="1:42">
      <c r="A416" s="119">
        <f t="shared" si="217"/>
        <v>10</v>
      </c>
      <c r="B416" s="218">
        <f t="shared" si="214"/>
        <v>0</v>
      </c>
      <c r="C416" s="246">
        <f t="shared" ref="C416:AP416" si="225">LOOKUP(C404,$B$365:$AP$365,$B$366:$AP$366)*$B766</f>
        <v>0</v>
      </c>
      <c r="D416" s="209">
        <f t="shared" si="225"/>
        <v>0</v>
      </c>
      <c r="E416" s="209">
        <f t="shared" si="225"/>
        <v>0</v>
      </c>
      <c r="F416" s="209">
        <f t="shared" si="225"/>
        <v>0</v>
      </c>
      <c r="G416" s="209">
        <f t="shared" si="225"/>
        <v>0</v>
      </c>
      <c r="H416" s="209">
        <f t="shared" si="225"/>
        <v>0</v>
      </c>
      <c r="I416" s="209">
        <f t="shared" si="225"/>
        <v>0</v>
      </c>
      <c r="J416" s="209">
        <f t="shared" si="225"/>
        <v>0</v>
      </c>
      <c r="K416" s="209">
        <f t="shared" si="225"/>
        <v>0</v>
      </c>
      <c r="L416" s="209">
        <f t="shared" si="225"/>
        <v>0</v>
      </c>
      <c r="M416" s="209">
        <f t="shared" si="225"/>
        <v>0</v>
      </c>
      <c r="N416" s="209">
        <f t="shared" si="225"/>
        <v>0</v>
      </c>
      <c r="O416" s="209">
        <f t="shared" si="225"/>
        <v>0</v>
      </c>
      <c r="P416" s="209">
        <f t="shared" si="225"/>
        <v>0</v>
      </c>
      <c r="Q416" s="209">
        <f t="shared" si="225"/>
        <v>0</v>
      </c>
      <c r="R416" s="209">
        <f t="shared" si="225"/>
        <v>0</v>
      </c>
      <c r="S416" s="209">
        <f t="shared" si="225"/>
        <v>0</v>
      </c>
      <c r="T416" s="209">
        <f t="shared" si="225"/>
        <v>0</v>
      </c>
      <c r="U416" s="209">
        <f t="shared" si="225"/>
        <v>0</v>
      </c>
      <c r="V416" s="209">
        <f t="shared" si="225"/>
        <v>0</v>
      </c>
      <c r="W416" s="209">
        <f t="shared" si="225"/>
        <v>0</v>
      </c>
      <c r="X416" s="209">
        <f t="shared" si="225"/>
        <v>0</v>
      </c>
      <c r="Y416" s="209">
        <f t="shared" si="225"/>
        <v>0</v>
      </c>
      <c r="Z416" s="209">
        <f t="shared" si="225"/>
        <v>0</v>
      </c>
      <c r="AA416" s="209">
        <f t="shared" si="225"/>
        <v>0</v>
      </c>
      <c r="AB416" s="209">
        <f t="shared" si="225"/>
        <v>0</v>
      </c>
      <c r="AC416" s="209">
        <f t="shared" si="225"/>
        <v>0</v>
      </c>
      <c r="AD416" s="209">
        <f t="shared" si="225"/>
        <v>0</v>
      </c>
      <c r="AE416" s="209">
        <f t="shared" si="225"/>
        <v>0</v>
      </c>
      <c r="AF416" s="209">
        <f t="shared" si="225"/>
        <v>0</v>
      </c>
      <c r="AG416" s="209">
        <f t="shared" si="225"/>
        <v>0</v>
      </c>
      <c r="AH416" s="209">
        <f t="shared" si="225"/>
        <v>0</v>
      </c>
      <c r="AI416" s="209">
        <f t="shared" si="225"/>
        <v>0</v>
      </c>
      <c r="AJ416" s="209">
        <f t="shared" si="225"/>
        <v>0</v>
      </c>
      <c r="AK416" s="209">
        <f t="shared" si="225"/>
        <v>0</v>
      </c>
      <c r="AL416" s="209">
        <f t="shared" si="225"/>
        <v>0</v>
      </c>
      <c r="AM416" s="209">
        <f t="shared" si="225"/>
        <v>0</v>
      </c>
      <c r="AN416" s="209">
        <f t="shared" si="225"/>
        <v>0</v>
      </c>
      <c r="AO416" s="209">
        <f t="shared" si="225"/>
        <v>0</v>
      </c>
      <c r="AP416" s="209">
        <f t="shared" si="225"/>
        <v>0</v>
      </c>
    </row>
    <row r="417" spans="1:42" s="119" customFormat="1" ht="12" customHeight="1">
      <c r="A417" s="247" t="s">
        <v>53</v>
      </c>
      <c r="B417" s="146"/>
      <c r="C417" s="146">
        <f>SUM(C407:C416)</f>
        <v>0</v>
      </c>
      <c r="D417" s="146">
        <f t="shared" ref="D417:AP417" si="226">SUM(D407:D416)</f>
        <v>0</v>
      </c>
      <c r="E417" s="146">
        <f t="shared" si="226"/>
        <v>0</v>
      </c>
      <c r="F417" s="146">
        <f t="shared" si="226"/>
        <v>0</v>
      </c>
      <c r="G417" s="146">
        <f t="shared" si="226"/>
        <v>0</v>
      </c>
      <c r="H417" s="146">
        <f t="shared" si="226"/>
        <v>0</v>
      </c>
      <c r="I417" s="146">
        <f t="shared" si="226"/>
        <v>0</v>
      </c>
      <c r="J417" s="146">
        <f t="shared" si="226"/>
        <v>0</v>
      </c>
      <c r="K417" s="146">
        <f t="shared" si="226"/>
        <v>0</v>
      </c>
      <c r="L417" s="146">
        <f t="shared" si="226"/>
        <v>0</v>
      </c>
      <c r="M417" s="146">
        <f t="shared" si="226"/>
        <v>0</v>
      </c>
      <c r="N417" s="146">
        <f t="shared" si="226"/>
        <v>0</v>
      </c>
      <c r="O417" s="146">
        <f t="shared" si="226"/>
        <v>0</v>
      </c>
      <c r="P417" s="146">
        <f t="shared" si="226"/>
        <v>0</v>
      </c>
      <c r="Q417" s="146">
        <f t="shared" si="226"/>
        <v>1231755.7306939578</v>
      </c>
      <c r="R417" s="146">
        <f t="shared" si="226"/>
        <v>1970809.1691103324</v>
      </c>
      <c r="S417" s="146">
        <f t="shared" si="226"/>
        <v>1182485.5014661995</v>
      </c>
      <c r="T417" s="146">
        <f t="shared" si="226"/>
        <v>709491.30087971967</v>
      </c>
      <c r="U417" s="146">
        <f t="shared" si="226"/>
        <v>709491.30087971967</v>
      </c>
      <c r="V417" s="146">
        <f t="shared" si="226"/>
        <v>354745.65043985983</v>
      </c>
      <c r="W417" s="146">
        <f t="shared" si="226"/>
        <v>0</v>
      </c>
      <c r="X417" s="146">
        <f t="shared" si="226"/>
        <v>0</v>
      </c>
      <c r="Y417" s="146">
        <f t="shared" si="226"/>
        <v>0</v>
      </c>
      <c r="Z417" s="146">
        <f t="shared" si="226"/>
        <v>0</v>
      </c>
      <c r="AA417" s="146">
        <f t="shared" si="226"/>
        <v>0</v>
      </c>
      <c r="AB417" s="146">
        <f t="shared" si="226"/>
        <v>0</v>
      </c>
      <c r="AC417" s="146">
        <f t="shared" si="226"/>
        <v>0</v>
      </c>
      <c r="AD417" s="146">
        <f t="shared" si="226"/>
        <v>0</v>
      </c>
      <c r="AE417" s="146">
        <f t="shared" si="226"/>
        <v>0</v>
      </c>
      <c r="AF417" s="146">
        <f t="shared" si="226"/>
        <v>1539980.512798867</v>
      </c>
      <c r="AG417" s="146">
        <f t="shared" si="226"/>
        <v>0</v>
      </c>
      <c r="AH417" s="146">
        <f t="shared" si="226"/>
        <v>0</v>
      </c>
      <c r="AI417" s="146">
        <f t="shared" si="226"/>
        <v>0</v>
      </c>
      <c r="AJ417" s="146">
        <f t="shared" si="226"/>
        <v>0</v>
      </c>
      <c r="AK417" s="146">
        <f t="shared" si="226"/>
        <v>0</v>
      </c>
      <c r="AL417" s="146">
        <f t="shared" si="226"/>
        <v>0</v>
      </c>
      <c r="AM417" s="146">
        <f t="shared" si="226"/>
        <v>0</v>
      </c>
      <c r="AN417" s="146">
        <f t="shared" si="226"/>
        <v>0</v>
      </c>
      <c r="AO417" s="146">
        <f t="shared" si="226"/>
        <v>0</v>
      </c>
      <c r="AP417" s="146">
        <f t="shared" si="226"/>
        <v>0</v>
      </c>
    </row>
    <row r="418" spans="1:42">
      <c r="A418" s="226"/>
      <c r="C418" s="208"/>
      <c r="D418" s="208"/>
      <c r="E418" s="208"/>
      <c r="F418" s="208"/>
      <c r="G418" s="208"/>
      <c r="H418" s="208"/>
      <c r="I418" s="208"/>
      <c r="J418" s="208"/>
      <c r="K418" s="208"/>
      <c r="L418" s="208"/>
      <c r="M418" s="208"/>
      <c r="N418" s="208"/>
      <c r="O418" s="208"/>
      <c r="P418" s="208"/>
      <c r="Q418" s="208"/>
      <c r="R418" s="208"/>
      <c r="S418" s="208"/>
      <c r="T418" s="208"/>
      <c r="U418" s="208"/>
      <c r="V418" s="208"/>
      <c r="W418" s="208"/>
      <c r="X418" s="208"/>
      <c r="Y418" s="208"/>
      <c r="Z418" s="208"/>
      <c r="AA418" s="208"/>
      <c r="AB418" s="208"/>
      <c r="AC418" s="208"/>
      <c r="AD418" s="208"/>
      <c r="AE418" s="208"/>
      <c r="AF418" s="208"/>
      <c r="AG418" s="208"/>
      <c r="AH418" s="208"/>
      <c r="AI418" s="208"/>
      <c r="AJ418" s="208"/>
      <c r="AK418" s="208"/>
      <c r="AL418" s="208"/>
      <c r="AM418" s="208"/>
      <c r="AN418" s="208"/>
      <c r="AO418" s="208"/>
      <c r="AP418" s="208"/>
    </row>
    <row r="419" spans="1:42">
      <c r="A419" s="219" t="s">
        <v>385</v>
      </c>
      <c r="C419" s="208"/>
      <c r="D419" s="208"/>
      <c r="E419" s="208"/>
      <c r="F419" s="208"/>
      <c r="G419" s="208"/>
      <c r="H419" s="208"/>
      <c r="I419" s="208"/>
      <c r="J419" s="208"/>
      <c r="K419" s="208"/>
      <c r="L419" s="208"/>
      <c r="M419" s="208"/>
      <c r="N419" s="208"/>
      <c r="O419" s="208"/>
      <c r="P419" s="208"/>
      <c r="Q419" s="208"/>
      <c r="R419" s="208"/>
      <c r="S419" s="208"/>
      <c r="T419" s="208"/>
      <c r="U419" s="208"/>
      <c r="V419" s="208"/>
      <c r="W419" s="208"/>
      <c r="X419" s="208"/>
      <c r="Y419" s="208"/>
      <c r="Z419" s="208"/>
      <c r="AA419" s="208"/>
      <c r="AB419" s="208"/>
      <c r="AC419" s="208"/>
      <c r="AD419" s="208"/>
      <c r="AE419" s="208"/>
      <c r="AF419" s="208"/>
      <c r="AG419" s="208"/>
      <c r="AH419" s="208"/>
      <c r="AI419" s="208"/>
      <c r="AJ419" s="208"/>
      <c r="AK419" s="208"/>
      <c r="AL419" s="208"/>
      <c r="AM419" s="208"/>
      <c r="AN419" s="208"/>
      <c r="AO419" s="208"/>
      <c r="AP419" s="208"/>
    </row>
    <row r="420" spans="1:42">
      <c r="A420" s="226" t="s">
        <v>217</v>
      </c>
      <c r="C420" s="208"/>
      <c r="D420" s="208"/>
      <c r="E420" s="208"/>
      <c r="F420" s="208"/>
      <c r="G420" s="208"/>
      <c r="H420" s="208"/>
      <c r="I420" s="208"/>
      <c r="J420" s="208"/>
      <c r="K420" s="208"/>
      <c r="L420" s="208"/>
      <c r="M420" s="208"/>
      <c r="N420" s="208"/>
      <c r="O420" s="208"/>
      <c r="P420" s="208"/>
      <c r="Q420" s="208"/>
      <c r="R420" s="208"/>
      <c r="S420" s="208"/>
      <c r="T420" s="208"/>
      <c r="U420" s="208"/>
      <c r="V420" s="208"/>
      <c r="W420" s="208"/>
      <c r="X420" s="208"/>
      <c r="Y420" s="208"/>
      <c r="Z420" s="208"/>
      <c r="AA420" s="208"/>
      <c r="AB420" s="208"/>
      <c r="AC420" s="208"/>
      <c r="AD420" s="208"/>
      <c r="AE420" s="208"/>
      <c r="AF420" s="208"/>
      <c r="AG420" s="208"/>
      <c r="AH420" s="208"/>
      <c r="AI420" s="208"/>
      <c r="AJ420" s="208"/>
      <c r="AK420" s="208"/>
      <c r="AL420" s="208"/>
      <c r="AM420" s="208"/>
      <c r="AN420" s="208"/>
      <c r="AO420" s="208"/>
      <c r="AP420" s="208"/>
    </row>
    <row r="421" spans="1:42">
      <c r="A421" s="119">
        <v>1</v>
      </c>
      <c r="C421" s="208">
        <f>IF(C$2&lt;=AnalysisPeriod,IF(SUM($C789:C789)&gt;0,B421+1,0),0)</f>
        <v>0</v>
      </c>
      <c r="D421" s="208">
        <f>IF(D$2&lt;=AnalysisPeriod,IF(SUM($C789:D789)&gt;0,C421+1,0),0)</f>
        <v>0</v>
      </c>
      <c r="E421" s="208">
        <f>IF(E$2&lt;=AnalysisPeriod,IF(SUM($C789:E789)&gt;0,D421+1,0),0)</f>
        <v>1</v>
      </c>
      <c r="F421" s="208">
        <f>IF(F$2&lt;=AnalysisPeriod,IF(SUM($C789:F789)&gt;0,E421+1,0),0)</f>
        <v>2</v>
      </c>
      <c r="G421" s="208">
        <f>IF(G$2&lt;=AnalysisPeriod,IF(SUM($C789:G789)&gt;0,F421+1,0),0)</f>
        <v>3</v>
      </c>
      <c r="H421" s="208">
        <f>IF(H$2&lt;=AnalysisPeriod,IF(SUM($C789:H789)&gt;0,G421+1,0),0)</f>
        <v>4</v>
      </c>
      <c r="I421" s="208">
        <f>IF(I$2&lt;=AnalysisPeriod,IF(SUM($C789:I789)&gt;0,H421+1,0),0)</f>
        <v>5</v>
      </c>
      <c r="J421" s="208">
        <f>IF(J$2&lt;=AnalysisPeriod,IF(SUM($C789:J789)&gt;0,I421+1,0),0)</f>
        <v>6</v>
      </c>
      <c r="K421" s="208">
        <f>IF(K$2&lt;=AnalysisPeriod,IF(SUM($C789:K789)&gt;0,J421+1,0),0)</f>
        <v>7</v>
      </c>
      <c r="L421" s="208">
        <f>IF(L$2&lt;=AnalysisPeriod,IF(SUM($C789:L789)&gt;0,K421+1,0),0)</f>
        <v>8</v>
      </c>
      <c r="M421" s="208">
        <f>IF(M$2&lt;=AnalysisPeriod,IF(SUM($C789:M789)&gt;0,L421+1,0),0)</f>
        <v>9</v>
      </c>
      <c r="N421" s="208">
        <f>IF(N$2&lt;=AnalysisPeriod,IF(SUM($C789:N789)&gt;0,M421+1,0),0)</f>
        <v>10</v>
      </c>
      <c r="O421" s="208">
        <f>IF(O$2&lt;=AnalysisPeriod,IF(SUM($C789:O789)&gt;0,N421+1,0),0)</f>
        <v>11</v>
      </c>
      <c r="P421" s="208">
        <f>IF(P$2&lt;=AnalysisPeriod,IF(SUM($C789:P789)&gt;0,O421+1,0),0)</f>
        <v>12</v>
      </c>
      <c r="Q421" s="208">
        <f>IF(Q$2&lt;=AnalysisPeriod,IF(SUM($C789:Q789)&gt;0,P421+1,0),0)</f>
        <v>13</v>
      </c>
      <c r="R421" s="208">
        <f>IF(R$2&lt;=AnalysisPeriod,IF(SUM($C789:R789)&gt;0,Q421+1,0),0)</f>
        <v>14</v>
      </c>
      <c r="S421" s="208">
        <f>IF(S$2&lt;=AnalysisPeriod,IF(SUM($C789:S789)&gt;0,R421+1,0),0)</f>
        <v>15</v>
      </c>
      <c r="T421" s="208">
        <f>IF(T$2&lt;=AnalysisPeriod,IF(SUM($C789:T789)&gt;0,S421+1,0),0)</f>
        <v>16</v>
      </c>
      <c r="U421" s="208">
        <f>IF(U$2&lt;=AnalysisPeriod,IF(SUM($C789:U789)&gt;0,T421+1,0),0)</f>
        <v>17</v>
      </c>
      <c r="V421" s="208">
        <f>IF(V$2&lt;=AnalysisPeriod,IF(SUM($C789:V789)&gt;0,U421+1,0),0)</f>
        <v>18</v>
      </c>
      <c r="W421" s="208">
        <f>IF(W$2&lt;=AnalysisPeriod,IF(SUM($C789:W789)&gt;0,V421+1,0),0)</f>
        <v>19</v>
      </c>
      <c r="X421" s="208">
        <f>IF(X$2&lt;=AnalysisPeriod,IF(SUM($C789:X789)&gt;0,W421+1,0),0)</f>
        <v>20</v>
      </c>
      <c r="Y421" s="208">
        <f>IF(Y$2&lt;=AnalysisPeriod,IF(SUM($C789:Y789)&gt;0,X421+1,0),0)</f>
        <v>21</v>
      </c>
      <c r="Z421" s="208">
        <f>IF(Z$2&lt;=AnalysisPeriod,IF(SUM($C789:Z789)&gt;0,Y421+1,0),0)</f>
        <v>22</v>
      </c>
      <c r="AA421" s="208">
        <f>IF(AA$2&lt;=AnalysisPeriod,IF(SUM($C789:AA789)&gt;0,Z421+1,0),0)</f>
        <v>23</v>
      </c>
      <c r="AB421" s="208">
        <f>IF(AB$2&lt;=AnalysisPeriod,IF(SUM($C789:AB789)&gt;0,AA421+1,0),0)</f>
        <v>24</v>
      </c>
      <c r="AC421" s="208">
        <f>IF(AC$2&lt;=AnalysisPeriod,IF(SUM($C789:AC789)&gt;0,AB421+1,0),0)</f>
        <v>25</v>
      </c>
      <c r="AD421" s="208">
        <f>IF(AD$2&lt;=AnalysisPeriod,IF(SUM($C789:AD789)&gt;0,AC421+1,0),0)</f>
        <v>26</v>
      </c>
      <c r="AE421" s="208">
        <f>IF(AE$2&lt;=AnalysisPeriod,IF(SUM($C789:AE789)&gt;0,AD421+1,0),0)</f>
        <v>27</v>
      </c>
      <c r="AF421" s="208">
        <f>IF(AF$2&lt;=AnalysisPeriod,IF(SUM($C789:AF789)&gt;0,AE421+1,0),0)</f>
        <v>28</v>
      </c>
      <c r="AG421" s="208">
        <f>IF(AG$2&lt;=AnalysisPeriod,IF(SUM($C789:AG789)&gt;0,AF421+1,0),0)</f>
        <v>0</v>
      </c>
      <c r="AH421" s="208">
        <f>IF(AH$2&lt;=AnalysisPeriod,IF(SUM($C789:AH789)&gt;0,AG421+1,0),0)</f>
        <v>0</v>
      </c>
      <c r="AI421" s="208">
        <f>IF(AI$2&lt;=AnalysisPeriod,IF(SUM($C789:AI789)&gt;0,AH421+1,0),0)</f>
        <v>0</v>
      </c>
      <c r="AJ421" s="208">
        <f>IF(AJ$2&lt;=AnalysisPeriod,IF(SUM($C789:AJ789)&gt;0,AI421+1,0),0)</f>
        <v>0</v>
      </c>
      <c r="AK421" s="208">
        <f>IF(AK$2&lt;=AnalysisPeriod,IF(SUM($C789:AK789)&gt;0,AJ421+1,0),0)</f>
        <v>0</v>
      </c>
      <c r="AL421" s="208">
        <f>IF(AL$2&lt;=AnalysisPeriod,IF(SUM($C789:AL789)&gt;0,AK421+1,0),0)</f>
        <v>0</v>
      </c>
      <c r="AM421" s="208">
        <f>IF(AM$2&lt;=AnalysisPeriod,IF(SUM($C789:AM789)&gt;0,AL421+1,0),0)</f>
        <v>0</v>
      </c>
      <c r="AN421" s="208">
        <f>IF(AN$2&lt;=AnalysisPeriod,IF(SUM($C789:AN789)&gt;0,AM421+1,0),0)</f>
        <v>0</v>
      </c>
      <c r="AO421" s="208">
        <f>IF(AO$2&lt;=AnalysisPeriod,IF(SUM($C789:AO789)&gt;0,AN421+1,0),0)</f>
        <v>0</v>
      </c>
      <c r="AP421" s="208">
        <f>IF(AP$2&lt;=AnalysisPeriod,IF(SUM($C789:AP789)&gt;0,AO421+1,0),0)</f>
        <v>0</v>
      </c>
    </row>
    <row r="422" spans="1:42">
      <c r="A422" s="119">
        <f>A421+1</f>
        <v>2</v>
      </c>
      <c r="C422" s="208">
        <f>IF(C$2&lt;=AnalysisPeriod,IF(SUM($C790:C790)&gt;0,B422+1,0),0)</f>
        <v>0</v>
      </c>
      <c r="D422" s="208">
        <f>IF(D$2&lt;=AnalysisPeriod,IF(SUM($C790:D790)&gt;0,C422+1,0),0)</f>
        <v>0</v>
      </c>
      <c r="E422" s="208">
        <f>IF(E$2&lt;=AnalysisPeriod,IF(SUM($C790:E790)&gt;0,D422+1,0),0)</f>
        <v>0</v>
      </c>
      <c r="F422" s="208">
        <f>IF(F$2&lt;=AnalysisPeriod,IF(SUM($C790:F790)&gt;0,E422+1,0),0)</f>
        <v>0</v>
      </c>
      <c r="G422" s="208">
        <f>IF(G$2&lt;=AnalysisPeriod,IF(SUM($C790:G790)&gt;0,F422+1,0),0)</f>
        <v>0</v>
      </c>
      <c r="H422" s="208">
        <f>IF(H$2&lt;=AnalysisPeriod,IF(SUM($C790:H790)&gt;0,G422+1,0),0)</f>
        <v>1</v>
      </c>
      <c r="I422" s="208">
        <f>IF(I$2&lt;=AnalysisPeriod,IF(SUM($C790:I790)&gt;0,H422+1,0),0)</f>
        <v>2</v>
      </c>
      <c r="J422" s="208">
        <f>IF(J$2&lt;=AnalysisPeriod,IF(SUM($C790:J790)&gt;0,I422+1,0),0)</f>
        <v>3</v>
      </c>
      <c r="K422" s="208">
        <f>IF(K$2&lt;=AnalysisPeriod,IF(SUM($C790:K790)&gt;0,J422+1,0),0)</f>
        <v>4</v>
      </c>
      <c r="L422" s="208">
        <f>IF(L$2&lt;=AnalysisPeriod,IF(SUM($C790:L790)&gt;0,K422+1,0),0)</f>
        <v>5</v>
      </c>
      <c r="M422" s="208">
        <f>IF(M$2&lt;=AnalysisPeriod,IF(SUM($C790:M790)&gt;0,L422+1,0),0)</f>
        <v>6</v>
      </c>
      <c r="N422" s="208">
        <f>IF(N$2&lt;=AnalysisPeriod,IF(SUM($C790:N790)&gt;0,M422+1,0),0)</f>
        <v>7</v>
      </c>
      <c r="O422" s="208">
        <f>IF(O$2&lt;=AnalysisPeriod,IF(SUM($C790:O790)&gt;0,N422+1,0),0)</f>
        <v>8</v>
      </c>
      <c r="P422" s="208">
        <f>IF(P$2&lt;=AnalysisPeriod,IF(SUM($C790:P790)&gt;0,O422+1,0),0)</f>
        <v>9</v>
      </c>
      <c r="Q422" s="208">
        <f>IF(Q$2&lt;=AnalysisPeriod,IF(SUM($C790:Q790)&gt;0,P422+1,0),0)</f>
        <v>10</v>
      </c>
      <c r="R422" s="208">
        <f>IF(R$2&lt;=AnalysisPeriod,IF(SUM($C790:R790)&gt;0,Q422+1,0),0)</f>
        <v>11</v>
      </c>
      <c r="S422" s="208">
        <f>IF(S$2&lt;=AnalysisPeriod,IF(SUM($C790:S790)&gt;0,R422+1,0),0)</f>
        <v>12</v>
      </c>
      <c r="T422" s="208">
        <f>IF(T$2&lt;=AnalysisPeriod,IF(SUM($C790:T790)&gt;0,S422+1,0),0)</f>
        <v>13</v>
      </c>
      <c r="U422" s="208">
        <f>IF(U$2&lt;=AnalysisPeriod,IF(SUM($C790:U790)&gt;0,T422+1,0),0)</f>
        <v>14</v>
      </c>
      <c r="V422" s="208">
        <f>IF(V$2&lt;=AnalysisPeriod,IF(SUM($C790:V790)&gt;0,U422+1,0),0)</f>
        <v>15</v>
      </c>
      <c r="W422" s="208">
        <f>IF(W$2&lt;=AnalysisPeriod,IF(SUM($C790:W790)&gt;0,V422+1,0),0)</f>
        <v>16</v>
      </c>
      <c r="X422" s="208">
        <f>IF(X$2&lt;=AnalysisPeriod,IF(SUM($C790:X790)&gt;0,W422+1,0),0)</f>
        <v>17</v>
      </c>
      <c r="Y422" s="208">
        <f>IF(Y$2&lt;=AnalysisPeriod,IF(SUM($C790:Y790)&gt;0,X422+1,0),0)</f>
        <v>18</v>
      </c>
      <c r="Z422" s="208">
        <f>IF(Z$2&lt;=AnalysisPeriod,IF(SUM($C790:Z790)&gt;0,Y422+1,0),0)</f>
        <v>19</v>
      </c>
      <c r="AA422" s="208">
        <f>IF(AA$2&lt;=AnalysisPeriod,IF(SUM($C790:AA790)&gt;0,Z422+1,0),0)</f>
        <v>20</v>
      </c>
      <c r="AB422" s="208">
        <f>IF(AB$2&lt;=AnalysisPeriod,IF(SUM($C790:AB790)&gt;0,AA422+1,0),0)</f>
        <v>21</v>
      </c>
      <c r="AC422" s="208">
        <f>IF(AC$2&lt;=AnalysisPeriod,IF(SUM($C790:AC790)&gt;0,AB422+1,0),0)</f>
        <v>22</v>
      </c>
      <c r="AD422" s="208">
        <f>IF(AD$2&lt;=AnalysisPeriod,IF(SUM($C790:AD790)&gt;0,AC422+1,0),0)</f>
        <v>23</v>
      </c>
      <c r="AE422" s="208">
        <f>IF(AE$2&lt;=AnalysisPeriod,IF(SUM($C790:AE790)&gt;0,AD422+1,0),0)</f>
        <v>24</v>
      </c>
      <c r="AF422" s="208">
        <f>IF(AF$2&lt;=AnalysisPeriod,IF(SUM($C790:AF790)&gt;0,AE422+1,0),0)</f>
        <v>25</v>
      </c>
      <c r="AG422" s="208">
        <f>IF(AG$2&lt;=AnalysisPeriod,IF(SUM($C790:AG790)&gt;0,AF422+1,0),0)</f>
        <v>0</v>
      </c>
      <c r="AH422" s="208">
        <f>IF(AH$2&lt;=AnalysisPeriod,IF(SUM($C790:AH790)&gt;0,AG422+1,0),0)</f>
        <v>0</v>
      </c>
      <c r="AI422" s="208">
        <f>IF(AI$2&lt;=AnalysisPeriod,IF(SUM($C790:AI790)&gt;0,AH422+1,0),0)</f>
        <v>0</v>
      </c>
      <c r="AJ422" s="208">
        <f>IF(AJ$2&lt;=AnalysisPeriod,IF(SUM($C790:AJ790)&gt;0,AI422+1,0),0)</f>
        <v>0</v>
      </c>
      <c r="AK422" s="208">
        <f>IF(AK$2&lt;=AnalysisPeriod,IF(SUM($C790:AK790)&gt;0,AJ422+1,0),0)</f>
        <v>0</v>
      </c>
      <c r="AL422" s="208">
        <f>IF(AL$2&lt;=AnalysisPeriod,IF(SUM($C790:AL790)&gt;0,AK422+1,0),0)</f>
        <v>0</v>
      </c>
      <c r="AM422" s="208">
        <f>IF(AM$2&lt;=AnalysisPeriod,IF(SUM($C790:AM790)&gt;0,AL422+1,0),0)</f>
        <v>0</v>
      </c>
      <c r="AN422" s="208">
        <f>IF(AN$2&lt;=AnalysisPeriod,IF(SUM($C790:AN790)&gt;0,AM422+1,0),0)</f>
        <v>0</v>
      </c>
      <c r="AO422" s="208">
        <f>IF(AO$2&lt;=AnalysisPeriod,IF(SUM($C790:AO790)&gt;0,AN422+1,0),0)</f>
        <v>0</v>
      </c>
      <c r="AP422" s="208">
        <f>IF(AP$2&lt;=AnalysisPeriod,IF(SUM($C790:AP790)&gt;0,AO422+1,0),0)</f>
        <v>0</v>
      </c>
    </row>
    <row r="423" spans="1:42">
      <c r="A423" s="119">
        <f t="shared" ref="A423:A430" si="227">A422+1</f>
        <v>3</v>
      </c>
      <c r="C423" s="208">
        <f>IF(C$2&lt;=AnalysisPeriod,IF(SUM($C791:C791)&gt;0,B423+1,0),0)</f>
        <v>0</v>
      </c>
      <c r="D423" s="208">
        <f>IF(D$2&lt;=AnalysisPeriod,IF(SUM($C791:D791)&gt;0,C423+1,0),0)</f>
        <v>0</v>
      </c>
      <c r="E423" s="208">
        <f>IF(E$2&lt;=AnalysisPeriod,IF(SUM($C791:E791)&gt;0,D423+1,0),0)</f>
        <v>0</v>
      </c>
      <c r="F423" s="208">
        <f>IF(F$2&lt;=AnalysisPeriod,IF(SUM($C791:F791)&gt;0,E423+1,0),0)</f>
        <v>0</v>
      </c>
      <c r="G423" s="208">
        <f>IF(G$2&lt;=AnalysisPeriod,IF(SUM($C791:G791)&gt;0,F423+1,0),0)</f>
        <v>0</v>
      </c>
      <c r="H423" s="208">
        <f>IF(H$2&lt;=AnalysisPeriod,IF(SUM($C791:H791)&gt;0,G423+1,0),0)</f>
        <v>0</v>
      </c>
      <c r="I423" s="208">
        <f>IF(I$2&lt;=AnalysisPeriod,IF(SUM($C791:I791)&gt;0,H423+1,0),0)</f>
        <v>0</v>
      </c>
      <c r="J423" s="208">
        <f>IF(J$2&lt;=AnalysisPeriod,IF(SUM($C791:J791)&gt;0,I423+1,0),0)</f>
        <v>0</v>
      </c>
      <c r="K423" s="208">
        <f>IF(K$2&lt;=AnalysisPeriod,IF(SUM($C791:K791)&gt;0,J423+1,0),0)</f>
        <v>1</v>
      </c>
      <c r="L423" s="208">
        <f>IF(L$2&lt;=AnalysisPeriod,IF(SUM($C791:L791)&gt;0,K423+1,0),0)</f>
        <v>2</v>
      </c>
      <c r="M423" s="208">
        <f>IF(M$2&lt;=AnalysisPeriod,IF(SUM($C791:M791)&gt;0,L423+1,0),0)</f>
        <v>3</v>
      </c>
      <c r="N423" s="208">
        <f>IF(N$2&lt;=AnalysisPeriod,IF(SUM($C791:N791)&gt;0,M423+1,0),0)</f>
        <v>4</v>
      </c>
      <c r="O423" s="208">
        <f>IF(O$2&lt;=AnalysisPeriod,IF(SUM($C791:O791)&gt;0,N423+1,0),0)</f>
        <v>5</v>
      </c>
      <c r="P423" s="208">
        <f>IF(P$2&lt;=AnalysisPeriod,IF(SUM($C791:P791)&gt;0,O423+1,0),0)</f>
        <v>6</v>
      </c>
      <c r="Q423" s="208">
        <f>IF(Q$2&lt;=AnalysisPeriod,IF(SUM($C791:Q791)&gt;0,P423+1,0),0)</f>
        <v>7</v>
      </c>
      <c r="R423" s="208">
        <f>IF(R$2&lt;=AnalysisPeriod,IF(SUM($C791:R791)&gt;0,Q423+1,0),0)</f>
        <v>8</v>
      </c>
      <c r="S423" s="208">
        <f>IF(S$2&lt;=AnalysisPeriod,IF(SUM($C791:S791)&gt;0,R423+1,0),0)</f>
        <v>9</v>
      </c>
      <c r="T423" s="208">
        <f>IF(T$2&lt;=AnalysisPeriod,IF(SUM($C791:T791)&gt;0,S423+1,0),0)</f>
        <v>10</v>
      </c>
      <c r="U423" s="208">
        <f>IF(U$2&lt;=AnalysisPeriod,IF(SUM($C791:U791)&gt;0,T423+1,0),0)</f>
        <v>11</v>
      </c>
      <c r="V423" s="208">
        <f>IF(V$2&lt;=AnalysisPeriod,IF(SUM($C791:V791)&gt;0,U423+1,0),0)</f>
        <v>12</v>
      </c>
      <c r="W423" s="208">
        <f>IF(W$2&lt;=AnalysisPeriod,IF(SUM($C791:W791)&gt;0,V423+1,0),0)</f>
        <v>13</v>
      </c>
      <c r="X423" s="208">
        <f>IF(X$2&lt;=AnalysisPeriod,IF(SUM($C791:X791)&gt;0,W423+1,0),0)</f>
        <v>14</v>
      </c>
      <c r="Y423" s="208">
        <f>IF(Y$2&lt;=AnalysisPeriod,IF(SUM($C791:Y791)&gt;0,X423+1,0),0)</f>
        <v>15</v>
      </c>
      <c r="Z423" s="208">
        <f>IF(Z$2&lt;=AnalysisPeriod,IF(SUM($C791:Z791)&gt;0,Y423+1,0),0)</f>
        <v>16</v>
      </c>
      <c r="AA423" s="208">
        <f>IF(AA$2&lt;=AnalysisPeriod,IF(SUM($C791:AA791)&gt;0,Z423+1,0),0)</f>
        <v>17</v>
      </c>
      <c r="AB423" s="208">
        <f>IF(AB$2&lt;=AnalysisPeriod,IF(SUM($C791:AB791)&gt;0,AA423+1,0),0)</f>
        <v>18</v>
      </c>
      <c r="AC423" s="208">
        <f>IF(AC$2&lt;=AnalysisPeriod,IF(SUM($C791:AC791)&gt;0,AB423+1,0),0)</f>
        <v>19</v>
      </c>
      <c r="AD423" s="208">
        <f>IF(AD$2&lt;=AnalysisPeriod,IF(SUM($C791:AD791)&gt;0,AC423+1,0),0)</f>
        <v>20</v>
      </c>
      <c r="AE423" s="208">
        <f>IF(AE$2&lt;=AnalysisPeriod,IF(SUM($C791:AE791)&gt;0,AD423+1,0),0)</f>
        <v>21</v>
      </c>
      <c r="AF423" s="208">
        <f>IF(AF$2&lt;=AnalysisPeriod,IF(SUM($C791:AF791)&gt;0,AE423+1,0),0)</f>
        <v>22</v>
      </c>
      <c r="AG423" s="208">
        <f>IF(AG$2&lt;=AnalysisPeriod,IF(SUM($C791:AG791)&gt;0,AF423+1,0),0)</f>
        <v>0</v>
      </c>
      <c r="AH423" s="208">
        <f>IF(AH$2&lt;=AnalysisPeriod,IF(SUM($C791:AH791)&gt;0,AG423+1,0),0)</f>
        <v>0</v>
      </c>
      <c r="AI423" s="208">
        <f>IF(AI$2&lt;=AnalysisPeriod,IF(SUM($C791:AI791)&gt;0,AH423+1,0),0)</f>
        <v>0</v>
      </c>
      <c r="AJ423" s="208">
        <f>IF(AJ$2&lt;=AnalysisPeriod,IF(SUM($C791:AJ791)&gt;0,AI423+1,0),0)</f>
        <v>0</v>
      </c>
      <c r="AK423" s="208">
        <f>IF(AK$2&lt;=AnalysisPeriod,IF(SUM($C791:AK791)&gt;0,AJ423+1,0),0)</f>
        <v>0</v>
      </c>
      <c r="AL423" s="208">
        <f>IF(AL$2&lt;=AnalysisPeriod,IF(SUM($C791:AL791)&gt;0,AK423+1,0),0)</f>
        <v>0</v>
      </c>
      <c r="AM423" s="208">
        <f>IF(AM$2&lt;=AnalysisPeriod,IF(SUM($C791:AM791)&gt;0,AL423+1,0),0)</f>
        <v>0</v>
      </c>
      <c r="AN423" s="208">
        <f>IF(AN$2&lt;=AnalysisPeriod,IF(SUM($C791:AN791)&gt;0,AM423+1,0),0)</f>
        <v>0</v>
      </c>
      <c r="AO423" s="208">
        <f>IF(AO$2&lt;=AnalysisPeriod,IF(SUM($C791:AO791)&gt;0,AN423+1,0),0)</f>
        <v>0</v>
      </c>
      <c r="AP423" s="208">
        <f>IF(AP$2&lt;=AnalysisPeriod,IF(SUM($C791:AP791)&gt;0,AO423+1,0),0)</f>
        <v>0</v>
      </c>
    </row>
    <row r="424" spans="1:42">
      <c r="A424" s="119">
        <f t="shared" si="227"/>
        <v>4</v>
      </c>
      <c r="C424" s="208">
        <f>IF(C$2&lt;=AnalysisPeriod,IF(SUM($C792:C792)&gt;0,B424+1,0),0)</f>
        <v>0</v>
      </c>
      <c r="D424" s="208">
        <f>IF(D$2&lt;=AnalysisPeriod,IF(SUM($C792:D792)&gt;0,C424+1,0),0)</f>
        <v>0</v>
      </c>
      <c r="E424" s="208">
        <f>IF(E$2&lt;=AnalysisPeriod,IF(SUM($C792:E792)&gt;0,D424+1,0),0)</f>
        <v>0</v>
      </c>
      <c r="F424" s="208">
        <f>IF(F$2&lt;=AnalysisPeriod,IF(SUM($C792:F792)&gt;0,E424+1,0),0)</f>
        <v>0</v>
      </c>
      <c r="G424" s="208">
        <f>IF(G$2&lt;=AnalysisPeriod,IF(SUM($C792:G792)&gt;0,F424+1,0),0)</f>
        <v>0</v>
      </c>
      <c r="H424" s="208">
        <f>IF(H$2&lt;=AnalysisPeriod,IF(SUM($C792:H792)&gt;0,G424+1,0),0)</f>
        <v>0</v>
      </c>
      <c r="I424" s="208">
        <f>IF(I$2&lt;=AnalysisPeriod,IF(SUM($C792:I792)&gt;0,H424+1,0),0)</f>
        <v>0</v>
      </c>
      <c r="J424" s="208">
        <f>IF(J$2&lt;=AnalysisPeriod,IF(SUM($C792:J792)&gt;0,I424+1,0),0)</f>
        <v>0</v>
      </c>
      <c r="K424" s="208">
        <f>IF(K$2&lt;=AnalysisPeriod,IF(SUM($C792:K792)&gt;0,J424+1,0),0)</f>
        <v>0</v>
      </c>
      <c r="L424" s="208">
        <f>IF(L$2&lt;=AnalysisPeriod,IF(SUM($C792:L792)&gt;0,K424+1,0),0)</f>
        <v>0</v>
      </c>
      <c r="M424" s="208">
        <f>IF(M$2&lt;=AnalysisPeriod,IF(SUM($C792:M792)&gt;0,L424+1,0),0)</f>
        <v>0</v>
      </c>
      <c r="N424" s="208">
        <f>IF(N$2&lt;=AnalysisPeriod,IF(SUM($C792:N792)&gt;0,M424+1,0),0)</f>
        <v>1</v>
      </c>
      <c r="O424" s="208">
        <f>IF(O$2&lt;=AnalysisPeriod,IF(SUM($C792:O792)&gt;0,N424+1,0),0)</f>
        <v>2</v>
      </c>
      <c r="P424" s="208">
        <f>IF(P$2&lt;=AnalysisPeriod,IF(SUM($C792:P792)&gt;0,O424+1,0),0)</f>
        <v>3</v>
      </c>
      <c r="Q424" s="208">
        <f>IF(Q$2&lt;=AnalysisPeriod,IF(SUM($C792:Q792)&gt;0,P424+1,0),0)</f>
        <v>4</v>
      </c>
      <c r="R424" s="208">
        <f>IF(R$2&lt;=AnalysisPeriod,IF(SUM($C792:R792)&gt;0,Q424+1,0),0)</f>
        <v>5</v>
      </c>
      <c r="S424" s="208">
        <f>IF(S$2&lt;=AnalysisPeriod,IF(SUM($C792:S792)&gt;0,R424+1,0),0)</f>
        <v>6</v>
      </c>
      <c r="T424" s="208">
        <f>IF(T$2&lt;=AnalysisPeriod,IF(SUM($C792:T792)&gt;0,S424+1,0),0)</f>
        <v>7</v>
      </c>
      <c r="U424" s="208">
        <f>IF(U$2&lt;=AnalysisPeriod,IF(SUM($C792:U792)&gt;0,T424+1,0),0)</f>
        <v>8</v>
      </c>
      <c r="V424" s="208">
        <f>IF(V$2&lt;=AnalysisPeriod,IF(SUM($C792:V792)&gt;0,U424+1,0),0)</f>
        <v>9</v>
      </c>
      <c r="W424" s="208">
        <f>IF(W$2&lt;=AnalysisPeriod,IF(SUM($C792:W792)&gt;0,V424+1,0),0)</f>
        <v>10</v>
      </c>
      <c r="X424" s="208">
        <f>IF(X$2&lt;=AnalysisPeriod,IF(SUM($C792:X792)&gt;0,W424+1,0),0)</f>
        <v>11</v>
      </c>
      <c r="Y424" s="208">
        <f>IF(Y$2&lt;=AnalysisPeriod,IF(SUM($C792:Y792)&gt;0,X424+1,0),0)</f>
        <v>12</v>
      </c>
      <c r="Z424" s="208">
        <f>IF(Z$2&lt;=AnalysisPeriod,IF(SUM($C792:Z792)&gt;0,Y424+1,0),0)</f>
        <v>13</v>
      </c>
      <c r="AA424" s="208">
        <f>IF(AA$2&lt;=AnalysisPeriod,IF(SUM($C792:AA792)&gt;0,Z424+1,0),0)</f>
        <v>14</v>
      </c>
      <c r="AB424" s="208">
        <f>IF(AB$2&lt;=AnalysisPeriod,IF(SUM($C792:AB792)&gt;0,AA424+1,0),0)</f>
        <v>15</v>
      </c>
      <c r="AC424" s="208">
        <f>IF(AC$2&lt;=AnalysisPeriod,IF(SUM($C792:AC792)&gt;0,AB424+1,0),0)</f>
        <v>16</v>
      </c>
      <c r="AD424" s="208">
        <f>IF(AD$2&lt;=AnalysisPeriod,IF(SUM($C792:AD792)&gt;0,AC424+1,0),0)</f>
        <v>17</v>
      </c>
      <c r="AE424" s="208">
        <f>IF(AE$2&lt;=AnalysisPeriod,IF(SUM($C792:AE792)&gt;0,AD424+1,0),0)</f>
        <v>18</v>
      </c>
      <c r="AF424" s="208">
        <f>IF(AF$2&lt;=AnalysisPeriod,IF(SUM($C792:AF792)&gt;0,AE424+1,0),0)</f>
        <v>19</v>
      </c>
      <c r="AG424" s="208">
        <f>IF(AG$2&lt;=AnalysisPeriod,IF(SUM($C792:AG792)&gt;0,AF424+1,0),0)</f>
        <v>0</v>
      </c>
      <c r="AH424" s="208">
        <f>IF(AH$2&lt;=AnalysisPeriod,IF(SUM($C792:AH792)&gt;0,AG424+1,0),0)</f>
        <v>0</v>
      </c>
      <c r="AI424" s="208">
        <f>IF(AI$2&lt;=AnalysisPeriod,IF(SUM($C792:AI792)&gt;0,AH424+1,0),0)</f>
        <v>0</v>
      </c>
      <c r="AJ424" s="208">
        <f>IF(AJ$2&lt;=AnalysisPeriod,IF(SUM($C792:AJ792)&gt;0,AI424+1,0),0)</f>
        <v>0</v>
      </c>
      <c r="AK424" s="208">
        <f>IF(AK$2&lt;=AnalysisPeriod,IF(SUM($C792:AK792)&gt;0,AJ424+1,0),0)</f>
        <v>0</v>
      </c>
      <c r="AL424" s="208">
        <f>IF(AL$2&lt;=AnalysisPeriod,IF(SUM($C792:AL792)&gt;0,AK424+1,0),0)</f>
        <v>0</v>
      </c>
      <c r="AM424" s="208">
        <f>IF(AM$2&lt;=AnalysisPeriod,IF(SUM($C792:AM792)&gt;0,AL424+1,0),0)</f>
        <v>0</v>
      </c>
      <c r="AN424" s="208">
        <f>IF(AN$2&lt;=AnalysisPeriod,IF(SUM($C792:AN792)&gt;0,AM424+1,0),0)</f>
        <v>0</v>
      </c>
      <c r="AO424" s="208">
        <f>IF(AO$2&lt;=AnalysisPeriod,IF(SUM($C792:AO792)&gt;0,AN424+1,0),0)</f>
        <v>0</v>
      </c>
      <c r="AP424" s="208">
        <f>IF(AP$2&lt;=AnalysisPeriod,IF(SUM($C792:AP792)&gt;0,AO424+1,0),0)</f>
        <v>0</v>
      </c>
    </row>
    <row r="425" spans="1:42">
      <c r="A425" s="119">
        <f t="shared" si="227"/>
        <v>5</v>
      </c>
      <c r="C425" s="208">
        <f>IF(C$2&lt;=AnalysisPeriod,IF(SUM($C793:C793)&gt;0,B425+1,0),0)</f>
        <v>0</v>
      </c>
      <c r="D425" s="208">
        <f>IF(D$2&lt;=AnalysisPeriod,IF(SUM($C793:D793)&gt;0,C425+1,0),0)</f>
        <v>0</v>
      </c>
      <c r="E425" s="208">
        <f>IF(E$2&lt;=AnalysisPeriod,IF(SUM($C793:E793)&gt;0,D425+1,0),0)</f>
        <v>0</v>
      </c>
      <c r="F425" s="208">
        <f>IF(F$2&lt;=AnalysisPeriod,IF(SUM($C793:F793)&gt;0,E425+1,0),0)</f>
        <v>0</v>
      </c>
      <c r="G425" s="208">
        <f>IF(G$2&lt;=AnalysisPeriod,IF(SUM($C793:G793)&gt;0,F425+1,0),0)</f>
        <v>0</v>
      </c>
      <c r="H425" s="208">
        <f>IF(H$2&lt;=AnalysisPeriod,IF(SUM($C793:H793)&gt;0,G425+1,0),0)</f>
        <v>0</v>
      </c>
      <c r="I425" s="208">
        <f>IF(I$2&lt;=AnalysisPeriod,IF(SUM($C793:I793)&gt;0,H425+1,0),0)</f>
        <v>0</v>
      </c>
      <c r="J425" s="208">
        <f>IF(J$2&lt;=AnalysisPeriod,IF(SUM($C793:J793)&gt;0,I425+1,0),0)</f>
        <v>0</v>
      </c>
      <c r="K425" s="208">
        <f>IF(K$2&lt;=AnalysisPeriod,IF(SUM($C793:K793)&gt;0,J425+1,0),0)</f>
        <v>0</v>
      </c>
      <c r="L425" s="208">
        <f>IF(L$2&lt;=AnalysisPeriod,IF(SUM($C793:L793)&gt;0,K425+1,0),0)</f>
        <v>0</v>
      </c>
      <c r="M425" s="208">
        <f>IF(M$2&lt;=AnalysisPeriod,IF(SUM($C793:M793)&gt;0,L425+1,0),0)</f>
        <v>0</v>
      </c>
      <c r="N425" s="208">
        <f>IF(N$2&lt;=AnalysisPeriod,IF(SUM($C793:N793)&gt;0,M425+1,0),0)</f>
        <v>0</v>
      </c>
      <c r="O425" s="208">
        <f>IF(O$2&lt;=AnalysisPeriod,IF(SUM($C793:O793)&gt;0,N425+1,0),0)</f>
        <v>0</v>
      </c>
      <c r="P425" s="208">
        <f>IF(P$2&lt;=AnalysisPeriod,IF(SUM($C793:P793)&gt;0,O425+1,0),0)</f>
        <v>0</v>
      </c>
      <c r="Q425" s="208">
        <f>IF(Q$2&lt;=AnalysisPeriod,IF(SUM($C793:Q793)&gt;0,P425+1,0),0)</f>
        <v>1</v>
      </c>
      <c r="R425" s="208">
        <f>IF(R$2&lt;=AnalysisPeriod,IF(SUM($C793:R793)&gt;0,Q425+1,0),0)</f>
        <v>2</v>
      </c>
      <c r="S425" s="208">
        <f>IF(S$2&lt;=AnalysisPeriod,IF(SUM($C793:S793)&gt;0,R425+1,0),0)</f>
        <v>3</v>
      </c>
      <c r="T425" s="208">
        <f>IF(T$2&lt;=AnalysisPeriod,IF(SUM($C793:T793)&gt;0,S425+1,0),0)</f>
        <v>4</v>
      </c>
      <c r="U425" s="208">
        <f>IF(U$2&lt;=AnalysisPeriod,IF(SUM($C793:U793)&gt;0,T425+1,0),0)</f>
        <v>5</v>
      </c>
      <c r="V425" s="208">
        <f>IF(V$2&lt;=AnalysisPeriod,IF(SUM($C793:V793)&gt;0,U425+1,0),0)</f>
        <v>6</v>
      </c>
      <c r="W425" s="208">
        <f>IF(W$2&lt;=AnalysisPeriod,IF(SUM($C793:W793)&gt;0,V425+1,0),0)</f>
        <v>7</v>
      </c>
      <c r="X425" s="208">
        <f>IF(X$2&lt;=AnalysisPeriod,IF(SUM($C793:X793)&gt;0,W425+1,0),0)</f>
        <v>8</v>
      </c>
      <c r="Y425" s="208">
        <f>IF(Y$2&lt;=AnalysisPeriod,IF(SUM($C793:Y793)&gt;0,X425+1,0),0)</f>
        <v>9</v>
      </c>
      <c r="Z425" s="208">
        <f>IF(Z$2&lt;=AnalysisPeriod,IF(SUM($C793:Z793)&gt;0,Y425+1,0),0)</f>
        <v>10</v>
      </c>
      <c r="AA425" s="208">
        <f>IF(AA$2&lt;=AnalysisPeriod,IF(SUM($C793:AA793)&gt;0,Z425+1,0),0)</f>
        <v>11</v>
      </c>
      <c r="AB425" s="208">
        <f>IF(AB$2&lt;=AnalysisPeriod,IF(SUM($C793:AB793)&gt;0,AA425+1,0),0)</f>
        <v>12</v>
      </c>
      <c r="AC425" s="208">
        <f>IF(AC$2&lt;=AnalysisPeriod,IF(SUM($C793:AC793)&gt;0,AB425+1,0),0)</f>
        <v>13</v>
      </c>
      <c r="AD425" s="208">
        <f>IF(AD$2&lt;=AnalysisPeriod,IF(SUM($C793:AD793)&gt;0,AC425+1,0),0)</f>
        <v>14</v>
      </c>
      <c r="AE425" s="208">
        <f>IF(AE$2&lt;=AnalysisPeriod,IF(SUM($C793:AE793)&gt;0,AD425+1,0),0)</f>
        <v>15</v>
      </c>
      <c r="AF425" s="208">
        <f>IF(AF$2&lt;=AnalysisPeriod,IF(SUM($C793:AF793)&gt;0,AE425+1,0),0)</f>
        <v>16</v>
      </c>
      <c r="AG425" s="208">
        <f>IF(AG$2&lt;=AnalysisPeriod,IF(SUM($C793:AG793)&gt;0,AF425+1,0),0)</f>
        <v>0</v>
      </c>
      <c r="AH425" s="208">
        <f>IF(AH$2&lt;=AnalysisPeriod,IF(SUM($C793:AH793)&gt;0,AG425+1,0),0)</f>
        <v>0</v>
      </c>
      <c r="AI425" s="208">
        <f>IF(AI$2&lt;=AnalysisPeriod,IF(SUM($C793:AI793)&gt;0,AH425+1,0),0)</f>
        <v>0</v>
      </c>
      <c r="AJ425" s="208">
        <f>IF(AJ$2&lt;=AnalysisPeriod,IF(SUM($C793:AJ793)&gt;0,AI425+1,0),0)</f>
        <v>0</v>
      </c>
      <c r="AK425" s="208">
        <f>IF(AK$2&lt;=AnalysisPeriod,IF(SUM($C793:AK793)&gt;0,AJ425+1,0),0)</f>
        <v>0</v>
      </c>
      <c r="AL425" s="208">
        <f>IF(AL$2&lt;=AnalysisPeriod,IF(SUM($C793:AL793)&gt;0,AK425+1,0),0)</f>
        <v>0</v>
      </c>
      <c r="AM425" s="208">
        <f>IF(AM$2&lt;=AnalysisPeriod,IF(SUM($C793:AM793)&gt;0,AL425+1,0),0)</f>
        <v>0</v>
      </c>
      <c r="AN425" s="208">
        <f>IF(AN$2&lt;=AnalysisPeriod,IF(SUM($C793:AN793)&gt;0,AM425+1,0),0)</f>
        <v>0</v>
      </c>
      <c r="AO425" s="208">
        <f>IF(AO$2&lt;=AnalysisPeriod,IF(SUM($C793:AO793)&gt;0,AN425+1,0),0)</f>
        <v>0</v>
      </c>
      <c r="AP425" s="208">
        <f>IF(AP$2&lt;=AnalysisPeriod,IF(SUM($C793:AP793)&gt;0,AO425+1,0),0)</f>
        <v>0</v>
      </c>
    </row>
    <row r="426" spans="1:42">
      <c r="A426" s="119">
        <f t="shared" si="227"/>
        <v>6</v>
      </c>
      <c r="C426" s="208">
        <f>IF(C$2&lt;=AnalysisPeriod,IF(SUM($C794:C794)&gt;0,B426+1,0),0)</f>
        <v>0</v>
      </c>
      <c r="D426" s="208">
        <f>IF(D$2&lt;=AnalysisPeriod,IF(SUM($C794:D794)&gt;0,C426+1,0),0)</f>
        <v>0</v>
      </c>
      <c r="E426" s="208">
        <f>IF(E$2&lt;=AnalysisPeriod,IF(SUM($C794:E794)&gt;0,D426+1,0),0)</f>
        <v>0</v>
      </c>
      <c r="F426" s="208">
        <f>IF(F$2&lt;=AnalysisPeriod,IF(SUM($C794:F794)&gt;0,E426+1,0),0)</f>
        <v>0</v>
      </c>
      <c r="G426" s="208">
        <f>IF(G$2&lt;=AnalysisPeriod,IF(SUM($C794:G794)&gt;0,F426+1,0),0)</f>
        <v>0</v>
      </c>
      <c r="H426" s="208">
        <f>IF(H$2&lt;=AnalysisPeriod,IF(SUM($C794:H794)&gt;0,G426+1,0),0)</f>
        <v>0</v>
      </c>
      <c r="I426" s="208">
        <f>IF(I$2&lt;=AnalysisPeriod,IF(SUM($C794:I794)&gt;0,H426+1,0),0)</f>
        <v>0</v>
      </c>
      <c r="J426" s="208">
        <f>IF(J$2&lt;=AnalysisPeriod,IF(SUM($C794:J794)&gt;0,I426+1,0),0)</f>
        <v>0</v>
      </c>
      <c r="K426" s="208">
        <f>IF(K$2&lt;=AnalysisPeriod,IF(SUM($C794:K794)&gt;0,J426+1,0),0)</f>
        <v>0</v>
      </c>
      <c r="L426" s="208">
        <f>IF(L$2&lt;=AnalysisPeriod,IF(SUM($C794:L794)&gt;0,K426+1,0),0)</f>
        <v>0</v>
      </c>
      <c r="M426" s="208">
        <f>IF(M$2&lt;=AnalysisPeriod,IF(SUM($C794:M794)&gt;0,L426+1,0),0)</f>
        <v>0</v>
      </c>
      <c r="N426" s="208">
        <f>IF(N$2&lt;=AnalysisPeriod,IF(SUM($C794:N794)&gt;0,M426+1,0),0)</f>
        <v>0</v>
      </c>
      <c r="O426" s="208">
        <f>IF(O$2&lt;=AnalysisPeriod,IF(SUM($C794:O794)&gt;0,N426+1,0),0)</f>
        <v>0</v>
      </c>
      <c r="P426" s="208">
        <f>IF(P$2&lt;=AnalysisPeriod,IF(SUM($C794:P794)&gt;0,O426+1,0),0)</f>
        <v>0</v>
      </c>
      <c r="Q426" s="208">
        <f>IF(Q$2&lt;=AnalysisPeriod,IF(SUM($C794:Q794)&gt;0,P426+1,0),0)</f>
        <v>0</v>
      </c>
      <c r="R426" s="208">
        <f>IF(R$2&lt;=AnalysisPeriod,IF(SUM($C794:R794)&gt;0,Q426+1,0),0)</f>
        <v>0</v>
      </c>
      <c r="S426" s="208">
        <f>IF(S$2&lt;=AnalysisPeriod,IF(SUM($C794:S794)&gt;0,R426+1,0),0)</f>
        <v>0</v>
      </c>
      <c r="T426" s="208">
        <f>IF(T$2&lt;=AnalysisPeriod,IF(SUM($C794:T794)&gt;0,S426+1,0),0)</f>
        <v>1</v>
      </c>
      <c r="U426" s="208">
        <f>IF(U$2&lt;=AnalysisPeriod,IF(SUM($C794:U794)&gt;0,T426+1,0),0)</f>
        <v>2</v>
      </c>
      <c r="V426" s="208">
        <f>IF(V$2&lt;=AnalysisPeriod,IF(SUM($C794:V794)&gt;0,U426+1,0),0)</f>
        <v>3</v>
      </c>
      <c r="W426" s="208">
        <f>IF(W$2&lt;=AnalysisPeriod,IF(SUM($C794:W794)&gt;0,V426+1,0),0)</f>
        <v>4</v>
      </c>
      <c r="X426" s="208">
        <f>IF(X$2&lt;=AnalysisPeriod,IF(SUM($C794:X794)&gt;0,W426+1,0),0)</f>
        <v>5</v>
      </c>
      <c r="Y426" s="208">
        <f>IF(Y$2&lt;=AnalysisPeriod,IF(SUM($C794:Y794)&gt;0,X426+1,0),0)</f>
        <v>6</v>
      </c>
      <c r="Z426" s="208">
        <f>IF(Z$2&lt;=AnalysisPeriod,IF(SUM($C794:Z794)&gt;0,Y426+1,0),0)</f>
        <v>7</v>
      </c>
      <c r="AA426" s="208">
        <f>IF(AA$2&lt;=AnalysisPeriod,IF(SUM($C794:AA794)&gt;0,Z426+1,0),0)</f>
        <v>8</v>
      </c>
      <c r="AB426" s="208">
        <f>IF(AB$2&lt;=AnalysisPeriod,IF(SUM($C794:AB794)&gt;0,AA426+1,0),0)</f>
        <v>9</v>
      </c>
      <c r="AC426" s="208">
        <f>IF(AC$2&lt;=AnalysisPeriod,IF(SUM($C794:AC794)&gt;0,AB426+1,0),0)</f>
        <v>10</v>
      </c>
      <c r="AD426" s="208">
        <f>IF(AD$2&lt;=AnalysisPeriod,IF(SUM($C794:AD794)&gt;0,AC426+1,0),0)</f>
        <v>11</v>
      </c>
      <c r="AE426" s="208">
        <f>IF(AE$2&lt;=AnalysisPeriod,IF(SUM($C794:AE794)&gt;0,AD426+1,0),0)</f>
        <v>12</v>
      </c>
      <c r="AF426" s="208">
        <f>IF(AF$2&lt;=AnalysisPeriod,IF(SUM($C794:AF794)&gt;0,AE426+1,0),0)</f>
        <v>13</v>
      </c>
      <c r="AG426" s="208">
        <f>IF(AG$2&lt;=AnalysisPeriod,IF(SUM($C794:AG794)&gt;0,AF426+1,0),0)</f>
        <v>0</v>
      </c>
      <c r="AH426" s="208">
        <f>IF(AH$2&lt;=AnalysisPeriod,IF(SUM($C794:AH794)&gt;0,AG426+1,0),0)</f>
        <v>0</v>
      </c>
      <c r="AI426" s="208">
        <f>IF(AI$2&lt;=AnalysisPeriod,IF(SUM($C794:AI794)&gt;0,AH426+1,0),0)</f>
        <v>0</v>
      </c>
      <c r="AJ426" s="208">
        <f>IF(AJ$2&lt;=AnalysisPeriod,IF(SUM($C794:AJ794)&gt;0,AI426+1,0),0)</f>
        <v>0</v>
      </c>
      <c r="AK426" s="208">
        <f>IF(AK$2&lt;=AnalysisPeriod,IF(SUM($C794:AK794)&gt;0,AJ426+1,0),0)</f>
        <v>0</v>
      </c>
      <c r="AL426" s="208">
        <f>IF(AL$2&lt;=AnalysisPeriod,IF(SUM($C794:AL794)&gt;0,AK426+1,0),0)</f>
        <v>0</v>
      </c>
      <c r="AM426" s="208">
        <f>IF(AM$2&lt;=AnalysisPeriod,IF(SUM($C794:AM794)&gt;0,AL426+1,0),0)</f>
        <v>0</v>
      </c>
      <c r="AN426" s="208">
        <f>IF(AN$2&lt;=AnalysisPeriod,IF(SUM($C794:AN794)&gt;0,AM426+1,0),0)</f>
        <v>0</v>
      </c>
      <c r="AO426" s="208">
        <f>IF(AO$2&lt;=AnalysisPeriod,IF(SUM($C794:AO794)&gt;0,AN426+1,0),0)</f>
        <v>0</v>
      </c>
      <c r="AP426" s="208">
        <f>IF(AP$2&lt;=AnalysisPeriod,IF(SUM($C794:AP794)&gt;0,AO426+1,0),0)</f>
        <v>0</v>
      </c>
    </row>
    <row r="427" spans="1:42">
      <c r="A427" s="119">
        <f t="shared" si="227"/>
        <v>7</v>
      </c>
      <c r="C427" s="208">
        <f>IF(C$2&lt;=AnalysisPeriod,IF(SUM($C795:C795)&gt;0,B427+1,0),0)</f>
        <v>0</v>
      </c>
      <c r="D427" s="208">
        <f>IF(D$2&lt;=AnalysisPeriod,IF(SUM($C795:D795)&gt;0,C427+1,0),0)</f>
        <v>0</v>
      </c>
      <c r="E427" s="208">
        <f>IF(E$2&lt;=AnalysisPeriod,IF(SUM($C795:E795)&gt;0,D427+1,0),0)</f>
        <v>0</v>
      </c>
      <c r="F427" s="208">
        <f>IF(F$2&lt;=AnalysisPeriod,IF(SUM($C795:F795)&gt;0,E427+1,0),0)</f>
        <v>0</v>
      </c>
      <c r="G427" s="208">
        <f>IF(G$2&lt;=AnalysisPeriod,IF(SUM($C795:G795)&gt;0,F427+1,0),0)</f>
        <v>0</v>
      </c>
      <c r="H427" s="208">
        <f>IF(H$2&lt;=AnalysisPeriod,IF(SUM($C795:H795)&gt;0,G427+1,0),0)</f>
        <v>0</v>
      </c>
      <c r="I427" s="208">
        <f>IF(I$2&lt;=AnalysisPeriod,IF(SUM($C795:I795)&gt;0,H427+1,0),0)</f>
        <v>0</v>
      </c>
      <c r="J427" s="208">
        <f>IF(J$2&lt;=AnalysisPeriod,IF(SUM($C795:J795)&gt;0,I427+1,0),0)</f>
        <v>0</v>
      </c>
      <c r="K427" s="208">
        <f>IF(K$2&lt;=AnalysisPeriod,IF(SUM($C795:K795)&gt;0,J427+1,0),0)</f>
        <v>0</v>
      </c>
      <c r="L427" s="208">
        <f>IF(L$2&lt;=AnalysisPeriod,IF(SUM($C795:L795)&gt;0,K427+1,0),0)</f>
        <v>0</v>
      </c>
      <c r="M427" s="208">
        <f>IF(M$2&lt;=AnalysisPeriod,IF(SUM($C795:M795)&gt;0,L427+1,0),0)</f>
        <v>0</v>
      </c>
      <c r="N427" s="208">
        <f>IF(N$2&lt;=AnalysisPeriod,IF(SUM($C795:N795)&gt;0,M427+1,0),0)</f>
        <v>0</v>
      </c>
      <c r="O427" s="208">
        <f>IF(O$2&lt;=AnalysisPeriod,IF(SUM($C795:O795)&gt;0,N427+1,0),0)</f>
        <v>0</v>
      </c>
      <c r="P427" s="208">
        <f>IF(P$2&lt;=AnalysisPeriod,IF(SUM($C795:P795)&gt;0,O427+1,0),0)</f>
        <v>0</v>
      </c>
      <c r="Q427" s="208">
        <f>IF(Q$2&lt;=AnalysisPeriod,IF(SUM($C795:Q795)&gt;0,P427+1,0),0)</f>
        <v>0</v>
      </c>
      <c r="R427" s="208">
        <f>IF(R$2&lt;=AnalysisPeriod,IF(SUM($C795:R795)&gt;0,Q427+1,0),0)</f>
        <v>0</v>
      </c>
      <c r="S427" s="208">
        <f>IF(S$2&lt;=AnalysisPeriod,IF(SUM($C795:S795)&gt;0,R427+1,0),0)</f>
        <v>0</v>
      </c>
      <c r="T427" s="208">
        <f>IF(T$2&lt;=AnalysisPeriod,IF(SUM($C795:T795)&gt;0,S427+1,0),0)</f>
        <v>0</v>
      </c>
      <c r="U427" s="208">
        <f>IF(U$2&lt;=AnalysisPeriod,IF(SUM($C795:U795)&gt;0,T427+1,0),0)</f>
        <v>0</v>
      </c>
      <c r="V427" s="208">
        <f>IF(V$2&lt;=AnalysisPeriod,IF(SUM($C795:V795)&gt;0,U427+1,0),0)</f>
        <v>0</v>
      </c>
      <c r="W427" s="208">
        <f>IF(W$2&lt;=AnalysisPeriod,IF(SUM($C795:W795)&gt;0,V427+1,0),0)</f>
        <v>1</v>
      </c>
      <c r="X427" s="208">
        <f>IF(X$2&lt;=AnalysisPeriod,IF(SUM($C795:X795)&gt;0,W427+1,0),0)</f>
        <v>2</v>
      </c>
      <c r="Y427" s="208">
        <f>IF(Y$2&lt;=AnalysisPeriod,IF(SUM($C795:Y795)&gt;0,X427+1,0),0)</f>
        <v>3</v>
      </c>
      <c r="Z427" s="208">
        <f>IF(Z$2&lt;=AnalysisPeriod,IF(SUM($C795:Z795)&gt;0,Y427+1,0),0)</f>
        <v>4</v>
      </c>
      <c r="AA427" s="208">
        <f>IF(AA$2&lt;=AnalysisPeriod,IF(SUM($C795:AA795)&gt;0,Z427+1,0),0)</f>
        <v>5</v>
      </c>
      <c r="AB427" s="208">
        <f>IF(AB$2&lt;=AnalysisPeriod,IF(SUM($C795:AB795)&gt;0,AA427+1,0),0)</f>
        <v>6</v>
      </c>
      <c r="AC427" s="208">
        <f>IF(AC$2&lt;=AnalysisPeriod,IF(SUM($C795:AC795)&gt;0,AB427+1,0),0)</f>
        <v>7</v>
      </c>
      <c r="AD427" s="208">
        <f>IF(AD$2&lt;=AnalysisPeriod,IF(SUM($C795:AD795)&gt;0,AC427+1,0),0)</f>
        <v>8</v>
      </c>
      <c r="AE427" s="208">
        <f>IF(AE$2&lt;=AnalysisPeriod,IF(SUM($C795:AE795)&gt;0,AD427+1,0),0)</f>
        <v>9</v>
      </c>
      <c r="AF427" s="208">
        <f>IF(AF$2&lt;=AnalysisPeriod,IF(SUM($C795:AF795)&gt;0,AE427+1,0),0)</f>
        <v>10</v>
      </c>
      <c r="AG427" s="208">
        <f>IF(AG$2&lt;=AnalysisPeriod,IF(SUM($C795:AG795)&gt;0,AF427+1,0),0)</f>
        <v>0</v>
      </c>
      <c r="AH427" s="208">
        <f>IF(AH$2&lt;=AnalysisPeriod,IF(SUM($C795:AH795)&gt;0,AG427+1,0),0)</f>
        <v>0</v>
      </c>
      <c r="AI427" s="208">
        <f>IF(AI$2&lt;=AnalysisPeriod,IF(SUM($C795:AI795)&gt;0,AH427+1,0),0)</f>
        <v>0</v>
      </c>
      <c r="AJ427" s="208">
        <f>IF(AJ$2&lt;=AnalysisPeriod,IF(SUM($C795:AJ795)&gt;0,AI427+1,0),0)</f>
        <v>0</v>
      </c>
      <c r="AK427" s="208">
        <f>IF(AK$2&lt;=AnalysisPeriod,IF(SUM($C795:AK795)&gt;0,AJ427+1,0),0)</f>
        <v>0</v>
      </c>
      <c r="AL427" s="208">
        <f>IF(AL$2&lt;=AnalysisPeriod,IF(SUM($C795:AL795)&gt;0,AK427+1,0),0)</f>
        <v>0</v>
      </c>
      <c r="AM427" s="208">
        <f>IF(AM$2&lt;=AnalysisPeriod,IF(SUM($C795:AM795)&gt;0,AL427+1,0),0)</f>
        <v>0</v>
      </c>
      <c r="AN427" s="208">
        <f>IF(AN$2&lt;=AnalysisPeriod,IF(SUM($C795:AN795)&gt;0,AM427+1,0),0)</f>
        <v>0</v>
      </c>
      <c r="AO427" s="208">
        <f>IF(AO$2&lt;=AnalysisPeriod,IF(SUM($C795:AO795)&gt;0,AN427+1,0),0)</f>
        <v>0</v>
      </c>
      <c r="AP427" s="208">
        <f>IF(AP$2&lt;=AnalysisPeriod,IF(SUM($C795:AP795)&gt;0,AO427+1,0),0)</f>
        <v>0</v>
      </c>
    </row>
    <row r="428" spans="1:42">
      <c r="A428" s="119">
        <f t="shared" si="227"/>
        <v>8</v>
      </c>
      <c r="C428" s="208">
        <f>IF(C$2&lt;=AnalysisPeriod,IF(SUM($C796:C796)&gt;0,B428+1,0),0)</f>
        <v>0</v>
      </c>
      <c r="D428" s="208">
        <f>IF(D$2&lt;=AnalysisPeriod,IF(SUM($C796:D796)&gt;0,C428+1,0),0)</f>
        <v>0</v>
      </c>
      <c r="E428" s="208">
        <f>IF(E$2&lt;=AnalysisPeriod,IF(SUM($C796:E796)&gt;0,D428+1,0),0)</f>
        <v>0</v>
      </c>
      <c r="F428" s="208">
        <f>IF(F$2&lt;=AnalysisPeriod,IF(SUM($C796:F796)&gt;0,E428+1,0),0)</f>
        <v>0</v>
      </c>
      <c r="G428" s="208">
        <f>IF(G$2&lt;=AnalysisPeriod,IF(SUM($C796:G796)&gt;0,F428+1,0),0)</f>
        <v>0</v>
      </c>
      <c r="H428" s="208">
        <f>IF(H$2&lt;=AnalysisPeriod,IF(SUM($C796:H796)&gt;0,G428+1,0),0)</f>
        <v>0</v>
      </c>
      <c r="I428" s="208">
        <f>IF(I$2&lt;=AnalysisPeriod,IF(SUM($C796:I796)&gt;0,H428+1,0),0)</f>
        <v>0</v>
      </c>
      <c r="J428" s="208">
        <f>IF(J$2&lt;=AnalysisPeriod,IF(SUM($C796:J796)&gt;0,I428+1,0),0)</f>
        <v>0</v>
      </c>
      <c r="K428" s="208">
        <f>IF(K$2&lt;=AnalysisPeriod,IF(SUM($C796:K796)&gt;0,J428+1,0),0)</f>
        <v>0</v>
      </c>
      <c r="L428" s="208">
        <f>IF(L$2&lt;=AnalysisPeriod,IF(SUM($C796:L796)&gt;0,K428+1,0),0)</f>
        <v>0</v>
      </c>
      <c r="M428" s="208">
        <f>IF(M$2&lt;=AnalysisPeriod,IF(SUM($C796:M796)&gt;0,L428+1,0),0)</f>
        <v>0</v>
      </c>
      <c r="N428" s="208">
        <f>IF(N$2&lt;=AnalysisPeriod,IF(SUM($C796:N796)&gt;0,M428+1,0),0)</f>
        <v>0</v>
      </c>
      <c r="O428" s="208">
        <f>IF(O$2&lt;=AnalysisPeriod,IF(SUM($C796:O796)&gt;0,N428+1,0),0)</f>
        <v>0</v>
      </c>
      <c r="P428" s="208">
        <f>IF(P$2&lt;=AnalysisPeriod,IF(SUM($C796:P796)&gt;0,O428+1,0),0)</f>
        <v>0</v>
      </c>
      <c r="Q428" s="208">
        <f>IF(Q$2&lt;=AnalysisPeriod,IF(SUM($C796:Q796)&gt;0,P428+1,0),0)</f>
        <v>0</v>
      </c>
      <c r="R428" s="208">
        <f>IF(R$2&lt;=AnalysisPeriod,IF(SUM($C796:R796)&gt;0,Q428+1,0),0)</f>
        <v>0</v>
      </c>
      <c r="S428" s="208">
        <f>IF(S$2&lt;=AnalysisPeriod,IF(SUM($C796:S796)&gt;0,R428+1,0),0)</f>
        <v>0</v>
      </c>
      <c r="T428" s="208">
        <f>IF(T$2&lt;=AnalysisPeriod,IF(SUM($C796:T796)&gt;0,S428+1,0),0)</f>
        <v>0</v>
      </c>
      <c r="U428" s="208">
        <f>IF(U$2&lt;=AnalysisPeriod,IF(SUM($C796:U796)&gt;0,T428+1,0),0)</f>
        <v>0</v>
      </c>
      <c r="V428" s="208">
        <f>IF(V$2&lt;=AnalysisPeriod,IF(SUM($C796:V796)&gt;0,U428+1,0),0)</f>
        <v>0</v>
      </c>
      <c r="W428" s="208">
        <f>IF(W$2&lt;=AnalysisPeriod,IF(SUM($C796:W796)&gt;0,V428+1,0),0)</f>
        <v>0</v>
      </c>
      <c r="X428" s="208">
        <f>IF(X$2&lt;=AnalysisPeriod,IF(SUM($C796:X796)&gt;0,W428+1,0),0)</f>
        <v>0</v>
      </c>
      <c r="Y428" s="208">
        <f>IF(Y$2&lt;=AnalysisPeriod,IF(SUM($C796:Y796)&gt;0,X428+1,0),0)</f>
        <v>0</v>
      </c>
      <c r="Z428" s="208">
        <f>IF(Z$2&lt;=AnalysisPeriod,IF(SUM($C796:Z796)&gt;0,Y428+1,0),0)</f>
        <v>1</v>
      </c>
      <c r="AA428" s="208">
        <f>IF(AA$2&lt;=AnalysisPeriod,IF(SUM($C796:AA796)&gt;0,Z428+1,0),0)</f>
        <v>2</v>
      </c>
      <c r="AB428" s="208">
        <f>IF(AB$2&lt;=AnalysisPeriod,IF(SUM($C796:AB796)&gt;0,AA428+1,0),0)</f>
        <v>3</v>
      </c>
      <c r="AC428" s="208">
        <f>IF(AC$2&lt;=AnalysisPeriod,IF(SUM($C796:AC796)&gt;0,AB428+1,0),0)</f>
        <v>4</v>
      </c>
      <c r="AD428" s="208">
        <f>IF(AD$2&lt;=AnalysisPeriod,IF(SUM($C796:AD796)&gt;0,AC428+1,0),0)</f>
        <v>5</v>
      </c>
      <c r="AE428" s="208">
        <f>IF(AE$2&lt;=AnalysisPeriod,IF(SUM($C796:AE796)&gt;0,AD428+1,0),0)</f>
        <v>6</v>
      </c>
      <c r="AF428" s="208">
        <f>IF(AF$2&lt;=AnalysisPeriod,IF(SUM($C796:AF796)&gt;0,AE428+1,0),0)</f>
        <v>7</v>
      </c>
      <c r="AG428" s="208">
        <f>IF(AG$2&lt;=AnalysisPeriod,IF(SUM($C796:AG796)&gt;0,AF428+1,0),0)</f>
        <v>0</v>
      </c>
      <c r="AH428" s="208">
        <f>IF(AH$2&lt;=AnalysisPeriod,IF(SUM($C796:AH796)&gt;0,AG428+1,0),0)</f>
        <v>0</v>
      </c>
      <c r="AI428" s="208">
        <f>IF(AI$2&lt;=AnalysisPeriod,IF(SUM($C796:AI796)&gt;0,AH428+1,0),0)</f>
        <v>0</v>
      </c>
      <c r="AJ428" s="208">
        <f>IF(AJ$2&lt;=AnalysisPeriod,IF(SUM($C796:AJ796)&gt;0,AI428+1,0),0)</f>
        <v>0</v>
      </c>
      <c r="AK428" s="208">
        <f>IF(AK$2&lt;=AnalysisPeriod,IF(SUM($C796:AK796)&gt;0,AJ428+1,0),0)</f>
        <v>0</v>
      </c>
      <c r="AL428" s="208">
        <f>IF(AL$2&lt;=AnalysisPeriod,IF(SUM($C796:AL796)&gt;0,AK428+1,0),0)</f>
        <v>0</v>
      </c>
      <c r="AM428" s="208">
        <f>IF(AM$2&lt;=AnalysisPeriod,IF(SUM($C796:AM796)&gt;0,AL428+1,0),0)</f>
        <v>0</v>
      </c>
      <c r="AN428" s="208">
        <f>IF(AN$2&lt;=AnalysisPeriod,IF(SUM($C796:AN796)&gt;0,AM428+1,0),0)</f>
        <v>0</v>
      </c>
      <c r="AO428" s="208">
        <f>IF(AO$2&lt;=AnalysisPeriod,IF(SUM($C796:AO796)&gt;0,AN428+1,0),0)</f>
        <v>0</v>
      </c>
      <c r="AP428" s="208">
        <f>IF(AP$2&lt;=AnalysisPeriod,IF(SUM($C796:AP796)&gt;0,AO428+1,0),0)</f>
        <v>0</v>
      </c>
    </row>
    <row r="429" spans="1:42">
      <c r="A429" s="119">
        <f>A428+1</f>
        <v>9</v>
      </c>
      <c r="C429" s="208">
        <f>IF(C$2&lt;=AnalysisPeriod,IF(SUM($C797:C797)&gt;0,B429+1,0),0)</f>
        <v>0</v>
      </c>
      <c r="D429" s="208">
        <f>IF(D$2&lt;=AnalysisPeriod,IF(SUM($C797:D797)&gt;0,C429+1,0),0)</f>
        <v>0</v>
      </c>
      <c r="E429" s="208">
        <f>IF(E$2&lt;=AnalysisPeriod,IF(SUM($C797:E797)&gt;0,D429+1,0),0)</f>
        <v>0</v>
      </c>
      <c r="F429" s="208">
        <f>IF(F$2&lt;=AnalysisPeriod,IF(SUM($C797:F797)&gt;0,E429+1,0),0)</f>
        <v>0</v>
      </c>
      <c r="G429" s="208">
        <f>IF(G$2&lt;=AnalysisPeriod,IF(SUM($C797:G797)&gt;0,F429+1,0),0)</f>
        <v>0</v>
      </c>
      <c r="H429" s="208">
        <f>IF(H$2&lt;=AnalysisPeriod,IF(SUM($C797:H797)&gt;0,G429+1,0),0)</f>
        <v>0</v>
      </c>
      <c r="I429" s="208">
        <f>IF(I$2&lt;=AnalysisPeriod,IF(SUM($C797:I797)&gt;0,H429+1,0),0)</f>
        <v>0</v>
      </c>
      <c r="J429" s="208">
        <f>IF(J$2&lt;=AnalysisPeriod,IF(SUM($C797:J797)&gt;0,I429+1,0),0)</f>
        <v>0</v>
      </c>
      <c r="K429" s="208">
        <f>IF(K$2&lt;=AnalysisPeriod,IF(SUM($C797:K797)&gt;0,J429+1,0),0)</f>
        <v>0</v>
      </c>
      <c r="L429" s="208">
        <f>IF(L$2&lt;=AnalysisPeriod,IF(SUM($C797:L797)&gt;0,K429+1,0),0)</f>
        <v>0</v>
      </c>
      <c r="M429" s="208">
        <f>IF(M$2&lt;=AnalysisPeriod,IF(SUM($C797:M797)&gt;0,L429+1,0),0)</f>
        <v>0</v>
      </c>
      <c r="N429" s="208">
        <f>IF(N$2&lt;=AnalysisPeriod,IF(SUM($C797:N797)&gt;0,M429+1,0),0)</f>
        <v>0</v>
      </c>
      <c r="O429" s="208">
        <f>IF(O$2&lt;=AnalysisPeriod,IF(SUM($C797:O797)&gt;0,N429+1,0),0)</f>
        <v>0</v>
      </c>
      <c r="P429" s="208">
        <f>IF(P$2&lt;=AnalysisPeriod,IF(SUM($C797:P797)&gt;0,O429+1,0),0)</f>
        <v>0</v>
      </c>
      <c r="Q429" s="208">
        <f>IF(Q$2&lt;=AnalysisPeriod,IF(SUM($C797:Q797)&gt;0,P429+1,0),0)</f>
        <v>0</v>
      </c>
      <c r="R429" s="208">
        <f>IF(R$2&lt;=AnalysisPeriod,IF(SUM($C797:R797)&gt;0,Q429+1,0),0)</f>
        <v>0</v>
      </c>
      <c r="S429" s="208">
        <f>IF(S$2&lt;=AnalysisPeriod,IF(SUM($C797:S797)&gt;0,R429+1,0),0)</f>
        <v>0</v>
      </c>
      <c r="T429" s="208">
        <f>IF(T$2&lt;=AnalysisPeriod,IF(SUM($C797:T797)&gt;0,S429+1,0),0)</f>
        <v>0</v>
      </c>
      <c r="U429" s="208">
        <f>IF(U$2&lt;=AnalysisPeriod,IF(SUM($C797:U797)&gt;0,T429+1,0),0)</f>
        <v>0</v>
      </c>
      <c r="V429" s="208">
        <f>IF(V$2&lt;=AnalysisPeriod,IF(SUM($C797:V797)&gt;0,U429+1,0),0)</f>
        <v>0</v>
      </c>
      <c r="W429" s="208">
        <f>IF(W$2&lt;=AnalysisPeriod,IF(SUM($C797:W797)&gt;0,V429+1,0),0)</f>
        <v>0</v>
      </c>
      <c r="X429" s="208">
        <f>IF(X$2&lt;=AnalysisPeriod,IF(SUM($C797:X797)&gt;0,W429+1,0),0)</f>
        <v>0</v>
      </c>
      <c r="Y429" s="208">
        <f>IF(Y$2&lt;=AnalysisPeriod,IF(SUM($C797:Y797)&gt;0,X429+1,0),0)</f>
        <v>0</v>
      </c>
      <c r="Z429" s="208">
        <f>IF(Z$2&lt;=AnalysisPeriod,IF(SUM($C797:Z797)&gt;0,Y429+1,0),0)</f>
        <v>0</v>
      </c>
      <c r="AA429" s="208">
        <f>IF(AA$2&lt;=AnalysisPeriod,IF(SUM($C797:AA797)&gt;0,Z429+1,0),0)</f>
        <v>0</v>
      </c>
      <c r="AB429" s="208">
        <f>IF(AB$2&lt;=AnalysisPeriod,IF(SUM($C797:AB797)&gt;0,AA429+1,0),0)</f>
        <v>0</v>
      </c>
      <c r="AC429" s="208">
        <f>IF(AC$2&lt;=AnalysisPeriod,IF(SUM($C797:AC797)&gt;0,AB429+1,0),0)</f>
        <v>1</v>
      </c>
      <c r="AD429" s="208">
        <f>IF(AD$2&lt;=AnalysisPeriod,IF(SUM($C797:AD797)&gt;0,AC429+1,0),0)</f>
        <v>2</v>
      </c>
      <c r="AE429" s="208">
        <f>IF(AE$2&lt;=AnalysisPeriod,IF(SUM($C797:AE797)&gt;0,AD429+1,0),0)</f>
        <v>3</v>
      </c>
      <c r="AF429" s="208">
        <f>IF(AF$2&lt;=AnalysisPeriod,IF(SUM($C797:AF797)&gt;0,AE429+1,0),0)</f>
        <v>4</v>
      </c>
      <c r="AG429" s="208">
        <f>IF(AG$2&lt;=AnalysisPeriod,IF(SUM($C797:AG797)&gt;0,AF429+1,0),0)</f>
        <v>0</v>
      </c>
      <c r="AH429" s="208">
        <f>IF(AH$2&lt;=AnalysisPeriod,IF(SUM($C797:AH797)&gt;0,AG429+1,0),0)</f>
        <v>0</v>
      </c>
      <c r="AI429" s="208">
        <f>IF(AI$2&lt;=AnalysisPeriod,IF(SUM($C797:AI797)&gt;0,AH429+1,0),0)</f>
        <v>0</v>
      </c>
      <c r="AJ429" s="208">
        <f>IF(AJ$2&lt;=AnalysisPeriod,IF(SUM($C797:AJ797)&gt;0,AI429+1,0),0)</f>
        <v>0</v>
      </c>
      <c r="AK429" s="208">
        <f>IF(AK$2&lt;=AnalysisPeriod,IF(SUM($C797:AK797)&gt;0,AJ429+1,0),0)</f>
        <v>0</v>
      </c>
      <c r="AL429" s="208">
        <f>IF(AL$2&lt;=AnalysisPeriod,IF(SUM($C797:AL797)&gt;0,AK429+1,0),0)</f>
        <v>0</v>
      </c>
      <c r="AM429" s="208">
        <f>IF(AM$2&lt;=AnalysisPeriod,IF(SUM($C797:AM797)&gt;0,AL429+1,0),0)</f>
        <v>0</v>
      </c>
      <c r="AN429" s="208">
        <f>IF(AN$2&lt;=AnalysisPeriod,IF(SUM($C797:AN797)&gt;0,AM429+1,0),0)</f>
        <v>0</v>
      </c>
      <c r="AO429" s="208">
        <f>IF(AO$2&lt;=AnalysisPeriod,IF(SUM($C797:AO797)&gt;0,AN429+1,0),0)</f>
        <v>0</v>
      </c>
      <c r="AP429" s="208">
        <f>IF(AP$2&lt;=AnalysisPeriod,IF(SUM($C797:AP797)&gt;0,AO429+1,0),0)</f>
        <v>0</v>
      </c>
    </row>
    <row r="430" spans="1:42">
      <c r="A430" s="119">
        <f t="shared" si="227"/>
        <v>10</v>
      </c>
      <c r="C430" s="208">
        <f>IF(C$2&lt;=AnalysisPeriod,IF(SUM($C798:C798)&gt;0,B430+1,0),0)</f>
        <v>0</v>
      </c>
      <c r="D430" s="208">
        <f>IF(D$2&lt;=AnalysisPeriod,IF(SUM($C798:D798)&gt;0,C430+1,0),0)</f>
        <v>0</v>
      </c>
      <c r="E430" s="208">
        <f>IF(E$2&lt;=AnalysisPeriod,IF(SUM($C798:E798)&gt;0,D430+1,0),0)</f>
        <v>0</v>
      </c>
      <c r="F430" s="208">
        <f>IF(F$2&lt;=AnalysisPeriod,IF(SUM($C798:F798)&gt;0,E430+1,0),0)</f>
        <v>0</v>
      </c>
      <c r="G430" s="208">
        <f>IF(G$2&lt;=AnalysisPeriod,IF(SUM($C798:G798)&gt;0,F430+1,0),0)</f>
        <v>0</v>
      </c>
      <c r="H430" s="208">
        <f>IF(H$2&lt;=AnalysisPeriod,IF(SUM($C798:H798)&gt;0,G430+1,0),0)</f>
        <v>0</v>
      </c>
      <c r="I430" s="208">
        <f>IF(I$2&lt;=AnalysisPeriod,IF(SUM($C798:I798)&gt;0,H430+1,0),0)</f>
        <v>0</v>
      </c>
      <c r="J430" s="208">
        <f>IF(J$2&lt;=AnalysisPeriod,IF(SUM($C798:J798)&gt;0,I430+1,0),0)</f>
        <v>0</v>
      </c>
      <c r="K430" s="208">
        <f>IF(K$2&lt;=AnalysisPeriod,IF(SUM($C798:K798)&gt;0,J430+1,0),0)</f>
        <v>0</v>
      </c>
      <c r="L430" s="208">
        <f>IF(L$2&lt;=AnalysisPeriod,IF(SUM($C798:L798)&gt;0,K430+1,0),0)</f>
        <v>0</v>
      </c>
      <c r="M430" s="208">
        <f>IF(M$2&lt;=AnalysisPeriod,IF(SUM($C798:M798)&gt;0,L430+1,0),0)</f>
        <v>0</v>
      </c>
      <c r="N430" s="208">
        <f>IF(N$2&lt;=AnalysisPeriod,IF(SUM($C798:N798)&gt;0,M430+1,0),0)</f>
        <v>0</v>
      </c>
      <c r="O430" s="208">
        <f>IF(O$2&lt;=AnalysisPeriod,IF(SUM($C798:O798)&gt;0,N430+1,0),0)</f>
        <v>0</v>
      </c>
      <c r="P430" s="208">
        <f>IF(P$2&lt;=AnalysisPeriod,IF(SUM($C798:P798)&gt;0,O430+1,0),0)</f>
        <v>0</v>
      </c>
      <c r="Q430" s="208">
        <f>IF(Q$2&lt;=AnalysisPeriod,IF(SUM($C798:Q798)&gt;0,P430+1,0),0)</f>
        <v>0</v>
      </c>
      <c r="R430" s="208">
        <f>IF(R$2&lt;=AnalysisPeriod,IF(SUM($C798:R798)&gt;0,Q430+1,0),0)</f>
        <v>0</v>
      </c>
      <c r="S430" s="208">
        <f>IF(S$2&lt;=AnalysisPeriod,IF(SUM($C798:S798)&gt;0,R430+1,0),0)</f>
        <v>0</v>
      </c>
      <c r="T430" s="208">
        <f>IF(T$2&lt;=AnalysisPeriod,IF(SUM($C798:T798)&gt;0,S430+1,0),0)</f>
        <v>0</v>
      </c>
      <c r="U430" s="208">
        <f>IF(U$2&lt;=AnalysisPeriod,IF(SUM($C798:U798)&gt;0,T430+1,0),0)</f>
        <v>0</v>
      </c>
      <c r="V430" s="208">
        <f>IF(V$2&lt;=AnalysisPeriod,IF(SUM($C798:V798)&gt;0,U430+1,0),0)</f>
        <v>0</v>
      </c>
      <c r="W430" s="208">
        <f>IF(W$2&lt;=AnalysisPeriod,IF(SUM($C798:W798)&gt;0,V430+1,0),0)</f>
        <v>0</v>
      </c>
      <c r="X430" s="208">
        <f>IF(X$2&lt;=AnalysisPeriod,IF(SUM($C798:X798)&gt;0,W430+1,0),0)</f>
        <v>0</v>
      </c>
      <c r="Y430" s="208">
        <f>IF(Y$2&lt;=AnalysisPeriod,IF(SUM($C798:Y798)&gt;0,X430+1,0),0)</f>
        <v>0</v>
      </c>
      <c r="Z430" s="208">
        <f>IF(Z$2&lt;=AnalysisPeriod,IF(SUM($C798:Z798)&gt;0,Y430+1,0),0)</f>
        <v>0</v>
      </c>
      <c r="AA430" s="208">
        <f>IF(AA$2&lt;=AnalysisPeriod,IF(SUM($C798:AA798)&gt;0,Z430+1,0),0)</f>
        <v>0</v>
      </c>
      <c r="AB430" s="208">
        <f>IF(AB$2&lt;=AnalysisPeriod,IF(SUM($C798:AB798)&gt;0,AA430+1,0),0)</f>
        <v>0</v>
      </c>
      <c r="AC430" s="208">
        <f>IF(AC$2&lt;=AnalysisPeriod,IF(SUM($C798:AC798)&gt;0,AB430+1,0),0)</f>
        <v>0</v>
      </c>
      <c r="AD430" s="208">
        <f>IF(AD$2&lt;=AnalysisPeriod,IF(SUM($C798:AD798)&gt;0,AC430+1,0),0)</f>
        <v>0</v>
      </c>
      <c r="AE430" s="208">
        <f>IF(AE$2&lt;=AnalysisPeriod,IF(SUM($C798:AE798)&gt;0,AD430+1,0),0)</f>
        <v>0</v>
      </c>
      <c r="AF430" s="208">
        <f>IF(AF$2&lt;=AnalysisPeriod,IF(SUM($C798:AF798)&gt;0,AE430+1,0),0)</f>
        <v>1</v>
      </c>
      <c r="AG430" s="208">
        <f>IF(AG$2&lt;=AnalysisPeriod,IF(SUM($C798:AG798)&gt;0,AF430+1,0),0)</f>
        <v>0</v>
      </c>
      <c r="AH430" s="208">
        <f>IF(AH$2&lt;=AnalysisPeriod,IF(SUM($C798:AH798)&gt;0,AG430+1,0),0)</f>
        <v>0</v>
      </c>
      <c r="AI430" s="208">
        <f>IF(AI$2&lt;=AnalysisPeriod,IF(SUM($C798:AI798)&gt;0,AH430+1,0),0)</f>
        <v>0</v>
      </c>
      <c r="AJ430" s="208">
        <f>IF(AJ$2&lt;=AnalysisPeriod,IF(SUM($C798:AJ798)&gt;0,AI430+1,0),0)</f>
        <v>0</v>
      </c>
      <c r="AK430" s="208">
        <f>IF(AK$2&lt;=AnalysisPeriod,IF(SUM($C798:AK798)&gt;0,AJ430+1,0),0)</f>
        <v>0</v>
      </c>
      <c r="AL430" s="208">
        <f>IF(AL$2&lt;=AnalysisPeriod,IF(SUM($C798:AL798)&gt;0,AK430+1,0),0)</f>
        <v>0</v>
      </c>
      <c r="AM430" s="208">
        <f>IF(AM$2&lt;=AnalysisPeriod,IF(SUM($C798:AM798)&gt;0,AL430+1,0),0)</f>
        <v>0</v>
      </c>
      <c r="AN430" s="208">
        <f>IF(AN$2&lt;=AnalysisPeriod,IF(SUM($C798:AN798)&gt;0,AM430+1,0),0)</f>
        <v>0</v>
      </c>
      <c r="AO430" s="208">
        <f>IF(AO$2&lt;=AnalysisPeriod,IF(SUM($C798:AO798)&gt;0,AN430+1,0),0)</f>
        <v>0</v>
      </c>
      <c r="AP430" s="208">
        <f>IF(AP$2&lt;=AnalysisPeriod,IF(SUM($C798:AP798)&gt;0,AO430+1,0),0)</f>
        <v>0</v>
      </c>
    </row>
    <row r="431" spans="1:42">
      <c r="A431" s="226"/>
      <c r="C431" s="208"/>
      <c r="D431" s="208"/>
      <c r="E431" s="208"/>
      <c r="F431" s="208"/>
      <c r="G431" s="208"/>
      <c r="H431" s="208"/>
      <c r="I431" s="208"/>
      <c r="J431" s="208"/>
      <c r="K431" s="208"/>
      <c r="L431" s="208"/>
      <c r="M431" s="208"/>
      <c r="N431" s="208"/>
      <c r="O431" s="208"/>
      <c r="P431" s="208"/>
      <c r="Q431" s="208"/>
      <c r="R431" s="208"/>
      <c r="S431" s="208"/>
      <c r="T431" s="208"/>
      <c r="U431" s="208"/>
      <c r="V431" s="208"/>
      <c r="W431" s="208"/>
      <c r="X431" s="208"/>
      <c r="Y431" s="208"/>
      <c r="Z431" s="208"/>
      <c r="AA431" s="208"/>
      <c r="AB431" s="208"/>
      <c r="AC431" s="208"/>
      <c r="AD431" s="208"/>
      <c r="AE431" s="208"/>
      <c r="AF431" s="208"/>
      <c r="AG431" s="208"/>
      <c r="AH431" s="208"/>
      <c r="AI431" s="208"/>
      <c r="AJ431" s="208"/>
      <c r="AK431" s="208"/>
      <c r="AL431" s="208"/>
      <c r="AM431" s="208"/>
      <c r="AN431" s="208"/>
      <c r="AO431" s="208"/>
      <c r="AP431" s="208"/>
    </row>
    <row r="432" spans="1:42">
      <c r="A432" s="226" t="s">
        <v>221</v>
      </c>
      <c r="C432" s="208"/>
      <c r="D432" s="208"/>
      <c r="E432" s="208"/>
      <c r="F432" s="208"/>
      <c r="G432" s="208"/>
      <c r="H432" s="208"/>
      <c r="I432" s="208"/>
      <c r="J432" s="208"/>
      <c r="K432" s="208"/>
      <c r="L432" s="208"/>
      <c r="M432" s="208"/>
      <c r="N432" s="208"/>
      <c r="O432" s="208"/>
      <c r="P432" s="208"/>
      <c r="Q432" s="208"/>
      <c r="R432" s="208"/>
      <c r="S432" s="208"/>
      <c r="T432" s="208"/>
      <c r="U432" s="208"/>
      <c r="V432" s="208"/>
      <c r="W432" s="208"/>
      <c r="X432" s="208"/>
      <c r="Y432" s="208"/>
      <c r="Z432" s="208"/>
      <c r="AA432" s="208"/>
      <c r="AB432" s="208"/>
      <c r="AC432" s="208"/>
      <c r="AD432" s="208"/>
      <c r="AE432" s="208"/>
      <c r="AF432" s="208"/>
      <c r="AG432" s="208"/>
      <c r="AH432" s="208"/>
      <c r="AI432" s="208"/>
      <c r="AJ432" s="208"/>
      <c r="AK432" s="208"/>
      <c r="AL432" s="208"/>
      <c r="AM432" s="208"/>
      <c r="AN432" s="208"/>
      <c r="AO432" s="208"/>
      <c r="AP432" s="208"/>
    </row>
    <row r="433" spans="1:42">
      <c r="A433" s="119">
        <v>1</v>
      </c>
      <c r="B433" s="218">
        <f t="shared" ref="B433:B442" si="228">SUM(C433:AP433)</f>
        <v>103022.49999999997</v>
      </c>
      <c r="C433" s="250">
        <f t="shared" ref="C433:AP433" si="229">LOOKUP(C421,$B$365:$AP$365,$B$366:$AP$366)*$B789</f>
        <v>0</v>
      </c>
      <c r="D433" s="208">
        <f t="shared" si="229"/>
        <v>0</v>
      </c>
      <c r="E433" s="208">
        <f t="shared" si="229"/>
        <v>20604.499999999996</v>
      </c>
      <c r="F433" s="208">
        <f t="shared" si="229"/>
        <v>32967.19999999999</v>
      </c>
      <c r="G433" s="208">
        <f t="shared" si="229"/>
        <v>19780.319999999996</v>
      </c>
      <c r="H433" s="208">
        <f t="shared" si="229"/>
        <v>11868.191999999995</v>
      </c>
      <c r="I433" s="208">
        <f t="shared" si="229"/>
        <v>11868.191999999995</v>
      </c>
      <c r="J433" s="208">
        <f t="shared" si="229"/>
        <v>5934.0959999999977</v>
      </c>
      <c r="K433" s="208">
        <f t="shared" si="229"/>
        <v>0</v>
      </c>
      <c r="L433" s="208">
        <f t="shared" si="229"/>
        <v>0</v>
      </c>
      <c r="M433" s="208">
        <f t="shared" si="229"/>
        <v>0</v>
      </c>
      <c r="N433" s="208">
        <f t="shared" si="229"/>
        <v>0</v>
      </c>
      <c r="O433" s="208">
        <f t="shared" si="229"/>
        <v>0</v>
      </c>
      <c r="P433" s="208">
        <f t="shared" si="229"/>
        <v>0</v>
      </c>
      <c r="Q433" s="208">
        <f t="shared" si="229"/>
        <v>0</v>
      </c>
      <c r="R433" s="208">
        <f t="shared" si="229"/>
        <v>0</v>
      </c>
      <c r="S433" s="208">
        <f t="shared" si="229"/>
        <v>0</v>
      </c>
      <c r="T433" s="208">
        <f t="shared" si="229"/>
        <v>0</v>
      </c>
      <c r="U433" s="208">
        <f t="shared" si="229"/>
        <v>0</v>
      </c>
      <c r="V433" s="208">
        <f t="shared" si="229"/>
        <v>0</v>
      </c>
      <c r="W433" s="208">
        <f t="shared" si="229"/>
        <v>0</v>
      </c>
      <c r="X433" s="208">
        <f t="shared" si="229"/>
        <v>0</v>
      </c>
      <c r="Y433" s="208">
        <f t="shared" si="229"/>
        <v>0</v>
      </c>
      <c r="Z433" s="208">
        <f t="shared" si="229"/>
        <v>0</v>
      </c>
      <c r="AA433" s="208">
        <f t="shared" si="229"/>
        <v>0</v>
      </c>
      <c r="AB433" s="208">
        <f t="shared" si="229"/>
        <v>0</v>
      </c>
      <c r="AC433" s="208">
        <f t="shared" si="229"/>
        <v>0</v>
      </c>
      <c r="AD433" s="208">
        <f t="shared" si="229"/>
        <v>0</v>
      </c>
      <c r="AE433" s="208">
        <f t="shared" si="229"/>
        <v>0</v>
      </c>
      <c r="AF433" s="208">
        <f t="shared" si="229"/>
        <v>0</v>
      </c>
      <c r="AG433" s="208">
        <f t="shared" si="229"/>
        <v>0</v>
      </c>
      <c r="AH433" s="208">
        <f t="shared" si="229"/>
        <v>0</v>
      </c>
      <c r="AI433" s="208">
        <f t="shared" si="229"/>
        <v>0</v>
      </c>
      <c r="AJ433" s="208">
        <f t="shared" si="229"/>
        <v>0</v>
      </c>
      <c r="AK433" s="208">
        <f t="shared" si="229"/>
        <v>0</v>
      </c>
      <c r="AL433" s="208">
        <f t="shared" si="229"/>
        <v>0</v>
      </c>
      <c r="AM433" s="208">
        <f t="shared" si="229"/>
        <v>0</v>
      </c>
      <c r="AN433" s="208">
        <f t="shared" si="229"/>
        <v>0</v>
      </c>
      <c r="AO433" s="208">
        <f t="shared" si="229"/>
        <v>0</v>
      </c>
      <c r="AP433" s="208">
        <f t="shared" si="229"/>
        <v>0</v>
      </c>
    </row>
    <row r="434" spans="1:42">
      <c r="A434" s="119">
        <f>A433+1</f>
        <v>2</v>
      </c>
      <c r="B434" s="218">
        <f t="shared" si="228"/>
        <v>107728.40038843744</v>
      </c>
      <c r="C434" s="250">
        <f t="shared" ref="C434:AP434" si="230">LOOKUP(C422,$B$365:$AP$365,$B$366:$AP$366)*$B790</f>
        <v>0</v>
      </c>
      <c r="D434" s="208">
        <f t="shared" si="230"/>
        <v>0</v>
      </c>
      <c r="E434" s="208">
        <f t="shared" si="230"/>
        <v>0</v>
      </c>
      <c r="F434" s="208">
        <f t="shared" si="230"/>
        <v>0</v>
      </c>
      <c r="G434" s="208">
        <f t="shared" si="230"/>
        <v>0</v>
      </c>
      <c r="H434" s="208">
        <f t="shared" si="230"/>
        <v>21545.680077687488</v>
      </c>
      <c r="I434" s="208">
        <f t="shared" si="230"/>
        <v>34473.088124299975</v>
      </c>
      <c r="J434" s="208">
        <f t="shared" si="230"/>
        <v>20683.852874579985</v>
      </c>
      <c r="K434" s="208">
        <f t="shared" si="230"/>
        <v>12410.311724747991</v>
      </c>
      <c r="L434" s="208">
        <f t="shared" si="230"/>
        <v>12410.311724747991</v>
      </c>
      <c r="M434" s="208">
        <f t="shared" si="230"/>
        <v>6205.1558623739957</v>
      </c>
      <c r="N434" s="208">
        <f t="shared" si="230"/>
        <v>0</v>
      </c>
      <c r="O434" s="208">
        <f t="shared" si="230"/>
        <v>0</v>
      </c>
      <c r="P434" s="208">
        <f t="shared" si="230"/>
        <v>0</v>
      </c>
      <c r="Q434" s="208">
        <f t="shared" si="230"/>
        <v>0</v>
      </c>
      <c r="R434" s="208">
        <f t="shared" si="230"/>
        <v>0</v>
      </c>
      <c r="S434" s="208">
        <f t="shared" si="230"/>
        <v>0</v>
      </c>
      <c r="T434" s="208">
        <f t="shared" si="230"/>
        <v>0</v>
      </c>
      <c r="U434" s="208">
        <f t="shared" si="230"/>
        <v>0</v>
      </c>
      <c r="V434" s="208">
        <f t="shared" si="230"/>
        <v>0</v>
      </c>
      <c r="W434" s="208">
        <f t="shared" si="230"/>
        <v>0</v>
      </c>
      <c r="X434" s="208">
        <f t="shared" si="230"/>
        <v>0</v>
      </c>
      <c r="Y434" s="208">
        <f t="shared" si="230"/>
        <v>0</v>
      </c>
      <c r="Z434" s="208">
        <f t="shared" si="230"/>
        <v>0</v>
      </c>
      <c r="AA434" s="208">
        <f t="shared" si="230"/>
        <v>0</v>
      </c>
      <c r="AB434" s="208">
        <f t="shared" si="230"/>
        <v>0</v>
      </c>
      <c r="AC434" s="208">
        <f t="shared" si="230"/>
        <v>0</v>
      </c>
      <c r="AD434" s="208">
        <f t="shared" si="230"/>
        <v>0</v>
      </c>
      <c r="AE434" s="208">
        <f t="shared" si="230"/>
        <v>0</v>
      </c>
      <c r="AF434" s="208">
        <f t="shared" si="230"/>
        <v>0</v>
      </c>
      <c r="AG434" s="208">
        <f t="shared" si="230"/>
        <v>0</v>
      </c>
      <c r="AH434" s="208">
        <f t="shared" si="230"/>
        <v>0</v>
      </c>
      <c r="AI434" s="208">
        <f t="shared" si="230"/>
        <v>0</v>
      </c>
      <c r="AJ434" s="208">
        <f t="shared" si="230"/>
        <v>0</v>
      </c>
      <c r="AK434" s="208">
        <f t="shared" si="230"/>
        <v>0</v>
      </c>
      <c r="AL434" s="208">
        <f t="shared" si="230"/>
        <v>0</v>
      </c>
      <c r="AM434" s="208">
        <f t="shared" si="230"/>
        <v>0</v>
      </c>
      <c r="AN434" s="208">
        <f t="shared" si="230"/>
        <v>0</v>
      </c>
      <c r="AO434" s="208">
        <f t="shared" si="230"/>
        <v>0</v>
      </c>
      <c r="AP434" s="208">
        <f t="shared" si="230"/>
        <v>0</v>
      </c>
    </row>
    <row r="435" spans="1:42">
      <c r="A435" s="119">
        <f t="shared" ref="A435:A442" si="231">A434+1</f>
        <v>3</v>
      </c>
      <c r="B435" s="218">
        <f t="shared" si="228"/>
        <v>112649.25865953058</v>
      </c>
      <c r="C435" s="250">
        <f t="shared" ref="C435:AP435" si="232">LOOKUP(C423,$B$365:$AP$365,$B$366:$AP$366)*$B791</f>
        <v>0</v>
      </c>
      <c r="D435" s="208">
        <f t="shared" si="232"/>
        <v>0</v>
      </c>
      <c r="E435" s="208">
        <f t="shared" si="232"/>
        <v>0</v>
      </c>
      <c r="F435" s="208">
        <f t="shared" si="232"/>
        <v>0</v>
      </c>
      <c r="G435" s="208">
        <f t="shared" si="232"/>
        <v>0</v>
      </c>
      <c r="H435" s="208">
        <f t="shared" si="232"/>
        <v>0</v>
      </c>
      <c r="I435" s="208">
        <f t="shared" si="232"/>
        <v>0</v>
      </c>
      <c r="J435" s="208">
        <f t="shared" si="232"/>
        <v>0</v>
      </c>
      <c r="K435" s="208">
        <f t="shared" si="232"/>
        <v>22529.851731906117</v>
      </c>
      <c r="L435" s="208">
        <f t="shared" si="232"/>
        <v>36047.762771049784</v>
      </c>
      <c r="M435" s="208">
        <f t="shared" si="232"/>
        <v>21628.65766262987</v>
      </c>
      <c r="N435" s="208">
        <f t="shared" si="232"/>
        <v>12977.194597577922</v>
      </c>
      <c r="O435" s="208">
        <f t="shared" si="232"/>
        <v>12977.194597577922</v>
      </c>
      <c r="P435" s="208">
        <f t="shared" si="232"/>
        <v>6488.5972987889609</v>
      </c>
      <c r="Q435" s="208">
        <f t="shared" si="232"/>
        <v>0</v>
      </c>
      <c r="R435" s="208">
        <f t="shared" si="232"/>
        <v>0</v>
      </c>
      <c r="S435" s="208">
        <f t="shared" si="232"/>
        <v>0</v>
      </c>
      <c r="T435" s="208">
        <f t="shared" si="232"/>
        <v>0</v>
      </c>
      <c r="U435" s="208">
        <f t="shared" si="232"/>
        <v>0</v>
      </c>
      <c r="V435" s="208">
        <f t="shared" si="232"/>
        <v>0</v>
      </c>
      <c r="W435" s="208">
        <f t="shared" si="232"/>
        <v>0</v>
      </c>
      <c r="X435" s="208">
        <f t="shared" si="232"/>
        <v>0</v>
      </c>
      <c r="Y435" s="208">
        <f t="shared" si="232"/>
        <v>0</v>
      </c>
      <c r="Z435" s="208">
        <f t="shared" si="232"/>
        <v>0</v>
      </c>
      <c r="AA435" s="208">
        <f t="shared" si="232"/>
        <v>0</v>
      </c>
      <c r="AB435" s="208">
        <f t="shared" si="232"/>
        <v>0</v>
      </c>
      <c r="AC435" s="208">
        <f t="shared" si="232"/>
        <v>0</v>
      </c>
      <c r="AD435" s="208">
        <f t="shared" si="232"/>
        <v>0</v>
      </c>
      <c r="AE435" s="208">
        <f t="shared" si="232"/>
        <v>0</v>
      </c>
      <c r="AF435" s="208">
        <f t="shared" si="232"/>
        <v>0</v>
      </c>
      <c r="AG435" s="208">
        <f t="shared" si="232"/>
        <v>0</v>
      </c>
      <c r="AH435" s="208">
        <f t="shared" si="232"/>
        <v>0</v>
      </c>
      <c r="AI435" s="208">
        <f t="shared" si="232"/>
        <v>0</v>
      </c>
      <c r="AJ435" s="208">
        <f t="shared" si="232"/>
        <v>0</v>
      </c>
      <c r="AK435" s="208">
        <f t="shared" si="232"/>
        <v>0</v>
      </c>
      <c r="AL435" s="208">
        <f t="shared" si="232"/>
        <v>0</v>
      </c>
      <c r="AM435" s="208">
        <f t="shared" si="232"/>
        <v>0</v>
      </c>
      <c r="AN435" s="208">
        <f t="shared" si="232"/>
        <v>0</v>
      </c>
      <c r="AO435" s="208">
        <f t="shared" si="232"/>
        <v>0</v>
      </c>
      <c r="AP435" s="208">
        <f t="shared" si="232"/>
        <v>0</v>
      </c>
    </row>
    <row r="436" spans="1:42">
      <c r="A436" s="119">
        <f t="shared" si="231"/>
        <v>4</v>
      </c>
      <c r="B436" s="218">
        <f t="shared" si="228"/>
        <v>117794.89374005256</v>
      </c>
      <c r="C436" s="250">
        <f t="shared" ref="C436:AP436" si="233">LOOKUP(C424,$B$365:$AP$365,$B$366:$AP$366)*$B792</f>
        <v>0</v>
      </c>
      <c r="D436" s="208">
        <f t="shared" si="233"/>
        <v>0</v>
      </c>
      <c r="E436" s="208">
        <f t="shared" si="233"/>
        <v>0</v>
      </c>
      <c r="F436" s="208">
        <f t="shared" si="233"/>
        <v>0</v>
      </c>
      <c r="G436" s="208">
        <f t="shared" si="233"/>
        <v>0</v>
      </c>
      <c r="H436" s="208">
        <f t="shared" si="233"/>
        <v>0</v>
      </c>
      <c r="I436" s="208">
        <f t="shared" si="233"/>
        <v>0</v>
      </c>
      <c r="J436" s="208">
        <f t="shared" si="233"/>
        <v>0</v>
      </c>
      <c r="K436" s="208">
        <f t="shared" si="233"/>
        <v>0</v>
      </c>
      <c r="L436" s="208">
        <f t="shared" si="233"/>
        <v>0</v>
      </c>
      <c r="M436" s="208">
        <f t="shared" si="233"/>
        <v>0</v>
      </c>
      <c r="N436" s="208">
        <f t="shared" si="233"/>
        <v>23558.978748010515</v>
      </c>
      <c r="O436" s="208">
        <f t="shared" si="233"/>
        <v>37694.365996816821</v>
      </c>
      <c r="P436" s="208">
        <f t="shared" si="233"/>
        <v>22616.619598090092</v>
      </c>
      <c r="Q436" s="208">
        <f t="shared" si="233"/>
        <v>13569.971758854055</v>
      </c>
      <c r="R436" s="208">
        <f t="shared" si="233"/>
        <v>13569.971758854055</v>
      </c>
      <c r="S436" s="208">
        <f t="shared" si="233"/>
        <v>6784.9858794270276</v>
      </c>
      <c r="T436" s="208">
        <f t="shared" si="233"/>
        <v>0</v>
      </c>
      <c r="U436" s="208">
        <f t="shared" si="233"/>
        <v>0</v>
      </c>
      <c r="V436" s="208">
        <f t="shared" si="233"/>
        <v>0</v>
      </c>
      <c r="W436" s="208">
        <f t="shared" si="233"/>
        <v>0</v>
      </c>
      <c r="X436" s="208">
        <f t="shared" si="233"/>
        <v>0</v>
      </c>
      <c r="Y436" s="208">
        <f t="shared" si="233"/>
        <v>0</v>
      </c>
      <c r="Z436" s="208">
        <f t="shared" si="233"/>
        <v>0</v>
      </c>
      <c r="AA436" s="208">
        <f t="shared" si="233"/>
        <v>0</v>
      </c>
      <c r="AB436" s="208">
        <f t="shared" si="233"/>
        <v>0</v>
      </c>
      <c r="AC436" s="208">
        <f t="shared" si="233"/>
        <v>0</v>
      </c>
      <c r="AD436" s="208">
        <f t="shared" si="233"/>
        <v>0</v>
      </c>
      <c r="AE436" s="208">
        <f t="shared" si="233"/>
        <v>0</v>
      </c>
      <c r="AF436" s="208">
        <f t="shared" si="233"/>
        <v>0</v>
      </c>
      <c r="AG436" s="208">
        <f t="shared" si="233"/>
        <v>0</v>
      </c>
      <c r="AH436" s="208">
        <f t="shared" si="233"/>
        <v>0</v>
      </c>
      <c r="AI436" s="208">
        <f t="shared" si="233"/>
        <v>0</v>
      </c>
      <c r="AJ436" s="208">
        <f t="shared" si="233"/>
        <v>0</v>
      </c>
      <c r="AK436" s="208">
        <f t="shared" si="233"/>
        <v>0</v>
      </c>
      <c r="AL436" s="208">
        <f t="shared" si="233"/>
        <v>0</v>
      </c>
      <c r="AM436" s="208">
        <f t="shared" si="233"/>
        <v>0</v>
      </c>
      <c r="AN436" s="208">
        <f t="shared" si="233"/>
        <v>0</v>
      </c>
      <c r="AO436" s="208">
        <f t="shared" si="233"/>
        <v>0</v>
      </c>
      <c r="AP436" s="208">
        <f t="shared" si="233"/>
        <v>0</v>
      </c>
    </row>
    <row r="437" spans="1:42">
      <c r="A437" s="119">
        <f t="shared" si="231"/>
        <v>5</v>
      </c>
      <c r="B437" s="218">
        <f t="shared" si="228"/>
        <v>123175.57306939577</v>
      </c>
      <c r="C437" s="250">
        <f t="shared" ref="C437:AP437" si="234">LOOKUP(C425,$B$365:$AP$365,$B$366:$AP$366)*$B793</f>
        <v>0</v>
      </c>
      <c r="D437" s="208">
        <f t="shared" si="234"/>
        <v>0</v>
      </c>
      <c r="E437" s="208">
        <f t="shared" si="234"/>
        <v>0</v>
      </c>
      <c r="F437" s="208">
        <f t="shared" si="234"/>
        <v>0</v>
      </c>
      <c r="G437" s="208">
        <f t="shared" si="234"/>
        <v>0</v>
      </c>
      <c r="H437" s="208">
        <f t="shared" si="234"/>
        <v>0</v>
      </c>
      <c r="I437" s="208">
        <f t="shared" si="234"/>
        <v>0</v>
      </c>
      <c r="J437" s="208">
        <f t="shared" si="234"/>
        <v>0</v>
      </c>
      <c r="K437" s="208">
        <f t="shared" si="234"/>
        <v>0</v>
      </c>
      <c r="L437" s="208">
        <f t="shared" si="234"/>
        <v>0</v>
      </c>
      <c r="M437" s="208">
        <f t="shared" si="234"/>
        <v>0</v>
      </c>
      <c r="N437" s="208">
        <f t="shared" si="234"/>
        <v>0</v>
      </c>
      <c r="O437" s="208">
        <f t="shared" si="234"/>
        <v>0</v>
      </c>
      <c r="P437" s="208">
        <f t="shared" si="234"/>
        <v>0</v>
      </c>
      <c r="Q437" s="208">
        <f t="shared" si="234"/>
        <v>24635.114613879156</v>
      </c>
      <c r="R437" s="208">
        <f t="shared" si="234"/>
        <v>39416.183382206647</v>
      </c>
      <c r="S437" s="208">
        <f t="shared" si="234"/>
        <v>23649.710029323989</v>
      </c>
      <c r="T437" s="208">
        <f t="shared" si="234"/>
        <v>14189.826017594392</v>
      </c>
      <c r="U437" s="208">
        <f t="shared" si="234"/>
        <v>14189.826017594392</v>
      </c>
      <c r="V437" s="208">
        <f t="shared" si="234"/>
        <v>7094.9130087971962</v>
      </c>
      <c r="W437" s="208">
        <f t="shared" si="234"/>
        <v>0</v>
      </c>
      <c r="X437" s="208">
        <f t="shared" si="234"/>
        <v>0</v>
      </c>
      <c r="Y437" s="208">
        <f t="shared" si="234"/>
        <v>0</v>
      </c>
      <c r="Z437" s="208">
        <f t="shared" si="234"/>
        <v>0</v>
      </c>
      <c r="AA437" s="208">
        <f t="shared" si="234"/>
        <v>0</v>
      </c>
      <c r="AB437" s="208">
        <f t="shared" si="234"/>
        <v>0</v>
      </c>
      <c r="AC437" s="208">
        <f t="shared" si="234"/>
        <v>0</v>
      </c>
      <c r="AD437" s="208">
        <f t="shared" si="234"/>
        <v>0</v>
      </c>
      <c r="AE437" s="208">
        <f t="shared" si="234"/>
        <v>0</v>
      </c>
      <c r="AF437" s="208">
        <f t="shared" si="234"/>
        <v>0</v>
      </c>
      <c r="AG437" s="208">
        <f t="shared" si="234"/>
        <v>0</v>
      </c>
      <c r="AH437" s="208">
        <f t="shared" si="234"/>
        <v>0</v>
      </c>
      <c r="AI437" s="208">
        <f t="shared" si="234"/>
        <v>0</v>
      </c>
      <c r="AJ437" s="208">
        <f t="shared" si="234"/>
        <v>0</v>
      </c>
      <c r="AK437" s="208">
        <f t="shared" si="234"/>
        <v>0</v>
      </c>
      <c r="AL437" s="208">
        <f t="shared" si="234"/>
        <v>0</v>
      </c>
      <c r="AM437" s="208">
        <f t="shared" si="234"/>
        <v>0</v>
      </c>
      <c r="AN437" s="208">
        <f t="shared" si="234"/>
        <v>0</v>
      </c>
      <c r="AO437" s="208">
        <f t="shared" si="234"/>
        <v>0</v>
      </c>
      <c r="AP437" s="208">
        <f t="shared" si="234"/>
        <v>0</v>
      </c>
    </row>
    <row r="438" spans="1:42">
      <c r="A438" s="119">
        <f t="shared" si="231"/>
        <v>6</v>
      </c>
      <c r="B438" s="218">
        <f t="shared" si="228"/>
        <v>128802.03308689946</v>
      </c>
      <c r="C438" s="250">
        <f t="shared" ref="C438:AP438" si="235">LOOKUP(C426,$B$365:$AP$365,$B$366:$AP$366)*$B794</f>
        <v>0</v>
      </c>
      <c r="D438" s="208">
        <f t="shared" si="235"/>
        <v>0</v>
      </c>
      <c r="E438" s="208">
        <f t="shared" si="235"/>
        <v>0</v>
      </c>
      <c r="F438" s="208">
        <f t="shared" si="235"/>
        <v>0</v>
      </c>
      <c r="G438" s="208">
        <f t="shared" si="235"/>
        <v>0</v>
      </c>
      <c r="H438" s="208">
        <f t="shared" si="235"/>
        <v>0</v>
      </c>
      <c r="I438" s="208">
        <f t="shared" si="235"/>
        <v>0</v>
      </c>
      <c r="J438" s="208">
        <f t="shared" si="235"/>
        <v>0</v>
      </c>
      <c r="K438" s="208">
        <f t="shared" si="235"/>
        <v>0</v>
      </c>
      <c r="L438" s="208">
        <f t="shared" si="235"/>
        <v>0</v>
      </c>
      <c r="M438" s="208">
        <f t="shared" si="235"/>
        <v>0</v>
      </c>
      <c r="N438" s="208">
        <f t="shared" si="235"/>
        <v>0</v>
      </c>
      <c r="O438" s="208">
        <f t="shared" si="235"/>
        <v>0</v>
      </c>
      <c r="P438" s="208">
        <f t="shared" si="235"/>
        <v>0</v>
      </c>
      <c r="Q438" s="208">
        <f t="shared" si="235"/>
        <v>0</v>
      </c>
      <c r="R438" s="208">
        <f t="shared" si="235"/>
        <v>0</v>
      </c>
      <c r="S438" s="208">
        <f t="shared" si="235"/>
        <v>0</v>
      </c>
      <c r="T438" s="208">
        <f t="shared" si="235"/>
        <v>25760.406617379896</v>
      </c>
      <c r="U438" s="208">
        <f t="shared" si="235"/>
        <v>41216.650587807831</v>
      </c>
      <c r="V438" s="208">
        <f t="shared" si="235"/>
        <v>24729.990352684701</v>
      </c>
      <c r="W438" s="208">
        <f t="shared" si="235"/>
        <v>14837.99421161082</v>
      </c>
      <c r="X438" s="208">
        <f t="shared" si="235"/>
        <v>14837.99421161082</v>
      </c>
      <c r="Y438" s="208">
        <f t="shared" si="235"/>
        <v>7418.9971058054098</v>
      </c>
      <c r="Z438" s="208">
        <f t="shared" si="235"/>
        <v>0</v>
      </c>
      <c r="AA438" s="208">
        <f t="shared" si="235"/>
        <v>0</v>
      </c>
      <c r="AB438" s="208">
        <f t="shared" si="235"/>
        <v>0</v>
      </c>
      <c r="AC438" s="208">
        <f t="shared" si="235"/>
        <v>0</v>
      </c>
      <c r="AD438" s="208">
        <f t="shared" si="235"/>
        <v>0</v>
      </c>
      <c r="AE438" s="208">
        <f t="shared" si="235"/>
        <v>0</v>
      </c>
      <c r="AF438" s="208">
        <f t="shared" si="235"/>
        <v>0</v>
      </c>
      <c r="AG438" s="208">
        <f t="shared" si="235"/>
        <v>0</v>
      </c>
      <c r="AH438" s="208">
        <f t="shared" si="235"/>
        <v>0</v>
      </c>
      <c r="AI438" s="208">
        <f t="shared" si="235"/>
        <v>0</v>
      </c>
      <c r="AJ438" s="208">
        <f t="shared" si="235"/>
        <v>0</v>
      </c>
      <c r="AK438" s="208">
        <f t="shared" si="235"/>
        <v>0</v>
      </c>
      <c r="AL438" s="208">
        <f t="shared" si="235"/>
        <v>0</v>
      </c>
      <c r="AM438" s="208">
        <f t="shared" si="235"/>
        <v>0</v>
      </c>
      <c r="AN438" s="208">
        <f t="shared" si="235"/>
        <v>0</v>
      </c>
      <c r="AO438" s="208">
        <f t="shared" si="235"/>
        <v>0</v>
      </c>
      <c r="AP438" s="208">
        <f t="shared" si="235"/>
        <v>0</v>
      </c>
    </row>
    <row r="439" spans="1:42">
      <c r="A439" s="119">
        <f t="shared" si="231"/>
        <v>7</v>
      </c>
      <c r="B439" s="218">
        <f t="shared" si="228"/>
        <v>134685.50065500522</v>
      </c>
      <c r="C439" s="250">
        <f t="shared" ref="C439:AP439" si="236">LOOKUP(C427,$B$365:$AP$365,$B$366:$AP$366)*$B795</f>
        <v>0</v>
      </c>
      <c r="D439" s="208">
        <f t="shared" si="236"/>
        <v>0</v>
      </c>
      <c r="E439" s="208">
        <f t="shared" si="236"/>
        <v>0</v>
      </c>
      <c r="F439" s="208">
        <f t="shared" si="236"/>
        <v>0</v>
      </c>
      <c r="G439" s="208">
        <f t="shared" si="236"/>
        <v>0</v>
      </c>
      <c r="H439" s="208">
        <f t="shared" si="236"/>
        <v>0</v>
      </c>
      <c r="I439" s="208">
        <f t="shared" si="236"/>
        <v>0</v>
      </c>
      <c r="J439" s="208">
        <f t="shared" si="236"/>
        <v>0</v>
      </c>
      <c r="K439" s="208">
        <f t="shared" si="236"/>
        <v>0</v>
      </c>
      <c r="L439" s="208">
        <f t="shared" si="236"/>
        <v>0</v>
      </c>
      <c r="M439" s="208">
        <f t="shared" si="236"/>
        <v>0</v>
      </c>
      <c r="N439" s="208">
        <f t="shared" si="236"/>
        <v>0</v>
      </c>
      <c r="O439" s="208">
        <f t="shared" si="236"/>
        <v>0</v>
      </c>
      <c r="P439" s="208">
        <f t="shared" si="236"/>
        <v>0</v>
      </c>
      <c r="Q439" s="208">
        <f t="shared" si="236"/>
        <v>0</v>
      </c>
      <c r="R439" s="208">
        <f t="shared" si="236"/>
        <v>0</v>
      </c>
      <c r="S439" s="208">
        <f t="shared" si="236"/>
        <v>0</v>
      </c>
      <c r="T439" s="208">
        <f t="shared" si="236"/>
        <v>0</v>
      </c>
      <c r="U439" s="208">
        <f t="shared" si="236"/>
        <v>0</v>
      </c>
      <c r="V439" s="208">
        <f t="shared" si="236"/>
        <v>0</v>
      </c>
      <c r="W439" s="208">
        <f t="shared" si="236"/>
        <v>26937.100131001047</v>
      </c>
      <c r="X439" s="208">
        <f t="shared" si="236"/>
        <v>43099.360209601669</v>
      </c>
      <c r="Y439" s="208">
        <f t="shared" si="236"/>
        <v>25859.616125761004</v>
      </c>
      <c r="Z439" s="208">
        <f t="shared" si="236"/>
        <v>15515.7696754566</v>
      </c>
      <c r="AA439" s="208">
        <f t="shared" si="236"/>
        <v>15515.7696754566</v>
      </c>
      <c r="AB439" s="208">
        <f t="shared" si="236"/>
        <v>7757.8848377283002</v>
      </c>
      <c r="AC439" s="208">
        <f t="shared" si="236"/>
        <v>0</v>
      </c>
      <c r="AD439" s="208">
        <f t="shared" si="236"/>
        <v>0</v>
      </c>
      <c r="AE439" s="208">
        <f t="shared" si="236"/>
        <v>0</v>
      </c>
      <c r="AF439" s="208">
        <f t="shared" si="236"/>
        <v>0</v>
      </c>
      <c r="AG439" s="208">
        <f t="shared" si="236"/>
        <v>0</v>
      </c>
      <c r="AH439" s="208">
        <f t="shared" si="236"/>
        <v>0</v>
      </c>
      <c r="AI439" s="208">
        <f t="shared" si="236"/>
        <v>0</v>
      </c>
      <c r="AJ439" s="208">
        <f t="shared" si="236"/>
        <v>0</v>
      </c>
      <c r="AK439" s="208">
        <f t="shared" si="236"/>
        <v>0</v>
      </c>
      <c r="AL439" s="208">
        <f t="shared" si="236"/>
        <v>0</v>
      </c>
      <c r="AM439" s="208">
        <f t="shared" si="236"/>
        <v>0</v>
      </c>
      <c r="AN439" s="208">
        <f t="shared" si="236"/>
        <v>0</v>
      </c>
      <c r="AO439" s="208">
        <f t="shared" si="236"/>
        <v>0</v>
      </c>
      <c r="AP439" s="208">
        <f t="shared" si="236"/>
        <v>0</v>
      </c>
    </row>
    <row r="440" spans="1:42">
      <c r="A440" s="119">
        <f t="shared" si="231"/>
        <v>8</v>
      </c>
      <c r="B440" s="218">
        <f t="shared" si="228"/>
        <v>140837.71546098724</v>
      </c>
      <c r="C440" s="250">
        <f t="shared" ref="C440:AP440" si="237">LOOKUP(C428,$B$365:$AP$365,$B$366:$AP$366)*$B796</f>
        <v>0</v>
      </c>
      <c r="D440" s="208">
        <f t="shared" si="237"/>
        <v>0</v>
      </c>
      <c r="E440" s="208">
        <f t="shared" si="237"/>
        <v>0</v>
      </c>
      <c r="F440" s="208">
        <f t="shared" si="237"/>
        <v>0</v>
      </c>
      <c r="G440" s="208">
        <f t="shared" si="237"/>
        <v>0</v>
      </c>
      <c r="H440" s="208">
        <f t="shared" si="237"/>
        <v>0</v>
      </c>
      <c r="I440" s="208">
        <f t="shared" si="237"/>
        <v>0</v>
      </c>
      <c r="J440" s="208">
        <f t="shared" si="237"/>
        <v>0</v>
      </c>
      <c r="K440" s="208">
        <f t="shared" si="237"/>
        <v>0</v>
      </c>
      <c r="L440" s="208">
        <f t="shared" si="237"/>
        <v>0</v>
      </c>
      <c r="M440" s="208">
        <f t="shared" si="237"/>
        <v>0</v>
      </c>
      <c r="N440" s="208">
        <f t="shared" si="237"/>
        <v>0</v>
      </c>
      <c r="O440" s="208">
        <f t="shared" si="237"/>
        <v>0</v>
      </c>
      <c r="P440" s="208">
        <f t="shared" si="237"/>
        <v>0</v>
      </c>
      <c r="Q440" s="208">
        <f t="shared" si="237"/>
        <v>0</v>
      </c>
      <c r="R440" s="208">
        <f t="shared" si="237"/>
        <v>0</v>
      </c>
      <c r="S440" s="208">
        <f t="shared" si="237"/>
        <v>0</v>
      </c>
      <c r="T440" s="208">
        <f t="shared" si="237"/>
        <v>0</v>
      </c>
      <c r="U440" s="208">
        <f t="shared" si="237"/>
        <v>0</v>
      </c>
      <c r="V440" s="208">
        <f t="shared" si="237"/>
        <v>0</v>
      </c>
      <c r="W440" s="208">
        <f t="shared" si="237"/>
        <v>0</v>
      </c>
      <c r="X440" s="208">
        <f t="shared" si="237"/>
        <v>0</v>
      </c>
      <c r="Y440" s="208">
        <f t="shared" si="237"/>
        <v>0</v>
      </c>
      <c r="Z440" s="208">
        <f t="shared" si="237"/>
        <v>28167.543092197448</v>
      </c>
      <c r="AA440" s="208">
        <f t="shared" si="237"/>
        <v>45068.068947515916</v>
      </c>
      <c r="AB440" s="208">
        <f t="shared" si="237"/>
        <v>27040.841368509551</v>
      </c>
      <c r="AC440" s="208">
        <f t="shared" si="237"/>
        <v>16224.504821105729</v>
      </c>
      <c r="AD440" s="208">
        <f t="shared" si="237"/>
        <v>16224.504821105729</v>
      </c>
      <c r="AE440" s="208">
        <f t="shared" si="237"/>
        <v>8112.2524105528646</v>
      </c>
      <c r="AF440" s="208">
        <f t="shared" si="237"/>
        <v>0</v>
      </c>
      <c r="AG440" s="208">
        <f t="shared" si="237"/>
        <v>0</v>
      </c>
      <c r="AH440" s="208">
        <f t="shared" si="237"/>
        <v>0</v>
      </c>
      <c r="AI440" s="208">
        <f t="shared" si="237"/>
        <v>0</v>
      </c>
      <c r="AJ440" s="208">
        <f t="shared" si="237"/>
        <v>0</v>
      </c>
      <c r="AK440" s="208">
        <f t="shared" si="237"/>
        <v>0</v>
      </c>
      <c r="AL440" s="208">
        <f t="shared" si="237"/>
        <v>0</v>
      </c>
      <c r="AM440" s="208">
        <f t="shared" si="237"/>
        <v>0</v>
      </c>
      <c r="AN440" s="208">
        <f t="shared" si="237"/>
        <v>0</v>
      </c>
      <c r="AO440" s="208">
        <f t="shared" si="237"/>
        <v>0</v>
      </c>
      <c r="AP440" s="208">
        <f t="shared" si="237"/>
        <v>0</v>
      </c>
    </row>
    <row r="441" spans="1:42">
      <c r="A441" s="119">
        <f>A440+1</f>
        <v>9</v>
      </c>
      <c r="B441" s="218">
        <f t="shared" si="228"/>
        <v>121822.53268718722</v>
      </c>
      <c r="C441" s="250">
        <f t="shared" ref="C441:AP441" si="238">LOOKUP(C429,$B$365:$AP$365,$B$366:$AP$366)*$B797</f>
        <v>0</v>
      </c>
      <c r="D441" s="208">
        <f t="shared" si="238"/>
        <v>0</v>
      </c>
      <c r="E441" s="208">
        <f t="shared" si="238"/>
        <v>0</v>
      </c>
      <c r="F441" s="208">
        <f t="shared" si="238"/>
        <v>0</v>
      </c>
      <c r="G441" s="208">
        <f t="shared" si="238"/>
        <v>0</v>
      </c>
      <c r="H441" s="208">
        <f t="shared" si="238"/>
        <v>0</v>
      </c>
      <c r="I441" s="208">
        <f t="shared" si="238"/>
        <v>0</v>
      </c>
      <c r="J441" s="208">
        <f t="shared" si="238"/>
        <v>0</v>
      </c>
      <c r="K441" s="208">
        <f t="shared" si="238"/>
        <v>0</v>
      </c>
      <c r="L441" s="208">
        <f t="shared" si="238"/>
        <v>0</v>
      </c>
      <c r="M441" s="208">
        <f t="shared" si="238"/>
        <v>0</v>
      </c>
      <c r="N441" s="208">
        <f t="shared" si="238"/>
        <v>0</v>
      </c>
      <c r="O441" s="208">
        <f t="shared" si="238"/>
        <v>0</v>
      </c>
      <c r="P441" s="208">
        <f t="shared" si="238"/>
        <v>0</v>
      </c>
      <c r="Q441" s="208">
        <f t="shared" si="238"/>
        <v>0</v>
      </c>
      <c r="R441" s="208">
        <f t="shared" si="238"/>
        <v>0</v>
      </c>
      <c r="S441" s="208">
        <f t="shared" si="238"/>
        <v>0</v>
      </c>
      <c r="T441" s="208">
        <f t="shared" si="238"/>
        <v>0</v>
      </c>
      <c r="U441" s="208">
        <f t="shared" si="238"/>
        <v>0</v>
      </c>
      <c r="V441" s="208">
        <f t="shared" si="238"/>
        <v>0</v>
      </c>
      <c r="W441" s="208">
        <f t="shared" si="238"/>
        <v>0</v>
      </c>
      <c r="X441" s="208">
        <f t="shared" si="238"/>
        <v>0</v>
      </c>
      <c r="Y441" s="208">
        <f t="shared" si="238"/>
        <v>0</v>
      </c>
      <c r="Z441" s="208">
        <f t="shared" si="238"/>
        <v>0</v>
      </c>
      <c r="AA441" s="208">
        <f t="shared" si="238"/>
        <v>0</v>
      </c>
      <c r="AB441" s="208">
        <f t="shared" si="238"/>
        <v>0</v>
      </c>
      <c r="AC441" s="208">
        <f t="shared" si="238"/>
        <v>29454.190688391496</v>
      </c>
      <c r="AD441" s="208">
        <f t="shared" si="238"/>
        <v>47126.705101426393</v>
      </c>
      <c r="AE441" s="208">
        <f t="shared" si="238"/>
        <v>28276.023060855838</v>
      </c>
      <c r="AF441" s="208">
        <f t="shared" si="238"/>
        <v>16965.613836513501</v>
      </c>
      <c r="AG441" s="208">
        <f t="shared" si="238"/>
        <v>0</v>
      </c>
      <c r="AH441" s="208">
        <f t="shared" si="238"/>
        <v>0</v>
      </c>
      <c r="AI441" s="208">
        <f t="shared" si="238"/>
        <v>0</v>
      </c>
      <c r="AJ441" s="208">
        <f t="shared" si="238"/>
        <v>0</v>
      </c>
      <c r="AK441" s="208">
        <f t="shared" si="238"/>
        <v>0</v>
      </c>
      <c r="AL441" s="208">
        <f t="shared" si="238"/>
        <v>0</v>
      </c>
      <c r="AM441" s="208">
        <f t="shared" si="238"/>
        <v>0</v>
      </c>
      <c r="AN441" s="208">
        <f t="shared" si="238"/>
        <v>0</v>
      </c>
      <c r="AO441" s="208">
        <f t="shared" si="238"/>
        <v>0</v>
      </c>
      <c r="AP441" s="208">
        <f t="shared" si="238"/>
        <v>0</v>
      </c>
    </row>
    <row r="442" spans="1:42">
      <c r="A442" s="119">
        <f t="shared" si="231"/>
        <v>10</v>
      </c>
      <c r="B442" s="218">
        <f t="shared" si="228"/>
        <v>30799.610255977339</v>
      </c>
      <c r="C442" s="246">
        <f t="shared" ref="C442:AP442" si="239">LOOKUP(C430,$B$365:$AP$365,$B$366:$AP$366)*$B798</f>
        <v>0</v>
      </c>
      <c r="D442" s="209">
        <f t="shared" si="239"/>
        <v>0</v>
      </c>
      <c r="E442" s="209">
        <f t="shared" si="239"/>
        <v>0</v>
      </c>
      <c r="F442" s="209">
        <f t="shared" si="239"/>
        <v>0</v>
      </c>
      <c r="G442" s="209">
        <f t="shared" si="239"/>
        <v>0</v>
      </c>
      <c r="H442" s="209">
        <f t="shared" si="239"/>
        <v>0</v>
      </c>
      <c r="I442" s="209">
        <f t="shared" si="239"/>
        <v>0</v>
      </c>
      <c r="J442" s="209">
        <f t="shared" si="239"/>
        <v>0</v>
      </c>
      <c r="K442" s="209">
        <f t="shared" si="239"/>
        <v>0</v>
      </c>
      <c r="L442" s="209">
        <f t="shared" si="239"/>
        <v>0</v>
      </c>
      <c r="M442" s="209">
        <f t="shared" si="239"/>
        <v>0</v>
      </c>
      <c r="N442" s="209">
        <f t="shared" si="239"/>
        <v>0</v>
      </c>
      <c r="O442" s="209">
        <f t="shared" si="239"/>
        <v>0</v>
      </c>
      <c r="P442" s="209">
        <f t="shared" si="239"/>
        <v>0</v>
      </c>
      <c r="Q442" s="209">
        <f t="shared" si="239"/>
        <v>0</v>
      </c>
      <c r="R442" s="209">
        <f t="shared" si="239"/>
        <v>0</v>
      </c>
      <c r="S442" s="209">
        <f t="shared" si="239"/>
        <v>0</v>
      </c>
      <c r="T442" s="209">
        <f t="shared" si="239"/>
        <v>0</v>
      </c>
      <c r="U442" s="209">
        <f t="shared" si="239"/>
        <v>0</v>
      </c>
      <c r="V442" s="209">
        <f t="shared" si="239"/>
        <v>0</v>
      </c>
      <c r="W442" s="209">
        <f t="shared" si="239"/>
        <v>0</v>
      </c>
      <c r="X442" s="209">
        <f t="shared" si="239"/>
        <v>0</v>
      </c>
      <c r="Y442" s="209">
        <f t="shared" si="239"/>
        <v>0</v>
      </c>
      <c r="Z442" s="209">
        <f t="shared" si="239"/>
        <v>0</v>
      </c>
      <c r="AA442" s="209">
        <f t="shared" si="239"/>
        <v>0</v>
      </c>
      <c r="AB442" s="209">
        <f t="shared" si="239"/>
        <v>0</v>
      </c>
      <c r="AC442" s="209">
        <f t="shared" si="239"/>
        <v>0</v>
      </c>
      <c r="AD442" s="209">
        <f t="shared" si="239"/>
        <v>0</v>
      </c>
      <c r="AE442" s="209">
        <f t="shared" si="239"/>
        <v>0</v>
      </c>
      <c r="AF442" s="209">
        <f t="shared" si="239"/>
        <v>30799.610255977339</v>
      </c>
      <c r="AG442" s="209">
        <f t="shared" si="239"/>
        <v>0</v>
      </c>
      <c r="AH442" s="209">
        <f t="shared" si="239"/>
        <v>0</v>
      </c>
      <c r="AI442" s="209">
        <f t="shared" si="239"/>
        <v>0</v>
      </c>
      <c r="AJ442" s="209">
        <f t="shared" si="239"/>
        <v>0</v>
      </c>
      <c r="AK442" s="209">
        <f t="shared" si="239"/>
        <v>0</v>
      </c>
      <c r="AL442" s="209">
        <f t="shared" si="239"/>
        <v>0</v>
      </c>
      <c r="AM442" s="209">
        <f t="shared" si="239"/>
        <v>0</v>
      </c>
      <c r="AN442" s="209">
        <f t="shared" si="239"/>
        <v>0</v>
      </c>
      <c r="AO442" s="209">
        <f t="shared" si="239"/>
        <v>0</v>
      </c>
      <c r="AP442" s="209">
        <f t="shared" si="239"/>
        <v>0</v>
      </c>
    </row>
    <row r="443" spans="1:42" s="119" customFormat="1" ht="12" customHeight="1">
      <c r="A443" s="247" t="s">
        <v>53</v>
      </c>
      <c r="B443" s="146"/>
      <c r="C443" s="146">
        <f>SUM(C433:C442)</f>
        <v>0</v>
      </c>
      <c r="D443" s="146">
        <f t="shared" ref="D443:AP443" si="240">SUM(D433:D442)</f>
        <v>0</v>
      </c>
      <c r="E443" s="146">
        <f t="shared" si="240"/>
        <v>20604.499999999996</v>
      </c>
      <c r="F443" s="146">
        <f t="shared" si="240"/>
        <v>32967.19999999999</v>
      </c>
      <c r="G443" s="146">
        <f t="shared" si="240"/>
        <v>19780.319999999996</v>
      </c>
      <c r="H443" s="146">
        <f t="shared" si="240"/>
        <v>33413.872077687483</v>
      </c>
      <c r="I443" s="146">
        <f t="shared" si="240"/>
        <v>46341.28012429997</v>
      </c>
      <c r="J443" s="146">
        <f t="shared" si="240"/>
        <v>26617.948874579983</v>
      </c>
      <c r="K443" s="146">
        <f t="shared" si="240"/>
        <v>34940.163456654111</v>
      </c>
      <c r="L443" s="146">
        <f t="shared" si="240"/>
        <v>48458.074495797773</v>
      </c>
      <c r="M443" s="146">
        <f t="shared" si="240"/>
        <v>27833.813525003865</v>
      </c>
      <c r="N443" s="146">
        <f t="shared" si="240"/>
        <v>36536.173345588439</v>
      </c>
      <c r="O443" s="146">
        <f t="shared" si="240"/>
        <v>50671.560594394745</v>
      </c>
      <c r="P443" s="146">
        <f t="shared" si="240"/>
        <v>29105.216896879054</v>
      </c>
      <c r="Q443" s="146">
        <f t="shared" si="240"/>
        <v>38205.086372733211</v>
      </c>
      <c r="R443" s="146">
        <f t="shared" si="240"/>
        <v>52986.155141060706</v>
      </c>
      <c r="S443" s="146">
        <f t="shared" si="240"/>
        <v>30434.695908751019</v>
      </c>
      <c r="T443" s="146">
        <f t="shared" si="240"/>
        <v>39950.232634974287</v>
      </c>
      <c r="U443" s="146">
        <f t="shared" si="240"/>
        <v>55406.476605402226</v>
      </c>
      <c r="V443" s="146">
        <f t="shared" si="240"/>
        <v>31824.903361481898</v>
      </c>
      <c r="W443" s="146">
        <f t="shared" si="240"/>
        <v>41775.094342611868</v>
      </c>
      <c r="X443" s="146">
        <f t="shared" si="240"/>
        <v>57937.354421212491</v>
      </c>
      <c r="Y443" s="146">
        <f t="shared" si="240"/>
        <v>33278.613231566414</v>
      </c>
      <c r="Z443" s="146">
        <f t="shared" si="240"/>
        <v>43683.312767654046</v>
      </c>
      <c r="AA443" s="146">
        <f t="shared" si="240"/>
        <v>60583.838622972515</v>
      </c>
      <c r="AB443" s="146">
        <f t="shared" si="240"/>
        <v>34798.72620623785</v>
      </c>
      <c r="AC443" s="146">
        <f t="shared" si="240"/>
        <v>45678.695509497222</v>
      </c>
      <c r="AD443" s="146">
        <f t="shared" si="240"/>
        <v>63351.209922532122</v>
      </c>
      <c r="AE443" s="146">
        <f t="shared" si="240"/>
        <v>36388.275471408706</v>
      </c>
      <c r="AF443" s="146">
        <f t="shared" si="240"/>
        <v>47765.22409249084</v>
      </c>
      <c r="AG443" s="146">
        <f t="shared" si="240"/>
        <v>0</v>
      </c>
      <c r="AH443" s="146">
        <f t="shared" si="240"/>
        <v>0</v>
      </c>
      <c r="AI443" s="146">
        <f t="shared" si="240"/>
        <v>0</v>
      </c>
      <c r="AJ443" s="146">
        <f t="shared" si="240"/>
        <v>0</v>
      </c>
      <c r="AK443" s="146">
        <f t="shared" si="240"/>
        <v>0</v>
      </c>
      <c r="AL443" s="146">
        <f t="shared" si="240"/>
        <v>0</v>
      </c>
      <c r="AM443" s="146">
        <f t="shared" si="240"/>
        <v>0</v>
      </c>
      <c r="AN443" s="146">
        <f t="shared" si="240"/>
        <v>0</v>
      </c>
      <c r="AO443" s="146">
        <f t="shared" si="240"/>
        <v>0</v>
      </c>
      <c r="AP443" s="146">
        <f t="shared" si="240"/>
        <v>0</v>
      </c>
    </row>
    <row r="444" spans="1:42">
      <c r="A444" s="226"/>
      <c r="C444" s="208"/>
      <c r="D444" s="208"/>
      <c r="E444" s="208"/>
      <c r="F444" s="208"/>
      <c r="G444" s="208"/>
      <c r="H444" s="208"/>
      <c r="I444" s="208"/>
      <c r="J444" s="208"/>
      <c r="K444" s="208"/>
      <c r="L444" s="208"/>
      <c r="M444" s="208"/>
      <c r="N444" s="208"/>
      <c r="O444" s="208"/>
      <c r="P444" s="208"/>
      <c r="Q444" s="208"/>
      <c r="R444" s="208"/>
      <c r="S444" s="208"/>
      <c r="T444" s="208"/>
      <c r="U444" s="208"/>
      <c r="V444" s="208"/>
      <c r="W444" s="208"/>
      <c r="X444" s="208"/>
      <c r="Y444" s="208"/>
      <c r="Z444" s="208"/>
      <c r="AA444" s="208"/>
      <c r="AB444" s="208"/>
      <c r="AC444" s="208"/>
      <c r="AD444" s="208"/>
      <c r="AE444" s="208"/>
      <c r="AF444" s="208"/>
      <c r="AG444" s="208"/>
      <c r="AH444" s="208"/>
      <c r="AI444" s="208"/>
      <c r="AJ444" s="208"/>
      <c r="AK444" s="208"/>
      <c r="AL444" s="208"/>
      <c r="AM444" s="208"/>
      <c r="AN444" s="208"/>
      <c r="AO444" s="208"/>
      <c r="AP444" s="208"/>
    </row>
    <row r="445" spans="1:42">
      <c r="A445" s="217" t="s">
        <v>150</v>
      </c>
    </row>
    <row r="446" spans="1:42">
      <c r="A446" s="119" t="s">
        <v>83</v>
      </c>
    </row>
    <row r="447" spans="1:42" ht="51">
      <c r="A447" s="119"/>
      <c r="B447" s="133" t="s">
        <v>157</v>
      </c>
      <c r="C447" s="133" t="s">
        <v>153</v>
      </c>
      <c r="D447" s="133" t="s">
        <v>155</v>
      </c>
      <c r="E447" s="228" t="s">
        <v>156</v>
      </c>
      <c r="F447" s="133" t="s">
        <v>158</v>
      </c>
      <c r="G447" s="229" t="s">
        <v>175</v>
      </c>
      <c r="H447" s="229" t="s">
        <v>176</v>
      </c>
      <c r="I447" s="133" t="s">
        <v>159</v>
      </c>
      <c r="J447" s="230" t="s">
        <v>332</v>
      </c>
      <c r="K447" s="133" t="s">
        <v>337</v>
      </c>
    </row>
    <row r="448" spans="1:42">
      <c r="A448" s="297" t="str">
        <f>A314</f>
        <v>5-yr MACRS</v>
      </c>
      <c r="B448" s="231">
        <f>C448/$C$455</f>
        <v>0.95108695652173914</v>
      </c>
      <c r="C448" s="208">
        <f>'Inputs &amp; Results'!D221</f>
        <v>40466381.590438232</v>
      </c>
      <c r="D448" s="146">
        <f>$B448*D$455</f>
        <v>0</v>
      </c>
      <c r="E448" s="146">
        <f>$B448*E$455</f>
        <v>0</v>
      </c>
      <c r="F448" s="248">
        <f>C448-D448-E448</f>
        <v>40466381.590438232</v>
      </c>
      <c r="G448" s="208">
        <f t="shared" ref="G448:G453" si="241">IF(ITCStateFixedFedDeprec="Yes",K584,0)+IF(ITCStatePercentFedDeprec="Yes",I584,0)</f>
        <v>0</v>
      </c>
      <c r="H448" s="208">
        <f t="shared" ref="H448:H453" si="242">IF(ITCFedFixedFedDeprec="Yes",K619,0)+IF(ITCFedPercentFedDeprec="Yes",I619,0)</f>
        <v>5000</v>
      </c>
      <c r="I448" s="232">
        <f>F448-G448-H448</f>
        <v>40461381.590438232</v>
      </c>
      <c r="J448" s="208">
        <f>IF('Inputs &amp; Results'!B242="Yes",I448*FedBonusDeprec,0)</f>
        <v>4046138.1590438234</v>
      </c>
      <c r="K448" s="165">
        <f>I448-J448</f>
        <v>36415243.431394406</v>
      </c>
    </row>
    <row r="449" spans="1:11">
      <c r="A449" s="297" t="str">
        <f t="shared" ref="A449:A453" si="243">A315</f>
        <v>15-yr MACRS</v>
      </c>
      <c r="B449" s="231">
        <f t="shared" ref="B449:B453" si="244">C449/$C$455</f>
        <v>1.6304347826086956E-2</v>
      </c>
      <c r="C449" s="208">
        <f>'Inputs &amp; Results'!D222</f>
        <v>693709.39869322674</v>
      </c>
      <c r="D449" s="146">
        <f t="shared" ref="D449:E453" si="245">$B449*D$455</f>
        <v>0</v>
      </c>
      <c r="E449" s="146">
        <f t="shared" si="245"/>
        <v>0</v>
      </c>
      <c r="F449" s="248">
        <f t="shared" ref="F449:F453" si="246">C449-D449-E449</f>
        <v>693709.39869322674</v>
      </c>
      <c r="G449" s="208">
        <f t="shared" si="241"/>
        <v>0</v>
      </c>
      <c r="H449" s="208">
        <f t="shared" si="242"/>
        <v>0</v>
      </c>
      <c r="I449" s="165">
        <f t="shared" ref="I449:I453" si="247">F449-G449-H449</f>
        <v>693709.39869322674</v>
      </c>
      <c r="J449" s="208">
        <f>IF('Inputs &amp; Results'!B243="Yes",I449*FedBonusDeprec,0)</f>
        <v>0</v>
      </c>
      <c r="K449" s="165">
        <f t="shared" ref="K449:K453" si="248">I449-J449</f>
        <v>693709.39869322674</v>
      </c>
    </row>
    <row r="450" spans="1:11">
      <c r="A450" s="297" t="str">
        <f t="shared" si="243"/>
        <v>5-yr SL</v>
      </c>
      <c r="B450" s="231">
        <f t="shared" si="244"/>
        <v>0</v>
      </c>
      <c r="C450" s="208">
        <f>'Inputs &amp; Results'!D223</f>
        <v>0</v>
      </c>
      <c r="D450" s="146">
        <f t="shared" si="245"/>
        <v>0</v>
      </c>
      <c r="E450" s="146">
        <f t="shared" si="245"/>
        <v>0</v>
      </c>
      <c r="F450" s="248">
        <f t="shared" si="246"/>
        <v>0</v>
      </c>
      <c r="G450" s="208">
        <f t="shared" si="241"/>
        <v>0</v>
      </c>
      <c r="H450" s="208">
        <f t="shared" si="242"/>
        <v>0</v>
      </c>
      <c r="I450" s="165">
        <f t="shared" si="247"/>
        <v>0</v>
      </c>
      <c r="J450" s="208">
        <f>IF('Inputs &amp; Results'!B244="Yes",I450*FedBonusDeprec,0)</f>
        <v>0</v>
      </c>
      <c r="K450" s="165">
        <f t="shared" si="248"/>
        <v>0</v>
      </c>
    </row>
    <row r="451" spans="1:11">
      <c r="A451" s="297" t="str">
        <f t="shared" si="243"/>
        <v>15-yr SL</v>
      </c>
      <c r="B451" s="231">
        <f t="shared" si="244"/>
        <v>1.6304347826086956E-2</v>
      </c>
      <c r="C451" s="208">
        <f>'Inputs &amp; Results'!D224</f>
        <v>693709.39869322674</v>
      </c>
      <c r="D451" s="146">
        <f t="shared" si="245"/>
        <v>0</v>
      </c>
      <c r="E451" s="146">
        <f t="shared" si="245"/>
        <v>0</v>
      </c>
      <c r="F451" s="248">
        <f t="shared" si="246"/>
        <v>693709.39869322674</v>
      </c>
      <c r="G451" s="208">
        <f t="shared" si="241"/>
        <v>0</v>
      </c>
      <c r="H451" s="208">
        <f t="shared" si="242"/>
        <v>0</v>
      </c>
      <c r="I451" s="165">
        <f t="shared" si="247"/>
        <v>693709.39869322674</v>
      </c>
      <c r="J451" s="208">
        <f>IF('Inputs &amp; Results'!B245="Yes",I451*FedBonusDeprec,0)</f>
        <v>0</v>
      </c>
      <c r="K451" s="165">
        <f t="shared" si="248"/>
        <v>693709.39869322674</v>
      </c>
    </row>
    <row r="452" spans="1:11">
      <c r="A452" s="297" t="str">
        <f t="shared" si="243"/>
        <v>20-yr SL</v>
      </c>
      <c r="B452" s="231">
        <f t="shared" si="244"/>
        <v>1.0869565217391304E-2</v>
      </c>
      <c r="C452" s="208">
        <f>'Inputs &amp; Results'!D225</f>
        <v>462472.93246215122</v>
      </c>
      <c r="D452" s="146">
        <f t="shared" si="245"/>
        <v>0</v>
      </c>
      <c r="E452" s="146">
        <f t="shared" si="245"/>
        <v>0</v>
      </c>
      <c r="F452" s="248">
        <f t="shared" si="246"/>
        <v>462472.93246215122</v>
      </c>
      <c r="G452" s="208">
        <f t="shared" si="241"/>
        <v>0</v>
      </c>
      <c r="H452" s="208">
        <f t="shared" si="242"/>
        <v>0</v>
      </c>
      <c r="I452" s="165">
        <f t="shared" si="247"/>
        <v>462472.93246215122</v>
      </c>
      <c r="J452" s="208">
        <f>IF('Inputs &amp; Results'!B246="Yes",I452*FedBonusDeprec,0)</f>
        <v>0</v>
      </c>
      <c r="K452" s="165">
        <f t="shared" si="248"/>
        <v>462472.93246215122</v>
      </c>
    </row>
    <row r="453" spans="1:11">
      <c r="A453" s="297" t="str">
        <f t="shared" si="243"/>
        <v>39-yr SL</v>
      </c>
      <c r="B453" s="231">
        <f t="shared" si="244"/>
        <v>5.434782608695652E-3</v>
      </c>
      <c r="C453" s="208">
        <f>'Inputs &amp; Results'!D226</f>
        <v>231236.46623107561</v>
      </c>
      <c r="D453" s="146">
        <f t="shared" si="245"/>
        <v>0</v>
      </c>
      <c r="E453" s="146">
        <f t="shared" si="245"/>
        <v>0</v>
      </c>
      <c r="F453" s="248">
        <f t="shared" si="246"/>
        <v>231236.46623107561</v>
      </c>
      <c r="G453" s="208">
        <f t="shared" si="241"/>
        <v>0</v>
      </c>
      <c r="H453" s="208">
        <f t="shared" si="242"/>
        <v>0</v>
      </c>
      <c r="I453" s="165">
        <f t="shared" si="247"/>
        <v>231236.46623107561</v>
      </c>
      <c r="J453" s="208">
        <f>IF('Inputs &amp; Results'!B247="Yes",I453*FedBonusDeprec,0)</f>
        <v>0</v>
      </c>
      <c r="K453" s="165">
        <f t="shared" si="248"/>
        <v>231236.46623107561</v>
      </c>
    </row>
    <row r="454" spans="1:11">
      <c r="A454" s="301" t="s">
        <v>391</v>
      </c>
      <c r="B454" s="233"/>
      <c r="C454" s="234"/>
      <c r="D454" s="234"/>
      <c r="E454" s="234"/>
      <c r="F454" s="234"/>
      <c r="G454" s="235"/>
      <c r="H454" s="235"/>
      <c r="I454" s="103"/>
      <c r="J454" s="235"/>
      <c r="K454" s="103"/>
    </row>
    <row r="455" spans="1:11">
      <c r="A455" s="119"/>
      <c r="B455" s="236">
        <f>SUM(B448:B454)</f>
        <v>1</v>
      </c>
      <c r="C455" s="209">
        <f>SUM(C448:C454)</f>
        <v>42547509.786517911</v>
      </c>
      <c r="D455" s="225">
        <f>B464+B470</f>
        <v>0</v>
      </c>
      <c r="E455" s="225">
        <f>B476</f>
        <v>0</v>
      </c>
      <c r="F455" s="249">
        <f t="shared" ref="F455:K455" si="249">SUM(F448:F454)</f>
        <v>42547509.786517911</v>
      </c>
      <c r="G455" s="209">
        <f t="shared" si="249"/>
        <v>0</v>
      </c>
      <c r="H455" s="209">
        <f t="shared" si="249"/>
        <v>5000</v>
      </c>
      <c r="I455" s="237">
        <f t="shared" si="249"/>
        <v>42542509.786517911</v>
      </c>
      <c r="J455" s="237">
        <f t="shared" si="249"/>
        <v>4046138.1590438234</v>
      </c>
      <c r="K455" s="237">
        <f t="shared" si="249"/>
        <v>38496371.627474084</v>
      </c>
    </row>
    <row r="456" spans="1:11">
      <c r="A456" s="119"/>
    </row>
    <row r="457" spans="1:11">
      <c r="A457" s="119" t="s">
        <v>171</v>
      </c>
    </row>
    <row r="458" spans="1:11">
      <c r="A458" s="297" t="str">
        <f>A324</f>
        <v>Investment Based Incentive (IBI)</v>
      </c>
    </row>
    <row r="459" spans="1:11">
      <c r="A459" s="298" t="str">
        <f t="shared" ref="A459:A477" si="250">A325</f>
        <v>Fixed Amount ($)</v>
      </c>
    </row>
    <row r="460" spans="1:11">
      <c r="A460" s="299" t="str">
        <f t="shared" si="250"/>
        <v>Federal</v>
      </c>
      <c r="B460" s="164">
        <f>IF(IBIFedFixedFedDeprec="Yes",IBIFedFixed,0)</f>
        <v>0</v>
      </c>
    </row>
    <row r="461" spans="1:11">
      <c r="A461" s="299" t="str">
        <f t="shared" si="250"/>
        <v>State</v>
      </c>
      <c r="B461" s="164">
        <f>IF(IBIStateFixedFedDeprec="Yes",IBIStateFixed,0)</f>
        <v>0</v>
      </c>
    </row>
    <row r="462" spans="1:11">
      <c r="A462" s="299" t="str">
        <f t="shared" si="250"/>
        <v>Utility</v>
      </c>
      <c r="B462" s="164">
        <f>IF(IBIUtilityFixedFedDeprec="Yes",IBIUtilityFixed,0)</f>
        <v>0</v>
      </c>
    </row>
    <row r="463" spans="1:11">
      <c r="A463" s="299" t="str">
        <f t="shared" si="250"/>
        <v>Other</v>
      </c>
      <c r="B463" s="209">
        <f>IF(IBIOtherFixedFedDeprec="Yes",IBIOtherFixed,0)</f>
        <v>0</v>
      </c>
    </row>
    <row r="464" spans="1:11">
      <c r="A464" s="299" t="str">
        <f t="shared" si="250"/>
        <v>Total</v>
      </c>
      <c r="B464" s="164">
        <f>SUM(B460:B463)</f>
        <v>0</v>
      </c>
    </row>
    <row r="465" spans="1:2">
      <c r="A465" s="298" t="str">
        <f t="shared" si="250"/>
        <v>Percentage of Pre-Financing Costs</v>
      </c>
    </row>
    <row r="466" spans="1:2">
      <c r="A466" s="299" t="str">
        <f t="shared" si="250"/>
        <v>Federal</v>
      </c>
      <c r="B466" s="164">
        <f>IF(IBIFedPercentFedDeprec="Yes",IBIFedPercent,0)</f>
        <v>0</v>
      </c>
    </row>
    <row r="467" spans="1:2">
      <c r="A467" s="299" t="str">
        <f t="shared" si="250"/>
        <v>State</v>
      </c>
      <c r="B467" s="164">
        <f>IF(IBIStatePercentFedDeprec="Yes",IBIStatePercent,0)</f>
        <v>0</v>
      </c>
    </row>
    <row r="468" spans="1:2">
      <c r="A468" s="299" t="str">
        <f t="shared" si="250"/>
        <v>Utility</v>
      </c>
      <c r="B468" s="164">
        <f>IF(IBIUtilityPercentFedDeprec="Yes",IBIUtilityPercent,0)</f>
        <v>0</v>
      </c>
    </row>
    <row r="469" spans="1:2">
      <c r="A469" s="299" t="str">
        <f t="shared" si="250"/>
        <v>Other</v>
      </c>
      <c r="B469" s="209">
        <f>IF(IBIOtherPercentFedDeprec="Yes",IBIOtherPercent,0)</f>
        <v>0</v>
      </c>
    </row>
    <row r="470" spans="1:2">
      <c r="A470" s="299" t="str">
        <f t="shared" si="250"/>
        <v>Total</v>
      </c>
      <c r="B470" s="164">
        <f>SUM(B466:B469)</f>
        <v>0</v>
      </c>
    </row>
    <row r="471" spans="1:2">
      <c r="A471" s="297" t="str">
        <f t="shared" si="250"/>
        <v>Capacity Based Incentive (CBI)</v>
      </c>
    </row>
    <row r="472" spans="1:2">
      <c r="A472" s="298" t="str">
        <f t="shared" si="250"/>
        <v>Federal</v>
      </c>
      <c r="B472" s="164">
        <f>IF(CBIFedFedDeprec="Yes",CBIFed,0)</f>
        <v>0</v>
      </c>
    </row>
    <row r="473" spans="1:2">
      <c r="A473" s="298" t="str">
        <f t="shared" si="250"/>
        <v>State</v>
      </c>
      <c r="B473" s="164">
        <f>IF(CBIStateFedDeprec="Yes",CBIState,0)</f>
        <v>0</v>
      </c>
    </row>
    <row r="474" spans="1:2">
      <c r="A474" s="298" t="str">
        <f t="shared" si="250"/>
        <v>Utility</v>
      </c>
      <c r="B474" s="164">
        <f>IF(CBIUtilityFedDeprec="Yes",CBIUtility,0)</f>
        <v>0</v>
      </c>
    </row>
    <row r="475" spans="1:2">
      <c r="A475" s="298" t="str">
        <f t="shared" si="250"/>
        <v>Other</v>
      </c>
      <c r="B475" s="209">
        <f>IF(CBIOtherFedDeprec="Yes",CBIOther,0)</f>
        <v>0</v>
      </c>
    </row>
    <row r="476" spans="1:2">
      <c r="A476" s="298" t="str">
        <f t="shared" si="250"/>
        <v>Total</v>
      </c>
      <c r="B476" s="216">
        <f>SUM(B472:B475)</f>
        <v>0</v>
      </c>
    </row>
    <row r="477" spans="1:2">
      <c r="A477" s="297" t="str">
        <f t="shared" si="250"/>
        <v>Total Basis Reduction</v>
      </c>
      <c r="B477" s="164">
        <f>B464+B470+B476</f>
        <v>0</v>
      </c>
    </row>
    <row r="478" spans="1:2">
      <c r="A478" s="119"/>
    </row>
    <row r="479" spans="1:2">
      <c r="A479" s="119" t="s">
        <v>264</v>
      </c>
    </row>
    <row r="480" spans="1:2">
      <c r="A480" s="297" t="s">
        <v>160</v>
      </c>
    </row>
    <row r="481" spans="1:42">
      <c r="A481" s="227" t="str">
        <f>A448</f>
        <v>5-yr MACRS</v>
      </c>
      <c r="B481" s="239">
        <f>SUM(C481:AP481)</f>
        <v>0.99999999999999989</v>
      </c>
      <c r="C481" s="240">
        <f>LOOKUP(C$2,'Depreciation Schedules'!$A$3:$A$42,'Depreciation Schedules'!$B$3:$B$42)</f>
        <v>0.2</v>
      </c>
      <c r="D481" s="240">
        <f>LOOKUP(D$2,'Depreciation Schedules'!$A$3:$A$42,'Depreciation Schedules'!$B$3:$B$42)</f>
        <v>0.32</v>
      </c>
      <c r="E481" s="240">
        <f>LOOKUP(E$2,'Depreciation Schedules'!$A$3:$A$42,'Depreciation Schedules'!$B$3:$B$42)</f>
        <v>0.192</v>
      </c>
      <c r="F481" s="240">
        <f>LOOKUP(F$2,'Depreciation Schedules'!$A$3:$A$42,'Depreciation Schedules'!$B$3:$B$42)</f>
        <v>0.1152</v>
      </c>
      <c r="G481" s="240">
        <f>LOOKUP(G$2,'Depreciation Schedules'!$A$3:$A$42,'Depreciation Schedules'!$B$3:$B$42)</f>
        <v>0.1152</v>
      </c>
      <c r="H481" s="240">
        <f>LOOKUP(H$2,'Depreciation Schedules'!$A$3:$A$42,'Depreciation Schedules'!$B$3:$B$42)</f>
        <v>5.7599999999999998E-2</v>
      </c>
      <c r="I481" s="240">
        <f>LOOKUP(I$2,'Depreciation Schedules'!$A$3:$A$42,'Depreciation Schedules'!$B$3:$B$42)</f>
        <v>0</v>
      </c>
      <c r="J481" s="240">
        <f>LOOKUP(J$2,'Depreciation Schedules'!$A$3:$A$42,'Depreciation Schedules'!$B$3:$B$42)</f>
        <v>0</v>
      </c>
      <c r="K481" s="240">
        <f>LOOKUP(K$2,'Depreciation Schedules'!$A$3:$A$42,'Depreciation Schedules'!$B$3:$B$42)</f>
        <v>0</v>
      </c>
      <c r="L481" s="240">
        <f>LOOKUP(L$2,'Depreciation Schedules'!$A$3:$A$42,'Depreciation Schedules'!$B$3:$B$42)</f>
        <v>0</v>
      </c>
      <c r="M481" s="240">
        <f>LOOKUP(M$2,'Depreciation Schedules'!$A$3:$A$42,'Depreciation Schedules'!$B$3:$B$42)</f>
        <v>0</v>
      </c>
      <c r="N481" s="240">
        <f>LOOKUP(N$2,'Depreciation Schedules'!$A$3:$A$42,'Depreciation Schedules'!$B$3:$B$42)</f>
        <v>0</v>
      </c>
      <c r="O481" s="240">
        <f>LOOKUP(O$2,'Depreciation Schedules'!$A$3:$A$42,'Depreciation Schedules'!$B$3:$B$42)</f>
        <v>0</v>
      </c>
      <c r="P481" s="240">
        <f>LOOKUP(P$2,'Depreciation Schedules'!$A$3:$A$42,'Depreciation Schedules'!$B$3:$B$42)</f>
        <v>0</v>
      </c>
      <c r="Q481" s="240">
        <f>LOOKUP(Q$2,'Depreciation Schedules'!$A$3:$A$42,'Depreciation Schedules'!$B$3:$B$42)</f>
        <v>0</v>
      </c>
      <c r="R481" s="240">
        <f>LOOKUP(R$2,'Depreciation Schedules'!$A$3:$A$42,'Depreciation Schedules'!$B$3:$B$42)</f>
        <v>0</v>
      </c>
      <c r="S481" s="240">
        <f>LOOKUP(S$2,'Depreciation Schedules'!$A$3:$A$42,'Depreciation Schedules'!$B$3:$B$42)</f>
        <v>0</v>
      </c>
      <c r="T481" s="240">
        <f>LOOKUP(T$2,'Depreciation Schedules'!$A$3:$A$42,'Depreciation Schedules'!$B$3:$B$42)</f>
        <v>0</v>
      </c>
      <c r="U481" s="240">
        <f>LOOKUP(U$2,'Depreciation Schedules'!$A$3:$A$42,'Depreciation Schedules'!$B$3:$B$42)</f>
        <v>0</v>
      </c>
      <c r="V481" s="240">
        <f>LOOKUP(V$2,'Depreciation Schedules'!$A$3:$A$42,'Depreciation Schedules'!$B$3:$B$42)</f>
        <v>0</v>
      </c>
      <c r="W481" s="240">
        <f>LOOKUP(W$2,'Depreciation Schedules'!$A$3:$A$42,'Depreciation Schedules'!$B$3:$B$42)</f>
        <v>0</v>
      </c>
      <c r="X481" s="240">
        <f>LOOKUP(X$2,'Depreciation Schedules'!$A$3:$A$42,'Depreciation Schedules'!$B$3:$B$42)</f>
        <v>0</v>
      </c>
      <c r="Y481" s="240">
        <f>LOOKUP(Y$2,'Depreciation Schedules'!$A$3:$A$42,'Depreciation Schedules'!$B$3:$B$42)</f>
        <v>0</v>
      </c>
      <c r="Z481" s="240">
        <f>LOOKUP(Z$2,'Depreciation Schedules'!$A$3:$A$42,'Depreciation Schedules'!$B$3:$B$42)</f>
        <v>0</v>
      </c>
      <c r="AA481" s="240">
        <f>LOOKUP(AA$2,'Depreciation Schedules'!$A$3:$A$42,'Depreciation Schedules'!$B$3:$B$42)</f>
        <v>0</v>
      </c>
      <c r="AB481" s="240">
        <f>LOOKUP(AB$2,'Depreciation Schedules'!$A$3:$A$42,'Depreciation Schedules'!$B$3:$B$42)</f>
        <v>0</v>
      </c>
      <c r="AC481" s="240">
        <f>LOOKUP(AC$2,'Depreciation Schedules'!$A$3:$A$42,'Depreciation Schedules'!$B$3:$B$42)</f>
        <v>0</v>
      </c>
      <c r="AD481" s="240">
        <f>LOOKUP(AD$2,'Depreciation Schedules'!$A$3:$A$42,'Depreciation Schedules'!$B$3:$B$42)</f>
        <v>0</v>
      </c>
      <c r="AE481" s="240">
        <f>LOOKUP(AE$2,'Depreciation Schedules'!$A$3:$A$42,'Depreciation Schedules'!$B$3:$B$42)</f>
        <v>0</v>
      </c>
      <c r="AF481" s="240">
        <f>LOOKUP(AF$2,'Depreciation Schedules'!$A$3:$A$42,'Depreciation Schedules'!$B$3:$B$42)</f>
        <v>0</v>
      </c>
      <c r="AG481" s="240">
        <f>LOOKUP(AG$2,'Depreciation Schedules'!$A$3:$A$42,'Depreciation Schedules'!$B$3:$B$42)</f>
        <v>0</v>
      </c>
      <c r="AH481" s="240">
        <f>LOOKUP(AH$2,'Depreciation Schedules'!$A$3:$A$42,'Depreciation Schedules'!$B$3:$B$42)</f>
        <v>0</v>
      </c>
      <c r="AI481" s="240">
        <f>LOOKUP(AI$2,'Depreciation Schedules'!$A$3:$A$42,'Depreciation Schedules'!$B$3:$B$42)</f>
        <v>0</v>
      </c>
      <c r="AJ481" s="240">
        <f>LOOKUP(AJ$2,'Depreciation Schedules'!$A$3:$A$42,'Depreciation Schedules'!$B$3:$B$42)</f>
        <v>0</v>
      </c>
      <c r="AK481" s="240">
        <f>LOOKUP(AK$2,'Depreciation Schedules'!$A$3:$A$42,'Depreciation Schedules'!$B$3:$B$42)</f>
        <v>0</v>
      </c>
      <c r="AL481" s="240">
        <f>LOOKUP(AL$2,'Depreciation Schedules'!$A$3:$A$42,'Depreciation Schedules'!$B$3:$B$42)</f>
        <v>0</v>
      </c>
      <c r="AM481" s="240">
        <f>LOOKUP(AM$2,'Depreciation Schedules'!$A$3:$A$42,'Depreciation Schedules'!$B$3:$B$42)</f>
        <v>0</v>
      </c>
      <c r="AN481" s="240">
        <f>LOOKUP(AN$2,'Depreciation Schedules'!$A$3:$A$42,'Depreciation Schedules'!$B$3:$B$42)</f>
        <v>0</v>
      </c>
      <c r="AO481" s="240">
        <f>LOOKUP(AO$2,'Depreciation Schedules'!$A$3:$A$42,'Depreciation Schedules'!$B$3:$B$42)</f>
        <v>0</v>
      </c>
      <c r="AP481" s="240">
        <f>LOOKUP(AP$2,'Depreciation Schedules'!$A$3:$A$42,'Depreciation Schedules'!$B$3:$B$42)</f>
        <v>0</v>
      </c>
    </row>
    <row r="482" spans="1:42">
      <c r="A482" s="227" t="str">
        <f t="shared" ref="A482:A486" si="251">A449</f>
        <v>15-yr MACRS</v>
      </c>
      <c r="B482" s="241">
        <f t="shared" ref="B482:B486" si="252">SUM(C482:AP482)</f>
        <v>1.0000000000000002</v>
      </c>
      <c r="C482" s="240">
        <f>LOOKUP(C$2,'Depreciation Schedules'!$A$3:$A$42,'Depreciation Schedules'!$C$3:$C$42)</f>
        <v>0.05</v>
      </c>
      <c r="D482" s="240">
        <f>LOOKUP(D$2,'Depreciation Schedules'!$A$3:$A$42,'Depreciation Schedules'!$C$3:$C$42)</f>
        <v>9.5000000000000001E-2</v>
      </c>
      <c r="E482" s="240">
        <f>LOOKUP(E$2,'Depreciation Schedules'!$A$3:$A$42,'Depreciation Schedules'!$C$3:$C$42)</f>
        <v>8.5500000000000007E-2</v>
      </c>
      <c r="F482" s="240">
        <f>LOOKUP(F$2,'Depreciation Schedules'!$A$3:$A$42,'Depreciation Schedules'!$C$3:$C$42)</f>
        <v>7.6999999999999999E-2</v>
      </c>
      <c r="G482" s="240">
        <f>LOOKUP(G$2,'Depreciation Schedules'!$A$3:$A$42,'Depreciation Schedules'!$C$3:$C$42)</f>
        <v>6.93E-2</v>
      </c>
      <c r="H482" s="240">
        <f>LOOKUP(H$2,'Depreciation Schedules'!$A$3:$A$42,'Depreciation Schedules'!$C$3:$C$42)</f>
        <v>6.2300000000000001E-2</v>
      </c>
      <c r="I482" s="240">
        <f>LOOKUP(I$2,'Depreciation Schedules'!$A$3:$A$42,'Depreciation Schedules'!$C$3:$C$42)</f>
        <v>5.8999999999999997E-2</v>
      </c>
      <c r="J482" s="240">
        <f>LOOKUP(J$2,'Depreciation Schedules'!$A$3:$A$42,'Depreciation Schedules'!$C$3:$C$42)</f>
        <v>5.8999999999999997E-2</v>
      </c>
      <c r="K482" s="240">
        <f>LOOKUP(K$2,'Depreciation Schedules'!$A$3:$A$42,'Depreciation Schedules'!$C$3:$C$42)</f>
        <v>5.91E-2</v>
      </c>
      <c r="L482" s="240">
        <f>LOOKUP(L$2,'Depreciation Schedules'!$A$3:$A$42,'Depreciation Schedules'!$C$3:$C$42)</f>
        <v>5.8999999999999997E-2</v>
      </c>
      <c r="M482" s="240">
        <f>LOOKUP(M$2,'Depreciation Schedules'!$A$3:$A$42,'Depreciation Schedules'!$C$3:$C$42)</f>
        <v>5.91E-2</v>
      </c>
      <c r="N482" s="240">
        <f>LOOKUP(N$2,'Depreciation Schedules'!$A$3:$A$42,'Depreciation Schedules'!$C$3:$C$42)</f>
        <v>5.8999999999999997E-2</v>
      </c>
      <c r="O482" s="240">
        <f>LOOKUP(O$2,'Depreciation Schedules'!$A$3:$A$42,'Depreciation Schedules'!$C$3:$C$42)</f>
        <v>5.91E-2</v>
      </c>
      <c r="P482" s="240">
        <f>LOOKUP(P$2,'Depreciation Schedules'!$A$3:$A$42,'Depreciation Schedules'!$C$3:$C$42)</f>
        <v>5.8999999999999997E-2</v>
      </c>
      <c r="Q482" s="240">
        <f>LOOKUP(Q$2,'Depreciation Schedules'!$A$3:$A$42,'Depreciation Schedules'!$C$3:$C$42)</f>
        <v>5.91E-2</v>
      </c>
      <c r="R482" s="240">
        <f>LOOKUP(R$2,'Depreciation Schedules'!$A$3:$A$42,'Depreciation Schedules'!$C$3:$C$42)</f>
        <v>2.9499999999999998E-2</v>
      </c>
      <c r="S482" s="240">
        <f>LOOKUP(S$2,'Depreciation Schedules'!$A$3:$A$42,'Depreciation Schedules'!$C$3:$C$42)</f>
        <v>0</v>
      </c>
      <c r="T482" s="240">
        <f>LOOKUP(T$2,'Depreciation Schedules'!$A$3:$A$42,'Depreciation Schedules'!$C$3:$C$42)</f>
        <v>0</v>
      </c>
      <c r="U482" s="240">
        <f>LOOKUP(U$2,'Depreciation Schedules'!$A$3:$A$42,'Depreciation Schedules'!$C$3:$C$42)</f>
        <v>0</v>
      </c>
      <c r="V482" s="240">
        <f>LOOKUP(V$2,'Depreciation Schedules'!$A$3:$A$42,'Depreciation Schedules'!$C$3:$C$42)</f>
        <v>0</v>
      </c>
      <c r="W482" s="240">
        <f>LOOKUP(W$2,'Depreciation Schedules'!$A$3:$A$42,'Depreciation Schedules'!$C$3:$C$42)</f>
        <v>0</v>
      </c>
      <c r="X482" s="240">
        <f>LOOKUP(X$2,'Depreciation Schedules'!$A$3:$A$42,'Depreciation Schedules'!$C$3:$C$42)</f>
        <v>0</v>
      </c>
      <c r="Y482" s="240">
        <f>LOOKUP(Y$2,'Depreciation Schedules'!$A$3:$A$42,'Depreciation Schedules'!$C$3:$C$42)</f>
        <v>0</v>
      </c>
      <c r="Z482" s="240">
        <f>LOOKUP(Z$2,'Depreciation Schedules'!$A$3:$A$42,'Depreciation Schedules'!$C$3:$C$42)</f>
        <v>0</v>
      </c>
      <c r="AA482" s="240">
        <f>LOOKUP(AA$2,'Depreciation Schedules'!$A$3:$A$42,'Depreciation Schedules'!$C$3:$C$42)</f>
        <v>0</v>
      </c>
      <c r="AB482" s="240">
        <f>LOOKUP(AB$2,'Depreciation Schedules'!$A$3:$A$42,'Depreciation Schedules'!$C$3:$C$42)</f>
        <v>0</v>
      </c>
      <c r="AC482" s="240">
        <f>LOOKUP(AC$2,'Depreciation Schedules'!$A$3:$A$42,'Depreciation Schedules'!$C$3:$C$42)</f>
        <v>0</v>
      </c>
      <c r="AD482" s="240">
        <f>LOOKUP(AD$2,'Depreciation Schedules'!$A$3:$A$42,'Depreciation Schedules'!$C$3:$C$42)</f>
        <v>0</v>
      </c>
      <c r="AE482" s="240">
        <f>LOOKUP(AE$2,'Depreciation Schedules'!$A$3:$A$42,'Depreciation Schedules'!$C$3:$C$42)</f>
        <v>0</v>
      </c>
      <c r="AF482" s="240">
        <f>LOOKUP(AF$2,'Depreciation Schedules'!$A$3:$A$42,'Depreciation Schedules'!$C$3:$C$42)</f>
        <v>0</v>
      </c>
      <c r="AG482" s="240">
        <f>LOOKUP(AG$2,'Depreciation Schedules'!$A$3:$A$42,'Depreciation Schedules'!$C$3:$C$42)</f>
        <v>0</v>
      </c>
      <c r="AH482" s="240">
        <f>LOOKUP(AH$2,'Depreciation Schedules'!$A$3:$A$42,'Depreciation Schedules'!$C$3:$C$42)</f>
        <v>0</v>
      </c>
      <c r="AI482" s="240">
        <f>LOOKUP(AI$2,'Depreciation Schedules'!$A$3:$A$42,'Depreciation Schedules'!$C$3:$C$42)</f>
        <v>0</v>
      </c>
      <c r="AJ482" s="240">
        <f>LOOKUP(AJ$2,'Depreciation Schedules'!$A$3:$A$42,'Depreciation Schedules'!$C$3:$C$42)</f>
        <v>0</v>
      </c>
      <c r="AK482" s="240">
        <f>LOOKUP(AK$2,'Depreciation Schedules'!$A$3:$A$42,'Depreciation Schedules'!$C$3:$C$42)</f>
        <v>0</v>
      </c>
      <c r="AL482" s="240">
        <f>LOOKUP(AL$2,'Depreciation Schedules'!$A$3:$A$42,'Depreciation Schedules'!$C$3:$C$42)</f>
        <v>0</v>
      </c>
      <c r="AM482" s="240">
        <f>LOOKUP(AM$2,'Depreciation Schedules'!$A$3:$A$42,'Depreciation Schedules'!$C$3:$C$42)</f>
        <v>0</v>
      </c>
      <c r="AN482" s="240">
        <f>LOOKUP(AN$2,'Depreciation Schedules'!$A$3:$A$42,'Depreciation Schedules'!$C$3:$C$42)</f>
        <v>0</v>
      </c>
      <c r="AO482" s="240">
        <f>LOOKUP(AO$2,'Depreciation Schedules'!$A$3:$A$42,'Depreciation Schedules'!$C$3:$C$42)</f>
        <v>0</v>
      </c>
      <c r="AP482" s="240">
        <f>LOOKUP(AP$2,'Depreciation Schedules'!$A$3:$A$42,'Depreciation Schedules'!$C$3:$C$42)</f>
        <v>0</v>
      </c>
    </row>
    <row r="483" spans="1:42">
      <c r="A483" s="227" t="str">
        <f t="shared" si="251"/>
        <v>5-yr SL</v>
      </c>
      <c r="B483" s="241">
        <f t="shared" si="252"/>
        <v>0.99999999999999989</v>
      </c>
      <c r="C483" s="240">
        <f>LOOKUP(C$2,'Depreciation Schedules'!$A$3:$A$42,'Depreciation Schedules'!$D$3:$D$42)</f>
        <v>0.1</v>
      </c>
      <c r="D483" s="240">
        <f>LOOKUP(D$2,'Depreciation Schedules'!$A$3:$A$42,'Depreciation Schedules'!$D$3:$D$42)</f>
        <v>0.2</v>
      </c>
      <c r="E483" s="240">
        <f>LOOKUP(E$2,'Depreciation Schedules'!$A$3:$A$42,'Depreciation Schedules'!$D$3:$D$42)</f>
        <v>0.2</v>
      </c>
      <c r="F483" s="240">
        <f>LOOKUP(F$2,'Depreciation Schedules'!$A$3:$A$42,'Depreciation Schedules'!$D$3:$D$42)</f>
        <v>0.2</v>
      </c>
      <c r="G483" s="240">
        <f>LOOKUP(G$2,'Depreciation Schedules'!$A$3:$A$42,'Depreciation Schedules'!$D$3:$D$42)</f>
        <v>0.2</v>
      </c>
      <c r="H483" s="240">
        <f>LOOKUP(H$2,'Depreciation Schedules'!$A$3:$A$42,'Depreciation Schedules'!$D$3:$D$42)</f>
        <v>0.1</v>
      </c>
      <c r="I483" s="240">
        <f>LOOKUP(I$2,'Depreciation Schedules'!$A$3:$A$42,'Depreciation Schedules'!$D$3:$D$42)</f>
        <v>0</v>
      </c>
      <c r="J483" s="240">
        <f>LOOKUP(J$2,'Depreciation Schedules'!$A$3:$A$42,'Depreciation Schedules'!$D$3:$D$42)</f>
        <v>0</v>
      </c>
      <c r="K483" s="240">
        <f>LOOKUP(K$2,'Depreciation Schedules'!$A$3:$A$42,'Depreciation Schedules'!$D$3:$D$42)</f>
        <v>0</v>
      </c>
      <c r="L483" s="240">
        <f>LOOKUP(L$2,'Depreciation Schedules'!$A$3:$A$42,'Depreciation Schedules'!$D$3:$D$42)</f>
        <v>0</v>
      </c>
      <c r="M483" s="240">
        <f>LOOKUP(M$2,'Depreciation Schedules'!$A$3:$A$42,'Depreciation Schedules'!$D$3:$D$42)</f>
        <v>0</v>
      </c>
      <c r="N483" s="240">
        <f>LOOKUP(N$2,'Depreciation Schedules'!$A$3:$A$42,'Depreciation Schedules'!$D$3:$D$42)</f>
        <v>0</v>
      </c>
      <c r="O483" s="240">
        <f>LOOKUP(O$2,'Depreciation Schedules'!$A$3:$A$42,'Depreciation Schedules'!$D$3:$D$42)</f>
        <v>0</v>
      </c>
      <c r="P483" s="240">
        <f>LOOKUP(P$2,'Depreciation Schedules'!$A$3:$A$42,'Depreciation Schedules'!$D$3:$D$42)</f>
        <v>0</v>
      </c>
      <c r="Q483" s="240">
        <f>LOOKUP(Q$2,'Depreciation Schedules'!$A$3:$A$42,'Depreciation Schedules'!$D$3:$D$42)</f>
        <v>0</v>
      </c>
      <c r="R483" s="240">
        <f>LOOKUP(R$2,'Depreciation Schedules'!$A$3:$A$42,'Depreciation Schedules'!$D$3:$D$42)</f>
        <v>0</v>
      </c>
      <c r="S483" s="240">
        <f>LOOKUP(S$2,'Depreciation Schedules'!$A$3:$A$42,'Depreciation Schedules'!$D$3:$D$42)</f>
        <v>0</v>
      </c>
      <c r="T483" s="240">
        <f>LOOKUP(T$2,'Depreciation Schedules'!$A$3:$A$42,'Depreciation Schedules'!$D$3:$D$42)</f>
        <v>0</v>
      </c>
      <c r="U483" s="240">
        <f>LOOKUP(U$2,'Depreciation Schedules'!$A$3:$A$42,'Depreciation Schedules'!$D$3:$D$42)</f>
        <v>0</v>
      </c>
      <c r="V483" s="240">
        <f>LOOKUP(V$2,'Depreciation Schedules'!$A$3:$A$42,'Depreciation Schedules'!$D$3:$D$42)</f>
        <v>0</v>
      </c>
      <c r="W483" s="240">
        <f>LOOKUP(W$2,'Depreciation Schedules'!$A$3:$A$42,'Depreciation Schedules'!$D$3:$D$42)</f>
        <v>0</v>
      </c>
      <c r="X483" s="240">
        <f>LOOKUP(X$2,'Depreciation Schedules'!$A$3:$A$42,'Depreciation Schedules'!$D$3:$D$42)</f>
        <v>0</v>
      </c>
      <c r="Y483" s="240">
        <f>LOOKUP(Y$2,'Depreciation Schedules'!$A$3:$A$42,'Depreciation Schedules'!$D$3:$D$42)</f>
        <v>0</v>
      </c>
      <c r="Z483" s="240">
        <f>LOOKUP(Z$2,'Depreciation Schedules'!$A$3:$A$42,'Depreciation Schedules'!$D$3:$D$42)</f>
        <v>0</v>
      </c>
      <c r="AA483" s="240">
        <f>LOOKUP(AA$2,'Depreciation Schedules'!$A$3:$A$42,'Depreciation Schedules'!$D$3:$D$42)</f>
        <v>0</v>
      </c>
      <c r="AB483" s="240">
        <f>LOOKUP(AB$2,'Depreciation Schedules'!$A$3:$A$42,'Depreciation Schedules'!$D$3:$D$42)</f>
        <v>0</v>
      </c>
      <c r="AC483" s="240">
        <f>LOOKUP(AC$2,'Depreciation Schedules'!$A$3:$A$42,'Depreciation Schedules'!$D$3:$D$42)</f>
        <v>0</v>
      </c>
      <c r="AD483" s="240">
        <f>LOOKUP(AD$2,'Depreciation Schedules'!$A$3:$A$42,'Depreciation Schedules'!$D$3:$D$42)</f>
        <v>0</v>
      </c>
      <c r="AE483" s="240">
        <f>LOOKUP(AE$2,'Depreciation Schedules'!$A$3:$A$42,'Depreciation Schedules'!$D$3:$D$42)</f>
        <v>0</v>
      </c>
      <c r="AF483" s="240">
        <f>LOOKUP(AF$2,'Depreciation Schedules'!$A$3:$A$42,'Depreciation Schedules'!$D$3:$D$42)</f>
        <v>0</v>
      </c>
      <c r="AG483" s="240">
        <f>LOOKUP(AG$2,'Depreciation Schedules'!$A$3:$A$42,'Depreciation Schedules'!$D$3:$D$42)</f>
        <v>0</v>
      </c>
      <c r="AH483" s="240">
        <f>LOOKUP(AH$2,'Depreciation Schedules'!$A$3:$A$42,'Depreciation Schedules'!$D$3:$D$42)</f>
        <v>0</v>
      </c>
      <c r="AI483" s="240">
        <f>LOOKUP(AI$2,'Depreciation Schedules'!$A$3:$A$42,'Depreciation Schedules'!$D$3:$D$42)</f>
        <v>0</v>
      </c>
      <c r="AJ483" s="240">
        <f>LOOKUP(AJ$2,'Depreciation Schedules'!$A$3:$A$42,'Depreciation Schedules'!$D$3:$D$42)</f>
        <v>0</v>
      </c>
      <c r="AK483" s="240">
        <f>LOOKUP(AK$2,'Depreciation Schedules'!$A$3:$A$42,'Depreciation Schedules'!$D$3:$D$42)</f>
        <v>0</v>
      </c>
      <c r="AL483" s="240">
        <f>LOOKUP(AL$2,'Depreciation Schedules'!$A$3:$A$42,'Depreciation Schedules'!$D$3:$D$42)</f>
        <v>0</v>
      </c>
      <c r="AM483" s="240">
        <f>LOOKUP(AM$2,'Depreciation Schedules'!$A$3:$A$42,'Depreciation Schedules'!$D$3:$D$42)</f>
        <v>0</v>
      </c>
      <c r="AN483" s="240">
        <f>LOOKUP(AN$2,'Depreciation Schedules'!$A$3:$A$42,'Depreciation Schedules'!$D$3:$D$42)</f>
        <v>0</v>
      </c>
      <c r="AO483" s="240">
        <f>LOOKUP(AO$2,'Depreciation Schedules'!$A$3:$A$42,'Depreciation Schedules'!$D$3:$D$42)</f>
        <v>0</v>
      </c>
      <c r="AP483" s="240">
        <f>LOOKUP(AP$2,'Depreciation Schedules'!$A$3:$A$42,'Depreciation Schedules'!$D$3:$D$42)</f>
        <v>0</v>
      </c>
    </row>
    <row r="484" spans="1:42">
      <c r="A484" s="227" t="str">
        <f t="shared" si="251"/>
        <v>15-yr SL</v>
      </c>
      <c r="B484" s="241">
        <f t="shared" si="252"/>
        <v>0.99999999999999989</v>
      </c>
      <c r="C484" s="240">
        <f>LOOKUP(C$2,'Depreciation Schedules'!$A$3:$A$42,'Depreciation Schedules'!$E$3:$E$42)</f>
        <v>3.3300000000000003E-2</v>
      </c>
      <c r="D484" s="240">
        <f>LOOKUP(D$2,'Depreciation Schedules'!$A$3:$A$42,'Depreciation Schedules'!$E$3:$E$42)</f>
        <v>6.6699999999999995E-2</v>
      </c>
      <c r="E484" s="240">
        <f>LOOKUP(E$2,'Depreciation Schedules'!$A$3:$A$42,'Depreciation Schedules'!$E$3:$E$42)</f>
        <v>6.6699999999999995E-2</v>
      </c>
      <c r="F484" s="240">
        <f>LOOKUP(F$2,'Depreciation Schedules'!$A$3:$A$42,'Depreciation Schedules'!$E$3:$E$42)</f>
        <v>6.6699999999999995E-2</v>
      </c>
      <c r="G484" s="240">
        <f>LOOKUP(G$2,'Depreciation Schedules'!$A$3:$A$42,'Depreciation Schedules'!$E$3:$E$42)</f>
        <v>6.6699999999999995E-2</v>
      </c>
      <c r="H484" s="240">
        <f>LOOKUP(H$2,'Depreciation Schedules'!$A$3:$A$42,'Depreciation Schedules'!$E$3:$E$42)</f>
        <v>6.6699999999999995E-2</v>
      </c>
      <c r="I484" s="240">
        <f>LOOKUP(I$2,'Depreciation Schedules'!$A$3:$A$42,'Depreciation Schedules'!$E$3:$E$42)</f>
        <v>6.6699999999999995E-2</v>
      </c>
      <c r="J484" s="240">
        <f>LOOKUP(J$2,'Depreciation Schedules'!$A$3:$A$42,'Depreciation Schedules'!$E$3:$E$42)</f>
        <v>6.6600000000000006E-2</v>
      </c>
      <c r="K484" s="240">
        <f>LOOKUP(K$2,'Depreciation Schedules'!$A$3:$A$42,'Depreciation Schedules'!$E$3:$E$42)</f>
        <v>6.6699999999999995E-2</v>
      </c>
      <c r="L484" s="240">
        <f>LOOKUP(L$2,'Depreciation Schedules'!$A$3:$A$42,'Depreciation Schedules'!$E$3:$E$42)</f>
        <v>6.6600000000000006E-2</v>
      </c>
      <c r="M484" s="240">
        <f>LOOKUP(M$2,'Depreciation Schedules'!$A$3:$A$42,'Depreciation Schedules'!$E$3:$E$42)</f>
        <v>6.6699999999999995E-2</v>
      </c>
      <c r="N484" s="240">
        <f>LOOKUP(N$2,'Depreciation Schedules'!$A$3:$A$42,'Depreciation Schedules'!$E$3:$E$42)</f>
        <v>6.6600000000000006E-2</v>
      </c>
      <c r="O484" s="240">
        <f>LOOKUP(O$2,'Depreciation Schedules'!$A$3:$A$42,'Depreciation Schedules'!$E$3:$E$42)</f>
        <v>6.6699999999999995E-2</v>
      </c>
      <c r="P484" s="240">
        <f>LOOKUP(P$2,'Depreciation Schedules'!$A$3:$A$42,'Depreciation Schedules'!$E$3:$E$42)</f>
        <v>6.6600000000000006E-2</v>
      </c>
      <c r="Q484" s="240">
        <f>LOOKUP(Q$2,'Depreciation Schedules'!$A$3:$A$42,'Depreciation Schedules'!$E$3:$E$42)</f>
        <v>6.6699999999999995E-2</v>
      </c>
      <c r="R484" s="240">
        <f>LOOKUP(R$2,'Depreciation Schedules'!$A$3:$A$42,'Depreciation Schedules'!$E$3:$E$42)</f>
        <v>3.3300000000000003E-2</v>
      </c>
      <c r="S484" s="240">
        <f>LOOKUP(S$2,'Depreciation Schedules'!$A$3:$A$42,'Depreciation Schedules'!$E$3:$E$42)</f>
        <v>0</v>
      </c>
      <c r="T484" s="240">
        <f>LOOKUP(T$2,'Depreciation Schedules'!$A$3:$A$42,'Depreciation Schedules'!$E$3:$E$42)</f>
        <v>0</v>
      </c>
      <c r="U484" s="240">
        <f>LOOKUP(U$2,'Depreciation Schedules'!$A$3:$A$42,'Depreciation Schedules'!$E$3:$E$42)</f>
        <v>0</v>
      </c>
      <c r="V484" s="240">
        <f>LOOKUP(V$2,'Depreciation Schedules'!$A$3:$A$42,'Depreciation Schedules'!$E$3:$E$42)</f>
        <v>0</v>
      </c>
      <c r="W484" s="240">
        <f>LOOKUP(W$2,'Depreciation Schedules'!$A$3:$A$42,'Depreciation Schedules'!$E$3:$E$42)</f>
        <v>0</v>
      </c>
      <c r="X484" s="240">
        <f>LOOKUP(X$2,'Depreciation Schedules'!$A$3:$A$42,'Depreciation Schedules'!$E$3:$E$42)</f>
        <v>0</v>
      </c>
      <c r="Y484" s="240">
        <f>LOOKUP(Y$2,'Depreciation Schedules'!$A$3:$A$42,'Depreciation Schedules'!$E$3:$E$42)</f>
        <v>0</v>
      </c>
      <c r="Z484" s="240">
        <f>LOOKUP(Z$2,'Depreciation Schedules'!$A$3:$A$42,'Depreciation Schedules'!$E$3:$E$42)</f>
        <v>0</v>
      </c>
      <c r="AA484" s="240">
        <f>LOOKUP(AA$2,'Depreciation Schedules'!$A$3:$A$42,'Depreciation Schedules'!$E$3:$E$42)</f>
        <v>0</v>
      </c>
      <c r="AB484" s="240">
        <f>LOOKUP(AB$2,'Depreciation Schedules'!$A$3:$A$42,'Depreciation Schedules'!$E$3:$E$42)</f>
        <v>0</v>
      </c>
      <c r="AC484" s="240">
        <f>LOOKUP(AC$2,'Depreciation Schedules'!$A$3:$A$42,'Depreciation Schedules'!$E$3:$E$42)</f>
        <v>0</v>
      </c>
      <c r="AD484" s="240">
        <f>LOOKUP(AD$2,'Depreciation Schedules'!$A$3:$A$42,'Depreciation Schedules'!$E$3:$E$42)</f>
        <v>0</v>
      </c>
      <c r="AE484" s="240">
        <f>LOOKUP(AE$2,'Depreciation Schedules'!$A$3:$A$42,'Depreciation Schedules'!$E$3:$E$42)</f>
        <v>0</v>
      </c>
      <c r="AF484" s="240">
        <f>LOOKUP(AF$2,'Depreciation Schedules'!$A$3:$A$42,'Depreciation Schedules'!$E$3:$E$42)</f>
        <v>0</v>
      </c>
      <c r="AG484" s="240">
        <f>LOOKUP(AG$2,'Depreciation Schedules'!$A$3:$A$42,'Depreciation Schedules'!$E$3:$E$42)</f>
        <v>0</v>
      </c>
      <c r="AH484" s="240">
        <f>LOOKUP(AH$2,'Depreciation Schedules'!$A$3:$A$42,'Depreciation Schedules'!$E$3:$E$42)</f>
        <v>0</v>
      </c>
      <c r="AI484" s="240">
        <f>LOOKUP(AI$2,'Depreciation Schedules'!$A$3:$A$42,'Depreciation Schedules'!$E$3:$E$42)</f>
        <v>0</v>
      </c>
      <c r="AJ484" s="240">
        <f>LOOKUP(AJ$2,'Depreciation Schedules'!$A$3:$A$42,'Depreciation Schedules'!$E$3:$E$42)</f>
        <v>0</v>
      </c>
      <c r="AK484" s="240">
        <f>LOOKUP(AK$2,'Depreciation Schedules'!$A$3:$A$42,'Depreciation Schedules'!$E$3:$E$42)</f>
        <v>0</v>
      </c>
      <c r="AL484" s="240">
        <f>LOOKUP(AL$2,'Depreciation Schedules'!$A$3:$A$42,'Depreciation Schedules'!$E$3:$E$42)</f>
        <v>0</v>
      </c>
      <c r="AM484" s="240">
        <f>LOOKUP(AM$2,'Depreciation Schedules'!$A$3:$A$42,'Depreciation Schedules'!$E$3:$E$42)</f>
        <v>0</v>
      </c>
      <c r="AN484" s="240">
        <f>LOOKUP(AN$2,'Depreciation Schedules'!$A$3:$A$42,'Depreciation Schedules'!$E$3:$E$42)</f>
        <v>0</v>
      </c>
      <c r="AO484" s="240">
        <f>LOOKUP(AO$2,'Depreciation Schedules'!$A$3:$A$42,'Depreciation Schedules'!$E$3:$E$42)</f>
        <v>0</v>
      </c>
      <c r="AP484" s="240">
        <f>LOOKUP(AP$2,'Depreciation Schedules'!$A$3:$A$42,'Depreciation Schedules'!$E$3:$E$42)</f>
        <v>0</v>
      </c>
    </row>
    <row r="485" spans="1:42">
      <c r="A485" s="227" t="str">
        <f t="shared" si="251"/>
        <v>20-yr SL</v>
      </c>
      <c r="B485" s="241">
        <f t="shared" si="252"/>
        <v>1.0000000000000002</v>
      </c>
      <c r="C485" s="240">
        <f>LOOKUP(C$2,'Depreciation Schedules'!$A$3:$A$42,'Depreciation Schedules'!$F$3:$F$42)</f>
        <v>2.5000000000000001E-2</v>
      </c>
      <c r="D485" s="240">
        <f>LOOKUP(D$2,'Depreciation Schedules'!$A$3:$A$42,'Depreciation Schedules'!$F$3:$F$42)</f>
        <v>0.05</v>
      </c>
      <c r="E485" s="240">
        <f>LOOKUP(E$2,'Depreciation Schedules'!$A$3:$A$42,'Depreciation Schedules'!$F$3:$F$42)</f>
        <v>0.05</v>
      </c>
      <c r="F485" s="240">
        <f>LOOKUP(F$2,'Depreciation Schedules'!$A$3:$A$42,'Depreciation Schedules'!$F$3:$F$42)</f>
        <v>0.05</v>
      </c>
      <c r="G485" s="240">
        <f>LOOKUP(G$2,'Depreciation Schedules'!$A$3:$A$42,'Depreciation Schedules'!$F$3:$F$42)</f>
        <v>0.05</v>
      </c>
      <c r="H485" s="240">
        <f>LOOKUP(H$2,'Depreciation Schedules'!$A$3:$A$42,'Depreciation Schedules'!$F$3:$F$42)</f>
        <v>0.05</v>
      </c>
      <c r="I485" s="240">
        <f>LOOKUP(I$2,'Depreciation Schedules'!$A$3:$A$42,'Depreciation Schedules'!$F$3:$F$42)</f>
        <v>0.05</v>
      </c>
      <c r="J485" s="240">
        <f>LOOKUP(J$2,'Depreciation Schedules'!$A$3:$A$42,'Depreciation Schedules'!$F$3:$F$42)</f>
        <v>0.05</v>
      </c>
      <c r="K485" s="240">
        <f>LOOKUP(K$2,'Depreciation Schedules'!$A$3:$A$42,'Depreciation Schedules'!$F$3:$F$42)</f>
        <v>0.05</v>
      </c>
      <c r="L485" s="240">
        <f>LOOKUP(L$2,'Depreciation Schedules'!$A$3:$A$42,'Depreciation Schedules'!$F$3:$F$42)</f>
        <v>0.05</v>
      </c>
      <c r="M485" s="240">
        <f>LOOKUP(M$2,'Depreciation Schedules'!$A$3:$A$42,'Depreciation Schedules'!$F$3:$F$42)</f>
        <v>0.05</v>
      </c>
      <c r="N485" s="240">
        <f>LOOKUP(N$2,'Depreciation Schedules'!$A$3:$A$42,'Depreciation Schedules'!$F$3:$F$42)</f>
        <v>0.05</v>
      </c>
      <c r="O485" s="240">
        <f>LOOKUP(O$2,'Depreciation Schedules'!$A$3:$A$42,'Depreciation Schedules'!$F$3:$F$42)</f>
        <v>0.05</v>
      </c>
      <c r="P485" s="240">
        <f>LOOKUP(P$2,'Depreciation Schedules'!$A$3:$A$42,'Depreciation Schedules'!$F$3:$F$42)</f>
        <v>0.05</v>
      </c>
      <c r="Q485" s="240">
        <f>LOOKUP(Q$2,'Depreciation Schedules'!$A$3:$A$42,'Depreciation Schedules'!$F$3:$F$42)</f>
        <v>0.05</v>
      </c>
      <c r="R485" s="240">
        <f>LOOKUP(R$2,'Depreciation Schedules'!$A$3:$A$42,'Depreciation Schedules'!$F$3:$F$42)</f>
        <v>0.05</v>
      </c>
      <c r="S485" s="240">
        <f>LOOKUP(S$2,'Depreciation Schedules'!$A$3:$A$42,'Depreciation Schedules'!$F$3:$F$42)</f>
        <v>0.05</v>
      </c>
      <c r="T485" s="240">
        <f>LOOKUP(T$2,'Depreciation Schedules'!$A$3:$A$42,'Depreciation Schedules'!$F$3:$F$42)</f>
        <v>0.05</v>
      </c>
      <c r="U485" s="240">
        <f>LOOKUP(U$2,'Depreciation Schedules'!$A$3:$A$42,'Depreciation Schedules'!$F$3:$F$42)</f>
        <v>0.05</v>
      </c>
      <c r="V485" s="240">
        <f>LOOKUP(V$2,'Depreciation Schedules'!$A$3:$A$42,'Depreciation Schedules'!$F$3:$F$42)</f>
        <v>0.05</v>
      </c>
      <c r="W485" s="240">
        <f>LOOKUP(W$2,'Depreciation Schedules'!$A$3:$A$42,'Depreciation Schedules'!$F$3:$F$42)</f>
        <v>2.5000000000000001E-2</v>
      </c>
      <c r="X485" s="240">
        <f>LOOKUP(X$2,'Depreciation Schedules'!$A$3:$A$42,'Depreciation Schedules'!$F$3:$F$42)</f>
        <v>0</v>
      </c>
      <c r="Y485" s="240">
        <f>LOOKUP(Y$2,'Depreciation Schedules'!$A$3:$A$42,'Depreciation Schedules'!$F$3:$F$42)</f>
        <v>0</v>
      </c>
      <c r="Z485" s="240">
        <f>LOOKUP(Z$2,'Depreciation Schedules'!$A$3:$A$42,'Depreciation Schedules'!$F$3:$F$42)</f>
        <v>0</v>
      </c>
      <c r="AA485" s="240">
        <f>LOOKUP(AA$2,'Depreciation Schedules'!$A$3:$A$42,'Depreciation Schedules'!$F$3:$F$42)</f>
        <v>0</v>
      </c>
      <c r="AB485" s="240">
        <f>LOOKUP(AB$2,'Depreciation Schedules'!$A$3:$A$42,'Depreciation Schedules'!$F$3:$F$42)</f>
        <v>0</v>
      </c>
      <c r="AC485" s="240">
        <f>LOOKUP(AC$2,'Depreciation Schedules'!$A$3:$A$42,'Depreciation Schedules'!$F$3:$F$42)</f>
        <v>0</v>
      </c>
      <c r="AD485" s="240">
        <f>LOOKUP(AD$2,'Depreciation Schedules'!$A$3:$A$42,'Depreciation Schedules'!$F$3:$F$42)</f>
        <v>0</v>
      </c>
      <c r="AE485" s="240">
        <f>LOOKUP(AE$2,'Depreciation Schedules'!$A$3:$A$42,'Depreciation Schedules'!$F$3:$F$42)</f>
        <v>0</v>
      </c>
      <c r="AF485" s="240">
        <f>LOOKUP(AF$2,'Depreciation Schedules'!$A$3:$A$42,'Depreciation Schedules'!$F$3:$F$42)</f>
        <v>0</v>
      </c>
      <c r="AG485" s="240">
        <f>LOOKUP(AG$2,'Depreciation Schedules'!$A$3:$A$42,'Depreciation Schedules'!$F$3:$F$42)</f>
        <v>0</v>
      </c>
      <c r="AH485" s="240">
        <f>LOOKUP(AH$2,'Depreciation Schedules'!$A$3:$A$42,'Depreciation Schedules'!$F$3:$F$42)</f>
        <v>0</v>
      </c>
      <c r="AI485" s="240">
        <f>LOOKUP(AI$2,'Depreciation Schedules'!$A$3:$A$42,'Depreciation Schedules'!$F$3:$F$42)</f>
        <v>0</v>
      </c>
      <c r="AJ485" s="240">
        <f>LOOKUP(AJ$2,'Depreciation Schedules'!$A$3:$A$42,'Depreciation Schedules'!$F$3:$F$42)</f>
        <v>0</v>
      </c>
      <c r="AK485" s="240">
        <f>LOOKUP(AK$2,'Depreciation Schedules'!$A$3:$A$42,'Depreciation Schedules'!$F$3:$F$42)</f>
        <v>0</v>
      </c>
      <c r="AL485" s="240">
        <f>LOOKUP(AL$2,'Depreciation Schedules'!$A$3:$A$42,'Depreciation Schedules'!$F$3:$F$42)</f>
        <v>0</v>
      </c>
      <c r="AM485" s="240">
        <f>LOOKUP(AM$2,'Depreciation Schedules'!$A$3:$A$42,'Depreciation Schedules'!$F$3:$F$42)</f>
        <v>0</v>
      </c>
      <c r="AN485" s="240">
        <f>LOOKUP(AN$2,'Depreciation Schedules'!$A$3:$A$42,'Depreciation Schedules'!$F$3:$F$42)</f>
        <v>0</v>
      </c>
      <c r="AO485" s="240">
        <f>LOOKUP(AO$2,'Depreciation Schedules'!$A$3:$A$42,'Depreciation Schedules'!$F$3:$F$42)</f>
        <v>0</v>
      </c>
      <c r="AP485" s="240">
        <f>LOOKUP(AP$2,'Depreciation Schedules'!$A$3:$A$42,'Depreciation Schedules'!$F$3:$F$42)</f>
        <v>0</v>
      </c>
    </row>
    <row r="486" spans="1:42">
      <c r="A486" s="227" t="str">
        <f t="shared" si="251"/>
        <v>39-yr SL</v>
      </c>
      <c r="B486" s="242">
        <f t="shared" si="252"/>
        <v>1.0000000000000004</v>
      </c>
      <c r="C486" s="240">
        <f>LOOKUP(C$2,'Depreciation Schedules'!$A$3:$A$42,'Depreciation Schedules'!$G$3:$G$42)</f>
        <v>1.2820512820512799E-2</v>
      </c>
      <c r="D486" s="240">
        <f>LOOKUP(D$2,'Depreciation Schedules'!$A$3:$A$42,'Depreciation Schedules'!$G$3:$G$42)</f>
        <v>2.564102564102564E-2</v>
      </c>
      <c r="E486" s="240">
        <f>LOOKUP(E$2,'Depreciation Schedules'!$A$3:$A$42,'Depreciation Schedules'!$G$3:$G$42)</f>
        <v>2.564102564102564E-2</v>
      </c>
      <c r="F486" s="240">
        <f>LOOKUP(F$2,'Depreciation Schedules'!$A$3:$A$42,'Depreciation Schedules'!$G$3:$G$42)</f>
        <v>2.564102564102564E-2</v>
      </c>
      <c r="G486" s="240">
        <f>LOOKUP(G$2,'Depreciation Schedules'!$A$3:$A$42,'Depreciation Schedules'!$G$3:$G$42)</f>
        <v>2.564102564102564E-2</v>
      </c>
      <c r="H486" s="240">
        <f>LOOKUP(H$2,'Depreciation Schedules'!$A$3:$A$42,'Depreciation Schedules'!$G$3:$G$42)</f>
        <v>2.564102564102564E-2</v>
      </c>
      <c r="I486" s="240">
        <f>LOOKUP(I$2,'Depreciation Schedules'!$A$3:$A$42,'Depreciation Schedules'!$G$3:$G$42)</f>
        <v>2.564102564102564E-2</v>
      </c>
      <c r="J486" s="240">
        <f>LOOKUP(J$2,'Depreciation Schedules'!$A$3:$A$42,'Depreciation Schedules'!$G$3:$G$42)</f>
        <v>2.564102564102564E-2</v>
      </c>
      <c r="K486" s="240">
        <f>LOOKUP(K$2,'Depreciation Schedules'!$A$3:$A$42,'Depreciation Schedules'!$G$3:$G$42)</f>
        <v>2.564102564102564E-2</v>
      </c>
      <c r="L486" s="240">
        <f>LOOKUP(L$2,'Depreciation Schedules'!$A$3:$A$42,'Depreciation Schedules'!$G$3:$G$42)</f>
        <v>2.564102564102564E-2</v>
      </c>
      <c r="M486" s="240">
        <f>LOOKUP(M$2,'Depreciation Schedules'!$A$3:$A$42,'Depreciation Schedules'!$G$3:$G$42)</f>
        <v>2.564102564102564E-2</v>
      </c>
      <c r="N486" s="240">
        <f>LOOKUP(N$2,'Depreciation Schedules'!$A$3:$A$42,'Depreciation Schedules'!$G$3:$G$42)</f>
        <v>2.564102564102564E-2</v>
      </c>
      <c r="O486" s="240">
        <f>LOOKUP(O$2,'Depreciation Schedules'!$A$3:$A$42,'Depreciation Schedules'!$G$3:$G$42)</f>
        <v>2.564102564102564E-2</v>
      </c>
      <c r="P486" s="240">
        <f>LOOKUP(P$2,'Depreciation Schedules'!$A$3:$A$42,'Depreciation Schedules'!$G$3:$G$42)</f>
        <v>2.564102564102564E-2</v>
      </c>
      <c r="Q486" s="240">
        <f>LOOKUP(Q$2,'Depreciation Schedules'!$A$3:$A$42,'Depreciation Schedules'!$G$3:$G$42)</f>
        <v>2.564102564102564E-2</v>
      </c>
      <c r="R486" s="240">
        <f>LOOKUP(R$2,'Depreciation Schedules'!$A$3:$A$42,'Depreciation Schedules'!$G$3:$G$42)</f>
        <v>2.564102564102564E-2</v>
      </c>
      <c r="S486" s="240">
        <f>LOOKUP(S$2,'Depreciation Schedules'!$A$3:$A$42,'Depreciation Schedules'!$G$3:$G$42)</f>
        <v>2.564102564102564E-2</v>
      </c>
      <c r="T486" s="240">
        <f>LOOKUP(T$2,'Depreciation Schedules'!$A$3:$A$42,'Depreciation Schedules'!$G$3:$G$42)</f>
        <v>2.564102564102564E-2</v>
      </c>
      <c r="U486" s="240">
        <f>LOOKUP(U$2,'Depreciation Schedules'!$A$3:$A$42,'Depreciation Schedules'!$G$3:$G$42)</f>
        <v>2.564102564102564E-2</v>
      </c>
      <c r="V486" s="240">
        <f>LOOKUP(V$2,'Depreciation Schedules'!$A$3:$A$42,'Depreciation Schedules'!$G$3:$G$42)</f>
        <v>2.564102564102564E-2</v>
      </c>
      <c r="W486" s="240">
        <f>LOOKUP(W$2,'Depreciation Schedules'!$A$3:$A$42,'Depreciation Schedules'!$G$3:$G$42)</f>
        <v>2.564102564102564E-2</v>
      </c>
      <c r="X486" s="240">
        <f>LOOKUP(X$2,'Depreciation Schedules'!$A$3:$A$42,'Depreciation Schedules'!$G$3:$G$42)</f>
        <v>2.564102564102564E-2</v>
      </c>
      <c r="Y486" s="240">
        <f>LOOKUP(Y$2,'Depreciation Schedules'!$A$3:$A$42,'Depreciation Schedules'!$G$3:$G$42)</f>
        <v>2.564102564102564E-2</v>
      </c>
      <c r="Z486" s="240">
        <f>LOOKUP(Z$2,'Depreciation Schedules'!$A$3:$A$42,'Depreciation Schedules'!$G$3:$G$42)</f>
        <v>2.564102564102564E-2</v>
      </c>
      <c r="AA486" s="240">
        <f>LOOKUP(AA$2,'Depreciation Schedules'!$A$3:$A$42,'Depreciation Schedules'!$G$3:$G$42)</f>
        <v>2.564102564102564E-2</v>
      </c>
      <c r="AB486" s="240">
        <f>LOOKUP(AB$2,'Depreciation Schedules'!$A$3:$A$42,'Depreciation Schedules'!$G$3:$G$42)</f>
        <v>2.564102564102564E-2</v>
      </c>
      <c r="AC486" s="240">
        <f>LOOKUP(AC$2,'Depreciation Schedules'!$A$3:$A$42,'Depreciation Schedules'!$G$3:$G$42)</f>
        <v>2.564102564102564E-2</v>
      </c>
      <c r="AD486" s="240">
        <f>LOOKUP(AD$2,'Depreciation Schedules'!$A$3:$A$42,'Depreciation Schedules'!$G$3:$G$42)</f>
        <v>2.564102564102564E-2</v>
      </c>
      <c r="AE486" s="240">
        <f>LOOKUP(AE$2,'Depreciation Schedules'!$A$3:$A$42,'Depreciation Schedules'!$G$3:$G$42)</f>
        <v>2.564102564102564E-2</v>
      </c>
      <c r="AF486" s="240">
        <f>LOOKUP(AF$2,'Depreciation Schedules'!$A$3:$A$42,'Depreciation Schedules'!$G$3:$G$42)</f>
        <v>2.564102564102564E-2</v>
      </c>
      <c r="AG486" s="240">
        <f>LOOKUP(AG$2,'Depreciation Schedules'!$A$3:$A$42,'Depreciation Schedules'!$G$3:$G$42)</f>
        <v>2.564102564102564E-2</v>
      </c>
      <c r="AH486" s="240">
        <f>LOOKUP(AH$2,'Depreciation Schedules'!$A$3:$A$42,'Depreciation Schedules'!$G$3:$G$42)</f>
        <v>2.564102564102564E-2</v>
      </c>
      <c r="AI486" s="240">
        <f>LOOKUP(AI$2,'Depreciation Schedules'!$A$3:$A$42,'Depreciation Schedules'!$G$3:$G$42)</f>
        <v>2.564102564102564E-2</v>
      </c>
      <c r="AJ486" s="240">
        <f>LOOKUP(AJ$2,'Depreciation Schedules'!$A$3:$A$42,'Depreciation Schedules'!$G$3:$G$42)</f>
        <v>2.564102564102564E-2</v>
      </c>
      <c r="AK486" s="240">
        <f>LOOKUP(AK$2,'Depreciation Schedules'!$A$3:$A$42,'Depreciation Schedules'!$G$3:$G$42)</f>
        <v>2.564102564102564E-2</v>
      </c>
      <c r="AL486" s="240">
        <f>LOOKUP(AL$2,'Depreciation Schedules'!$A$3:$A$42,'Depreciation Schedules'!$G$3:$G$42)</f>
        <v>2.564102564102564E-2</v>
      </c>
      <c r="AM486" s="240">
        <f>LOOKUP(AM$2,'Depreciation Schedules'!$A$3:$A$42,'Depreciation Schedules'!$G$3:$G$42)</f>
        <v>2.564102564102564E-2</v>
      </c>
      <c r="AN486" s="240">
        <f>LOOKUP(AN$2,'Depreciation Schedules'!$A$3:$A$42,'Depreciation Schedules'!$G$3:$G$42)</f>
        <v>2.564102564102564E-2</v>
      </c>
      <c r="AO486" s="240">
        <f>LOOKUP(AO$2,'Depreciation Schedules'!$A$3:$A$42,'Depreciation Schedules'!$G$3:$G$42)</f>
        <v>2.564102564102564E-2</v>
      </c>
      <c r="AP486" s="240">
        <f>LOOKUP(AP$2,'Depreciation Schedules'!$A$3:$A$42,'Depreciation Schedules'!$G$3:$G$42)</f>
        <v>1.2820512820512799E-2</v>
      </c>
    </row>
    <row r="487" spans="1:42">
      <c r="A487" s="297" t="s">
        <v>34</v>
      </c>
      <c r="C487" s="208"/>
      <c r="D487" s="208"/>
      <c r="E487" s="208"/>
      <c r="F487" s="208"/>
      <c r="G487" s="208"/>
      <c r="H487" s="208"/>
      <c r="I487" s="208"/>
      <c r="J487" s="208"/>
      <c r="K487" s="208"/>
      <c r="L487" s="208"/>
      <c r="M487" s="208"/>
      <c r="N487" s="208"/>
      <c r="O487" s="208"/>
      <c r="P487" s="208"/>
      <c r="Q487" s="208"/>
      <c r="R487" s="208"/>
      <c r="S487" s="208"/>
      <c r="T487" s="208"/>
      <c r="U487" s="208"/>
      <c r="V487" s="208"/>
      <c r="W487" s="208"/>
      <c r="X487" s="208"/>
      <c r="Y487" s="208"/>
      <c r="Z487" s="208"/>
      <c r="AA487" s="208"/>
      <c r="AB487" s="208"/>
      <c r="AC487" s="208"/>
      <c r="AD487" s="208"/>
      <c r="AE487" s="208"/>
      <c r="AF487" s="208"/>
      <c r="AG487" s="208"/>
      <c r="AH487" s="208"/>
      <c r="AI487" s="208"/>
      <c r="AJ487" s="208"/>
      <c r="AK487" s="208"/>
      <c r="AL487" s="208"/>
      <c r="AM487" s="208"/>
      <c r="AN487" s="208"/>
      <c r="AO487" s="208"/>
      <c r="AP487" s="208"/>
    </row>
    <row r="488" spans="1:42">
      <c r="A488" s="227" t="str">
        <f>A481</f>
        <v>5-yr MACRS</v>
      </c>
      <c r="B488" s="243">
        <f>SUM(C488:AP488)</f>
        <v>36415243.431394406</v>
      </c>
      <c r="C488" s="208">
        <f t="shared" ref="C488:AP493" si="253">C481*$K448</f>
        <v>7283048.6862788815</v>
      </c>
      <c r="D488" s="208">
        <f t="shared" si="253"/>
        <v>11652877.89804621</v>
      </c>
      <c r="E488" s="208">
        <f t="shared" si="253"/>
        <v>6991726.7388277259</v>
      </c>
      <c r="F488" s="208">
        <f t="shared" si="253"/>
        <v>4195036.0432966352</v>
      </c>
      <c r="G488" s="208">
        <f t="shared" si="253"/>
        <v>4195036.0432966352</v>
      </c>
      <c r="H488" s="208">
        <f t="shared" si="253"/>
        <v>2097518.0216483176</v>
      </c>
      <c r="I488" s="208">
        <f t="shared" si="253"/>
        <v>0</v>
      </c>
      <c r="J488" s="208">
        <f t="shared" si="253"/>
        <v>0</v>
      </c>
      <c r="K488" s="208">
        <f t="shared" si="253"/>
        <v>0</v>
      </c>
      <c r="L488" s="208">
        <f t="shared" si="253"/>
        <v>0</v>
      </c>
      <c r="M488" s="208">
        <f t="shared" si="253"/>
        <v>0</v>
      </c>
      <c r="N488" s="208">
        <f t="shared" si="253"/>
        <v>0</v>
      </c>
      <c r="O488" s="208">
        <f t="shared" si="253"/>
        <v>0</v>
      </c>
      <c r="P488" s="208">
        <f t="shared" si="253"/>
        <v>0</v>
      </c>
      <c r="Q488" s="208">
        <f t="shared" si="253"/>
        <v>0</v>
      </c>
      <c r="R488" s="208">
        <f t="shared" si="253"/>
        <v>0</v>
      </c>
      <c r="S488" s="208">
        <f t="shared" si="253"/>
        <v>0</v>
      </c>
      <c r="T488" s="208">
        <f t="shared" si="253"/>
        <v>0</v>
      </c>
      <c r="U488" s="208">
        <f t="shared" si="253"/>
        <v>0</v>
      </c>
      <c r="V488" s="208">
        <f t="shared" si="253"/>
        <v>0</v>
      </c>
      <c r="W488" s="208">
        <f t="shared" si="253"/>
        <v>0</v>
      </c>
      <c r="X488" s="208">
        <f t="shared" si="253"/>
        <v>0</v>
      </c>
      <c r="Y488" s="208">
        <f t="shared" si="253"/>
        <v>0</v>
      </c>
      <c r="Z488" s="208">
        <f t="shared" si="253"/>
        <v>0</v>
      </c>
      <c r="AA488" s="208">
        <f t="shared" si="253"/>
        <v>0</v>
      </c>
      <c r="AB488" s="208">
        <f t="shared" si="253"/>
        <v>0</v>
      </c>
      <c r="AC488" s="208">
        <f t="shared" si="253"/>
        <v>0</v>
      </c>
      <c r="AD488" s="208">
        <f t="shared" si="253"/>
        <v>0</v>
      </c>
      <c r="AE488" s="208">
        <f t="shared" si="253"/>
        <v>0</v>
      </c>
      <c r="AF488" s="208">
        <f t="shared" si="253"/>
        <v>0</v>
      </c>
      <c r="AG488" s="208">
        <f t="shared" si="253"/>
        <v>0</v>
      </c>
      <c r="AH488" s="208">
        <f t="shared" si="253"/>
        <v>0</v>
      </c>
      <c r="AI488" s="208">
        <f t="shared" si="253"/>
        <v>0</v>
      </c>
      <c r="AJ488" s="208">
        <f t="shared" si="253"/>
        <v>0</v>
      </c>
      <c r="AK488" s="208">
        <f t="shared" si="253"/>
        <v>0</v>
      </c>
      <c r="AL488" s="208">
        <f t="shared" si="253"/>
        <v>0</v>
      </c>
      <c r="AM488" s="208">
        <f t="shared" si="253"/>
        <v>0</v>
      </c>
      <c r="AN488" s="208">
        <f t="shared" si="253"/>
        <v>0</v>
      </c>
      <c r="AO488" s="208">
        <f t="shared" si="253"/>
        <v>0</v>
      </c>
      <c r="AP488" s="208">
        <f t="shared" si="253"/>
        <v>0</v>
      </c>
    </row>
    <row r="489" spans="1:42">
      <c r="A489" s="227" t="str">
        <f t="shared" ref="A489:A493" si="254">A482</f>
        <v>15-yr MACRS</v>
      </c>
      <c r="B489" s="165">
        <f t="shared" ref="B489:B495" si="255">SUM(C489:AP489)</f>
        <v>693709.39869322686</v>
      </c>
      <c r="C489" s="208">
        <f t="shared" si="253"/>
        <v>34685.469934661342</v>
      </c>
      <c r="D489" s="208">
        <f t="shared" si="253"/>
        <v>65902.392875856545</v>
      </c>
      <c r="E489" s="208">
        <f t="shared" si="253"/>
        <v>59312.153588270892</v>
      </c>
      <c r="F489" s="208">
        <f t="shared" si="253"/>
        <v>53415.623699378455</v>
      </c>
      <c r="G489" s="208">
        <f t="shared" si="253"/>
        <v>48074.061329440614</v>
      </c>
      <c r="H489" s="208">
        <f t="shared" si="253"/>
        <v>43218.09553858803</v>
      </c>
      <c r="I489" s="208">
        <f t="shared" si="253"/>
        <v>40928.854522900372</v>
      </c>
      <c r="J489" s="208">
        <f t="shared" si="253"/>
        <v>40928.854522900372</v>
      </c>
      <c r="K489" s="208">
        <f t="shared" si="253"/>
        <v>40998.225462769704</v>
      </c>
      <c r="L489" s="208">
        <f t="shared" si="253"/>
        <v>40928.854522900372</v>
      </c>
      <c r="M489" s="208">
        <f t="shared" si="253"/>
        <v>40998.225462769704</v>
      </c>
      <c r="N489" s="208">
        <f t="shared" si="253"/>
        <v>40928.854522900372</v>
      </c>
      <c r="O489" s="208">
        <f t="shared" si="253"/>
        <v>40998.225462769704</v>
      </c>
      <c r="P489" s="208">
        <f t="shared" si="253"/>
        <v>40928.854522900372</v>
      </c>
      <c r="Q489" s="208">
        <f t="shared" si="253"/>
        <v>40998.225462769704</v>
      </c>
      <c r="R489" s="208">
        <f t="shared" si="253"/>
        <v>20464.427261450186</v>
      </c>
      <c r="S489" s="208">
        <f t="shared" si="253"/>
        <v>0</v>
      </c>
      <c r="T489" s="208">
        <f t="shared" si="253"/>
        <v>0</v>
      </c>
      <c r="U489" s="208">
        <f t="shared" si="253"/>
        <v>0</v>
      </c>
      <c r="V489" s="208">
        <f t="shared" si="253"/>
        <v>0</v>
      </c>
      <c r="W489" s="208">
        <f t="shared" si="253"/>
        <v>0</v>
      </c>
      <c r="X489" s="208">
        <f t="shared" si="253"/>
        <v>0</v>
      </c>
      <c r="Y489" s="208">
        <f t="shared" si="253"/>
        <v>0</v>
      </c>
      <c r="Z489" s="208">
        <f t="shared" si="253"/>
        <v>0</v>
      </c>
      <c r="AA489" s="208">
        <f t="shared" si="253"/>
        <v>0</v>
      </c>
      <c r="AB489" s="208">
        <f t="shared" si="253"/>
        <v>0</v>
      </c>
      <c r="AC489" s="208">
        <f t="shared" si="253"/>
        <v>0</v>
      </c>
      <c r="AD489" s="208">
        <f t="shared" si="253"/>
        <v>0</v>
      </c>
      <c r="AE489" s="208">
        <f t="shared" si="253"/>
        <v>0</v>
      </c>
      <c r="AF489" s="208">
        <f t="shared" si="253"/>
        <v>0</v>
      </c>
      <c r="AG489" s="208">
        <f t="shared" si="253"/>
        <v>0</v>
      </c>
      <c r="AH489" s="208">
        <f t="shared" si="253"/>
        <v>0</v>
      </c>
      <c r="AI489" s="208">
        <f t="shared" si="253"/>
        <v>0</v>
      </c>
      <c r="AJ489" s="208">
        <f t="shared" si="253"/>
        <v>0</v>
      </c>
      <c r="AK489" s="208">
        <f t="shared" si="253"/>
        <v>0</v>
      </c>
      <c r="AL489" s="208">
        <f t="shared" si="253"/>
        <v>0</v>
      </c>
      <c r="AM489" s="208">
        <f t="shared" si="253"/>
        <v>0</v>
      </c>
      <c r="AN489" s="208">
        <f t="shared" si="253"/>
        <v>0</v>
      </c>
      <c r="AO489" s="208">
        <f t="shared" si="253"/>
        <v>0</v>
      </c>
      <c r="AP489" s="208">
        <f t="shared" si="253"/>
        <v>0</v>
      </c>
    </row>
    <row r="490" spans="1:42">
      <c r="A490" s="227" t="str">
        <f t="shared" si="254"/>
        <v>5-yr SL</v>
      </c>
      <c r="B490" s="165">
        <f t="shared" si="255"/>
        <v>0</v>
      </c>
      <c r="C490" s="208">
        <f t="shared" si="253"/>
        <v>0</v>
      </c>
      <c r="D490" s="208">
        <f t="shared" si="253"/>
        <v>0</v>
      </c>
      <c r="E490" s="208">
        <f t="shared" si="253"/>
        <v>0</v>
      </c>
      <c r="F490" s="208">
        <f t="shared" si="253"/>
        <v>0</v>
      </c>
      <c r="G490" s="208">
        <f t="shared" si="253"/>
        <v>0</v>
      </c>
      <c r="H490" s="208">
        <f t="shared" si="253"/>
        <v>0</v>
      </c>
      <c r="I490" s="208">
        <f t="shared" si="253"/>
        <v>0</v>
      </c>
      <c r="J490" s="208">
        <f t="shared" si="253"/>
        <v>0</v>
      </c>
      <c r="K490" s="208">
        <f t="shared" si="253"/>
        <v>0</v>
      </c>
      <c r="L490" s="208">
        <f t="shared" si="253"/>
        <v>0</v>
      </c>
      <c r="M490" s="208">
        <f t="shared" si="253"/>
        <v>0</v>
      </c>
      <c r="N490" s="208">
        <f t="shared" si="253"/>
        <v>0</v>
      </c>
      <c r="O490" s="208">
        <f t="shared" si="253"/>
        <v>0</v>
      </c>
      <c r="P490" s="208">
        <f t="shared" si="253"/>
        <v>0</v>
      </c>
      <c r="Q490" s="208">
        <f t="shared" si="253"/>
        <v>0</v>
      </c>
      <c r="R490" s="208">
        <f t="shared" si="253"/>
        <v>0</v>
      </c>
      <c r="S490" s="208">
        <f t="shared" si="253"/>
        <v>0</v>
      </c>
      <c r="T490" s="208">
        <f t="shared" si="253"/>
        <v>0</v>
      </c>
      <c r="U490" s="208">
        <f t="shared" si="253"/>
        <v>0</v>
      </c>
      <c r="V490" s="208">
        <f t="shared" si="253"/>
        <v>0</v>
      </c>
      <c r="W490" s="208">
        <f t="shared" si="253"/>
        <v>0</v>
      </c>
      <c r="X490" s="208">
        <f t="shared" si="253"/>
        <v>0</v>
      </c>
      <c r="Y490" s="208">
        <f t="shared" si="253"/>
        <v>0</v>
      </c>
      <c r="Z490" s="208">
        <f t="shared" si="253"/>
        <v>0</v>
      </c>
      <c r="AA490" s="208">
        <f t="shared" si="253"/>
        <v>0</v>
      </c>
      <c r="AB490" s="208">
        <f t="shared" si="253"/>
        <v>0</v>
      </c>
      <c r="AC490" s="208">
        <f t="shared" si="253"/>
        <v>0</v>
      </c>
      <c r="AD490" s="208">
        <f t="shared" si="253"/>
        <v>0</v>
      </c>
      <c r="AE490" s="208">
        <f t="shared" si="253"/>
        <v>0</v>
      </c>
      <c r="AF490" s="208">
        <f t="shared" si="253"/>
        <v>0</v>
      </c>
      <c r="AG490" s="208">
        <f t="shared" si="253"/>
        <v>0</v>
      </c>
      <c r="AH490" s="208">
        <f t="shared" si="253"/>
        <v>0</v>
      </c>
      <c r="AI490" s="208">
        <f t="shared" si="253"/>
        <v>0</v>
      </c>
      <c r="AJ490" s="208">
        <f t="shared" si="253"/>
        <v>0</v>
      </c>
      <c r="AK490" s="208">
        <f t="shared" si="253"/>
        <v>0</v>
      </c>
      <c r="AL490" s="208">
        <f t="shared" si="253"/>
        <v>0</v>
      </c>
      <c r="AM490" s="208">
        <f t="shared" si="253"/>
        <v>0</v>
      </c>
      <c r="AN490" s="208">
        <f t="shared" si="253"/>
        <v>0</v>
      </c>
      <c r="AO490" s="208">
        <f t="shared" si="253"/>
        <v>0</v>
      </c>
      <c r="AP490" s="208">
        <f t="shared" si="253"/>
        <v>0</v>
      </c>
    </row>
    <row r="491" spans="1:42">
      <c r="A491" s="227" t="str">
        <f t="shared" si="254"/>
        <v>15-yr SL</v>
      </c>
      <c r="B491" s="165">
        <f t="shared" si="255"/>
        <v>693709.39869322663</v>
      </c>
      <c r="C491" s="208">
        <f t="shared" si="253"/>
        <v>23100.522976484452</v>
      </c>
      <c r="D491" s="208">
        <f t="shared" si="253"/>
        <v>46270.416892838221</v>
      </c>
      <c r="E491" s="208">
        <f t="shared" si="253"/>
        <v>46270.416892838221</v>
      </c>
      <c r="F491" s="208">
        <f t="shared" si="253"/>
        <v>46270.416892838221</v>
      </c>
      <c r="G491" s="208">
        <f t="shared" si="253"/>
        <v>46270.416892838221</v>
      </c>
      <c r="H491" s="208">
        <f t="shared" si="253"/>
        <v>46270.416892838221</v>
      </c>
      <c r="I491" s="208">
        <f t="shared" si="253"/>
        <v>46270.416892838221</v>
      </c>
      <c r="J491" s="208">
        <f t="shared" si="253"/>
        <v>46201.045952968903</v>
      </c>
      <c r="K491" s="208">
        <f t="shared" si="253"/>
        <v>46270.416892838221</v>
      </c>
      <c r="L491" s="208">
        <f t="shared" si="253"/>
        <v>46201.045952968903</v>
      </c>
      <c r="M491" s="208">
        <f t="shared" si="253"/>
        <v>46270.416892838221</v>
      </c>
      <c r="N491" s="208">
        <f t="shared" si="253"/>
        <v>46201.045952968903</v>
      </c>
      <c r="O491" s="208">
        <f t="shared" si="253"/>
        <v>46270.416892838221</v>
      </c>
      <c r="P491" s="208">
        <f t="shared" si="253"/>
        <v>46201.045952968903</v>
      </c>
      <c r="Q491" s="208">
        <f t="shared" si="253"/>
        <v>46270.416892838221</v>
      </c>
      <c r="R491" s="208">
        <f t="shared" si="253"/>
        <v>23100.522976484452</v>
      </c>
      <c r="S491" s="208">
        <f t="shared" si="253"/>
        <v>0</v>
      </c>
      <c r="T491" s="208">
        <f t="shared" si="253"/>
        <v>0</v>
      </c>
      <c r="U491" s="208">
        <f t="shared" si="253"/>
        <v>0</v>
      </c>
      <c r="V491" s="208">
        <f t="shared" si="253"/>
        <v>0</v>
      </c>
      <c r="W491" s="208">
        <f t="shared" si="253"/>
        <v>0</v>
      </c>
      <c r="X491" s="208">
        <f t="shared" si="253"/>
        <v>0</v>
      </c>
      <c r="Y491" s="208">
        <f t="shared" si="253"/>
        <v>0</v>
      </c>
      <c r="Z491" s="208">
        <f t="shared" si="253"/>
        <v>0</v>
      </c>
      <c r="AA491" s="208">
        <f t="shared" si="253"/>
        <v>0</v>
      </c>
      <c r="AB491" s="208">
        <f t="shared" si="253"/>
        <v>0</v>
      </c>
      <c r="AC491" s="208">
        <f t="shared" si="253"/>
        <v>0</v>
      </c>
      <c r="AD491" s="208">
        <f t="shared" si="253"/>
        <v>0</v>
      </c>
      <c r="AE491" s="208">
        <f t="shared" si="253"/>
        <v>0</v>
      </c>
      <c r="AF491" s="208">
        <f t="shared" si="253"/>
        <v>0</v>
      </c>
      <c r="AG491" s="208">
        <f t="shared" si="253"/>
        <v>0</v>
      </c>
      <c r="AH491" s="208">
        <f t="shared" si="253"/>
        <v>0</v>
      </c>
      <c r="AI491" s="208">
        <f t="shared" si="253"/>
        <v>0</v>
      </c>
      <c r="AJ491" s="208">
        <f t="shared" si="253"/>
        <v>0</v>
      </c>
      <c r="AK491" s="208">
        <f t="shared" si="253"/>
        <v>0</v>
      </c>
      <c r="AL491" s="208">
        <f t="shared" si="253"/>
        <v>0</v>
      </c>
      <c r="AM491" s="208">
        <f t="shared" si="253"/>
        <v>0</v>
      </c>
      <c r="AN491" s="208">
        <f t="shared" si="253"/>
        <v>0</v>
      </c>
      <c r="AO491" s="208">
        <f t="shared" si="253"/>
        <v>0</v>
      </c>
      <c r="AP491" s="208">
        <f t="shared" si="253"/>
        <v>0</v>
      </c>
    </row>
    <row r="492" spans="1:42">
      <c r="A492" s="227" t="str">
        <f t="shared" si="254"/>
        <v>20-yr SL</v>
      </c>
      <c r="B492" s="165">
        <f t="shared" si="255"/>
        <v>462472.93246215105</v>
      </c>
      <c r="C492" s="208">
        <f t="shared" si="253"/>
        <v>11561.823311553781</v>
      </c>
      <c r="D492" s="208">
        <f t="shared" si="253"/>
        <v>23123.646623107561</v>
      </c>
      <c r="E492" s="208">
        <f t="shared" si="253"/>
        <v>23123.646623107561</v>
      </c>
      <c r="F492" s="208">
        <f t="shared" si="253"/>
        <v>23123.646623107561</v>
      </c>
      <c r="G492" s="208">
        <f t="shared" si="253"/>
        <v>23123.646623107561</v>
      </c>
      <c r="H492" s="208">
        <f t="shared" si="253"/>
        <v>23123.646623107561</v>
      </c>
      <c r="I492" s="208">
        <f t="shared" si="253"/>
        <v>23123.646623107561</v>
      </c>
      <c r="J492" s="208">
        <f t="shared" si="253"/>
        <v>23123.646623107561</v>
      </c>
      <c r="K492" s="208">
        <f t="shared" si="253"/>
        <v>23123.646623107561</v>
      </c>
      <c r="L492" s="208">
        <f t="shared" si="253"/>
        <v>23123.646623107561</v>
      </c>
      <c r="M492" s="208">
        <f t="shared" si="253"/>
        <v>23123.646623107561</v>
      </c>
      <c r="N492" s="208">
        <f t="shared" si="253"/>
        <v>23123.646623107561</v>
      </c>
      <c r="O492" s="208">
        <f t="shared" si="253"/>
        <v>23123.646623107561</v>
      </c>
      <c r="P492" s="208">
        <f t="shared" si="253"/>
        <v>23123.646623107561</v>
      </c>
      <c r="Q492" s="208">
        <f t="shared" si="253"/>
        <v>23123.646623107561</v>
      </c>
      <c r="R492" s="208">
        <f t="shared" si="253"/>
        <v>23123.646623107561</v>
      </c>
      <c r="S492" s="208">
        <f t="shared" si="253"/>
        <v>23123.646623107561</v>
      </c>
      <c r="T492" s="208">
        <f t="shared" si="253"/>
        <v>23123.646623107561</v>
      </c>
      <c r="U492" s="208">
        <f t="shared" si="253"/>
        <v>23123.646623107561</v>
      </c>
      <c r="V492" s="208">
        <f t="shared" si="253"/>
        <v>23123.646623107561</v>
      </c>
      <c r="W492" s="208">
        <f t="shared" si="253"/>
        <v>11561.823311553781</v>
      </c>
      <c r="X492" s="208">
        <f t="shared" si="253"/>
        <v>0</v>
      </c>
      <c r="Y492" s="208">
        <f t="shared" si="253"/>
        <v>0</v>
      </c>
      <c r="Z492" s="208">
        <f t="shared" si="253"/>
        <v>0</v>
      </c>
      <c r="AA492" s="208">
        <f t="shared" si="253"/>
        <v>0</v>
      </c>
      <c r="AB492" s="208">
        <f t="shared" si="253"/>
        <v>0</v>
      </c>
      <c r="AC492" s="208">
        <f t="shared" si="253"/>
        <v>0</v>
      </c>
      <c r="AD492" s="208">
        <f t="shared" si="253"/>
        <v>0</v>
      </c>
      <c r="AE492" s="208">
        <f t="shared" si="253"/>
        <v>0</v>
      </c>
      <c r="AF492" s="208">
        <f t="shared" si="253"/>
        <v>0</v>
      </c>
      <c r="AG492" s="208">
        <f t="shared" si="253"/>
        <v>0</v>
      </c>
      <c r="AH492" s="208">
        <f t="shared" si="253"/>
        <v>0</v>
      </c>
      <c r="AI492" s="208">
        <f t="shared" si="253"/>
        <v>0</v>
      </c>
      <c r="AJ492" s="208">
        <f t="shared" si="253"/>
        <v>0</v>
      </c>
      <c r="AK492" s="208">
        <f t="shared" si="253"/>
        <v>0</v>
      </c>
      <c r="AL492" s="208">
        <f t="shared" si="253"/>
        <v>0</v>
      </c>
      <c r="AM492" s="208">
        <f t="shared" si="253"/>
        <v>0</v>
      </c>
      <c r="AN492" s="208">
        <f t="shared" si="253"/>
        <v>0</v>
      </c>
      <c r="AO492" s="208">
        <f t="shared" si="253"/>
        <v>0</v>
      </c>
      <c r="AP492" s="208">
        <f t="shared" si="253"/>
        <v>0</v>
      </c>
    </row>
    <row r="493" spans="1:42">
      <c r="A493" s="227" t="str">
        <f t="shared" si="254"/>
        <v>39-yr SL</v>
      </c>
      <c r="B493" s="165">
        <f t="shared" si="255"/>
        <v>231236.46623107549</v>
      </c>
      <c r="C493" s="208">
        <f t="shared" si="253"/>
        <v>2964.5700798855796</v>
      </c>
      <c r="D493" s="208">
        <f t="shared" si="253"/>
        <v>5929.1401597711692</v>
      </c>
      <c r="E493" s="208">
        <f t="shared" si="253"/>
        <v>5929.1401597711692</v>
      </c>
      <c r="F493" s="208">
        <f t="shared" si="253"/>
        <v>5929.1401597711692</v>
      </c>
      <c r="G493" s="208">
        <f t="shared" si="253"/>
        <v>5929.1401597711692</v>
      </c>
      <c r="H493" s="208">
        <f t="shared" si="253"/>
        <v>5929.1401597711692</v>
      </c>
      <c r="I493" s="208">
        <f t="shared" si="253"/>
        <v>5929.1401597711692</v>
      </c>
      <c r="J493" s="208">
        <f t="shared" si="253"/>
        <v>5929.1401597711692</v>
      </c>
      <c r="K493" s="208">
        <f t="shared" si="253"/>
        <v>5929.1401597711692</v>
      </c>
      <c r="L493" s="208">
        <f t="shared" si="253"/>
        <v>5929.1401597711692</v>
      </c>
      <c r="M493" s="208">
        <f t="shared" si="253"/>
        <v>5929.1401597711692</v>
      </c>
      <c r="N493" s="208">
        <f t="shared" si="253"/>
        <v>5929.1401597711692</v>
      </c>
      <c r="O493" s="208">
        <f t="shared" si="253"/>
        <v>5929.1401597711692</v>
      </c>
      <c r="P493" s="208">
        <f t="shared" si="253"/>
        <v>5929.1401597711692</v>
      </c>
      <c r="Q493" s="208">
        <f t="shared" si="253"/>
        <v>5929.1401597711692</v>
      </c>
      <c r="R493" s="208">
        <f t="shared" si="253"/>
        <v>5929.1401597711692</v>
      </c>
      <c r="S493" s="208">
        <f t="shared" si="253"/>
        <v>5929.1401597711692</v>
      </c>
      <c r="T493" s="208">
        <f t="shared" si="253"/>
        <v>5929.1401597711692</v>
      </c>
      <c r="U493" s="208">
        <f t="shared" si="253"/>
        <v>5929.1401597711692</v>
      </c>
      <c r="V493" s="208">
        <f t="shared" si="253"/>
        <v>5929.1401597711692</v>
      </c>
      <c r="W493" s="208">
        <f t="shared" si="253"/>
        <v>5929.1401597711692</v>
      </c>
      <c r="X493" s="208">
        <f t="shared" si="253"/>
        <v>5929.1401597711692</v>
      </c>
      <c r="Y493" s="208">
        <f t="shared" si="253"/>
        <v>5929.1401597711692</v>
      </c>
      <c r="Z493" s="208">
        <f t="shared" si="253"/>
        <v>5929.1401597711692</v>
      </c>
      <c r="AA493" s="208">
        <f t="shared" si="253"/>
        <v>5929.1401597711692</v>
      </c>
      <c r="AB493" s="208">
        <f t="shared" si="253"/>
        <v>5929.1401597711692</v>
      </c>
      <c r="AC493" s="208">
        <f t="shared" si="253"/>
        <v>5929.1401597711692</v>
      </c>
      <c r="AD493" s="208">
        <f t="shared" si="253"/>
        <v>5929.1401597711692</v>
      </c>
      <c r="AE493" s="208">
        <f t="shared" si="253"/>
        <v>5929.1401597711692</v>
      </c>
      <c r="AF493" s="208">
        <f t="shared" si="253"/>
        <v>5929.1401597711692</v>
      </c>
      <c r="AG493" s="208">
        <f t="shared" si="253"/>
        <v>5929.1401597711692</v>
      </c>
      <c r="AH493" s="208">
        <f t="shared" si="253"/>
        <v>5929.1401597711692</v>
      </c>
      <c r="AI493" s="208">
        <f t="shared" si="253"/>
        <v>5929.1401597711692</v>
      </c>
      <c r="AJ493" s="208">
        <f t="shared" si="253"/>
        <v>5929.1401597711692</v>
      </c>
      <c r="AK493" s="208">
        <f t="shared" si="253"/>
        <v>5929.1401597711692</v>
      </c>
      <c r="AL493" s="208">
        <f t="shared" si="253"/>
        <v>5929.1401597711692</v>
      </c>
      <c r="AM493" s="208">
        <f t="shared" si="253"/>
        <v>5929.1401597711692</v>
      </c>
      <c r="AN493" s="208">
        <f t="shared" si="253"/>
        <v>5929.1401597711692</v>
      </c>
      <c r="AO493" s="208">
        <f t="shared" si="253"/>
        <v>5929.1401597711692</v>
      </c>
      <c r="AP493" s="208">
        <f t="shared" si="253"/>
        <v>2964.5700798855796</v>
      </c>
    </row>
    <row r="494" spans="1:42">
      <c r="A494" s="227" t="s">
        <v>332</v>
      </c>
      <c r="B494" s="237">
        <f t="shared" si="255"/>
        <v>4046138.1590438234</v>
      </c>
      <c r="C494" s="209">
        <f>J455</f>
        <v>4046138.1590438234</v>
      </c>
      <c r="D494" s="209">
        <v>0</v>
      </c>
      <c r="E494" s="209">
        <v>0</v>
      </c>
      <c r="F494" s="209">
        <v>0</v>
      </c>
      <c r="G494" s="209">
        <v>0</v>
      </c>
      <c r="H494" s="209">
        <v>0</v>
      </c>
      <c r="I494" s="209">
        <v>0</v>
      </c>
      <c r="J494" s="209">
        <v>0</v>
      </c>
      <c r="K494" s="209">
        <v>0</v>
      </c>
      <c r="L494" s="209">
        <v>0</v>
      </c>
      <c r="M494" s="209">
        <v>0</v>
      </c>
      <c r="N494" s="209">
        <v>0</v>
      </c>
      <c r="O494" s="209">
        <v>0</v>
      </c>
      <c r="P494" s="209">
        <v>0</v>
      </c>
      <c r="Q494" s="209">
        <v>0</v>
      </c>
      <c r="R494" s="209">
        <v>0</v>
      </c>
      <c r="S494" s="209">
        <v>0</v>
      </c>
      <c r="T494" s="209">
        <v>0</v>
      </c>
      <c r="U494" s="209">
        <v>0</v>
      </c>
      <c r="V494" s="209">
        <v>0</v>
      </c>
      <c r="W494" s="209">
        <v>0</v>
      </c>
      <c r="X494" s="209">
        <v>0</v>
      </c>
      <c r="Y494" s="209">
        <v>0</v>
      </c>
      <c r="Z494" s="209">
        <v>0</v>
      </c>
      <c r="AA494" s="209">
        <v>0</v>
      </c>
      <c r="AB494" s="209">
        <v>0</v>
      </c>
      <c r="AC494" s="209">
        <v>0</v>
      </c>
      <c r="AD494" s="209">
        <v>0</v>
      </c>
      <c r="AE494" s="209">
        <v>0</v>
      </c>
      <c r="AF494" s="209">
        <v>0</v>
      </c>
      <c r="AG494" s="209">
        <v>0</v>
      </c>
      <c r="AH494" s="209">
        <v>0</v>
      </c>
      <c r="AI494" s="209">
        <v>0</v>
      </c>
      <c r="AJ494" s="209">
        <v>0</v>
      </c>
      <c r="AK494" s="209">
        <v>0</v>
      </c>
      <c r="AL494" s="209">
        <v>0</v>
      </c>
      <c r="AM494" s="209">
        <v>0</v>
      </c>
      <c r="AN494" s="209">
        <v>0</v>
      </c>
      <c r="AO494" s="209">
        <v>0</v>
      </c>
      <c r="AP494" s="209">
        <v>0</v>
      </c>
    </row>
    <row r="495" spans="1:42">
      <c r="A495" s="226"/>
      <c r="B495" s="237">
        <f t="shared" si="255"/>
        <v>42542509.786517903</v>
      </c>
      <c r="C495" s="208">
        <f>SUM(C488:C494)</f>
        <v>11401499.231625289</v>
      </c>
      <c r="D495" s="208">
        <f t="shared" ref="D495:AP495" si="256">SUM(D488:D494)</f>
        <v>11794103.494597781</v>
      </c>
      <c r="E495" s="208">
        <f t="shared" si="256"/>
        <v>7126362.0960917138</v>
      </c>
      <c r="F495" s="208">
        <f t="shared" si="256"/>
        <v>4323774.8706717305</v>
      </c>
      <c r="G495" s="208">
        <f t="shared" si="256"/>
        <v>4318433.3083017925</v>
      </c>
      <c r="H495" s="208">
        <f t="shared" si="256"/>
        <v>2216059.3208626229</v>
      </c>
      <c r="I495" s="208">
        <f t="shared" si="256"/>
        <v>116252.05819861732</v>
      </c>
      <c r="J495" s="208">
        <f t="shared" si="256"/>
        <v>116182.687258748</v>
      </c>
      <c r="K495" s="208">
        <f t="shared" si="256"/>
        <v>116321.42913848665</v>
      </c>
      <c r="L495" s="208">
        <f t="shared" si="256"/>
        <v>116182.687258748</v>
      </c>
      <c r="M495" s="208">
        <f t="shared" si="256"/>
        <v>116321.42913848665</v>
      </c>
      <c r="N495" s="208">
        <f t="shared" si="256"/>
        <v>116182.687258748</v>
      </c>
      <c r="O495" s="208">
        <f t="shared" si="256"/>
        <v>116321.42913848665</v>
      </c>
      <c r="P495" s="208">
        <f t="shared" si="256"/>
        <v>116182.687258748</v>
      </c>
      <c r="Q495" s="208">
        <f t="shared" si="256"/>
        <v>116321.42913848665</v>
      </c>
      <c r="R495" s="208">
        <f t="shared" si="256"/>
        <v>72617.737020813365</v>
      </c>
      <c r="S495" s="208">
        <f t="shared" si="256"/>
        <v>29052.786782878731</v>
      </c>
      <c r="T495" s="208">
        <f t="shared" si="256"/>
        <v>29052.786782878731</v>
      </c>
      <c r="U495" s="208">
        <f t="shared" si="256"/>
        <v>29052.786782878731</v>
      </c>
      <c r="V495" s="208">
        <f t="shared" si="256"/>
        <v>29052.786782878731</v>
      </c>
      <c r="W495" s="208">
        <f t="shared" si="256"/>
        <v>17490.963471324951</v>
      </c>
      <c r="X495" s="208">
        <f t="shared" si="256"/>
        <v>5929.1401597711692</v>
      </c>
      <c r="Y495" s="208">
        <f t="shared" si="256"/>
        <v>5929.1401597711692</v>
      </c>
      <c r="Z495" s="208">
        <f t="shared" si="256"/>
        <v>5929.1401597711692</v>
      </c>
      <c r="AA495" s="208">
        <f t="shared" si="256"/>
        <v>5929.1401597711692</v>
      </c>
      <c r="AB495" s="208">
        <f t="shared" si="256"/>
        <v>5929.1401597711692</v>
      </c>
      <c r="AC495" s="208">
        <f t="shared" si="256"/>
        <v>5929.1401597711692</v>
      </c>
      <c r="AD495" s="208">
        <f t="shared" si="256"/>
        <v>5929.1401597711692</v>
      </c>
      <c r="AE495" s="208">
        <f t="shared" si="256"/>
        <v>5929.1401597711692</v>
      </c>
      <c r="AF495" s="208">
        <f t="shared" si="256"/>
        <v>5929.1401597711692</v>
      </c>
      <c r="AG495" s="208">
        <f t="shared" si="256"/>
        <v>5929.1401597711692</v>
      </c>
      <c r="AH495" s="208">
        <f t="shared" si="256"/>
        <v>5929.1401597711692</v>
      </c>
      <c r="AI495" s="208">
        <f t="shared" si="256"/>
        <v>5929.1401597711692</v>
      </c>
      <c r="AJ495" s="208">
        <f t="shared" si="256"/>
        <v>5929.1401597711692</v>
      </c>
      <c r="AK495" s="208">
        <f t="shared" si="256"/>
        <v>5929.1401597711692</v>
      </c>
      <c r="AL495" s="208">
        <f t="shared" si="256"/>
        <v>5929.1401597711692</v>
      </c>
      <c r="AM495" s="208">
        <f t="shared" si="256"/>
        <v>5929.1401597711692</v>
      </c>
      <c r="AN495" s="208">
        <f t="shared" si="256"/>
        <v>5929.1401597711692</v>
      </c>
      <c r="AO495" s="208">
        <f t="shared" si="256"/>
        <v>5929.1401597711692</v>
      </c>
      <c r="AP495" s="208">
        <f t="shared" si="256"/>
        <v>2964.5700798855796</v>
      </c>
    </row>
    <row r="496" spans="1:42">
      <c r="A496" s="226"/>
      <c r="B496" s="208"/>
      <c r="C496" s="208"/>
      <c r="D496" s="208"/>
      <c r="E496" s="208"/>
      <c r="F496" s="208"/>
      <c r="G496" s="208"/>
      <c r="H496" s="208"/>
      <c r="I496" s="208"/>
      <c r="J496" s="208"/>
      <c r="K496" s="208"/>
      <c r="L496" s="208"/>
      <c r="M496" s="208"/>
      <c r="N496" s="208"/>
      <c r="O496" s="208"/>
      <c r="P496" s="208"/>
      <c r="Q496" s="208"/>
      <c r="R496" s="208"/>
      <c r="S496" s="208"/>
      <c r="T496" s="208"/>
      <c r="U496" s="208"/>
      <c r="V496" s="208"/>
      <c r="W496" s="208"/>
      <c r="X496" s="208"/>
      <c r="Y496" s="208"/>
      <c r="Z496" s="208"/>
      <c r="AA496" s="208"/>
      <c r="AB496" s="208"/>
      <c r="AC496" s="208"/>
      <c r="AD496" s="208"/>
      <c r="AE496" s="208"/>
      <c r="AF496" s="208"/>
      <c r="AG496" s="208"/>
      <c r="AH496" s="208"/>
      <c r="AI496" s="208"/>
      <c r="AJ496" s="208"/>
      <c r="AK496" s="208"/>
      <c r="AL496" s="208"/>
      <c r="AM496" s="208"/>
      <c r="AN496" s="208"/>
      <c r="AO496" s="208"/>
      <c r="AP496" s="208"/>
    </row>
    <row r="497" spans="1:42">
      <c r="A497" s="219" t="s">
        <v>216</v>
      </c>
      <c r="C497" s="208"/>
      <c r="D497" s="208"/>
      <c r="E497" s="208"/>
      <c r="F497" s="208"/>
      <c r="G497" s="208"/>
      <c r="H497" s="208"/>
      <c r="I497" s="208"/>
      <c r="J497" s="208"/>
      <c r="K497" s="208"/>
      <c r="L497" s="208"/>
      <c r="M497" s="208"/>
      <c r="N497" s="208"/>
      <c r="O497" s="208"/>
      <c r="P497" s="208"/>
      <c r="Q497" s="208"/>
      <c r="R497" s="208"/>
      <c r="S497" s="208"/>
      <c r="T497" s="208"/>
      <c r="U497" s="208"/>
      <c r="V497" s="208"/>
      <c r="W497" s="208"/>
      <c r="X497" s="208"/>
      <c r="Y497" s="208"/>
      <c r="Z497" s="208"/>
      <c r="AA497" s="208"/>
      <c r="AB497" s="208"/>
      <c r="AC497" s="208"/>
      <c r="AD497" s="208"/>
      <c r="AE497" s="208"/>
      <c r="AF497" s="208"/>
      <c r="AG497" s="208"/>
      <c r="AH497" s="208"/>
      <c r="AI497" s="208"/>
      <c r="AJ497" s="208"/>
      <c r="AK497" s="208"/>
      <c r="AL497" s="208"/>
      <c r="AM497" s="208"/>
      <c r="AN497" s="208"/>
      <c r="AO497" s="208"/>
      <c r="AP497" s="208"/>
    </row>
    <row r="498" spans="1:42">
      <c r="A498" s="226" t="s">
        <v>218</v>
      </c>
      <c r="B498" s="244" t="str">
        <f>MMFedTaxTreatment</f>
        <v>5-yr MACRS</v>
      </c>
      <c r="C498" s="208"/>
      <c r="D498" s="208"/>
      <c r="E498" s="208"/>
      <c r="F498" s="208"/>
      <c r="G498" s="208"/>
      <c r="H498" s="208"/>
      <c r="I498" s="208"/>
      <c r="J498" s="208"/>
      <c r="K498" s="208"/>
      <c r="L498" s="208"/>
      <c r="M498" s="208"/>
      <c r="N498" s="208"/>
      <c r="O498" s="208"/>
      <c r="P498" s="208"/>
      <c r="Q498" s="208"/>
      <c r="R498" s="208"/>
      <c r="S498" s="208"/>
      <c r="T498" s="208"/>
      <c r="U498" s="208"/>
      <c r="V498" s="208"/>
      <c r="W498" s="208"/>
      <c r="X498" s="208"/>
      <c r="Y498" s="208"/>
      <c r="Z498" s="208"/>
      <c r="AA498" s="208"/>
      <c r="AB498" s="208"/>
      <c r="AC498" s="208"/>
      <c r="AD498" s="208"/>
      <c r="AE498" s="208"/>
      <c r="AF498" s="208"/>
      <c r="AG498" s="208"/>
      <c r="AH498" s="208"/>
      <c r="AI498" s="208"/>
      <c r="AJ498" s="208"/>
      <c r="AK498" s="208"/>
      <c r="AL498" s="208"/>
      <c r="AM498" s="208"/>
      <c r="AN498" s="208"/>
      <c r="AO498" s="208"/>
      <c r="AP498" s="208"/>
    </row>
    <row r="499" spans="1:42">
      <c r="A499" s="226" t="s">
        <v>219</v>
      </c>
      <c r="B499" s="208">
        <f t="shared" ref="B499:AP499" si="257">B2</f>
        <v>0</v>
      </c>
      <c r="C499" s="208">
        <f t="shared" si="257"/>
        <v>1</v>
      </c>
      <c r="D499" s="208">
        <f t="shared" si="257"/>
        <v>2</v>
      </c>
      <c r="E499" s="208">
        <f t="shared" si="257"/>
        <v>3</v>
      </c>
      <c r="F499" s="208">
        <f t="shared" si="257"/>
        <v>4</v>
      </c>
      <c r="G499" s="208">
        <f t="shared" si="257"/>
        <v>5</v>
      </c>
      <c r="H499" s="208">
        <f t="shared" si="257"/>
        <v>6</v>
      </c>
      <c r="I499" s="208">
        <f t="shared" si="257"/>
        <v>7</v>
      </c>
      <c r="J499" s="208">
        <f t="shared" si="257"/>
        <v>8</v>
      </c>
      <c r="K499" s="208">
        <f t="shared" si="257"/>
        <v>9</v>
      </c>
      <c r="L499" s="208">
        <f t="shared" si="257"/>
        <v>10</v>
      </c>
      <c r="M499" s="208">
        <f t="shared" si="257"/>
        <v>11</v>
      </c>
      <c r="N499" s="208">
        <f t="shared" si="257"/>
        <v>12</v>
      </c>
      <c r="O499" s="208">
        <f t="shared" si="257"/>
        <v>13</v>
      </c>
      <c r="P499" s="208">
        <f t="shared" si="257"/>
        <v>14</v>
      </c>
      <c r="Q499" s="208">
        <f t="shared" si="257"/>
        <v>15</v>
      </c>
      <c r="R499" s="208">
        <f t="shared" si="257"/>
        <v>16</v>
      </c>
      <c r="S499" s="208">
        <f t="shared" si="257"/>
        <v>17</v>
      </c>
      <c r="T499" s="208">
        <f t="shared" si="257"/>
        <v>18</v>
      </c>
      <c r="U499" s="208">
        <f t="shared" si="257"/>
        <v>19</v>
      </c>
      <c r="V499" s="208">
        <f t="shared" si="257"/>
        <v>20</v>
      </c>
      <c r="W499" s="208">
        <f t="shared" si="257"/>
        <v>21</v>
      </c>
      <c r="X499" s="208">
        <f t="shared" si="257"/>
        <v>22</v>
      </c>
      <c r="Y499" s="208">
        <f t="shared" si="257"/>
        <v>23</v>
      </c>
      <c r="Z499" s="208">
        <f t="shared" si="257"/>
        <v>24</v>
      </c>
      <c r="AA499" s="208">
        <f t="shared" si="257"/>
        <v>25</v>
      </c>
      <c r="AB499" s="208">
        <f t="shared" si="257"/>
        <v>26</v>
      </c>
      <c r="AC499" s="208">
        <f t="shared" si="257"/>
        <v>27</v>
      </c>
      <c r="AD499" s="208">
        <f t="shared" si="257"/>
        <v>28</v>
      </c>
      <c r="AE499" s="208">
        <f t="shared" si="257"/>
        <v>29</v>
      </c>
      <c r="AF499" s="208">
        <f t="shared" si="257"/>
        <v>30</v>
      </c>
      <c r="AG499" s="208">
        <f t="shared" si="257"/>
        <v>31</v>
      </c>
      <c r="AH499" s="208">
        <f t="shared" si="257"/>
        <v>32</v>
      </c>
      <c r="AI499" s="208">
        <f t="shared" si="257"/>
        <v>33</v>
      </c>
      <c r="AJ499" s="208">
        <f t="shared" si="257"/>
        <v>34</v>
      </c>
      <c r="AK499" s="208">
        <f t="shared" si="257"/>
        <v>35</v>
      </c>
      <c r="AL499" s="208">
        <f t="shared" si="257"/>
        <v>36</v>
      </c>
      <c r="AM499" s="208">
        <f t="shared" si="257"/>
        <v>37</v>
      </c>
      <c r="AN499" s="208">
        <f t="shared" si="257"/>
        <v>38</v>
      </c>
      <c r="AO499" s="208">
        <f t="shared" si="257"/>
        <v>39</v>
      </c>
      <c r="AP499" s="208">
        <f t="shared" si="257"/>
        <v>40</v>
      </c>
    </row>
    <row r="500" spans="1:42">
      <c r="A500" s="226" t="s">
        <v>220</v>
      </c>
      <c r="B500" s="245">
        <v>0</v>
      </c>
      <c r="C500" s="240">
        <f t="shared" ref="C500:AP500" si="258">IF($B$498=$A481,C481,0)+IF($B$498=$A482,C482,0)+IF($B$498=$A483,C483,0)+IF($B$498=$A484,C484,0)+IF($B$498=$A485,C485,0)+IF($B$498=$A486,C486,0)</f>
        <v>0.2</v>
      </c>
      <c r="D500" s="240">
        <f t="shared" si="258"/>
        <v>0.32</v>
      </c>
      <c r="E500" s="240">
        <f t="shared" si="258"/>
        <v>0.192</v>
      </c>
      <c r="F500" s="240">
        <f t="shared" si="258"/>
        <v>0.1152</v>
      </c>
      <c r="G500" s="240">
        <f t="shared" si="258"/>
        <v>0.1152</v>
      </c>
      <c r="H500" s="240">
        <f t="shared" si="258"/>
        <v>5.7599999999999998E-2</v>
      </c>
      <c r="I500" s="240">
        <f t="shared" si="258"/>
        <v>0</v>
      </c>
      <c r="J500" s="240">
        <f t="shared" si="258"/>
        <v>0</v>
      </c>
      <c r="K500" s="240">
        <f t="shared" si="258"/>
        <v>0</v>
      </c>
      <c r="L500" s="240">
        <f t="shared" si="258"/>
        <v>0</v>
      </c>
      <c r="M500" s="240">
        <f t="shared" si="258"/>
        <v>0</v>
      </c>
      <c r="N500" s="240">
        <f t="shared" si="258"/>
        <v>0</v>
      </c>
      <c r="O500" s="240">
        <f t="shared" si="258"/>
        <v>0</v>
      </c>
      <c r="P500" s="240">
        <f t="shared" si="258"/>
        <v>0</v>
      </c>
      <c r="Q500" s="240">
        <f t="shared" si="258"/>
        <v>0</v>
      </c>
      <c r="R500" s="240">
        <f t="shared" si="258"/>
        <v>0</v>
      </c>
      <c r="S500" s="240">
        <f t="shared" si="258"/>
        <v>0</v>
      </c>
      <c r="T500" s="240">
        <f t="shared" si="258"/>
        <v>0</v>
      </c>
      <c r="U500" s="240">
        <f t="shared" si="258"/>
        <v>0</v>
      </c>
      <c r="V500" s="240">
        <f t="shared" si="258"/>
        <v>0</v>
      </c>
      <c r="W500" s="240">
        <f t="shared" si="258"/>
        <v>0</v>
      </c>
      <c r="X500" s="240">
        <f t="shared" si="258"/>
        <v>0</v>
      </c>
      <c r="Y500" s="240">
        <f t="shared" si="258"/>
        <v>0</v>
      </c>
      <c r="Z500" s="240">
        <f t="shared" si="258"/>
        <v>0</v>
      </c>
      <c r="AA500" s="240">
        <f t="shared" si="258"/>
        <v>0</v>
      </c>
      <c r="AB500" s="240">
        <f t="shared" si="258"/>
        <v>0</v>
      </c>
      <c r="AC500" s="240">
        <f t="shared" si="258"/>
        <v>0</v>
      </c>
      <c r="AD500" s="240">
        <f t="shared" si="258"/>
        <v>0</v>
      </c>
      <c r="AE500" s="240">
        <f t="shared" si="258"/>
        <v>0</v>
      </c>
      <c r="AF500" s="240">
        <f t="shared" si="258"/>
        <v>0</v>
      </c>
      <c r="AG500" s="240">
        <f t="shared" si="258"/>
        <v>0</v>
      </c>
      <c r="AH500" s="240">
        <f t="shared" si="258"/>
        <v>0</v>
      </c>
      <c r="AI500" s="240">
        <f t="shared" si="258"/>
        <v>0</v>
      </c>
      <c r="AJ500" s="240">
        <f t="shared" si="258"/>
        <v>0</v>
      </c>
      <c r="AK500" s="240">
        <f t="shared" si="258"/>
        <v>0</v>
      </c>
      <c r="AL500" s="240">
        <f t="shared" si="258"/>
        <v>0</v>
      </c>
      <c r="AM500" s="240">
        <f t="shared" si="258"/>
        <v>0</v>
      </c>
      <c r="AN500" s="240">
        <f t="shared" si="258"/>
        <v>0</v>
      </c>
      <c r="AO500" s="240">
        <f t="shared" si="258"/>
        <v>0</v>
      </c>
      <c r="AP500" s="240">
        <f t="shared" si="258"/>
        <v>0</v>
      </c>
    </row>
    <row r="501" spans="1:42">
      <c r="A501" s="219"/>
      <c r="C501" s="208"/>
      <c r="D501" s="208"/>
      <c r="E501" s="208"/>
      <c r="F501" s="208"/>
      <c r="G501" s="208"/>
      <c r="H501" s="208"/>
      <c r="I501" s="208"/>
      <c r="J501" s="208"/>
      <c r="K501" s="208"/>
      <c r="L501" s="208"/>
      <c r="M501" s="208"/>
      <c r="N501" s="208"/>
      <c r="O501" s="208"/>
      <c r="P501" s="208"/>
      <c r="Q501" s="208"/>
      <c r="R501" s="208"/>
      <c r="S501" s="208"/>
      <c r="T501" s="208"/>
      <c r="U501" s="208"/>
      <c r="V501" s="208"/>
      <c r="W501" s="208"/>
      <c r="X501" s="208"/>
      <c r="Y501" s="208"/>
      <c r="Z501" s="208"/>
      <c r="AA501" s="208"/>
      <c r="AB501" s="208"/>
      <c r="AC501" s="208"/>
      <c r="AD501" s="208"/>
      <c r="AE501" s="208"/>
      <c r="AF501" s="208"/>
      <c r="AG501" s="208"/>
      <c r="AH501" s="208"/>
      <c r="AI501" s="208"/>
      <c r="AJ501" s="208"/>
      <c r="AK501" s="208"/>
      <c r="AL501" s="208"/>
      <c r="AM501" s="208"/>
      <c r="AN501" s="208"/>
      <c r="AO501" s="208"/>
      <c r="AP501" s="208"/>
    </row>
    <row r="502" spans="1:42">
      <c r="A502" s="219" t="s">
        <v>383</v>
      </c>
      <c r="C502" s="208"/>
      <c r="D502" s="208"/>
      <c r="E502" s="208"/>
      <c r="F502" s="208"/>
      <c r="G502" s="208"/>
      <c r="H502" s="208"/>
      <c r="I502" s="208"/>
      <c r="J502" s="208"/>
      <c r="K502" s="208"/>
      <c r="L502" s="208"/>
      <c r="M502" s="208"/>
      <c r="N502" s="208"/>
      <c r="O502" s="208"/>
      <c r="P502" s="208"/>
      <c r="Q502" s="208"/>
      <c r="R502" s="208"/>
      <c r="S502" s="208"/>
      <c r="T502" s="208"/>
      <c r="U502" s="208"/>
      <c r="V502" s="208"/>
      <c r="W502" s="208"/>
      <c r="X502" s="208"/>
      <c r="Y502" s="208"/>
      <c r="Z502" s="208"/>
      <c r="AA502" s="208"/>
      <c r="AB502" s="208"/>
      <c r="AC502" s="208"/>
      <c r="AD502" s="208"/>
      <c r="AE502" s="208"/>
      <c r="AF502" s="208"/>
      <c r="AG502" s="208"/>
      <c r="AH502" s="208"/>
      <c r="AI502" s="208"/>
      <c r="AJ502" s="208"/>
      <c r="AK502" s="208"/>
      <c r="AL502" s="208"/>
      <c r="AM502" s="208"/>
      <c r="AN502" s="208"/>
      <c r="AO502" s="208"/>
      <c r="AP502" s="208"/>
    </row>
    <row r="503" spans="1:42">
      <c r="A503" s="226" t="s">
        <v>217</v>
      </c>
      <c r="C503" s="208"/>
      <c r="D503" s="208"/>
      <c r="E503" s="208"/>
      <c r="F503" s="208"/>
      <c r="G503" s="208"/>
      <c r="H503" s="208"/>
      <c r="I503" s="208"/>
      <c r="J503" s="208"/>
      <c r="K503" s="208"/>
      <c r="L503" s="208"/>
      <c r="M503" s="208"/>
      <c r="N503" s="208"/>
      <c r="O503" s="208"/>
      <c r="P503" s="208"/>
      <c r="Q503" s="208"/>
      <c r="R503" s="208"/>
      <c r="S503" s="208"/>
      <c r="T503" s="208"/>
      <c r="U503" s="208"/>
      <c r="V503" s="208"/>
      <c r="W503" s="208"/>
      <c r="X503" s="208"/>
      <c r="Y503" s="208"/>
      <c r="Z503" s="208"/>
      <c r="AA503" s="208"/>
      <c r="AB503" s="208"/>
      <c r="AC503" s="208"/>
      <c r="AD503" s="208"/>
      <c r="AE503" s="208"/>
      <c r="AF503" s="208"/>
      <c r="AG503" s="208"/>
      <c r="AH503" s="208"/>
      <c r="AI503" s="208"/>
      <c r="AJ503" s="208"/>
      <c r="AK503" s="208"/>
      <c r="AL503" s="208"/>
      <c r="AM503" s="208"/>
      <c r="AN503" s="208"/>
      <c r="AO503" s="208"/>
      <c r="AP503" s="208"/>
    </row>
    <row r="504" spans="1:42">
      <c r="A504" s="119">
        <v>1</v>
      </c>
      <c r="C504" s="208">
        <f>C370</f>
        <v>0</v>
      </c>
      <c r="D504" s="208">
        <f t="shared" ref="D504:AP510" si="259">D370</f>
        <v>0</v>
      </c>
      <c r="E504" s="208">
        <f t="shared" si="259"/>
        <v>0</v>
      </c>
      <c r="F504" s="208">
        <f t="shared" si="259"/>
        <v>0</v>
      </c>
      <c r="G504" s="208">
        <f t="shared" si="259"/>
        <v>0</v>
      </c>
      <c r="H504" s="208">
        <f t="shared" si="259"/>
        <v>0</v>
      </c>
      <c r="I504" s="208">
        <f t="shared" si="259"/>
        <v>0</v>
      </c>
      <c r="J504" s="208">
        <f t="shared" si="259"/>
        <v>0</v>
      </c>
      <c r="K504" s="208">
        <f t="shared" si="259"/>
        <v>0</v>
      </c>
      <c r="L504" s="208">
        <f t="shared" si="259"/>
        <v>0</v>
      </c>
      <c r="M504" s="208">
        <f t="shared" si="259"/>
        <v>0</v>
      </c>
      <c r="N504" s="208">
        <f t="shared" si="259"/>
        <v>1</v>
      </c>
      <c r="O504" s="208">
        <f t="shared" si="259"/>
        <v>2</v>
      </c>
      <c r="P504" s="208">
        <f t="shared" si="259"/>
        <v>3</v>
      </c>
      <c r="Q504" s="208">
        <f t="shared" si="259"/>
        <v>4</v>
      </c>
      <c r="R504" s="208">
        <f t="shared" si="259"/>
        <v>5</v>
      </c>
      <c r="S504" s="208">
        <f t="shared" si="259"/>
        <v>6</v>
      </c>
      <c r="T504" s="208">
        <f t="shared" si="259"/>
        <v>7</v>
      </c>
      <c r="U504" s="208">
        <f t="shared" si="259"/>
        <v>8</v>
      </c>
      <c r="V504" s="208">
        <f t="shared" si="259"/>
        <v>9</v>
      </c>
      <c r="W504" s="208">
        <f t="shared" si="259"/>
        <v>10</v>
      </c>
      <c r="X504" s="208">
        <f t="shared" si="259"/>
        <v>11</v>
      </c>
      <c r="Y504" s="208">
        <f t="shared" si="259"/>
        <v>12</v>
      </c>
      <c r="Z504" s="208">
        <f t="shared" si="259"/>
        <v>13</v>
      </c>
      <c r="AA504" s="208">
        <f t="shared" si="259"/>
        <v>14</v>
      </c>
      <c r="AB504" s="208">
        <f t="shared" si="259"/>
        <v>15</v>
      </c>
      <c r="AC504" s="208">
        <f t="shared" si="259"/>
        <v>16</v>
      </c>
      <c r="AD504" s="208">
        <f t="shared" si="259"/>
        <v>17</v>
      </c>
      <c r="AE504" s="208">
        <f t="shared" si="259"/>
        <v>18</v>
      </c>
      <c r="AF504" s="208">
        <f t="shared" si="259"/>
        <v>19</v>
      </c>
      <c r="AG504" s="208">
        <f t="shared" si="259"/>
        <v>0</v>
      </c>
      <c r="AH504" s="208">
        <f t="shared" si="259"/>
        <v>0</v>
      </c>
      <c r="AI504" s="208">
        <f t="shared" si="259"/>
        <v>0</v>
      </c>
      <c r="AJ504" s="208">
        <f t="shared" si="259"/>
        <v>0</v>
      </c>
      <c r="AK504" s="208">
        <f t="shared" si="259"/>
        <v>0</v>
      </c>
      <c r="AL504" s="208">
        <f t="shared" si="259"/>
        <v>0</v>
      </c>
      <c r="AM504" s="208">
        <f t="shared" si="259"/>
        <v>0</v>
      </c>
      <c r="AN504" s="208">
        <f t="shared" si="259"/>
        <v>0</v>
      </c>
      <c r="AO504" s="208">
        <f t="shared" si="259"/>
        <v>0</v>
      </c>
      <c r="AP504" s="208">
        <f t="shared" si="259"/>
        <v>0</v>
      </c>
    </row>
    <row r="505" spans="1:42">
      <c r="A505" s="119">
        <f>A504+1</f>
        <v>2</v>
      </c>
      <c r="C505" s="208">
        <f t="shared" ref="C505:R513" si="260">C371</f>
        <v>0</v>
      </c>
      <c r="D505" s="208">
        <f t="shared" si="259"/>
        <v>0</v>
      </c>
      <c r="E505" s="208">
        <f t="shared" si="259"/>
        <v>0</v>
      </c>
      <c r="F505" s="208">
        <f t="shared" si="259"/>
        <v>0</v>
      </c>
      <c r="G505" s="208">
        <f t="shared" si="259"/>
        <v>0</v>
      </c>
      <c r="H505" s="208">
        <f t="shared" si="259"/>
        <v>0</v>
      </c>
      <c r="I505" s="208">
        <f t="shared" si="259"/>
        <v>0</v>
      </c>
      <c r="J505" s="208">
        <f t="shared" si="259"/>
        <v>0</v>
      </c>
      <c r="K505" s="208">
        <f t="shared" si="259"/>
        <v>0</v>
      </c>
      <c r="L505" s="208">
        <f t="shared" si="259"/>
        <v>0</v>
      </c>
      <c r="M505" s="208">
        <f t="shared" si="259"/>
        <v>0</v>
      </c>
      <c r="N505" s="208">
        <f t="shared" si="259"/>
        <v>0</v>
      </c>
      <c r="O505" s="208">
        <f t="shared" si="259"/>
        <v>0</v>
      </c>
      <c r="P505" s="208">
        <f t="shared" si="259"/>
        <v>0</v>
      </c>
      <c r="Q505" s="208">
        <f t="shared" si="259"/>
        <v>0</v>
      </c>
      <c r="R505" s="208">
        <f t="shared" si="259"/>
        <v>0</v>
      </c>
      <c r="S505" s="208">
        <f t="shared" si="259"/>
        <v>0</v>
      </c>
      <c r="T505" s="208">
        <f t="shared" si="259"/>
        <v>0</v>
      </c>
      <c r="U505" s="208">
        <f t="shared" si="259"/>
        <v>0</v>
      </c>
      <c r="V505" s="208">
        <f t="shared" si="259"/>
        <v>0</v>
      </c>
      <c r="W505" s="208">
        <f t="shared" si="259"/>
        <v>0</v>
      </c>
      <c r="X505" s="208">
        <f t="shared" si="259"/>
        <v>0</v>
      </c>
      <c r="Y505" s="208">
        <f t="shared" si="259"/>
        <v>0</v>
      </c>
      <c r="Z505" s="208">
        <f t="shared" si="259"/>
        <v>1</v>
      </c>
      <c r="AA505" s="208">
        <f t="shared" si="259"/>
        <v>2</v>
      </c>
      <c r="AB505" s="208">
        <f t="shared" si="259"/>
        <v>3</v>
      </c>
      <c r="AC505" s="208">
        <f t="shared" si="259"/>
        <v>4</v>
      </c>
      <c r="AD505" s="208">
        <f t="shared" si="259"/>
        <v>5</v>
      </c>
      <c r="AE505" s="208">
        <f t="shared" si="259"/>
        <v>6</v>
      </c>
      <c r="AF505" s="208">
        <f t="shared" si="259"/>
        <v>7</v>
      </c>
      <c r="AG505" s="208">
        <f t="shared" si="259"/>
        <v>0</v>
      </c>
      <c r="AH505" s="208">
        <f t="shared" si="259"/>
        <v>0</v>
      </c>
      <c r="AI505" s="208">
        <f t="shared" si="259"/>
        <v>0</v>
      </c>
      <c r="AJ505" s="208">
        <f t="shared" si="259"/>
        <v>0</v>
      </c>
      <c r="AK505" s="208">
        <f t="shared" si="259"/>
        <v>0</v>
      </c>
      <c r="AL505" s="208">
        <f t="shared" si="259"/>
        <v>0</v>
      </c>
      <c r="AM505" s="208">
        <f t="shared" si="259"/>
        <v>0</v>
      </c>
      <c r="AN505" s="208">
        <f t="shared" si="259"/>
        <v>0</v>
      </c>
      <c r="AO505" s="208">
        <f t="shared" si="259"/>
        <v>0</v>
      </c>
      <c r="AP505" s="208">
        <f t="shared" si="259"/>
        <v>0</v>
      </c>
    </row>
    <row r="506" spans="1:42">
      <c r="A506" s="119">
        <f t="shared" ref="A506:A511" si="261">A505+1</f>
        <v>3</v>
      </c>
      <c r="C506" s="208">
        <f t="shared" si="260"/>
        <v>0</v>
      </c>
      <c r="D506" s="208">
        <f t="shared" si="259"/>
        <v>0</v>
      </c>
      <c r="E506" s="208">
        <f t="shared" si="259"/>
        <v>0</v>
      </c>
      <c r="F506" s="208">
        <f t="shared" si="259"/>
        <v>0</v>
      </c>
      <c r="G506" s="208">
        <f t="shared" si="259"/>
        <v>0</v>
      </c>
      <c r="H506" s="208">
        <f t="shared" si="259"/>
        <v>0</v>
      </c>
      <c r="I506" s="208">
        <f t="shared" si="259"/>
        <v>0</v>
      </c>
      <c r="J506" s="208">
        <f t="shared" si="259"/>
        <v>0</v>
      </c>
      <c r="K506" s="208">
        <f t="shared" si="259"/>
        <v>0</v>
      </c>
      <c r="L506" s="208">
        <f t="shared" si="259"/>
        <v>0</v>
      </c>
      <c r="M506" s="208">
        <f t="shared" si="259"/>
        <v>0</v>
      </c>
      <c r="N506" s="208">
        <f t="shared" si="259"/>
        <v>0</v>
      </c>
      <c r="O506" s="208">
        <f t="shared" si="259"/>
        <v>0</v>
      </c>
      <c r="P506" s="208">
        <f t="shared" si="259"/>
        <v>0</v>
      </c>
      <c r="Q506" s="208">
        <f t="shared" si="259"/>
        <v>0</v>
      </c>
      <c r="R506" s="208">
        <f t="shared" si="259"/>
        <v>0</v>
      </c>
      <c r="S506" s="208">
        <f t="shared" si="259"/>
        <v>0</v>
      </c>
      <c r="T506" s="208">
        <f t="shared" si="259"/>
        <v>0</v>
      </c>
      <c r="U506" s="208">
        <f t="shared" si="259"/>
        <v>0</v>
      </c>
      <c r="V506" s="208">
        <f t="shared" si="259"/>
        <v>0</v>
      </c>
      <c r="W506" s="208">
        <f t="shared" si="259"/>
        <v>0</v>
      </c>
      <c r="X506" s="208">
        <f t="shared" si="259"/>
        <v>0</v>
      </c>
      <c r="Y506" s="208">
        <f t="shared" si="259"/>
        <v>0</v>
      </c>
      <c r="Z506" s="208">
        <f t="shared" si="259"/>
        <v>0</v>
      </c>
      <c r="AA506" s="208">
        <f t="shared" si="259"/>
        <v>0</v>
      </c>
      <c r="AB506" s="208">
        <f t="shared" si="259"/>
        <v>0</v>
      </c>
      <c r="AC506" s="208">
        <f t="shared" si="259"/>
        <v>0</v>
      </c>
      <c r="AD506" s="208">
        <f t="shared" si="259"/>
        <v>0</v>
      </c>
      <c r="AE506" s="208">
        <f t="shared" si="259"/>
        <v>0</v>
      </c>
      <c r="AF506" s="208">
        <f t="shared" si="259"/>
        <v>0</v>
      </c>
      <c r="AG506" s="208">
        <f t="shared" si="259"/>
        <v>0</v>
      </c>
      <c r="AH506" s="208">
        <f t="shared" si="259"/>
        <v>0</v>
      </c>
      <c r="AI506" s="208">
        <f t="shared" si="259"/>
        <v>0</v>
      </c>
      <c r="AJ506" s="208">
        <f t="shared" si="259"/>
        <v>0</v>
      </c>
      <c r="AK506" s="208">
        <f t="shared" si="259"/>
        <v>0</v>
      </c>
      <c r="AL506" s="208">
        <f t="shared" si="259"/>
        <v>0</v>
      </c>
      <c r="AM506" s="208">
        <f t="shared" si="259"/>
        <v>0</v>
      </c>
      <c r="AN506" s="208">
        <f t="shared" si="259"/>
        <v>0</v>
      </c>
      <c r="AO506" s="208">
        <f t="shared" si="259"/>
        <v>0</v>
      </c>
      <c r="AP506" s="208">
        <f t="shared" si="259"/>
        <v>0</v>
      </c>
    </row>
    <row r="507" spans="1:42">
      <c r="A507" s="119">
        <f t="shared" si="261"/>
        <v>4</v>
      </c>
      <c r="C507" s="208">
        <f t="shared" si="260"/>
        <v>0</v>
      </c>
      <c r="D507" s="208">
        <f t="shared" si="259"/>
        <v>0</v>
      </c>
      <c r="E507" s="208">
        <f t="shared" si="259"/>
        <v>0</v>
      </c>
      <c r="F507" s="208">
        <f t="shared" si="259"/>
        <v>0</v>
      </c>
      <c r="G507" s="208">
        <f t="shared" si="259"/>
        <v>0</v>
      </c>
      <c r="H507" s="208">
        <f t="shared" si="259"/>
        <v>0</v>
      </c>
      <c r="I507" s="208">
        <f t="shared" si="259"/>
        <v>0</v>
      </c>
      <c r="J507" s="208">
        <f t="shared" si="259"/>
        <v>0</v>
      </c>
      <c r="K507" s="208">
        <f t="shared" si="259"/>
        <v>0</v>
      </c>
      <c r="L507" s="208">
        <f t="shared" si="259"/>
        <v>0</v>
      </c>
      <c r="M507" s="208">
        <f t="shared" si="259"/>
        <v>0</v>
      </c>
      <c r="N507" s="208">
        <f t="shared" si="259"/>
        <v>0</v>
      </c>
      <c r="O507" s="208">
        <f t="shared" si="259"/>
        <v>0</v>
      </c>
      <c r="P507" s="208">
        <f t="shared" si="259"/>
        <v>0</v>
      </c>
      <c r="Q507" s="208">
        <f t="shared" si="259"/>
        <v>0</v>
      </c>
      <c r="R507" s="208">
        <f t="shared" si="259"/>
        <v>0</v>
      </c>
      <c r="S507" s="208">
        <f t="shared" si="259"/>
        <v>0</v>
      </c>
      <c r="T507" s="208">
        <f t="shared" si="259"/>
        <v>0</v>
      </c>
      <c r="U507" s="208">
        <f t="shared" si="259"/>
        <v>0</v>
      </c>
      <c r="V507" s="208">
        <f t="shared" si="259"/>
        <v>0</v>
      </c>
      <c r="W507" s="208">
        <f t="shared" si="259"/>
        <v>0</v>
      </c>
      <c r="X507" s="208">
        <f t="shared" si="259"/>
        <v>0</v>
      </c>
      <c r="Y507" s="208">
        <f t="shared" si="259"/>
        <v>0</v>
      </c>
      <c r="Z507" s="208">
        <f t="shared" si="259"/>
        <v>0</v>
      </c>
      <c r="AA507" s="208">
        <f t="shared" si="259"/>
        <v>0</v>
      </c>
      <c r="AB507" s="208">
        <f t="shared" si="259"/>
        <v>0</v>
      </c>
      <c r="AC507" s="208">
        <f t="shared" si="259"/>
        <v>0</v>
      </c>
      <c r="AD507" s="208">
        <f t="shared" si="259"/>
        <v>0</v>
      </c>
      <c r="AE507" s="208">
        <f t="shared" si="259"/>
        <v>0</v>
      </c>
      <c r="AF507" s="208">
        <f t="shared" si="259"/>
        <v>0</v>
      </c>
      <c r="AG507" s="208">
        <f t="shared" si="259"/>
        <v>0</v>
      </c>
      <c r="AH507" s="208">
        <f t="shared" si="259"/>
        <v>0</v>
      </c>
      <c r="AI507" s="208">
        <f t="shared" si="259"/>
        <v>0</v>
      </c>
      <c r="AJ507" s="208">
        <f t="shared" si="259"/>
        <v>0</v>
      </c>
      <c r="AK507" s="208">
        <f t="shared" si="259"/>
        <v>0</v>
      </c>
      <c r="AL507" s="208">
        <f t="shared" si="259"/>
        <v>0</v>
      </c>
      <c r="AM507" s="208">
        <f t="shared" si="259"/>
        <v>0</v>
      </c>
      <c r="AN507" s="208">
        <f t="shared" si="259"/>
        <v>0</v>
      </c>
      <c r="AO507" s="208">
        <f t="shared" si="259"/>
        <v>0</v>
      </c>
      <c r="AP507" s="208">
        <f t="shared" si="259"/>
        <v>0</v>
      </c>
    </row>
    <row r="508" spans="1:42">
      <c r="A508" s="119">
        <f t="shared" si="261"/>
        <v>5</v>
      </c>
      <c r="C508" s="208">
        <f t="shared" si="260"/>
        <v>0</v>
      </c>
      <c r="D508" s="208">
        <f t="shared" si="259"/>
        <v>0</v>
      </c>
      <c r="E508" s="208">
        <f t="shared" si="259"/>
        <v>0</v>
      </c>
      <c r="F508" s="208">
        <f t="shared" si="259"/>
        <v>0</v>
      </c>
      <c r="G508" s="208">
        <f t="shared" si="259"/>
        <v>0</v>
      </c>
      <c r="H508" s="208">
        <f t="shared" si="259"/>
        <v>0</v>
      </c>
      <c r="I508" s="208">
        <f t="shared" si="259"/>
        <v>0</v>
      </c>
      <c r="J508" s="208">
        <f t="shared" si="259"/>
        <v>0</v>
      </c>
      <c r="K508" s="208">
        <f t="shared" si="259"/>
        <v>0</v>
      </c>
      <c r="L508" s="208">
        <f t="shared" si="259"/>
        <v>0</v>
      </c>
      <c r="M508" s="208">
        <f t="shared" si="259"/>
        <v>0</v>
      </c>
      <c r="N508" s="208">
        <f t="shared" si="259"/>
        <v>0</v>
      </c>
      <c r="O508" s="208">
        <f t="shared" si="259"/>
        <v>0</v>
      </c>
      <c r="P508" s="208">
        <f t="shared" si="259"/>
        <v>0</v>
      </c>
      <c r="Q508" s="208">
        <f t="shared" si="259"/>
        <v>0</v>
      </c>
      <c r="R508" s="208">
        <f t="shared" si="259"/>
        <v>0</v>
      </c>
      <c r="S508" s="208">
        <f t="shared" si="259"/>
        <v>0</v>
      </c>
      <c r="T508" s="208">
        <f t="shared" si="259"/>
        <v>0</v>
      </c>
      <c r="U508" s="208">
        <f t="shared" si="259"/>
        <v>0</v>
      </c>
      <c r="V508" s="208">
        <f t="shared" si="259"/>
        <v>0</v>
      </c>
      <c r="W508" s="208">
        <f t="shared" si="259"/>
        <v>0</v>
      </c>
      <c r="X508" s="208">
        <f t="shared" si="259"/>
        <v>0</v>
      </c>
      <c r="Y508" s="208">
        <f t="shared" si="259"/>
        <v>0</v>
      </c>
      <c r="Z508" s="208">
        <f t="shared" si="259"/>
        <v>0</v>
      </c>
      <c r="AA508" s="208">
        <f t="shared" si="259"/>
        <v>0</v>
      </c>
      <c r="AB508" s="208">
        <f t="shared" si="259"/>
        <v>0</v>
      </c>
      <c r="AC508" s="208">
        <f t="shared" si="259"/>
        <v>0</v>
      </c>
      <c r="AD508" s="208">
        <f t="shared" si="259"/>
        <v>0</v>
      </c>
      <c r="AE508" s="208">
        <f t="shared" si="259"/>
        <v>0</v>
      </c>
      <c r="AF508" s="208">
        <f t="shared" si="259"/>
        <v>0</v>
      </c>
      <c r="AG508" s="208">
        <f t="shared" si="259"/>
        <v>0</v>
      </c>
      <c r="AH508" s="208">
        <f t="shared" si="259"/>
        <v>0</v>
      </c>
      <c r="AI508" s="208">
        <f t="shared" si="259"/>
        <v>0</v>
      </c>
      <c r="AJ508" s="208">
        <f t="shared" si="259"/>
        <v>0</v>
      </c>
      <c r="AK508" s="208">
        <f t="shared" si="259"/>
        <v>0</v>
      </c>
      <c r="AL508" s="208">
        <f t="shared" si="259"/>
        <v>0</v>
      </c>
      <c r="AM508" s="208">
        <f t="shared" si="259"/>
        <v>0</v>
      </c>
      <c r="AN508" s="208">
        <f t="shared" si="259"/>
        <v>0</v>
      </c>
      <c r="AO508" s="208">
        <f t="shared" si="259"/>
        <v>0</v>
      </c>
      <c r="AP508" s="208">
        <f t="shared" si="259"/>
        <v>0</v>
      </c>
    </row>
    <row r="509" spans="1:42">
      <c r="A509" s="119">
        <f t="shared" si="261"/>
        <v>6</v>
      </c>
      <c r="C509" s="208">
        <f t="shared" si="260"/>
        <v>0</v>
      </c>
      <c r="D509" s="208">
        <f t="shared" si="259"/>
        <v>0</v>
      </c>
      <c r="E509" s="208">
        <f t="shared" si="259"/>
        <v>0</v>
      </c>
      <c r="F509" s="208">
        <f t="shared" si="259"/>
        <v>0</v>
      </c>
      <c r="G509" s="208">
        <f t="shared" si="259"/>
        <v>0</v>
      </c>
      <c r="H509" s="208">
        <f t="shared" si="259"/>
        <v>0</v>
      </c>
      <c r="I509" s="208">
        <f t="shared" si="259"/>
        <v>0</v>
      </c>
      <c r="J509" s="208">
        <f t="shared" si="259"/>
        <v>0</v>
      </c>
      <c r="K509" s="208">
        <f t="shared" si="259"/>
        <v>0</v>
      </c>
      <c r="L509" s="208">
        <f t="shared" si="259"/>
        <v>0</v>
      </c>
      <c r="M509" s="208">
        <f t="shared" si="259"/>
        <v>0</v>
      </c>
      <c r="N509" s="208">
        <f t="shared" si="259"/>
        <v>0</v>
      </c>
      <c r="O509" s="208">
        <f t="shared" si="259"/>
        <v>0</v>
      </c>
      <c r="P509" s="208">
        <f t="shared" si="259"/>
        <v>0</v>
      </c>
      <c r="Q509" s="208">
        <f t="shared" si="259"/>
        <v>0</v>
      </c>
      <c r="R509" s="208">
        <f t="shared" si="259"/>
        <v>0</v>
      </c>
      <c r="S509" s="208">
        <f t="shared" si="259"/>
        <v>0</v>
      </c>
      <c r="T509" s="208">
        <f t="shared" si="259"/>
        <v>0</v>
      </c>
      <c r="U509" s="208">
        <f t="shared" si="259"/>
        <v>0</v>
      </c>
      <c r="V509" s="208">
        <f t="shared" si="259"/>
        <v>0</v>
      </c>
      <c r="W509" s="208">
        <f t="shared" si="259"/>
        <v>0</v>
      </c>
      <c r="X509" s="208">
        <f t="shared" si="259"/>
        <v>0</v>
      </c>
      <c r="Y509" s="208">
        <f t="shared" si="259"/>
        <v>0</v>
      </c>
      <c r="Z509" s="208">
        <f t="shared" si="259"/>
        <v>0</v>
      </c>
      <c r="AA509" s="208">
        <f t="shared" si="259"/>
        <v>0</v>
      </c>
      <c r="AB509" s="208">
        <f t="shared" si="259"/>
        <v>0</v>
      </c>
      <c r="AC509" s="208">
        <f t="shared" si="259"/>
        <v>0</v>
      </c>
      <c r="AD509" s="208">
        <f t="shared" si="259"/>
        <v>0</v>
      </c>
      <c r="AE509" s="208">
        <f t="shared" si="259"/>
        <v>0</v>
      </c>
      <c r="AF509" s="208">
        <f t="shared" si="259"/>
        <v>0</v>
      </c>
      <c r="AG509" s="208">
        <f t="shared" si="259"/>
        <v>0</v>
      </c>
      <c r="AH509" s="208">
        <f t="shared" si="259"/>
        <v>0</v>
      </c>
      <c r="AI509" s="208">
        <f t="shared" si="259"/>
        <v>0</v>
      </c>
      <c r="AJ509" s="208">
        <f t="shared" si="259"/>
        <v>0</v>
      </c>
      <c r="AK509" s="208">
        <f t="shared" si="259"/>
        <v>0</v>
      </c>
      <c r="AL509" s="208">
        <f t="shared" si="259"/>
        <v>0</v>
      </c>
      <c r="AM509" s="208">
        <f t="shared" si="259"/>
        <v>0</v>
      </c>
      <c r="AN509" s="208">
        <f t="shared" si="259"/>
        <v>0</v>
      </c>
      <c r="AO509" s="208">
        <f t="shared" si="259"/>
        <v>0</v>
      </c>
      <c r="AP509" s="208">
        <f t="shared" si="259"/>
        <v>0</v>
      </c>
    </row>
    <row r="510" spans="1:42">
      <c r="A510" s="119">
        <f t="shared" si="261"/>
        <v>7</v>
      </c>
      <c r="C510" s="208">
        <f t="shared" si="260"/>
        <v>0</v>
      </c>
      <c r="D510" s="208">
        <f t="shared" si="259"/>
        <v>0</v>
      </c>
      <c r="E510" s="208">
        <f t="shared" si="259"/>
        <v>0</v>
      </c>
      <c r="F510" s="208">
        <f t="shared" si="259"/>
        <v>0</v>
      </c>
      <c r="G510" s="208">
        <f t="shared" si="259"/>
        <v>0</v>
      </c>
      <c r="H510" s="208">
        <f t="shared" si="259"/>
        <v>0</v>
      </c>
      <c r="I510" s="208">
        <f t="shared" si="259"/>
        <v>0</v>
      </c>
      <c r="J510" s="208">
        <f t="shared" si="259"/>
        <v>0</v>
      </c>
      <c r="K510" s="208">
        <f t="shared" si="259"/>
        <v>0</v>
      </c>
      <c r="L510" s="208">
        <f t="shared" si="259"/>
        <v>0</v>
      </c>
      <c r="M510" s="208">
        <f t="shared" si="259"/>
        <v>0</v>
      </c>
      <c r="N510" s="208">
        <f t="shared" si="259"/>
        <v>0</v>
      </c>
      <c r="O510" s="208">
        <f t="shared" si="259"/>
        <v>0</v>
      </c>
      <c r="P510" s="208">
        <f t="shared" si="259"/>
        <v>0</v>
      </c>
      <c r="Q510" s="208">
        <f t="shared" si="259"/>
        <v>0</v>
      </c>
      <c r="R510" s="208">
        <f t="shared" si="259"/>
        <v>0</v>
      </c>
      <c r="S510" s="208">
        <f t="shared" si="259"/>
        <v>0</v>
      </c>
      <c r="T510" s="208">
        <f t="shared" si="259"/>
        <v>0</v>
      </c>
      <c r="U510" s="208">
        <f t="shared" si="259"/>
        <v>0</v>
      </c>
      <c r="V510" s="208">
        <f t="shared" si="259"/>
        <v>0</v>
      </c>
      <c r="W510" s="208">
        <f t="shared" si="259"/>
        <v>0</v>
      </c>
      <c r="X510" s="208">
        <f t="shared" si="259"/>
        <v>0</v>
      </c>
      <c r="Y510" s="208">
        <f t="shared" ref="Y510:AP510" si="262">Y376</f>
        <v>0</v>
      </c>
      <c r="Z510" s="208">
        <f t="shared" si="262"/>
        <v>0</v>
      </c>
      <c r="AA510" s="208">
        <f t="shared" si="262"/>
        <v>0</v>
      </c>
      <c r="AB510" s="208">
        <f t="shared" si="262"/>
        <v>0</v>
      </c>
      <c r="AC510" s="208">
        <f t="shared" si="262"/>
        <v>0</v>
      </c>
      <c r="AD510" s="208">
        <f t="shared" si="262"/>
        <v>0</v>
      </c>
      <c r="AE510" s="208">
        <f t="shared" si="262"/>
        <v>0</v>
      </c>
      <c r="AF510" s="208">
        <f t="shared" si="262"/>
        <v>0</v>
      </c>
      <c r="AG510" s="208">
        <f t="shared" si="262"/>
        <v>0</v>
      </c>
      <c r="AH510" s="208">
        <f t="shared" si="262"/>
        <v>0</v>
      </c>
      <c r="AI510" s="208">
        <f t="shared" si="262"/>
        <v>0</v>
      </c>
      <c r="AJ510" s="208">
        <f t="shared" si="262"/>
        <v>0</v>
      </c>
      <c r="AK510" s="208">
        <f t="shared" si="262"/>
        <v>0</v>
      </c>
      <c r="AL510" s="208">
        <f t="shared" si="262"/>
        <v>0</v>
      </c>
      <c r="AM510" s="208">
        <f t="shared" si="262"/>
        <v>0</v>
      </c>
      <c r="AN510" s="208">
        <f t="shared" si="262"/>
        <v>0</v>
      </c>
      <c r="AO510" s="208">
        <f t="shared" si="262"/>
        <v>0</v>
      </c>
      <c r="AP510" s="208">
        <f t="shared" si="262"/>
        <v>0</v>
      </c>
    </row>
    <row r="511" spans="1:42">
      <c r="A511" s="119">
        <f t="shared" si="261"/>
        <v>8</v>
      </c>
      <c r="C511" s="208">
        <f t="shared" si="260"/>
        <v>0</v>
      </c>
      <c r="D511" s="208">
        <f t="shared" si="260"/>
        <v>0</v>
      </c>
      <c r="E511" s="208">
        <f t="shared" si="260"/>
        <v>0</v>
      </c>
      <c r="F511" s="208">
        <f t="shared" si="260"/>
        <v>0</v>
      </c>
      <c r="G511" s="208">
        <f t="shared" si="260"/>
        <v>0</v>
      </c>
      <c r="H511" s="208">
        <f t="shared" si="260"/>
        <v>0</v>
      </c>
      <c r="I511" s="208">
        <f t="shared" si="260"/>
        <v>0</v>
      </c>
      <c r="J511" s="208">
        <f t="shared" si="260"/>
        <v>0</v>
      </c>
      <c r="K511" s="208">
        <f t="shared" si="260"/>
        <v>0</v>
      </c>
      <c r="L511" s="208">
        <f t="shared" si="260"/>
        <v>0</v>
      </c>
      <c r="M511" s="208">
        <f t="shared" si="260"/>
        <v>0</v>
      </c>
      <c r="N511" s="208">
        <f t="shared" si="260"/>
        <v>0</v>
      </c>
      <c r="O511" s="208">
        <f t="shared" si="260"/>
        <v>0</v>
      </c>
      <c r="P511" s="208">
        <f t="shared" si="260"/>
        <v>0</v>
      </c>
      <c r="Q511" s="208">
        <f t="shared" si="260"/>
        <v>0</v>
      </c>
      <c r="R511" s="208">
        <f t="shared" si="260"/>
        <v>0</v>
      </c>
      <c r="S511" s="208">
        <f t="shared" ref="S511:AP513" si="263">S377</f>
        <v>0</v>
      </c>
      <c r="T511" s="208">
        <f t="shared" si="263"/>
        <v>0</v>
      </c>
      <c r="U511" s="208">
        <f t="shared" si="263"/>
        <v>0</v>
      </c>
      <c r="V511" s="208">
        <f t="shared" si="263"/>
        <v>0</v>
      </c>
      <c r="W511" s="208">
        <f t="shared" si="263"/>
        <v>0</v>
      </c>
      <c r="X511" s="208">
        <f t="shared" si="263"/>
        <v>0</v>
      </c>
      <c r="Y511" s="208">
        <f t="shared" si="263"/>
        <v>0</v>
      </c>
      <c r="Z511" s="208">
        <f t="shared" si="263"/>
        <v>0</v>
      </c>
      <c r="AA511" s="208">
        <f t="shared" si="263"/>
        <v>0</v>
      </c>
      <c r="AB511" s="208">
        <f t="shared" si="263"/>
        <v>0</v>
      </c>
      <c r="AC511" s="208">
        <f t="shared" si="263"/>
        <v>0</v>
      </c>
      <c r="AD511" s="208">
        <f t="shared" si="263"/>
        <v>0</v>
      </c>
      <c r="AE511" s="208">
        <f t="shared" si="263"/>
        <v>0</v>
      </c>
      <c r="AF511" s="208">
        <f t="shared" si="263"/>
        <v>0</v>
      </c>
      <c r="AG511" s="208">
        <f t="shared" si="263"/>
        <v>0</v>
      </c>
      <c r="AH511" s="208">
        <f t="shared" si="263"/>
        <v>0</v>
      </c>
      <c r="AI511" s="208">
        <f t="shared" si="263"/>
        <v>0</v>
      </c>
      <c r="AJ511" s="208">
        <f t="shared" si="263"/>
        <v>0</v>
      </c>
      <c r="AK511" s="208">
        <f t="shared" si="263"/>
        <v>0</v>
      </c>
      <c r="AL511" s="208">
        <f t="shared" si="263"/>
        <v>0</v>
      </c>
      <c r="AM511" s="208">
        <f t="shared" si="263"/>
        <v>0</v>
      </c>
      <c r="AN511" s="208">
        <f t="shared" si="263"/>
        <v>0</v>
      </c>
      <c r="AO511" s="208">
        <f t="shared" si="263"/>
        <v>0</v>
      </c>
      <c r="AP511" s="208">
        <f t="shared" si="263"/>
        <v>0</v>
      </c>
    </row>
    <row r="512" spans="1:42">
      <c r="A512" s="119">
        <f>A511+1</f>
        <v>9</v>
      </c>
      <c r="C512" s="208">
        <f t="shared" si="260"/>
        <v>0</v>
      </c>
      <c r="D512" s="208">
        <f t="shared" si="260"/>
        <v>0</v>
      </c>
      <c r="E512" s="208">
        <f t="shared" si="260"/>
        <v>0</v>
      </c>
      <c r="F512" s="208">
        <f t="shared" si="260"/>
        <v>0</v>
      </c>
      <c r="G512" s="208">
        <f t="shared" si="260"/>
        <v>0</v>
      </c>
      <c r="H512" s="208">
        <f t="shared" si="260"/>
        <v>0</v>
      </c>
      <c r="I512" s="208">
        <f t="shared" si="260"/>
        <v>0</v>
      </c>
      <c r="J512" s="208">
        <f t="shared" si="260"/>
        <v>0</v>
      </c>
      <c r="K512" s="208">
        <f t="shared" si="260"/>
        <v>0</v>
      </c>
      <c r="L512" s="208">
        <f t="shared" si="260"/>
        <v>0</v>
      </c>
      <c r="M512" s="208">
        <f t="shared" si="260"/>
        <v>0</v>
      </c>
      <c r="N512" s="208">
        <f t="shared" si="260"/>
        <v>0</v>
      </c>
      <c r="O512" s="208">
        <f t="shared" si="260"/>
        <v>0</v>
      </c>
      <c r="P512" s="208">
        <f t="shared" si="260"/>
        <v>0</v>
      </c>
      <c r="Q512" s="208">
        <f t="shared" si="260"/>
        <v>0</v>
      </c>
      <c r="R512" s="208">
        <f t="shared" si="260"/>
        <v>0</v>
      </c>
      <c r="S512" s="208">
        <f t="shared" si="263"/>
        <v>0</v>
      </c>
      <c r="T512" s="208">
        <f t="shared" si="263"/>
        <v>0</v>
      </c>
      <c r="U512" s="208">
        <f t="shared" si="263"/>
        <v>0</v>
      </c>
      <c r="V512" s="208">
        <f t="shared" si="263"/>
        <v>0</v>
      </c>
      <c r="W512" s="208">
        <f t="shared" si="263"/>
        <v>0</v>
      </c>
      <c r="X512" s="208">
        <f t="shared" si="263"/>
        <v>0</v>
      </c>
      <c r="Y512" s="208">
        <f t="shared" si="263"/>
        <v>0</v>
      </c>
      <c r="Z512" s="208">
        <f t="shared" si="263"/>
        <v>0</v>
      </c>
      <c r="AA512" s="208">
        <f t="shared" si="263"/>
        <v>0</v>
      </c>
      <c r="AB512" s="208">
        <f t="shared" si="263"/>
        <v>0</v>
      </c>
      <c r="AC512" s="208">
        <f t="shared" si="263"/>
        <v>0</v>
      </c>
      <c r="AD512" s="208">
        <f t="shared" si="263"/>
        <v>0</v>
      </c>
      <c r="AE512" s="208">
        <f t="shared" si="263"/>
        <v>0</v>
      </c>
      <c r="AF512" s="208">
        <f t="shared" si="263"/>
        <v>0</v>
      </c>
      <c r="AG512" s="208">
        <f t="shared" si="263"/>
        <v>0</v>
      </c>
      <c r="AH512" s="208">
        <f t="shared" si="263"/>
        <v>0</v>
      </c>
      <c r="AI512" s="208">
        <f t="shared" si="263"/>
        <v>0</v>
      </c>
      <c r="AJ512" s="208">
        <f t="shared" si="263"/>
        <v>0</v>
      </c>
      <c r="AK512" s="208">
        <f t="shared" si="263"/>
        <v>0</v>
      </c>
      <c r="AL512" s="208">
        <f t="shared" si="263"/>
        <v>0</v>
      </c>
      <c r="AM512" s="208">
        <f t="shared" si="263"/>
        <v>0</v>
      </c>
      <c r="AN512" s="208">
        <f t="shared" si="263"/>
        <v>0</v>
      </c>
      <c r="AO512" s="208">
        <f t="shared" si="263"/>
        <v>0</v>
      </c>
      <c r="AP512" s="208">
        <f t="shared" si="263"/>
        <v>0</v>
      </c>
    </row>
    <row r="513" spans="1:42">
      <c r="A513" s="119">
        <f t="shared" ref="A513" si="264">A512+1</f>
        <v>10</v>
      </c>
      <c r="C513" s="208">
        <f t="shared" si="260"/>
        <v>0</v>
      </c>
      <c r="D513" s="208">
        <f t="shared" si="260"/>
        <v>0</v>
      </c>
      <c r="E513" s="208">
        <f t="shared" si="260"/>
        <v>0</v>
      </c>
      <c r="F513" s="208">
        <f t="shared" si="260"/>
        <v>0</v>
      </c>
      <c r="G513" s="208">
        <f t="shared" si="260"/>
        <v>0</v>
      </c>
      <c r="H513" s="208">
        <f t="shared" si="260"/>
        <v>0</v>
      </c>
      <c r="I513" s="208">
        <f t="shared" si="260"/>
        <v>0</v>
      </c>
      <c r="J513" s="208">
        <f t="shared" si="260"/>
        <v>0</v>
      </c>
      <c r="K513" s="208">
        <f t="shared" si="260"/>
        <v>0</v>
      </c>
      <c r="L513" s="208">
        <f t="shared" si="260"/>
        <v>0</v>
      </c>
      <c r="M513" s="208">
        <f t="shared" si="260"/>
        <v>0</v>
      </c>
      <c r="N513" s="208">
        <f t="shared" si="260"/>
        <v>0</v>
      </c>
      <c r="O513" s="208">
        <f t="shared" si="260"/>
        <v>0</v>
      </c>
      <c r="P513" s="208">
        <f t="shared" si="260"/>
        <v>0</v>
      </c>
      <c r="Q513" s="208">
        <f t="shared" si="260"/>
        <v>0</v>
      </c>
      <c r="R513" s="208">
        <f t="shared" si="260"/>
        <v>0</v>
      </c>
      <c r="S513" s="208">
        <f t="shared" si="263"/>
        <v>0</v>
      </c>
      <c r="T513" s="208">
        <f t="shared" si="263"/>
        <v>0</v>
      </c>
      <c r="U513" s="208">
        <f t="shared" si="263"/>
        <v>0</v>
      </c>
      <c r="V513" s="208">
        <f t="shared" si="263"/>
        <v>0</v>
      </c>
      <c r="W513" s="208">
        <f t="shared" si="263"/>
        <v>0</v>
      </c>
      <c r="X513" s="208">
        <f t="shared" si="263"/>
        <v>0</v>
      </c>
      <c r="Y513" s="208">
        <f t="shared" si="263"/>
        <v>0</v>
      </c>
      <c r="Z513" s="208">
        <f t="shared" si="263"/>
        <v>0</v>
      </c>
      <c r="AA513" s="208">
        <f t="shared" si="263"/>
        <v>0</v>
      </c>
      <c r="AB513" s="208">
        <f t="shared" si="263"/>
        <v>0</v>
      </c>
      <c r="AC513" s="208">
        <f t="shared" si="263"/>
        <v>0</v>
      </c>
      <c r="AD513" s="208">
        <f t="shared" si="263"/>
        <v>0</v>
      </c>
      <c r="AE513" s="208">
        <f t="shared" si="263"/>
        <v>0</v>
      </c>
      <c r="AF513" s="208">
        <f t="shared" si="263"/>
        <v>0</v>
      </c>
      <c r="AG513" s="208">
        <f t="shared" si="263"/>
        <v>0</v>
      </c>
      <c r="AH513" s="208">
        <f t="shared" si="263"/>
        <v>0</v>
      </c>
      <c r="AI513" s="208">
        <f t="shared" si="263"/>
        <v>0</v>
      </c>
      <c r="AJ513" s="208">
        <f t="shared" si="263"/>
        <v>0</v>
      </c>
      <c r="AK513" s="208">
        <f t="shared" si="263"/>
        <v>0</v>
      </c>
      <c r="AL513" s="208">
        <f t="shared" si="263"/>
        <v>0</v>
      </c>
      <c r="AM513" s="208">
        <f t="shared" si="263"/>
        <v>0</v>
      </c>
      <c r="AN513" s="208">
        <f t="shared" si="263"/>
        <v>0</v>
      </c>
      <c r="AO513" s="208">
        <f t="shared" si="263"/>
        <v>0</v>
      </c>
      <c r="AP513" s="208">
        <f t="shared" si="263"/>
        <v>0</v>
      </c>
    </row>
    <row r="514" spans="1:42">
      <c r="A514" s="226"/>
      <c r="C514" s="208"/>
      <c r="D514" s="208"/>
      <c r="E514" s="208"/>
      <c r="F514" s="208"/>
      <c r="G514" s="208"/>
      <c r="H514" s="208"/>
      <c r="I514" s="208"/>
      <c r="J514" s="208"/>
      <c r="K514" s="208"/>
      <c r="L514" s="208"/>
      <c r="M514" s="208"/>
      <c r="N514" s="208"/>
      <c r="O514" s="208"/>
      <c r="P514" s="208"/>
      <c r="Q514" s="208"/>
      <c r="R514" s="208"/>
      <c r="S514" s="208"/>
      <c r="T514" s="208"/>
      <c r="U514" s="208"/>
      <c r="V514" s="208"/>
      <c r="W514" s="208"/>
      <c r="X514" s="208"/>
      <c r="Y514" s="208"/>
      <c r="Z514" s="208"/>
      <c r="AA514" s="208"/>
      <c r="AB514" s="208"/>
      <c r="AC514" s="208"/>
      <c r="AD514" s="208"/>
      <c r="AE514" s="208"/>
      <c r="AF514" s="208"/>
      <c r="AG514" s="208"/>
      <c r="AH514" s="208"/>
      <c r="AI514" s="208"/>
      <c r="AJ514" s="208"/>
      <c r="AK514" s="208"/>
      <c r="AL514" s="208"/>
      <c r="AM514" s="208"/>
      <c r="AN514" s="208"/>
      <c r="AO514" s="208"/>
      <c r="AP514" s="208"/>
    </row>
    <row r="515" spans="1:42">
      <c r="A515" s="226" t="s">
        <v>221</v>
      </c>
      <c r="C515" s="208"/>
      <c r="D515" s="208"/>
      <c r="E515" s="208"/>
      <c r="F515" s="208"/>
      <c r="G515" s="208"/>
      <c r="H515" s="208"/>
      <c r="I515" s="208"/>
      <c r="J515" s="208"/>
      <c r="K515" s="208"/>
      <c r="L515" s="208"/>
      <c r="M515" s="208"/>
      <c r="N515" s="208"/>
      <c r="O515" s="208"/>
      <c r="P515" s="208"/>
      <c r="Q515" s="208"/>
      <c r="R515" s="208"/>
      <c r="S515" s="208"/>
      <c r="T515" s="208"/>
      <c r="U515" s="208"/>
      <c r="V515" s="208"/>
      <c r="W515" s="208"/>
      <c r="X515" s="208"/>
      <c r="Y515" s="208"/>
      <c r="Z515" s="208"/>
      <c r="AA515" s="208"/>
      <c r="AB515" s="208"/>
      <c r="AC515" s="208"/>
      <c r="AD515" s="208"/>
      <c r="AE515" s="208"/>
      <c r="AF515" s="208"/>
      <c r="AG515" s="208"/>
      <c r="AH515" s="208"/>
      <c r="AI515" s="208"/>
      <c r="AJ515" s="208"/>
      <c r="AK515" s="208"/>
      <c r="AL515" s="208"/>
      <c r="AM515" s="208"/>
      <c r="AN515" s="208"/>
      <c r="AO515" s="208"/>
      <c r="AP515" s="208"/>
    </row>
    <row r="516" spans="1:42">
      <c r="A516" s="119">
        <v>1</v>
      </c>
      <c r="B516" s="218">
        <f t="shared" ref="B516:B525" si="265">SUM(C516:AP516)</f>
        <v>2944872.3435013141</v>
      </c>
      <c r="C516" s="250">
        <f t="shared" ref="C516:AP516" si="266">LOOKUP(C504,$B$499:$AP$499,$B$500:$AP$500)*$B725</f>
        <v>0</v>
      </c>
      <c r="D516" s="208">
        <f t="shared" si="266"/>
        <v>0</v>
      </c>
      <c r="E516" s="208">
        <f t="shared" si="266"/>
        <v>0</v>
      </c>
      <c r="F516" s="208">
        <f t="shared" si="266"/>
        <v>0</v>
      </c>
      <c r="G516" s="208">
        <f t="shared" si="266"/>
        <v>0</v>
      </c>
      <c r="H516" s="208">
        <f t="shared" si="266"/>
        <v>0</v>
      </c>
      <c r="I516" s="208">
        <f t="shared" si="266"/>
        <v>0</v>
      </c>
      <c r="J516" s="208">
        <f t="shared" si="266"/>
        <v>0</v>
      </c>
      <c r="K516" s="208">
        <f t="shared" si="266"/>
        <v>0</v>
      </c>
      <c r="L516" s="208">
        <f t="shared" si="266"/>
        <v>0</v>
      </c>
      <c r="M516" s="208">
        <f t="shared" si="266"/>
        <v>0</v>
      </c>
      <c r="N516" s="208">
        <f t="shared" si="266"/>
        <v>588974.46870026283</v>
      </c>
      <c r="O516" s="208">
        <f t="shared" si="266"/>
        <v>942359.14992042049</v>
      </c>
      <c r="P516" s="208">
        <f t="shared" si="266"/>
        <v>565415.48995225236</v>
      </c>
      <c r="Q516" s="208">
        <f t="shared" si="266"/>
        <v>339249.29397135135</v>
      </c>
      <c r="R516" s="208">
        <f t="shared" si="266"/>
        <v>339249.29397135135</v>
      </c>
      <c r="S516" s="208">
        <f t="shared" si="266"/>
        <v>169624.64698567567</v>
      </c>
      <c r="T516" s="208">
        <f t="shared" si="266"/>
        <v>0</v>
      </c>
      <c r="U516" s="208">
        <f t="shared" si="266"/>
        <v>0</v>
      </c>
      <c r="V516" s="208">
        <f t="shared" si="266"/>
        <v>0</v>
      </c>
      <c r="W516" s="208">
        <f t="shared" si="266"/>
        <v>0</v>
      </c>
      <c r="X516" s="208">
        <f t="shared" si="266"/>
        <v>0</v>
      </c>
      <c r="Y516" s="208">
        <f t="shared" si="266"/>
        <v>0</v>
      </c>
      <c r="Z516" s="208">
        <f t="shared" si="266"/>
        <v>0</v>
      </c>
      <c r="AA516" s="208">
        <f t="shared" si="266"/>
        <v>0</v>
      </c>
      <c r="AB516" s="208">
        <f t="shared" si="266"/>
        <v>0</v>
      </c>
      <c r="AC516" s="208">
        <f t="shared" si="266"/>
        <v>0</v>
      </c>
      <c r="AD516" s="208">
        <f t="shared" si="266"/>
        <v>0</v>
      </c>
      <c r="AE516" s="208">
        <f t="shared" si="266"/>
        <v>0</v>
      </c>
      <c r="AF516" s="208">
        <f t="shared" si="266"/>
        <v>0</v>
      </c>
      <c r="AG516" s="208">
        <f t="shared" si="266"/>
        <v>0</v>
      </c>
      <c r="AH516" s="208">
        <f t="shared" si="266"/>
        <v>0</v>
      </c>
      <c r="AI516" s="208">
        <f t="shared" si="266"/>
        <v>0</v>
      </c>
      <c r="AJ516" s="208">
        <f t="shared" si="266"/>
        <v>0</v>
      </c>
      <c r="AK516" s="208">
        <f t="shared" si="266"/>
        <v>0</v>
      </c>
      <c r="AL516" s="208">
        <f t="shared" si="266"/>
        <v>0</v>
      </c>
      <c r="AM516" s="208">
        <f t="shared" si="266"/>
        <v>0</v>
      </c>
      <c r="AN516" s="208">
        <f t="shared" si="266"/>
        <v>0</v>
      </c>
      <c r="AO516" s="208">
        <f t="shared" si="266"/>
        <v>0</v>
      </c>
      <c r="AP516" s="208">
        <f t="shared" si="266"/>
        <v>0</v>
      </c>
    </row>
    <row r="517" spans="1:42">
      <c r="A517" s="119">
        <f>A516+1</f>
        <v>2</v>
      </c>
      <c r="B517" s="218">
        <f t="shared" si="265"/>
        <v>3520942.886524681</v>
      </c>
      <c r="C517" s="250">
        <f t="shared" ref="C517:AP517" si="267">LOOKUP(C505,$B$499:$AP$499,$B$500:$AP$500)*$B726</f>
        <v>0</v>
      </c>
      <c r="D517" s="208">
        <f t="shared" si="267"/>
        <v>0</v>
      </c>
      <c r="E517" s="208">
        <f t="shared" si="267"/>
        <v>0</v>
      </c>
      <c r="F517" s="208">
        <f t="shared" si="267"/>
        <v>0</v>
      </c>
      <c r="G517" s="208">
        <f t="shared" si="267"/>
        <v>0</v>
      </c>
      <c r="H517" s="208">
        <f t="shared" si="267"/>
        <v>0</v>
      </c>
      <c r="I517" s="208">
        <f t="shared" si="267"/>
        <v>0</v>
      </c>
      <c r="J517" s="208">
        <f t="shared" si="267"/>
        <v>0</v>
      </c>
      <c r="K517" s="208">
        <f t="shared" si="267"/>
        <v>0</v>
      </c>
      <c r="L517" s="208">
        <f t="shared" si="267"/>
        <v>0</v>
      </c>
      <c r="M517" s="208">
        <f t="shared" si="267"/>
        <v>0</v>
      </c>
      <c r="N517" s="208">
        <f t="shared" si="267"/>
        <v>0</v>
      </c>
      <c r="O517" s="208">
        <f t="shared" si="267"/>
        <v>0</v>
      </c>
      <c r="P517" s="208">
        <f t="shared" si="267"/>
        <v>0</v>
      </c>
      <c r="Q517" s="208">
        <f t="shared" si="267"/>
        <v>0</v>
      </c>
      <c r="R517" s="208">
        <f t="shared" si="267"/>
        <v>0</v>
      </c>
      <c r="S517" s="208">
        <f t="shared" si="267"/>
        <v>0</v>
      </c>
      <c r="T517" s="208">
        <f t="shared" si="267"/>
        <v>0</v>
      </c>
      <c r="U517" s="208">
        <f t="shared" si="267"/>
        <v>0</v>
      </c>
      <c r="V517" s="208">
        <f t="shared" si="267"/>
        <v>0</v>
      </c>
      <c r="W517" s="208">
        <f t="shared" si="267"/>
        <v>0</v>
      </c>
      <c r="X517" s="208">
        <f t="shared" si="267"/>
        <v>0</v>
      </c>
      <c r="Y517" s="208">
        <f t="shared" si="267"/>
        <v>0</v>
      </c>
      <c r="Z517" s="208">
        <f t="shared" si="267"/>
        <v>704188.57730493625</v>
      </c>
      <c r="AA517" s="208">
        <f t="shared" si="267"/>
        <v>1126701.7236878979</v>
      </c>
      <c r="AB517" s="208">
        <f t="shared" si="267"/>
        <v>676021.03421273874</v>
      </c>
      <c r="AC517" s="208">
        <f t="shared" si="267"/>
        <v>405612.62052764324</v>
      </c>
      <c r="AD517" s="208">
        <f t="shared" si="267"/>
        <v>405612.62052764324</v>
      </c>
      <c r="AE517" s="208">
        <f t="shared" si="267"/>
        <v>202806.31026382162</v>
      </c>
      <c r="AF517" s="208">
        <f t="shared" si="267"/>
        <v>0</v>
      </c>
      <c r="AG517" s="208">
        <f t="shared" si="267"/>
        <v>0</v>
      </c>
      <c r="AH517" s="208">
        <f t="shared" si="267"/>
        <v>0</v>
      </c>
      <c r="AI517" s="208">
        <f t="shared" si="267"/>
        <v>0</v>
      </c>
      <c r="AJ517" s="208">
        <f t="shared" si="267"/>
        <v>0</v>
      </c>
      <c r="AK517" s="208">
        <f t="shared" si="267"/>
        <v>0</v>
      </c>
      <c r="AL517" s="208">
        <f t="shared" si="267"/>
        <v>0</v>
      </c>
      <c r="AM517" s="208">
        <f t="shared" si="267"/>
        <v>0</v>
      </c>
      <c r="AN517" s="208">
        <f t="shared" si="267"/>
        <v>0</v>
      </c>
      <c r="AO517" s="208">
        <f t="shared" si="267"/>
        <v>0</v>
      </c>
      <c r="AP517" s="208">
        <f t="shared" si="267"/>
        <v>0</v>
      </c>
    </row>
    <row r="518" spans="1:42">
      <c r="A518" s="119">
        <f t="shared" ref="A518:A523" si="268">A517+1</f>
        <v>3</v>
      </c>
      <c r="B518" s="218">
        <f t="shared" si="265"/>
        <v>0</v>
      </c>
      <c r="C518" s="250">
        <f t="shared" ref="C518:AP518" si="269">LOOKUP(C506,$B$499:$AP$499,$B$500:$AP$500)*$B727</f>
        <v>0</v>
      </c>
      <c r="D518" s="208">
        <f t="shared" si="269"/>
        <v>0</v>
      </c>
      <c r="E518" s="208">
        <f t="shared" si="269"/>
        <v>0</v>
      </c>
      <c r="F518" s="208">
        <f t="shared" si="269"/>
        <v>0</v>
      </c>
      <c r="G518" s="208">
        <f t="shared" si="269"/>
        <v>0</v>
      </c>
      <c r="H518" s="208">
        <f t="shared" si="269"/>
        <v>0</v>
      </c>
      <c r="I518" s="208">
        <f t="shared" si="269"/>
        <v>0</v>
      </c>
      <c r="J518" s="208">
        <f t="shared" si="269"/>
        <v>0</v>
      </c>
      <c r="K518" s="208">
        <f t="shared" si="269"/>
        <v>0</v>
      </c>
      <c r="L518" s="208">
        <f t="shared" si="269"/>
        <v>0</v>
      </c>
      <c r="M518" s="208">
        <f t="shared" si="269"/>
        <v>0</v>
      </c>
      <c r="N518" s="208">
        <f t="shared" si="269"/>
        <v>0</v>
      </c>
      <c r="O518" s="208">
        <f t="shared" si="269"/>
        <v>0</v>
      </c>
      <c r="P518" s="208">
        <f t="shared" si="269"/>
        <v>0</v>
      </c>
      <c r="Q518" s="208">
        <f t="shared" si="269"/>
        <v>0</v>
      </c>
      <c r="R518" s="208">
        <f t="shared" si="269"/>
        <v>0</v>
      </c>
      <c r="S518" s="208">
        <f t="shared" si="269"/>
        <v>0</v>
      </c>
      <c r="T518" s="208">
        <f t="shared" si="269"/>
        <v>0</v>
      </c>
      <c r="U518" s="208">
        <f t="shared" si="269"/>
        <v>0</v>
      </c>
      <c r="V518" s="208">
        <f t="shared" si="269"/>
        <v>0</v>
      </c>
      <c r="W518" s="208">
        <f t="shared" si="269"/>
        <v>0</v>
      </c>
      <c r="X518" s="208">
        <f t="shared" si="269"/>
        <v>0</v>
      </c>
      <c r="Y518" s="208">
        <f t="shared" si="269"/>
        <v>0</v>
      </c>
      <c r="Z518" s="208">
        <f t="shared" si="269"/>
        <v>0</v>
      </c>
      <c r="AA518" s="208">
        <f t="shared" si="269"/>
        <v>0</v>
      </c>
      <c r="AB518" s="208">
        <f t="shared" si="269"/>
        <v>0</v>
      </c>
      <c r="AC518" s="208">
        <f t="shared" si="269"/>
        <v>0</v>
      </c>
      <c r="AD518" s="208">
        <f t="shared" si="269"/>
        <v>0</v>
      </c>
      <c r="AE518" s="208">
        <f t="shared" si="269"/>
        <v>0</v>
      </c>
      <c r="AF518" s="208">
        <f t="shared" si="269"/>
        <v>0</v>
      </c>
      <c r="AG518" s="208">
        <f t="shared" si="269"/>
        <v>0</v>
      </c>
      <c r="AH518" s="208">
        <f t="shared" si="269"/>
        <v>0</v>
      </c>
      <c r="AI518" s="208">
        <f t="shared" si="269"/>
        <v>0</v>
      </c>
      <c r="AJ518" s="208">
        <f t="shared" si="269"/>
        <v>0</v>
      </c>
      <c r="AK518" s="208">
        <f t="shared" si="269"/>
        <v>0</v>
      </c>
      <c r="AL518" s="208">
        <f t="shared" si="269"/>
        <v>0</v>
      </c>
      <c r="AM518" s="208">
        <f t="shared" si="269"/>
        <v>0</v>
      </c>
      <c r="AN518" s="208">
        <f t="shared" si="269"/>
        <v>0</v>
      </c>
      <c r="AO518" s="208">
        <f t="shared" si="269"/>
        <v>0</v>
      </c>
      <c r="AP518" s="208">
        <f t="shared" si="269"/>
        <v>0</v>
      </c>
    </row>
    <row r="519" spans="1:42">
      <c r="A519" s="119">
        <f t="shared" si="268"/>
        <v>4</v>
      </c>
      <c r="B519" s="218">
        <f t="shared" si="265"/>
        <v>0</v>
      </c>
      <c r="C519" s="250">
        <f t="shared" ref="C519:AP519" si="270">LOOKUP(C507,$B$499:$AP$499,$B$500:$AP$500)*$B728</f>
        <v>0</v>
      </c>
      <c r="D519" s="208">
        <f t="shared" si="270"/>
        <v>0</v>
      </c>
      <c r="E519" s="208">
        <f t="shared" si="270"/>
        <v>0</v>
      </c>
      <c r="F519" s="208">
        <f t="shared" si="270"/>
        <v>0</v>
      </c>
      <c r="G519" s="208">
        <f t="shared" si="270"/>
        <v>0</v>
      </c>
      <c r="H519" s="208">
        <f t="shared" si="270"/>
        <v>0</v>
      </c>
      <c r="I519" s="208">
        <f t="shared" si="270"/>
        <v>0</v>
      </c>
      <c r="J519" s="208">
        <f t="shared" si="270"/>
        <v>0</v>
      </c>
      <c r="K519" s="208">
        <f t="shared" si="270"/>
        <v>0</v>
      </c>
      <c r="L519" s="208">
        <f t="shared" si="270"/>
        <v>0</v>
      </c>
      <c r="M519" s="208">
        <f t="shared" si="270"/>
        <v>0</v>
      </c>
      <c r="N519" s="208">
        <f t="shared" si="270"/>
        <v>0</v>
      </c>
      <c r="O519" s="208">
        <f t="shared" si="270"/>
        <v>0</v>
      </c>
      <c r="P519" s="208">
        <f t="shared" si="270"/>
        <v>0</v>
      </c>
      <c r="Q519" s="208">
        <f t="shared" si="270"/>
        <v>0</v>
      </c>
      <c r="R519" s="208">
        <f t="shared" si="270"/>
        <v>0</v>
      </c>
      <c r="S519" s="208">
        <f t="shared" si="270"/>
        <v>0</v>
      </c>
      <c r="T519" s="208">
        <f t="shared" si="270"/>
        <v>0</v>
      </c>
      <c r="U519" s="208">
        <f t="shared" si="270"/>
        <v>0</v>
      </c>
      <c r="V519" s="208">
        <f t="shared" si="270"/>
        <v>0</v>
      </c>
      <c r="W519" s="208">
        <f t="shared" si="270"/>
        <v>0</v>
      </c>
      <c r="X519" s="208">
        <f t="shared" si="270"/>
        <v>0</v>
      </c>
      <c r="Y519" s="208">
        <f t="shared" si="270"/>
        <v>0</v>
      </c>
      <c r="Z519" s="208">
        <f t="shared" si="270"/>
        <v>0</v>
      </c>
      <c r="AA519" s="208">
        <f t="shared" si="270"/>
        <v>0</v>
      </c>
      <c r="AB519" s="208">
        <f t="shared" si="270"/>
        <v>0</v>
      </c>
      <c r="AC519" s="208">
        <f t="shared" si="270"/>
        <v>0</v>
      </c>
      <c r="AD519" s="208">
        <f t="shared" si="270"/>
        <v>0</v>
      </c>
      <c r="AE519" s="208">
        <f t="shared" si="270"/>
        <v>0</v>
      </c>
      <c r="AF519" s="208">
        <f t="shared" si="270"/>
        <v>0</v>
      </c>
      <c r="AG519" s="208">
        <f t="shared" si="270"/>
        <v>0</v>
      </c>
      <c r="AH519" s="208">
        <f t="shared" si="270"/>
        <v>0</v>
      </c>
      <c r="AI519" s="208">
        <f t="shared" si="270"/>
        <v>0</v>
      </c>
      <c r="AJ519" s="208">
        <f t="shared" si="270"/>
        <v>0</v>
      </c>
      <c r="AK519" s="208">
        <f t="shared" si="270"/>
        <v>0</v>
      </c>
      <c r="AL519" s="208">
        <f t="shared" si="270"/>
        <v>0</v>
      </c>
      <c r="AM519" s="208">
        <f t="shared" si="270"/>
        <v>0</v>
      </c>
      <c r="AN519" s="208">
        <f t="shared" si="270"/>
        <v>0</v>
      </c>
      <c r="AO519" s="208">
        <f t="shared" si="270"/>
        <v>0</v>
      </c>
      <c r="AP519" s="208">
        <f t="shared" si="270"/>
        <v>0</v>
      </c>
    </row>
    <row r="520" spans="1:42">
      <c r="A520" s="119">
        <f t="shared" si="268"/>
        <v>5</v>
      </c>
      <c r="B520" s="218">
        <f t="shared" si="265"/>
        <v>0</v>
      </c>
      <c r="C520" s="250">
        <f t="shared" ref="C520:AP520" si="271">LOOKUP(C508,$B$499:$AP$499,$B$500:$AP$500)*$B729</f>
        <v>0</v>
      </c>
      <c r="D520" s="208">
        <f t="shared" si="271"/>
        <v>0</v>
      </c>
      <c r="E520" s="208">
        <f t="shared" si="271"/>
        <v>0</v>
      </c>
      <c r="F520" s="208">
        <f t="shared" si="271"/>
        <v>0</v>
      </c>
      <c r="G520" s="208">
        <f t="shared" si="271"/>
        <v>0</v>
      </c>
      <c r="H520" s="208">
        <f t="shared" si="271"/>
        <v>0</v>
      </c>
      <c r="I520" s="208">
        <f t="shared" si="271"/>
        <v>0</v>
      </c>
      <c r="J520" s="208">
        <f t="shared" si="271"/>
        <v>0</v>
      </c>
      <c r="K520" s="208">
        <f t="shared" si="271"/>
        <v>0</v>
      </c>
      <c r="L520" s="208">
        <f t="shared" si="271"/>
        <v>0</v>
      </c>
      <c r="M520" s="208">
        <f t="shared" si="271"/>
        <v>0</v>
      </c>
      <c r="N520" s="208">
        <f t="shared" si="271"/>
        <v>0</v>
      </c>
      <c r="O520" s="208">
        <f t="shared" si="271"/>
        <v>0</v>
      </c>
      <c r="P520" s="208">
        <f t="shared" si="271"/>
        <v>0</v>
      </c>
      <c r="Q520" s="208">
        <f t="shared" si="271"/>
        <v>0</v>
      </c>
      <c r="R520" s="208">
        <f t="shared" si="271"/>
        <v>0</v>
      </c>
      <c r="S520" s="208">
        <f t="shared" si="271"/>
        <v>0</v>
      </c>
      <c r="T520" s="208">
        <f t="shared" si="271"/>
        <v>0</v>
      </c>
      <c r="U520" s="208">
        <f t="shared" si="271"/>
        <v>0</v>
      </c>
      <c r="V520" s="208">
        <f t="shared" si="271"/>
        <v>0</v>
      </c>
      <c r="W520" s="208">
        <f t="shared" si="271"/>
        <v>0</v>
      </c>
      <c r="X520" s="208">
        <f t="shared" si="271"/>
        <v>0</v>
      </c>
      <c r="Y520" s="208">
        <f t="shared" si="271"/>
        <v>0</v>
      </c>
      <c r="Z520" s="208">
        <f t="shared" si="271"/>
        <v>0</v>
      </c>
      <c r="AA520" s="208">
        <f t="shared" si="271"/>
        <v>0</v>
      </c>
      <c r="AB520" s="208">
        <f t="shared" si="271"/>
        <v>0</v>
      </c>
      <c r="AC520" s="208">
        <f t="shared" si="271"/>
        <v>0</v>
      </c>
      <c r="AD520" s="208">
        <f t="shared" si="271"/>
        <v>0</v>
      </c>
      <c r="AE520" s="208">
        <f t="shared" si="271"/>
        <v>0</v>
      </c>
      <c r="AF520" s="208">
        <f t="shared" si="271"/>
        <v>0</v>
      </c>
      <c r="AG520" s="208">
        <f t="shared" si="271"/>
        <v>0</v>
      </c>
      <c r="AH520" s="208">
        <f t="shared" si="271"/>
        <v>0</v>
      </c>
      <c r="AI520" s="208">
        <f t="shared" si="271"/>
        <v>0</v>
      </c>
      <c r="AJ520" s="208">
        <f t="shared" si="271"/>
        <v>0</v>
      </c>
      <c r="AK520" s="208">
        <f t="shared" si="271"/>
        <v>0</v>
      </c>
      <c r="AL520" s="208">
        <f t="shared" si="271"/>
        <v>0</v>
      </c>
      <c r="AM520" s="208">
        <f t="shared" si="271"/>
        <v>0</v>
      </c>
      <c r="AN520" s="208">
        <f t="shared" si="271"/>
        <v>0</v>
      </c>
      <c r="AO520" s="208">
        <f t="shared" si="271"/>
        <v>0</v>
      </c>
      <c r="AP520" s="208">
        <f t="shared" si="271"/>
        <v>0</v>
      </c>
    </row>
    <row r="521" spans="1:42">
      <c r="A521" s="119">
        <f t="shared" si="268"/>
        <v>6</v>
      </c>
      <c r="B521" s="218">
        <f t="shared" si="265"/>
        <v>0</v>
      </c>
      <c r="C521" s="250">
        <f t="shared" ref="C521:AP521" si="272">LOOKUP(C509,$B$499:$AP$499,$B$500:$AP$500)*$B730</f>
        <v>0</v>
      </c>
      <c r="D521" s="208">
        <f t="shared" si="272"/>
        <v>0</v>
      </c>
      <c r="E521" s="208">
        <f t="shared" si="272"/>
        <v>0</v>
      </c>
      <c r="F521" s="208">
        <f t="shared" si="272"/>
        <v>0</v>
      </c>
      <c r="G521" s="208">
        <f t="shared" si="272"/>
        <v>0</v>
      </c>
      <c r="H521" s="208">
        <f t="shared" si="272"/>
        <v>0</v>
      </c>
      <c r="I521" s="208">
        <f t="shared" si="272"/>
        <v>0</v>
      </c>
      <c r="J521" s="208">
        <f t="shared" si="272"/>
        <v>0</v>
      </c>
      <c r="K521" s="208">
        <f t="shared" si="272"/>
        <v>0</v>
      </c>
      <c r="L521" s="208">
        <f t="shared" si="272"/>
        <v>0</v>
      </c>
      <c r="M521" s="208">
        <f t="shared" si="272"/>
        <v>0</v>
      </c>
      <c r="N521" s="208">
        <f t="shared" si="272"/>
        <v>0</v>
      </c>
      <c r="O521" s="208">
        <f t="shared" si="272"/>
        <v>0</v>
      </c>
      <c r="P521" s="208">
        <f t="shared" si="272"/>
        <v>0</v>
      </c>
      <c r="Q521" s="208">
        <f t="shared" si="272"/>
        <v>0</v>
      </c>
      <c r="R521" s="208">
        <f t="shared" si="272"/>
        <v>0</v>
      </c>
      <c r="S521" s="208">
        <f t="shared" si="272"/>
        <v>0</v>
      </c>
      <c r="T521" s="208">
        <f t="shared" si="272"/>
        <v>0</v>
      </c>
      <c r="U521" s="208">
        <f t="shared" si="272"/>
        <v>0</v>
      </c>
      <c r="V521" s="208">
        <f t="shared" si="272"/>
        <v>0</v>
      </c>
      <c r="W521" s="208">
        <f t="shared" si="272"/>
        <v>0</v>
      </c>
      <c r="X521" s="208">
        <f t="shared" si="272"/>
        <v>0</v>
      </c>
      <c r="Y521" s="208">
        <f t="shared" si="272"/>
        <v>0</v>
      </c>
      <c r="Z521" s="208">
        <f t="shared" si="272"/>
        <v>0</v>
      </c>
      <c r="AA521" s="208">
        <f t="shared" si="272"/>
        <v>0</v>
      </c>
      <c r="AB521" s="208">
        <f t="shared" si="272"/>
        <v>0</v>
      </c>
      <c r="AC521" s="208">
        <f t="shared" si="272"/>
        <v>0</v>
      </c>
      <c r="AD521" s="208">
        <f t="shared" si="272"/>
        <v>0</v>
      </c>
      <c r="AE521" s="208">
        <f t="shared" si="272"/>
        <v>0</v>
      </c>
      <c r="AF521" s="208">
        <f t="shared" si="272"/>
        <v>0</v>
      </c>
      <c r="AG521" s="208">
        <f t="shared" si="272"/>
        <v>0</v>
      </c>
      <c r="AH521" s="208">
        <f t="shared" si="272"/>
        <v>0</v>
      </c>
      <c r="AI521" s="208">
        <f t="shared" si="272"/>
        <v>0</v>
      </c>
      <c r="AJ521" s="208">
        <f t="shared" si="272"/>
        <v>0</v>
      </c>
      <c r="AK521" s="208">
        <f t="shared" si="272"/>
        <v>0</v>
      </c>
      <c r="AL521" s="208">
        <f t="shared" si="272"/>
        <v>0</v>
      </c>
      <c r="AM521" s="208">
        <f t="shared" si="272"/>
        <v>0</v>
      </c>
      <c r="AN521" s="208">
        <f t="shared" si="272"/>
        <v>0</v>
      </c>
      <c r="AO521" s="208">
        <f t="shared" si="272"/>
        <v>0</v>
      </c>
      <c r="AP521" s="208">
        <f t="shared" si="272"/>
        <v>0</v>
      </c>
    </row>
    <row r="522" spans="1:42">
      <c r="A522" s="119">
        <f t="shared" si="268"/>
        <v>7</v>
      </c>
      <c r="B522" s="218">
        <f t="shared" si="265"/>
        <v>0</v>
      </c>
      <c r="C522" s="250">
        <f t="shared" ref="C522:AP522" si="273">LOOKUP(C510,$B$499:$AP$499,$B$500:$AP$500)*$B731</f>
        <v>0</v>
      </c>
      <c r="D522" s="208">
        <f t="shared" si="273"/>
        <v>0</v>
      </c>
      <c r="E522" s="208">
        <f t="shared" si="273"/>
        <v>0</v>
      </c>
      <c r="F522" s="208">
        <f t="shared" si="273"/>
        <v>0</v>
      </c>
      <c r="G522" s="208">
        <f t="shared" si="273"/>
        <v>0</v>
      </c>
      <c r="H522" s="208">
        <f t="shared" si="273"/>
        <v>0</v>
      </c>
      <c r="I522" s="208">
        <f t="shared" si="273"/>
        <v>0</v>
      </c>
      <c r="J522" s="208">
        <f t="shared" si="273"/>
        <v>0</v>
      </c>
      <c r="K522" s="208">
        <f t="shared" si="273"/>
        <v>0</v>
      </c>
      <c r="L522" s="208">
        <f t="shared" si="273"/>
        <v>0</v>
      </c>
      <c r="M522" s="208">
        <f t="shared" si="273"/>
        <v>0</v>
      </c>
      <c r="N522" s="208">
        <f t="shared" si="273"/>
        <v>0</v>
      </c>
      <c r="O522" s="208">
        <f t="shared" si="273"/>
        <v>0</v>
      </c>
      <c r="P522" s="208">
        <f t="shared" si="273"/>
        <v>0</v>
      </c>
      <c r="Q522" s="208">
        <f t="shared" si="273"/>
        <v>0</v>
      </c>
      <c r="R522" s="208">
        <f t="shared" si="273"/>
        <v>0</v>
      </c>
      <c r="S522" s="208">
        <f t="shared" si="273"/>
        <v>0</v>
      </c>
      <c r="T522" s="208">
        <f t="shared" si="273"/>
        <v>0</v>
      </c>
      <c r="U522" s="208">
        <f t="shared" si="273"/>
        <v>0</v>
      </c>
      <c r="V522" s="208">
        <f t="shared" si="273"/>
        <v>0</v>
      </c>
      <c r="W522" s="208">
        <f t="shared" si="273"/>
        <v>0</v>
      </c>
      <c r="X522" s="208">
        <f t="shared" si="273"/>
        <v>0</v>
      </c>
      <c r="Y522" s="208">
        <f t="shared" si="273"/>
        <v>0</v>
      </c>
      <c r="Z522" s="208">
        <f t="shared" si="273"/>
        <v>0</v>
      </c>
      <c r="AA522" s="208">
        <f t="shared" si="273"/>
        <v>0</v>
      </c>
      <c r="AB522" s="208">
        <f t="shared" si="273"/>
        <v>0</v>
      </c>
      <c r="AC522" s="208">
        <f t="shared" si="273"/>
        <v>0</v>
      </c>
      <c r="AD522" s="208">
        <f t="shared" si="273"/>
        <v>0</v>
      </c>
      <c r="AE522" s="208">
        <f t="shared" si="273"/>
        <v>0</v>
      </c>
      <c r="AF522" s="208">
        <f t="shared" si="273"/>
        <v>0</v>
      </c>
      <c r="AG522" s="208">
        <f t="shared" si="273"/>
        <v>0</v>
      </c>
      <c r="AH522" s="208">
        <f t="shared" si="273"/>
        <v>0</v>
      </c>
      <c r="AI522" s="208">
        <f t="shared" si="273"/>
        <v>0</v>
      </c>
      <c r="AJ522" s="208">
        <f t="shared" si="273"/>
        <v>0</v>
      </c>
      <c r="AK522" s="208">
        <f t="shared" si="273"/>
        <v>0</v>
      </c>
      <c r="AL522" s="208">
        <f t="shared" si="273"/>
        <v>0</v>
      </c>
      <c r="AM522" s="208">
        <f t="shared" si="273"/>
        <v>0</v>
      </c>
      <c r="AN522" s="208">
        <f t="shared" si="273"/>
        <v>0</v>
      </c>
      <c r="AO522" s="208">
        <f t="shared" si="273"/>
        <v>0</v>
      </c>
      <c r="AP522" s="208">
        <f t="shared" si="273"/>
        <v>0</v>
      </c>
    </row>
    <row r="523" spans="1:42">
      <c r="A523" s="119">
        <f t="shared" si="268"/>
        <v>8</v>
      </c>
      <c r="B523" s="218">
        <f t="shared" si="265"/>
        <v>0</v>
      </c>
      <c r="C523" s="250">
        <f t="shared" ref="C523:AP523" si="274">LOOKUP(C511,$B$499:$AP$499,$B$500:$AP$500)*$B732</f>
        <v>0</v>
      </c>
      <c r="D523" s="208">
        <f t="shared" si="274"/>
        <v>0</v>
      </c>
      <c r="E523" s="208">
        <f t="shared" si="274"/>
        <v>0</v>
      </c>
      <c r="F523" s="208">
        <f t="shared" si="274"/>
        <v>0</v>
      </c>
      <c r="G523" s="208">
        <f t="shared" si="274"/>
        <v>0</v>
      </c>
      <c r="H523" s="208">
        <f t="shared" si="274"/>
        <v>0</v>
      </c>
      <c r="I523" s="208">
        <f t="shared" si="274"/>
        <v>0</v>
      </c>
      <c r="J523" s="208">
        <f t="shared" si="274"/>
        <v>0</v>
      </c>
      <c r="K523" s="208">
        <f t="shared" si="274"/>
        <v>0</v>
      </c>
      <c r="L523" s="208">
        <f t="shared" si="274"/>
        <v>0</v>
      </c>
      <c r="M523" s="208">
        <f t="shared" si="274"/>
        <v>0</v>
      </c>
      <c r="N523" s="208">
        <f t="shared" si="274"/>
        <v>0</v>
      </c>
      <c r="O523" s="208">
        <f t="shared" si="274"/>
        <v>0</v>
      </c>
      <c r="P523" s="208">
        <f t="shared" si="274"/>
        <v>0</v>
      </c>
      <c r="Q523" s="208">
        <f t="shared" si="274"/>
        <v>0</v>
      </c>
      <c r="R523" s="208">
        <f t="shared" si="274"/>
        <v>0</v>
      </c>
      <c r="S523" s="208">
        <f t="shared" si="274"/>
        <v>0</v>
      </c>
      <c r="T523" s="208">
        <f t="shared" si="274"/>
        <v>0</v>
      </c>
      <c r="U523" s="208">
        <f t="shared" si="274"/>
        <v>0</v>
      </c>
      <c r="V523" s="208">
        <f t="shared" si="274"/>
        <v>0</v>
      </c>
      <c r="W523" s="208">
        <f t="shared" si="274"/>
        <v>0</v>
      </c>
      <c r="X523" s="208">
        <f t="shared" si="274"/>
        <v>0</v>
      </c>
      <c r="Y523" s="208">
        <f t="shared" si="274"/>
        <v>0</v>
      </c>
      <c r="Z523" s="208">
        <f t="shared" si="274"/>
        <v>0</v>
      </c>
      <c r="AA523" s="208">
        <f t="shared" si="274"/>
        <v>0</v>
      </c>
      <c r="AB523" s="208">
        <f t="shared" si="274"/>
        <v>0</v>
      </c>
      <c r="AC523" s="208">
        <f t="shared" si="274"/>
        <v>0</v>
      </c>
      <c r="AD523" s="208">
        <f t="shared" si="274"/>
        <v>0</v>
      </c>
      <c r="AE523" s="208">
        <f t="shared" si="274"/>
        <v>0</v>
      </c>
      <c r="AF523" s="208">
        <f t="shared" si="274"/>
        <v>0</v>
      </c>
      <c r="AG523" s="208">
        <f t="shared" si="274"/>
        <v>0</v>
      </c>
      <c r="AH523" s="208">
        <f t="shared" si="274"/>
        <v>0</v>
      </c>
      <c r="AI523" s="208">
        <f t="shared" si="274"/>
        <v>0</v>
      </c>
      <c r="AJ523" s="208">
        <f t="shared" si="274"/>
        <v>0</v>
      </c>
      <c r="AK523" s="208">
        <f t="shared" si="274"/>
        <v>0</v>
      </c>
      <c r="AL523" s="208">
        <f t="shared" si="274"/>
        <v>0</v>
      </c>
      <c r="AM523" s="208">
        <f t="shared" si="274"/>
        <v>0</v>
      </c>
      <c r="AN523" s="208">
        <f t="shared" si="274"/>
        <v>0</v>
      </c>
      <c r="AO523" s="208">
        <f t="shared" si="274"/>
        <v>0</v>
      </c>
      <c r="AP523" s="208">
        <f t="shared" si="274"/>
        <v>0</v>
      </c>
    </row>
    <row r="524" spans="1:42">
      <c r="A524" s="119">
        <f>A523+1</f>
        <v>9</v>
      </c>
      <c r="B524" s="218">
        <f t="shared" si="265"/>
        <v>0</v>
      </c>
      <c r="C524" s="250">
        <f t="shared" ref="C524:AP524" si="275">LOOKUP(C512,$B$499:$AP$499,$B$500:$AP$500)*$B733</f>
        <v>0</v>
      </c>
      <c r="D524" s="208">
        <f t="shared" si="275"/>
        <v>0</v>
      </c>
      <c r="E524" s="208">
        <f t="shared" si="275"/>
        <v>0</v>
      </c>
      <c r="F524" s="208">
        <f t="shared" si="275"/>
        <v>0</v>
      </c>
      <c r="G524" s="208">
        <f t="shared" si="275"/>
        <v>0</v>
      </c>
      <c r="H524" s="208">
        <f t="shared" si="275"/>
        <v>0</v>
      </c>
      <c r="I524" s="208">
        <f t="shared" si="275"/>
        <v>0</v>
      </c>
      <c r="J524" s="208">
        <f t="shared" si="275"/>
        <v>0</v>
      </c>
      <c r="K524" s="208">
        <f t="shared" si="275"/>
        <v>0</v>
      </c>
      <c r="L524" s="208">
        <f t="shared" si="275"/>
        <v>0</v>
      </c>
      <c r="M524" s="208">
        <f t="shared" si="275"/>
        <v>0</v>
      </c>
      <c r="N524" s="208">
        <f t="shared" si="275"/>
        <v>0</v>
      </c>
      <c r="O524" s="208">
        <f t="shared" si="275"/>
        <v>0</v>
      </c>
      <c r="P524" s="208">
        <f t="shared" si="275"/>
        <v>0</v>
      </c>
      <c r="Q524" s="208">
        <f t="shared" si="275"/>
        <v>0</v>
      </c>
      <c r="R524" s="208">
        <f t="shared" si="275"/>
        <v>0</v>
      </c>
      <c r="S524" s="208">
        <f t="shared" si="275"/>
        <v>0</v>
      </c>
      <c r="T524" s="208">
        <f t="shared" si="275"/>
        <v>0</v>
      </c>
      <c r="U524" s="208">
        <f t="shared" si="275"/>
        <v>0</v>
      </c>
      <c r="V524" s="208">
        <f t="shared" si="275"/>
        <v>0</v>
      </c>
      <c r="W524" s="208">
        <f t="shared" si="275"/>
        <v>0</v>
      </c>
      <c r="X524" s="208">
        <f t="shared" si="275"/>
        <v>0</v>
      </c>
      <c r="Y524" s="208">
        <f t="shared" si="275"/>
        <v>0</v>
      </c>
      <c r="Z524" s="208">
        <f t="shared" si="275"/>
        <v>0</v>
      </c>
      <c r="AA524" s="208">
        <f t="shared" si="275"/>
        <v>0</v>
      </c>
      <c r="AB524" s="208">
        <f t="shared" si="275"/>
        <v>0</v>
      </c>
      <c r="AC524" s="208">
        <f t="shared" si="275"/>
        <v>0</v>
      </c>
      <c r="AD524" s="208">
        <f t="shared" si="275"/>
        <v>0</v>
      </c>
      <c r="AE524" s="208">
        <f t="shared" si="275"/>
        <v>0</v>
      </c>
      <c r="AF524" s="208">
        <f t="shared" si="275"/>
        <v>0</v>
      </c>
      <c r="AG524" s="208">
        <f t="shared" si="275"/>
        <v>0</v>
      </c>
      <c r="AH524" s="208">
        <f t="shared" si="275"/>
        <v>0</v>
      </c>
      <c r="AI524" s="208">
        <f t="shared" si="275"/>
        <v>0</v>
      </c>
      <c r="AJ524" s="208">
        <f t="shared" si="275"/>
        <v>0</v>
      </c>
      <c r="AK524" s="208">
        <f t="shared" si="275"/>
        <v>0</v>
      </c>
      <c r="AL524" s="208">
        <f t="shared" si="275"/>
        <v>0</v>
      </c>
      <c r="AM524" s="208">
        <f t="shared" si="275"/>
        <v>0</v>
      </c>
      <c r="AN524" s="208">
        <f t="shared" si="275"/>
        <v>0</v>
      </c>
      <c r="AO524" s="208">
        <f t="shared" si="275"/>
        <v>0</v>
      </c>
      <c r="AP524" s="208">
        <f t="shared" si="275"/>
        <v>0</v>
      </c>
    </row>
    <row r="525" spans="1:42">
      <c r="A525" s="119">
        <f t="shared" ref="A525" si="276">A524+1</f>
        <v>10</v>
      </c>
      <c r="B525" s="218">
        <f t="shared" si="265"/>
        <v>0</v>
      </c>
      <c r="C525" s="246">
        <f t="shared" ref="C525:AP525" si="277">LOOKUP(C513,$B$499:$AP$499,$B$500:$AP$500)*$B734</f>
        <v>0</v>
      </c>
      <c r="D525" s="209">
        <f t="shared" si="277"/>
        <v>0</v>
      </c>
      <c r="E525" s="209">
        <f t="shared" si="277"/>
        <v>0</v>
      </c>
      <c r="F525" s="209">
        <f t="shared" si="277"/>
        <v>0</v>
      </c>
      <c r="G525" s="209">
        <f t="shared" si="277"/>
        <v>0</v>
      </c>
      <c r="H525" s="209">
        <f t="shared" si="277"/>
        <v>0</v>
      </c>
      <c r="I525" s="209">
        <f t="shared" si="277"/>
        <v>0</v>
      </c>
      <c r="J525" s="209">
        <f t="shared" si="277"/>
        <v>0</v>
      </c>
      <c r="K525" s="209">
        <f t="shared" si="277"/>
        <v>0</v>
      </c>
      <c r="L525" s="209">
        <f t="shared" si="277"/>
        <v>0</v>
      </c>
      <c r="M525" s="209">
        <f t="shared" si="277"/>
        <v>0</v>
      </c>
      <c r="N525" s="209">
        <f t="shared" si="277"/>
        <v>0</v>
      </c>
      <c r="O525" s="209">
        <f t="shared" si="277"/>
        <v>0</v>
      </c>
      <c r="P525" s="209">
        <f t="shared" si="277"/>
        <v>0</v>
      </c>
      <c r="Q525" s="209">
        <f t="shared" si="277"/>
        <v>0</v>
      </c>
      <c r="R525" s="209">
        <f t="shared" si="277"/>
        <v>0</v>
      </c>
      <c r="S525" s="209">
        <f t="shared" si="277"/>
        <v>0</v>
      </c>
      <c r="T525" s="209">
        <f t="shared" si="277"/>
        <v>0</v>
      </c>
      <c r="U525" s="209">
        <f t="shared" si="277"/>
        <v>0</v>
      </c>
      <c r="V525" s="209">
        <f t="shared" si="277"/>
        <v>0</v>
      </c>
      <c r="W525" s="209">
        <f t="shared" si="277"/>
        <v>0</v>
      </c>
      <c r="X525" s="209">
        <f t="shared" si="277"/>
        <v>0</v>
      </c>
      <c r="Y525" s="209">
        <f t="shared" si="277"/>
        <v>0</v>
      </c>
      <c r="Z525" s="209">
        <f t="shared" si="277"/>
        <v>0</v>
      </c>
      <c r="AA525" s="209">
        <f t="shared" si="277"/>
        <v>0</v>
      </c>
      <c r="AB525" s="209">
        <f t="shared" si="277"/>
        <v>0</v>
      </c>
      <c r="AC525" s="209">
        <f t="shared" si="277"/>
        <v>0</v>
      </c>
      <c r="AD525" s="209">
        <f t="shared" si="277"/>
        <v>0</v>
      </c>
      <c r="AE525" s="209">
        <f t="shared" si="277"/>
        <v>0</v>
      </c>
      <c r="AF525" s="209">
        <f t="shared" si="277"/>
        <v>0</v>
      </c>
      <c r="AG525" s="209">
        <f t="shared" si="277"/>
        <v>0</v>
      </c>
      <c r="AH525" s="209">
        <f t="shared" si="277"/>
        <v>0</v>
      </c>
      <c r="AI525" s="209">
        <f t="shared" si="277"/>
        <v>0</v>
      </c>
      <c r="AJ525" s="209">
        <f t="shared" si="277"/>
        <v>0</v>
      </c>
      <c r="AK525" s="209">
        <f t="shared" si="277"/>
        <v>0</v>
      </c>
      <c r="AL525" s="209">
        <f t="shared" si="277"/>
        <v>0</v>
      </c>
      <c r="AM525" s="209">
        <f t="shared" si="277"/>
        <v>0</v>
      </c>
      <c r="AN525" s="209">
        <f t="shared" si="277"/>
        <v>0</v>
      </c>
      <c r="AO525" s="209">
        <f t="shared" si="277"/>
        <v>0</v>
      </c>
      <c r="AP525" s="209">
        <f t="shared" si="277"/>
        <v>0</v>
      </c>
    </row>
    <row r="526" spans="1:42" s="119" customFormat="1">
      <c r="A526" s="247" t="s">
        <v>53</v>
      </c>
      <c r="B526" s="146"/>
      <c r="C526" s="146">
        <f>SUM(C516:C525)</f>
        <v>0</v>
      </c>
      <c r="D526" s="146">
        <f t="shared" ref="D526:AP526" si="278">SUM(D516:D525)</f>
        <v>0</v>
      </c>
      <c r="E526" s="146">
        <f t="shared" si="278"/>
        <v>0</v>
      </c>
      <c r="F526" s="146">
        <f t="shared" si="278"/>
        <v>0</v>
      </c>
      <c r="G526" s="146">
        <f t="shared" si="278"/>
        <v>0</v>
      </c>
      <c r="H526" s="146">
        <f t="shared" si="278"/>
        <v>0</v>
      </c>
      <c r="I526" s="146">
        <f t="shared" si="278"/>
        <v>0</v>
      </c>
      <c r="J526" s="146">
        <f t="shared" si="278"/>
        <v>0</v>
      </c>
      <c r="K526" s="146">
        <f t="shared" si="278"/>
        <v>0</v>
      </c>
      <c r="L526" s="146">
        <f t="shared" si="278"/>
        <v>0</v>
      </c>
      <c r="M526" s="146">
        <f t="shared" si="278"/>
        <v>0</v>
      </c>
      <c r="N526" s="146">
        <f t="shared" si="278"/>
        <v>588974.46870026283</v>
      </c>
      <c r="O526" s="146">
        <f t="shared" si="278"/>
        <v>942359.14992042049</v>
      </c>
      <c r="P526" s="146">
        <f t="shared" si="278"/>
        <v>565415.48995225236</v>
      </c>
      <c r="Q526" s="146">
        <f t="shared" si="278"/>
        <v>339249.29397135135</v>
      </c>
      <c r="R526" s="146">
        <f t="shared" si="278"/>
        <v>339249.29397135135</v>
      </c>
      <c r="S526" s="146">
        <f t="shared" si="278"/>
        <v>169624.64698567567</v>
      </c>
      <c r="T526" s="146">
        <f t="shared" si="278"/>
        <v>0</v>
      </c>
      <c r="U526" s="146">
        <f t="shared" si="278"/>
        <v>0</v>
      </c>
      <c r="V526" s="146">
        <f t="shared" si="278"/>
        <v>0</v>
      </c>
      <c r="W526" s="146">
        <f t="shared" si="278"/>
        <v>0</v>
      </c>
      <c r="X526" s="146">
        <f t="shared" si="278"/>
        <v>0</v>
      </c>
      <c r="Y526" s="146">
        <f t="shared" si="278"/>
        <v>0</v>
      </c>
      <c r="Z526" s="146">
        <f t="shared" si="278"/>
        <v>704188.57730493625</v>
      </c>
      <c r="AA526" s="146">
        <f t="shared" si="278"/>
        <v>1126701.7236878979</v>
      </c>
      <c r="AB526" s="146">
        <f t="shared" si="278"/>
        <v>676021.03421273874</v>
      </c>
      <c r="AC526" s="146">
        <f t="shared" si="278"/>
        <v>405612.62052764324</v>
      </c>
      <c r="AD526" s="146">
        <f t="shared" si="278"/>
        <v>405612.62052764324</v>
      </c>
      <c r="AE526" s="146">
        <f t="shared" si="278"/>
        <v>202806.31026382162</v>
      </c>
      <c r="AF526" s="146">
        <f t="shared" si="278"/>
        <v>0</v>
      </c>
      <c r="AG526" s="146">
        <f t="shared" si="278"/>
        <v>0</v>
      </c>
      <c r="AH526" s="146">
        <f t="shared" si="278"/>
        <v>0</v>
      </c>
      <c r="AI526" s="146">
        <f t="shared" si="278"/>
        <v>0</v>
      </c>
      <c r="AJ526" s="146">
        <f t="shared" si="278"/>
        <v>0</v>
      </c>
      <c r="AK526" s="146">
        <f t="shared" si="278"/>
        <v>0</v>
      </c>
      <c r="AL526" s="146">
        <f t="shared" si="278"/>
        <v>0</v>
      </c>
      <c r="AM526" s="146">
        <f t="shared" si="278"/>
        <v>0</v>
      </c>
      <c r="AN526" s="146">
        <f t="shared" si="278"/>
        <v>0</v>
      </c>
      <c r="AO526" s="146">
        <f t="shared" si="278"/>
        <v>0</v>
      </c>
      <c r="AP526" s="146">
        <f t="shared" si="278"/>
        <v>0</v>
      </c>
    </row>
    <row r="527" spans="1:42" s="119" customFormat="1">
      <c r="A527" s="247"/>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146"/>
      <c r="AD527" s="146"/>
      <c r="AE527" s="146"/>
      <c r="AF527" s="146"/>
      <c r="AG527" s="146"/>
      <c r="AH527" s="146"/>
      <c r="AI527" s="146"/>
      <c r="AJ527" s="146"/>
      <c r="AK527" s="146"/>
      <c r="AL527" s="146"/>
      <c r="AM527" s="146"/>
      <c r="AN527" s="146"/>
      <c r="AO527" s="146"/>
      <c r="AP527" s="146"/>
    </row>
    <row r="528" spans="1:42">
      <c r="A528" s="219" t="s">
        <v>386</v>
      </c>
      <c r="C528" s="208"/>
      <c r="D528" s="208"/>
      <c r="E528" s="208"/>
      <c r="F528" s="208"/>
      <c r="G528" s="208"/>
      <c r="H528" s="208"/>
      <c r="I528" s="208"/>
      <c r="J528" s="208"/>
      <c r="K528" s="208"/>
      <c r="L528" s="208"/>
      <c r="M528" s="208"/>
      <c r="N528" s="208"/>
      <c r="O528" s="208"/>
      <c r="P528" s="208"/>
      <c r="Q528" s="208"/>
      <c r="R528" s="208"/>
      <c r="S528" s="208"/>
      <c r="T528" s="208"/>
      <c r="U528" s="208"/>
      <c r="V528" s="208"/>
      <c r="W528" s="208"/>
      <c r="X528" s="208"/>
      <c r="Y528" s="208"/>
      <c r="Z528" s="208"/>
      <c r="AA528" s="208"/>
      <c r="AB528" s="208"/>
      <c r="AC528" s="208"/>
      <c r="AD528" s="208"/>
      <c r="AE528" s="208"/>
      <c r="AF528" s="208"/>
      <c r="AG528" s="208"/>
      <c r="AH528" s="208"/>
      <c r="AI528" s="208"/>
      <c r="AJ528" s="208"/>
      <c r="AK528" s="208"/>
      <c r="AL528" s="208"/>
      <c r="AM528" s="208"/>
      <c r="AN528" s="208"/>
      <c r="AO528" s="208"/>
      <c r="AP528" s="208"/>
    </row>
    <row r="529" spans="1:42">
      <c r="A529" s="226" t="s">
        <v>217</v>
      </c>
      <c r="C529" s="208"/>
      <c r="D529" s="208"/>
      <c r="E529" s="208"/>
      <c r="F529" s="208"/>
      <c r="G529" s="208"/>
      <c r="H529" s="208"/>
      <c r="I529" s="208"/>
      <c r="J529" s="208"/>
      <c r="K529" s="208"/>
      <c r="L529" s="208"/>
      <c r="M529" s="208"/>
      <c r="N529" s="208"/>
      <c r="O529" s="208"/>
      <c r="P529" s="208"/>
      <c r="Q529" s="208"/>
      <c r="R529" s="208"/>
      <c r="S529" s="208"/>
      <c r="T529" s="208"/>
      <c r="U529" s="208"/>
      <c r="V529" s="208"/>
      <c r="W529" s="208"/>
      <c r="X529" s="208"/>
      <c r="Y529" s="208"/>
      <c r="Z529" s="208"/>
      <c r="AA529" s="208"/>
      <c r="AB529" s="208"/>
      <c r="AC529" s="208"/>
      <c r="AD529" s="208"/>
      <c r="AE529" s="208"/>
      <c r="AF529" s="208"/>
      <c r="AG529" s="208"/>
      <c r="AH529" s="208"/>
      <c r="AI529" s="208"/>
      <c r="AJ529" s="208"/>
      <c r="AK529" s="208"/>
      <c r="AL529" s="208"/>
      <c r="AM529" s="208"/>
      <c r="AN529" s="208"/>
      <c r="AO529" s="208"/>
      <c r="AP529" s="208"/>
    </row>
    <row r="530" spans="1:42">
      <c r="A530" s="119">
        <v>1</v>
      </c>
      <c r="C530" s="208">
        <f>C395</f>
        <v>0</v>
      </c>
      <c r="D530" s="208">
        <f t="shared" ref="D530:AP536" si="279">D395</f>
        <v>0</v>
      </c>
      <c r="E530" s="208">
        <f t="shared" si="279"/>
        <v>0</v>
      </c>
      <c r="F530" s="208">
        <f t="shared" si="279"/>
        <v>0</v>
      </c>
      <c r="G530" s="208">
        <f t="shared" si="279"/>
        <v>0</v>
      </c>
      <c r="H530" s="208">
        <f t="shared" si="279"/>
        <v>0</v>
      </c>
      <c r="I530" s="208">
        <f t="shared" si="279"/>
        <v>0</v>
      </c>
      <c r="J530" s="208">
        <f t="shared" si="279"/>
        <v>0</v>
      </c>
      <c r="K530" s="208">
        <f t="shared" si="279"/>
        <v>0</v>
      </c>
      <c r="L530" s="208">
        <f t="shared" si="279"/>
        <v>0</v>
      </c>
      <c r="M530" s="208">
        <f t="shared" si="279"/>
        <v>0</v>
      </c>
      <c r="N530" s="208">
        <f t="shared" si="279"/>
        <v>0</v>
      </c>
      <c r="O530" s="208">
        <f t="shared" si="279"/>
        <v>0</v>
      </c>
      <c r="P530" s="208">
        <f t="shared" si="279"/>
        <v>0</v>
      </c>
      <c r="Q530" s="208">
        <f t="shared" si="279"/>
        <v>1</v>
      </c>
      <c r="R530" s="208">
        <f t="shared" si="279"/>
        <v>2</v>
      </c>
      <c r="S530" s="208">
        <f t="shared" si="279"/>
        <v>3</v>
      </c>
      <c r="T530" s="208">
        <f t="shared" si="279"/>
        <v>4</v>
      </c>
      <c r="U530" s="208">
        <f t="shared" si="279"/>
        <v>5</v>
      </c>
      <c r="V530" s="208">
        <f t="shared" si="279"/>
        <v>6</v>
      </c>
      <c r="W530" s="208">
        <f t="shared" si="279"/>
        <v>7</v>
      </c>
      <c r="X530" s="208">
        <f t="shared" si="279"/>
        <v>8</v>
      </c>
      <c r="Y530" s="208">
        <f t="shared" si="279"/>
        <v>9</v>
      </c>
      <c r="Z530" s="208">
        <f t="shared" si="279"/>
        <v>10</v>
      </c>
      <c r="AA530" s="208">
        <f t="shared" si="279"/>
        <v>11</v>
      </c>
      <c r="AB530" s="208">
        <f t="shared" si="279"/>
        <v>12</v>
      </c>
      <c r="AC530" s="208">
        <f t="shared" si="279"/>
        <v>13</v>
      </c>
      <c r="AD530" s="208">
        <f t="shared" si="279"/>
        <v>14</v>
      </c>
      <c r="AE530" s="208">
        <f t="shared" si="279"/>
        <v>15</v>
      </c>
      <c r="AF530" s="208">
        <f t="shared" si="279"/>
        <v>16</v>
      </c>
      <c r="AG530" s="208">
        <f t="shared" si="279"/>
        <v>0</v>
      </c>
      <c r="AH530" s="208">
        <f t="shared" si="279"/>
        <v>0</v>
      </c>
      <c r="AI530" s="208">
        <f t="shared" si="279"/>
        <v>0</v>
      </c>
      <c r="AJ530" s="208">
        <f t="shared" si="279"/>
        <v>0</v>
      </c>
      <c r="AK530" s="208">
        <f t="shared" si="279"/>
        <v>0</v>
      </c>
      <c r="AL530" s="208">
        <f t="shared" si="279"/>
        <v>0</v>
      </c>
      <c r="AM530" s="208">
        <f t="shared" si="279"/>
        <v>0</v>
      </c>
      <c r="AN530" s="208">
        <f t="shared" si="279"/>
        <v>0</v>
      </c>
      <c r="AO530" s="208">
        <f t="shared" si="279"/>
        <v>0</v>
      </c>
      <c r="AP530" s="208">
        <f t="shared" si="279"/>
        <v>0</v>
      </c>
    </row>
    <row r="531" spans="1:42">
      <c r="A531" s="119">
        <f>A530+1</f>
        <v>2</v>
      </c>
      <c r="C531" s="208">
        <f t="shared" ref="C531:R539" si="280">C396</f>
        <v>0</v>
      </c>
      <c r="D531" s="208">
        <f t="shared" si="280"/>
        <v>0</v>
      </c>
      <c r="E531" s="208">
        <f t="shared" si="280"/>
        <v>0</v>
      </c>
      <c r="F531" s="208">
        <f t="shared" si="280"/>
        <v>0</v>
      </c>
      <c r="G531" s="208">
        <f t="shared" si="280"/>
        <v>0</v>
      </c>
      <c r="H531" s="208">
        <f t="shared" si="280"/>
        <v>0</v>
      </c>
      <c r="I531" s="208">
        <f t="shared" si="280"/>
        <v>0</v>
      </c>
      <c r="J531" s="208">
        <f t="shared" si="280"/>
        <v>0</v>
      </c>
      <c r="K531" s="208">
        <f t="shared" si="280"/>
        <v>0</v>
      </c>
      <c r="L531" s="208">
        <f t="shared" si="280"/>
        <v>0</v>
      </c>
      <c r="M531" s="208">
        <f t="shared" si="280"/>
        <v>0</v>
      </c>
      <c r="N531" s="208">
        <f t="shared" si="280"/>
        <v>0</v>
      </c>
      <c r="O531" s="208">
        <f t="shared" si="280"/>
        <v>0</v>
      </c>
      <c r="P531" s="208">
        <f t="shared" si="280"/>
        <v>0</v>
      </c>
      <c r="Q531" s="208">
        <f t="shared" si="280"/>
        <v>0</v>
      </c>
      <c r="R531" s="208">
        <f t="shared" si="280"/>
        <v>0</v>
      </c>
      <c r="S531" s="208">
        <f t="shared" si="279"/>
        <v>0</v>
      </c>
      <c r="T531" s="208">
        <f t="shared" si="279"/>
        <v>0</v>
      </c>
      <c r="U531" s="208">
        <f t="shared" si="279"/>
        <v>0</v>
      </c>
      <c r="V531" s="208">
        <f t="shared" si="279"/>
        <v>0</v>
      </c>
      <c r="W531" s="208">
        <f t="shared" si="279"/>
        <v>0</v>
      </c>
      <c r="X531" s="208">
        <f t="shared" si="279"/>
        <v>0</v>
      </c>
      <c r="Y531" s="208">
        <f t="shared" si="279"/>
        <v>0</v>
      </c>
      <c r="Z531" s="208">
        <f t="shared" si="279"/>
        <v>0</v>
      </c>
      <c r="AA531" s="208">
        <f t="shared" si="279"/>
        <v>0</v>
      </c>
      <c r="AB531" s="208">
        <f t="shared" si="279"/>
        <v>0</v>
      </c>
      <c r="AC531" s="208">
        <f t="shared" si="279"/>
        <v>0</v>
      </c>
      <c r="AD531" s="208">
        <f t="shared" si="279"/>
        <v>0</v>
      </c>
      <c r="AE531" s="208">
        <f t="shared" si="279"/>
        <v>0</v>
      </c>
      <c r="AF531" s="208">
        <f t="shared" si="279"/>
        <v>1</v>
      </c>
      <c r="AG531" s="208">
        <f t="shared" si="279"/>
        <v>0</v>
      </c>
      <c r="AH531" s="208">
        <f t="shared" si="279"/>
        <v>0</v>
      </c>
      <c r="AI531" s="208">
        <f t="shared" si="279"/>
        <v>0</v>
      </c>
      <c r="AJ531" s="208">
        <f t="shared" si="279"/>
        <v>0</v>
      </c>
      <c r="AK531" s="208">
        <f t="shared" si="279"/>
        <v>0</v>
      </c>
      <c r="AL531" s="208">
        <f t="shared" si="279"/>
        <v>0</v>
      </c>
      <c r="AM531" s="208">
        <f t="shared" si="279"/>
        <v>0</v>
      </c>
      <c r="AN531" s="208">
        <f t="shared" si="279"/>
        <v>0</v>
      </c>
      <c r="AO531" s="208">
        <f t="shared" si="279"/>
        <v>0</v>
      </c>
      <c r="AP531" s="208">
        <f t="shared" si="279"/>
        <v>0</v>
      </c>
    </row>
    <row r="532" spans="1:42">
      <c r="A532" s="119">
        <f t="shared" ref="A532:A537" si="281">A531+1</f>
        <v>3</v>
      </c>
      <c r="C532" s="208">
        <f t="shared" si="280"/>
        <v>0</v>
      </c>
      <c r="D532" s="208">
        <f t="shared" si="279"/>
        <v>0</v>
      </c>
      <c r="E532" s="208">
        <f t="shared" si="279"/>
        <v>0</v>
      </c>
      <c r="F532" s="208">
        <f t="shared" si="279"/>
        <v>0</v>
      </c>
      <c r="G532" s="208">
        <f t="shared" si="279"/>
        <v>0</v>
      </c>
      <c r="H532" s="208">
        <f t="shared" si="279"/>
        <v>0</v>
      </c>
      <c r="I532" s="208">
        <f t="shared" si="279"/>
        <v>0</v>
      </c>
      <c r="J532" s="208">
        <f t="shared" si="279"/>
        <v>0</v>
      </c>
      <c r="K532" s="208">
        <f t="shared" si="279"/>
        <v>0</v>
      </c>
      <c r="L532" s="208">
        <f t="shared" si="279"/>
        <v>0</v>
      </c>
      <c r="M532" s="208">
        <f t="shared" si="279"/>
        <v>0</v>
      </c>
      <c r="N532" s="208">
        <f t="shared" si="279"/>
        <v>0</v>
      </c>
      <c r="O532" s="208">
        <f t="shared" si="279"/>
        <v>0</v>
      </c>
      <c r="P532" s="208">
        <f t="shared" si="279"/>
        <v>0</v>
      </c>
      <c r="Q532" s="208">
        <f t="shared" si="279"/>
        <v>0</v>
      </c>
      <c r="R532" s="208">
        <f t="shared" si="279"/>
        <v>0</v>
      </c>
      <c r="S532" s="208">
        <f t="shared" si="279"/>
        <v>0</v>
      </c>
      <c r="T532" s="208">
        <f t="shared" si="279"/>
        <v>0</v>
      </c>
      <c r="U532" s="208">
        <f t="shared" si="279"/>
        <v>0</v>
      </c>
      <c r="V532" s="208">
        <f t="shared" si="279"/>
        <v>0</v>
      </c>
      <c r="W532" s="208">
        <f t="shared" si="279"/>
        <v>0</v>
      </c>
      <c r="X532" s="208">
        <f t="shared" si="279"/>
        <v>0</v>
      </c>
      <c r="Y532" s="208">
        <f t="shared" si="279"/>
        <v>0</v>
      </c>
      <c r="Z532" s="208">
        <f t="shared" si="279"/>
        <v>0</v>
      </c>
      <c r="AA532" s="208">
        <f t="shared" si="279"/>
        <v>0</v>
      </c>
      <c r="AB532" s="208">
        <f t="shared" si="279"/>
        <v>0</v>
      </c>
      <c r="AC532" s="208">
        <f t="shared" si="279"/>
        <v>0</v>
      </c>
      <c r="AD532" s="208">
        <f t="shared" si="279"/>
        <v>0</v>
      </c>
      <c r="AE532" s="208">
        <f t="shared" si="279"/>
        <v>0</v>
      </c>
      <c r="AF532" s="208">
        <f t="shared" si="279"/>
        <v>0</v>
      </c>
      <c r="AG532" s="208">
        <f t="shared" si="279"/>
        <v>0</v>
      </c>
      <c r="AH532" s="208">
        <f t="shared" si="279"/>
        <v>0</v>
      </c>
      <c r="AI532" s="208">
        <f t="shared" si="279"/>
        <v>0</v>
      </c>
      <c r="AJ532" s="208">
        <f t="shared" si="279"/>
        <v>0</v>
      </c>
      <c r="AK532" s="208">
        <f t="shared" si="279"/>
        <v>0</v>
      </c>
      <c r="AL532" s="208">
        <f t="shared" si="279"/>
        <v>0</v>
      </c>
      <c r="AM532" s="208">
        <f t="shared" si="279"/>
        <v>0</v>
      </c>
      <c r="AN532" s="208">
        <f t="shared" si="279"/>
        <v>0</v>
      </c>
      <c r="AO532" s="208">
        <f t="shared" si="279"/>
        <v>0</v>
      </c>
      <c r="AP532" s="208">
        <f t="shared" si="279"/>
        <v>0</v>
      </c>
    </row>
    <row r="533" spans="1:42">
      <c r="A533" s="119">
        <f t="shared" si="281"/>
        <v>4</v>
      </c>
      <c r="C533" s="208">
        <f t="shared" si="280"/>
        <v>0</v>
      </c>
      <c r="D533" s="208">
        <f t="shared" si="279"/>
        <v>0</v>
      </c>
      <c r="E533" s="208">
        <f t="shared" si="279"/>
        <v>0</v>
      </c>
      <c r="F533" s="208">
        <f t="shared" si="279"/>
        <v>0</v>
      </c>
      <c r="G533" s="208">
        <f t="shared" si="279"/>
        <v>0</v>
      </c>
      <c r="H533" s="208">
        <f t="shared" si="279"/>
        <v>0</v>
      </c>
      <c r="I533" s="208">
        <f t="shared" si="279"/>
        <v>0</v>
      </c>
      <c r="J533" s="208">
        <f t="shared" si="279"/>
        <v>0</v>
      </c>
      <c r="K533" s="208">
        <f t="shared" si="279"/>
        <v>0</v>
      </c>
      <c r="L533" s="208">
        <f t="shared" si="279"/>
        <v>0</v>
      </c>
      <c r="M533" s="208">
        <f t="shared" si="279"/>
        <v>0</v>
      </c>
      <c r="N533" s="208">
        <f t="shared" si="279"/>
        <v>0</v>
      </c>
      <c r="O533" s="208">
        <f t="shared" si="279"/>
        <v>0</v>
      </c>
      <c r="P533" s="208">
        <f t="shared" si="279"/>
        <v>0</v>
      </c>
      <c r="Q533" s="208">
        <f t="shared" si="279"/>
        <v>0</v>
      </c>
      <c r="R533" s="208">
        <f t="shared" si="279"/>
        <v>0</v>
      </c>
      <c r="S533" s="208">
        <f t="shared" si="279"/>
        <v>0</v>
      </c>
      <c r="T533" s="208">
        <f t="shared" si="279"/>
        <v>0</v>
      </c>
      <c r="U533" s="208">
        <f t="shared" si="279"/>
        <v>0</v>
      </c>
      <c r="V533" s="208">
        <f t="shared" si="279"/>
        <v>0</v>
      </c>
      <c r="W533" s="208">
        <f t="shared" si="279"/>
        <v>0</v>
      </c>
      <c r="X533" s="208">
        <f t="shared" si="279"/>
        <v>0</v>
      </c>
      <c r="Y533" s="208">
        <f t="shared" si="279"/>
        <v>0</v>
      </c>
      <c r="Z533" s="208">
        <f t="shared" si="279"/>
        <v>0</v>
      </c>
      <c r="AA533" s="208">
        <f t="shared" si="279"/>
        <v>0</v>
      </c>
      <c r="AB533" s="208">
        <f t="shared" si="279"/>
        <v>0</v>
      </c>
      <c r="AC533" s="208">
        <f t="shared" si="279"/>
        <v>0</v>
      </c>
      <c r="AD533" s="208">
        <f t="shared" si="279"/>
        <v>0</v>
      </c>
      <c r="AE533" s="208">
        <f t="shared" si="279"/>
        <v>0</v>
      </c>
      <c r="AF533" s="208">
        <f t="shared" si="279"/>
        <v>0</v>
      </c>
      <c r="AG533" s="208">
        <f t="shared" si="279"/>
        <v>0</v>
      </c>
      <c r="AH533" s="208">
        <f t="shared" si="279"/>
        <v>0</v>
      </c>
      <c r="AI533" s="208">
        <f t="shared" si="279"/>
        <v>0</v>
      </c>
      <c r="AJ533" s="208">
        <f t="shared" si="279"/>
        <v>0</v>
      </c>
      <c r="AK533" s="208">
        <f t="shared" si="279"/>
        <v>0</v>
      </c>
      <c r="AL533" s="208">
        <f t="shared" si="279"/>
        <v>0</v>
      </c>
      <c r="AM533" s="208">
        <f t="shared" si="279"/>
        <v>0</v>
      </c>
      <c r="AN533" s="208">
        <f t="shared" si="279"/>
        <v>0</v>
      </c>
      <c r="AO533" s="208">
        <f t="shared" si="279"/>
        <v>0</v>
      </c>
      <c r="AP533" s="208">
        <f t="shared" si="279"/>
        <v>0</v>
      </c>
    </row>
    <row r="534" spans="1:42">
      <c r="A534" s="119">
        <f t="shared" si="281"/>
        <v>5</v>
      </c>
      <c r="C534" s="208">
        <f t="shared" si="280"/>
        <v>0</v>
      </c>
      <c r="D534" s="208">
        <f t="shared" si="279"/>
        <v>0</v>
      </c>
      <c r="E534" s="208">
        <f t="shared" si="279"/>
        <v>0</v>
      </c>
      <c r="F534" s="208">
        <f t="shared" si="279"/>
        <v>0</v>
      </c>
      <c r="G534" s="208">
        <f t="shared" si="279"/>
        <v>0</v>
      </c>
      <c r="H534" s="208">
        <f t="shared" si="279"/>
        <v>0</v>
      </c>
      <c r="I534" s="208">
        <f t="shared" si="279"/>
        <v>0</v>
      </c>
      <c r="J534" s="208">
        <f t="shared" si="279"/>
        <v>0</v>
      </c>
      <c r="K534" s="208">
        <f t="shared" si="279"/>
        <v>0</v>
      </c>
      <c r="L534" s="208">
        <f t="shared" si="279"/>
        <v>0</v>
      </c>
      <c r="M534" s="208">
        <f t="shared" si="279"/>
        <v>0</v>
      </c>
      <c r="N534" s="208">
        <f t="shared" si="279"/>
        <v>0</v>
      </c>
      <c r="O534" s="208">
        <f t="shared" si="279"/>
        <v>0</v>
      </c>
      <c r="P534" s="208">
        <f t="shared" si="279"/>
        <v>0</v>
      </c>
      <c r="Q534" s="208">
        <f t="shared" si="279"/>
        <v>0</v>
      </c>
      <c r="R534" s="208">
        <f t="shared" si="279"/>
        <v>0</v>
      </c>
      <c r="S534" s="208">
        <f t="shared" si="279"/>
        <v>0</v>
      </c>
      <c r="T534" s="208">
        <f t="shared" si="279"/>
        <v>0</v>
      </c>
      <c r="U534" s="208">
        <f t="shared" si="279"/>
        <v>0</v>
      </c>
      <c r="V534" s="208">
        <f t="shared" si="279"/>
        <v>0</v>
      </c>
      <c r="W534" s="208">
        <f t="shared" si="279"/>
        <v>0</v>
      </c>
      <c r="X534" s="208">
        <f t="shared" si="279"/>
        <v>0</v>
      </c>
      <c r="Y534" s="208">
        <f t="shared" si="279"/>
        <v>0</v>
      </c>
      <c r="Z534" s="208">
        <f t="shared" si="279"/>
        <v>0</v>
      </c>
      <c r="AA534" s="208">
        <f t="shared" si="279"/>
        <v>0</v>
      </c>
      <c r="AB534" s="208">
        <f t="shared" si="279"/>
        <v>0</v>
      </c>
      <c r="AC534" s="208">
        <f t="shared" si="279"/>
        <v>0</v>
      </c>
      <c r="AD534" s="208">
        <f t="shared" si="279"/>
        <v>0</v>
      </c>
      <c r="AE534" s="208">
        <f t="shared" si="279"/>
        <v>0</v>
      </c>
      <c r="AF534" s="208">
        <f t="shared" si="279"/>
        <v>0</v>
      </c>
      <c r="AG534" s="208">
        <f t="shared" si="279"/>
        <v>0</v>
      </c>
      <c r="AH534" s="208">
        <f t="shared" si="279"/>
        <v>0</v>
      </c>
      <c r="AI534" s="208">
        <f t="shared" si="279"/>
        <v>0</v>
      </c>
      <c r="AJ534" s="208">
        <f t="shared" si="279"/>
        <v>0</v>
      </c>
      <c r="AK534" s="208">
        <f t="shared" si="279"/>
        <v>0</v>
      </c>
      <c r="AL534" s="208">
        <f t="shared" si="279"/>
        <v>0</v>
      </c>
      <c r="AM534" s="208">
        <f t="shared" si="279"/>
        <v>0</v>
      </c>
      <c r="AN534" s="208">
        <f t="shared" si="279"/>
        <v>0</v>
      </c>
      <c r="AO534" s="208">
        <f t="shared" si="279"/>
        <v>0</v>
      </c>
      <c r="AP534" s="208">
        <f t="shared" si="279"/>
        <v>0</v>
      </c>
    </row>
    <row r="535" spans="1:42">
      <c r="A535" s="119">
        <f t="shared" si="281"/>
        <v>6</v>
      </c>
      <c r="C535" s="208">
        <f t="shared" si="280"/>
        <v>0</v>
      </c>
      <c r="D535" s="208">
        <f t="shared" si="279"/>
        <v>0</v>
      </c>
      <c r="E535" s="208">
        <f t="shared" si="279"/>
        <v>0</v>
      </c>
      <c r="F535" s="208">
        <f t="shared" si="279"/>
        <v>0</v>
      </c>
      <c r="G535" s="208">
        <f t="shared" si="279"/>
        <v>0</v>
      </c>
      <c r="H535" s="208">
        <f t="shared" si="279"/>
        <v>0</v>
      </c>
      <c r="I535" s="208">
        <f t="shared" si="279"/>
        <v>0</v>
      </c>
      <c r="J535" s="208">
        <f t="shared" si="279"/>
        <v>0</v>
      </c>
      <c r="K535" s="208">
        <f t="shared" si="279"/>
        <v>0</v>
      </c>
      <c r="L535" s="208">
        <f t="shared" si="279"/>
        <v>0</v>
      </c>
      <c r="M535" s="208">
        <f t="shared" si="279"/>
        <v>0</v>
      </c>
      <c r="N535" s="208">
        <f t="shared" si="279"/>
        <v>0</v>
      </c>
      <c r="O535" s="208">
        <f t="shared" si="279"/>
        <v>0</v>
      </c>
      <c r="P535" s="208">
        <f t="shared" si="279"/>
        <v>0</v>
      </c>
      <c r="Q535" s="208">
        <f t="shared" si="279"/>
        <v>0</v>
      </c>
      <c r="R535" s="208">
        <f t="shared" si="279"/>
        <v>0</v>
      </c>
      <c r="S535" s="208">
        <f t="shared" si="279"/>
        <v>0</v>
      </c>
      <c r="T535" s="208">
        <f t="shared" si="279"/>
        <v>0</v>
      </c>
      <c r="U535" s="208">
        <f t="shared" si="279"/>
        <v>0</v>
      </c>
      <c r="V535" s="208">
        <f t="shared" si="279"/>
        <v>0</v>
      </c>
      <c r="W535" s="208">
        <f t="shared" si="279"/>
        <v>0</v>
      </c>
      <c r="X535" s="208">
        <f t="shared" si="279"/>
        <v>0</v>
      </c>
      <c r="Y535" s="208">
        <f t="shared" si="279"/>
        <v>0</v>
      </c>
      <c r="Z535" s="208">
        <f t="shared" si="279"/>
        <v>0</v>
      </c>
      <c r="AA535" s="208">
        <f t="shared" si="279"/>
        <v>0</v>
      </c>
      <c r="AB535" s="208">
        <f t="shared" si="279"/>
        <v>0</v>
      </c>
      <c r="AC535" s="208">
        <f t="shared" si="279"/>
        <v>0</v>
      </c>
      <c r="AD535" s="208">
        <f t="shared" si="279"/>
        <v>0</v>
      </c>
      <c r="AE535" s="208">
        <f t="shared" si="279"/>
        <v>0</v>
      </c>
      <c r="AF535" s="208">
        <f t="shared" si="279"/>
        <v>0</v>
      </c>
      <c r="AG535" s="208">
        <f t="shared" si="279"/>
        <v>0</v>
      </c>
      <c r="AH535" s="208">
        <f t="shared" si="279"/>
        <v>0</v>
      </c>
      <c r="AI535" s="208">
        <f t="shared" si="279"/>
        <v>0</v>
      </c>
      <c r="AJ535" s="208">
        <f t="shared" si="279"/>
        <v>0</v>
      </c>
      <c r="AK535" s="208">
        <f t="shared" si="279"/>
        <v>0</v>
      </c>
      <c r="AL535" s="208">
        <f t="shared" si="279"/>
        <v>0</v>
      </c>
      <c r="AM535" s="208">
        <f t="shared" si="279"/>
        <v>0</v>
      </c>
      <c r="AN535" s="208">
        <f t="shared" si="279"/>
        <v>0</v>
      </c>
      <c r="AO535" s="208">
        <f t="shared" si="279"/>
        <v>0</v>
      </c>
      <c r="AP535" s="208">
        <f t="shared" si="279"/>
        <v>0</v>
      </c>
    </row>
    <row r="536" spans="1:42">
      <c r="A536" s="119">
        <f t="shared" si="281"/>
        <v>7</v>
      </c>
      <c r="C536" s="208">
        <f t="shared" si="280"/>
        <v>0</v>
      </c>
      <c r="D536" s="208">
        <f t="shared" si="279"/>
        <v>0</v>
      </c>
      <c r="E536" s="208">
        <f t="shared" si="279"/>
        <v>0</v>
      </c>
      <c r="F536" s="208">
        <f t="shared" si="279"/>
        <v>0</v>
      </c>
      <c r="G536" s="208">
        <f t="shared" si="279"/>
        <v>0</v>
      </c>
      <c r="H536" s="208">
        <f t="shared" si="279"/>
        <v>0</v>
      </c>
      <c r="I536" s="208">
        <f t="shared" si="279"/>
        <v>0</v>
      </c>
      <c r="J536" s="208">
        <f t="shared" si="279"/>
        <v>0</v>
      </c>
      <c r="K536" s="208">
        <f t="shared" si="279"/>
        <v>0</v>
      </c>
      <c r="L536" s="208">
        <f t="shared" si="279"/>
        <v>0</v>
      </c>
      <c r="M536" s="208">
        <f t="shared" si="279"/>
        <v>0</v>
      </c>
      <c r="N536" s="208">
        <f t="shared" si="279"/>
        <v>0</v>
      </c>
      <c r="O536" s="208">
        <f t="shared" si="279"/>
        <v>0</v>
      </c>
      <c r="P536" s="208">
        <f t="shared" si="279"/>
        <v>0</v>
      </c>
      <c r="Q536" s="208">
        <f t="shared" si="279"/>
        <v>0</v>
      </c>
      <c r="R536" s="208">
        <f t="shared" si="279"/>
        <v>0</v>
      </c>
      <c r="S536" s="208">
        <f t="shared" si="279"/>
        <v>0</v>
      </c>
      <c r="T536" s="208">
        <f t="shared" si="279"/>
        <v>0</v>
      </c>
      <c r="U536" s="208">
        <f t="shared" si="279"/>
        <v>0</v>
      </c>
      <c r="V536" s="208">
        <f t="shared" si="279"/>
        <v>0</v>
      </c>
      <c r="W536" s="208">
        <f t="shared" si="279"/>
        <v>0</v>
      </c>
      <c r="X536" s="208">
        <f t="shared" si="279"/>
        <v>0</v>
      </c>
      <c r="Y536" s="208">
        <f t="shared" si="279"/>
        <v>0</v>
      </c>
      <c r="Z536" s="208">
        <f t="shared" si="279"/>
        <v>0</v>
      </c>
      <c r="AA536" s="208">
        <f t="shared" si="279"/>
        <v>0</v>
      </c>
      <c r="AB536" s="208">
        <f t="shared" si="279"/>
        <v>0</v>
      </c>
      <c r="AC536" s="208">
        <f t="shared" si="279"/>
        <v>0</v>
      </c>
      <c r="AD536" s="208">
        <f t="shared" si="279"/>
        <v>0</v>
      </c>
      <c r="AE536" s="208">
        <f t="shared" si="279"/>
        <v>0</v>
      </c>
      <c r="AF536" s="208">
        <f t="shared" si="279"/>
        <v>0</v>
      </c>
      <c r="AG536" s="208">
        <f t="shared" si="279"/>
        <v>0</v>
      </c>
      <c r="AH536" s="208">
        <f t="shared" si="279"/>
        <v>0</v>
      </c>
      <c r="AI536" s="208">
        <f t="shared" si="279"/>
        <v>0</v>
      </c>
      <c r="AJ536" s="208">
        <f t="shared" si="279"/>
        <v>0</v>
      </c>
      <c r="AK536" s="208">
        <f t="shared" si="279"/>
        <v>0</v>
      </c>
      <c r="AL536" s="208">
        <f t="shared" si="279"/>
        <v>0</v>
      </c>
      <c r="AM536" s="208">
        <f t="shared" si="279"/>
        <v>0</v>
      </c>
      <c r="AN536" s="208">
        <f t="shared" ref="AN536:AP536" si="282">AN401</f>
        <v>0</v>
      </c>
      <c r="AO536" s="208">
        <f t="shared" si="282"/>
        <v>0</v>
      </c>
      <c r="AP536" s="208">
        <f t="shared" si="282"/>
        <v>0</v>
      </c>
    </row>
    <row r="537" spans="1:42">
      <c r="A537" s="119">
        <f t="shared" si="281"/>
        <v>8</v>
      </c>
      <c r="C537" s="208">
        <f t="shared" si="280"/>
        <v>0</v>
      </c>
      <c r="D537" s="208">
        <f t="shared" si="280"/>
        <v>0</v>
      </c>
      <c r="E537" s="208">
        <f t="shared" si="280"/>
        <v>0</v>
      </c>
      <c r="F537" s="208">
        <f t="shared" si="280"/>
        <v>0</v>
      </c>
      <c r="G537" s="208">
        <f t="shared" si="280"/>
        <v>0</v>
      </c>
      <c r="H537" s="208">
        <f t="shared" si="280"/>
        <v>0</v>
      </c>
      <c r="I537" s="208">
        <f t="shared" si="280"/>
        <v>0</v>
      </c>
      <c r="J537" s="208">
        <f t="shared" si="280"/>
        <v>0</v>
      </c>
      <c r="K537" s="208">
        <f t="shared" si="280"/>
        <v>0</v>
      </c>
      <c r="L537" s="208">
        <f t="shared" si="280"/>
        <v>0</v>
      </c>
      <c r="M537" s="208">
        <f t="shared" si="280"/>
        <v>0</v>
      </c>
      <c r="N537" s="208">
        <f t="shared" si="280"/>
        <v>0</v>
      </c>
      <c r="O537" s="208">
        <f t="shared" si="280"/>
        <v>0</v>
      </c>
      <c r="P537" s="208">
        <f t="shared" si="280"/>
        <v>0</v>
      </c>
      <c r="Q537" s="208">
        <f t="shared" si="280"/>
        <v>0</v>
      </c>
      <c r="R537" s="208">
        <f t="shared" si="280"/>
        <v>0</v>
      </c>
      <c r="S537" s="208">
        <f t="shared" ref="D537:AP539" si="283">S402</f>
        <v>0</v>
      </c>
      <c r="T537" s="208">
        <f t="shared" si="283"/>
        <v>0</v>
      </c>
      <c r="U537" s="208">
        <f t="shared" si="283"/>
        <v>0</v>
      </c>
      <c r="V537" s="208">
        <f t="shared" si="283"/>
        <v>0</v>
      </c>
      <c r="W537" s="208">
        <f t="shared" si="283"/>
        <v>0</v>
      </c>
      <c r="X537" s="208">
        <f t="shared" si="283"/>
        <v>0</v>
      </c>
      <c r="Y537" s="208">
        <f t="shared" si="283"/>
        <v>0</v>
      </c>
      <c r="Z537" s="208">
        <f t="shared" si="283"/>
        <v>0</v>
      </c>
      <c r="AA537" s="208">
        <f t="shared" si="283"/>
        <v>0</v>
      </c>
      <c r="AB537" s="208">
        <f t="shared" si="283"/>
        <v>0</v>
      </c>
      <c r="AC537" s="208">
        <f t="shared" si="283"/>
        <v>0</v>
      </c>
      <c r="AD537" s="208">
        <f t="shared" si="283"/>
        <v>0</v>
      </c>
      <c r="AE537" s="208">
        <f t="shared" si="283"/>
        <v>0</v>
      </c>
      <c r="AF537" s="208">
        <f t="shared" si="283"/>
        <v>0</v>
      </c>
      <c r="AG537" s="208">
        <f t="shared" si="283"/>
        <v>0</v>
      </c>
      <c r="AH537" s="208">
        <f t="shared" si="283"/>
        <v>0</v>
      </c>
      <c r="AI537" s="208">
        <f t="shared" si="283"/>
        <v>0</v>
      </c>
      <c r="AJ537" s="208">
        <f t="shared" si="283"/>
        <v>0</v>
      </c>
      <c r="AK537" s="208">
        <f t="shared" si="283"/>
        <v>0</v>
      </c>
      <c r="AL537" s="208">
        <f t="shared" si="283"/>
        <v>0</v>
      </c>
      <c r="AM537" s="208">
        <f t="shared" si="283"/>
        <v>0</v>
      </c>
      <c r="AN537" s="208">
        <f t="shared" si="283"/>
        <v>0</v>
      </c>
      <c r="AO537" s="208">
        <f t="shared" si="283"/>
        <v>0</v>
      </c>
      <c r="AP537" s="208">
        <f t="shared" si="283"/>
        <v>0</v>
      </c>
    </row>
    <row r="538" spans="1:42">
      <c r="A538" s="119">
        <f>A537+1</f>
        <v>9</v>
      </c>
      <c r="C538" s="208">
        <f t="shared" si="280"/>
        <v>0</v>
      </c>
      <c r="D538" s="208">
        <f t="shared" si="283"/>
        <v>0</v>
      </c>
      <c r="E538" s="208">
        <f t="shared" si="283"/>
        <v>0</v>
      </c>
      <c r="F538" s="208">
        <f t="shared" si="283"/>
        <v>0</v>
      </c>
      <c r="G538" s="208">
        <f t="shared" si="283"/>
        <v>0</v>
      </c>
      <c r="H538" s="208">
        <f t="shared" si="283"/>
        <v>0</v>
      </c>
      <c r="I538" s="208">
        <f t="shared" si="283"/>
        <v>0</v>
      </c>
      <c r="J538" s="208">
        <f t="shared" si="283"/>
        <v>0</v>
      </c>
      <c r="K538" s="208">
        <f t="shared" si="283"/>
        <v>0</v>
      </c>
      <c r="L538" s="208">
        <f t="shared" si="283"/>
        <v>0</v>
      </c>
      <c r="M538" s="208">
        <f t="shared" si="283"/>
        <v>0</v>
      </c>
      <c r="N538" s="208">
        <f t="shared" si="283"/>
        <v>0</v>
      </c>
      <c r="O538" s="208">
        <f t="shared" si="283"/>
        <v>0</v>
      </c>
      <c r="P538" s="208">
        <f t="shared" si="283"/>
        <v>0</v>
      </c>
      <c r="Q538" s="208">
        <f t="shared" si="283"/>
        <v>0</v>
      </c>
      <c r="R538" s="208">
        <f t="shared" si="283"/>
        <v>0</v>
      </c>
      <c r="S538" s="208">
        <f t="shared" si="283"/>
        <v>0</v>
      </c>
      <c r="T538" s="208">
        <f t="shared" si="283"/>
        <v>0</v>
      </c>
      <c r="U538" s="208">
        <f t="shared" si="283"/>
        <v>0</v>
      </c>
      <c r="V538" s="208">
        <f t="shared" si="283"/>
        <v>0</v>
      </c>
      <c r="W538" s="208">
        <f t="shared" si="283"/>
        <v>0</v>
      </c>
      <c r="X538" s="208">
        <f t="shared" si="283"/>
        <v>0</v>
      </c>
      <c r="Y538" s="208">
        <f t="shared" si="283"/>
        <v>0</v>
      </c>
      <c r="Z538" s="208">
        <f t="shared" si="283"/>
        <v>0</v>
      </c>
      <c r="AA538" s="208">
        <f t="shared" si="283"/>
        <v>0</v>
      </c>
      <c r="AB538" s="208">
        <f t="shared" si="283"/>
        <v>0</v>
      </c>
      <c r="AC538" s="208">
        <f t="shared" si="283"/>
        <v>0</v>
      </c>
      <c r="AD538" s="208">
        <f t="shared" si="283"/>
        <v>0</v>
      </c>
      <c r="AE538" s="208">
        <f t="shared" si="283"/>
        <v>0</v>
      </c>
      <c r="AF538" s="208">
        <f t="shared" si="283"/>
        <v>0</v>
      </c>
      <c r="AG538" s="208">
        <f t="shared" si="283"/>
        <v>0</v>
      </c>
      <c r="AH538" s="208">
        <f t="shared" si="283"/>
        <v>0</v>
      </c>
      <c r="AI538" s="208">
        <f t="shared" si="283"/>
        <v>0</v>
      </c>
      <c r="AJ538" s="208">
        <f t="shared" si="283"/>
        <v>0</v>
      </c>
      <c r="AK538" s="208">
        <f t="shared" si="283"/>
        <v>0</v>
      </c>
      <c r="AL538" s="208">
        <f t="shared" si="283"/>
        <v>0</v>
      </c>
      <c r="AM538" s="208">
        <f t="shared" si="283"/>
        <v>0</v>
      </c>
      <c r="AN538" s="208">
        <f t="shared" si="283"/>
        <v>0</v>
      </c>
      <c r="AO538" s="208">
        <f t="shared" si="283"/>
        <v>0</v>
      </c>
      <c r="AP538" s="208">
        <f t="shared" si="283"/>
        <v>0</v>
      </c>
    </row>
    <row r="539" spans="1:42">
      <c r="A539" s="119">
        <f t="shared" ref="A539" si="284">A538+1</f>
        <v>10</v>
      </c>
      <c r="C539" s="208">
        <f t="shared" si="280"/>
        <v>0</v>
      </c>
      <c r="D539" s="208">
        <f t="shared" si="283"/>
        <v>0</v>
      </c>
      <c r="E539" s="208">
        <f t="shared" si="283"/>
        <v>0</v>
      </c>
      <c r="F539" s="208">
        <f t="shared" si="283"/>
        <v>0</v>
      </c>
      <c r="G539" s="208">
        <f t="shared" si="283"/>
        <v>0</v>
      </c>
      <c r="H539" s="208">
        <f t="shared" si="283"/>
        <v>0</v>
      </c>
      <c r="I539" s="208">
        <f t="shared" si="283"/>
        <v>0</v>
      </c>
      <c r="J539" s="208">
        <f t="shared" si="283"/>
        <v>0</v>
      </c>
      <c r="K539" s="208">
        <f t="shared" si="283"/>
        <v>0</v>
      </c>
      <c r="L539" s="208">
        <f t="shared" si="283"/>
        <v>0</v>
      </c>
      <c r="M539" s="208">
        <f t="shared" si="283"/>
        <v>0</v>
      </c>
      <c r="N539" s="208">
        <f t="shared" si="283"/>
        <v>0</v>
      </c>
      <c r="O539" s="208">
        <f t="shared" si="283"/>
        <v>0</v>
      </c>
      <c r="P539" s="208">
        <f t="shared" si="283"/>
        <v>0</v>
      </c>
      <c r="Q539" s="208">
        <f t="shared" si="283"/>
        <v>0</v>
      </c>
      <c r="R539" s="208">
        <f t="shared" si="283"/>
        <v>0</v>
      </c>
      <c r="S539" s="208">
        <f t="shared" si="283"/>
        <v>0</v>
      </c>
      <c r="T539" s="208">
        <f t="shared" si="283"/>
        <v>0</v>
      </c>
      <c r="U539" s="208">
        <f t="shared" si="283"/>
        <v>0</v>
      </c>
      <c r="V539" s="208">
        <f t="shared" si="283"/>
        <v>0</v>
      </c>
      <c r="W539" s="208">
        <f t="shared" si="283"/>
        <v>0</v>
      </c>
      <c r="X539" s="208">
        <f t="shared" si="283"/>
        <v>0</v>
      </c>
      <c r="Y539" s="208">
        <f t="shared" si="283"/>
        <v>0</v>
      </c>
      <c r="Z539" s="208">
        <f t="shared" si="283"/>
        <v>0</v>
      </c>
      <c r="AA539" s="208">
        <f t="shared" si="283"/>
        <v>0</v>
      </c>
      <c r="AB539" s="208">
        <f t="shared" si="283"/>
        <v>0</v>
      </c>
      <c r="AC539" s="208">
        <f t="shared" si="283"/>
        <v>0</v>
      </c>
      <c r="AD539" s="208">
        <f t="shared" si="283"/>
        <v>0</v>
      </c>
      <c r="AE539" s="208">
        <f t="shared" si="283"/>
        <v>0</v>
      </c>
      <c r="AF539" s="208">
        <f t="shared" si="283"/>
        <v>0</v>
      </c>
      <c r="AG539" s="208">
        <f t="shared" si="283"/>
        <v>0</v>
      </c>
      <c r="AH539" s="208">
        <f t="shared" si="283"/>
        <v>0</v>
      </c>
      <c r="AI539" s="208">
        <f t="shared" si="283"/>
        <v>0</v>
      </c>
      <c r="AJ539" s="208">
        <f t="shared" si="283"/>
        <v>0</v>
      </c>
      <c r="AK539" s="208">
        <f t="shared" si="283"/>
        <v>0</v>
      </c>
      <c r="AL539" s="208">
        <f t="shared" si="283"/>
        <v>0</v>
      </c>
      <c r="AM539" s="208">
        <f t="shared" si="283"/>
        <v>0</v>
      </c>
      <c r="AN539" s="208">
        <f t="shared" si="283"/>
        <v>0</v>
      </c>
      <c r="AO539" s="208">
        <f t="shared" si="283"/>
        <v>0</v>
      </c>
      <c r="AP539" s="208">
        <f t="shared" si="283"/>
        <v>0</v>
      </c>
    </row>
    <row r="540" spans="1:42">
      <c r="A540" s="226"/>
      <c r="C540" s="208"/>
      <c r="D540" s="208"/>
      <c r="E540" s="208"/>
      <c r="F540" s="208"/>
      <c r="G540" s="208"/>
      <c r="H540" s="208"/>
      <c r="I540" s="208"/>
      <c r="J540" s="208"/>
      <c r="K540" s="208"/>
      <c r="L540" s="208"/>
      <c r="M540" s="208"/>
      <c r="N540" s="208"/>
      <c r="O540" s="208"/>
      <c r="P540" s="208"/>
      <c r="Q540" s="208"/>
      <c r="R540" s="208"/>
      <c r="S540" s="208"/>
      <c r="T540" s="208"/>
      <c r="U540" s="208"/>
      <c r="V540" s="208"/>
      <c r="W540" s="208"/>
      <c r="X540" s="208"/>
      <c r="Y540" s="208"/>
      <c r="Z540" s="208"/>
      <c r="AA540" s="208"/>
      <c r="AB540" s="208"/>
      <c r="AC540" s="208"/>
      <c r="AD540" s="208"/>
      <c r="AE540" s="208"/>
      <c r="AF540" s="208"/>
      <c r="AG540" s="208"/>
      <c r="AH540" s="208"/>
      <c r="AI540" s="208"/>
      <c r="AJ540" s="208"/>
      <c r="AK540" s="208"/>
      <c r="AL540" s="208"/>
      <c r="AM540" s="208"/>
      <c r="AN540" s="208"/>
      <c r="AO540" s="208"/>
      <c r="AP540" s="208"/>
    </row>
    <row r="541" spans="1:42">
      <c r="A541" s="226" t="s">
        <v>221</v>
      </c>
      <c r="C541" s="208"/>
      <c r="D541" s="208"/>
      <c r="E541" s="208"/>
      <c r="F541" s="208"/>
      <c r="G541" s="208"/>
      <c r="H541" s="208"/>
      <c r="I541" s="208"/>
      <c r="J541" s="208"/>
      <c r="K541" s="208"/>
      <c r="L541" s="208"/>
      <c r="M541" s="208"/>
      <c r="N541" s="208"/>
      <c r="O541" s="208"/>
      <c r="P541" s="208"/>
      <c r="Q541" s="208"/>
      <c r="R541" s="208"/>
      <c r="S541" s="208"/>
      <c r="T541" s="208"/>
      <c r="U541" s="208"/>
      <c r="V541" s="208"/>
      <c r="W541" s="208"/>
      <c r="X541" s="208"/>
      <c r="Y541" s="208"/>
      <c r="Z541" s="208"/>
      <c r="AA541" s="208"/>
      <c r="AB541" s="208"/>
      <c r="AC541" s="208"/>
      <c r="AD541" s="208"/>
      <c r="AE541" s="208"/>
      <c r="AF541" s="208"/>
      <c r="AG541" s="208"/>
      <c r="AH541" s="208"/>
      <c r="AI541" s="208"/>
      <c r="AJ541" s="208"/>
      <c r="AK541" s="208"/>
      <c r="AL541" s="208"/>
      <c r="AM541" s="208"/>
      <c r="AN541" s="208"/>
      <c r="AO541" s="208"/>
      <c r="AP541" s="208"/>
    </row>
    <row r="542" spans="1:42">
      <c r="A542" s="119">
        <v>1</v>
      </c>
      <c r="B542" s="218">
        <f t="shared" ref="B542:B551" si="285">SUM(C542:AP542)</f>
        <v>6158778.6534697898</v>
      </c>
      <c r="C542" s="250">
        <f t="shared" ref="C542:AP542" si="286">LOOKUP(C530,$B$499:$AP$499,$B$500:$AP$500)*$B757</f>
        <v>0</v>
      </c>
      <c r="D542" s="208">
        <f t="shared" si="286"/>
        <v>0</v>
      </c>
      <c r="E542" s="208">
        <f t="shared" si="286"/>
        <v>0</v>
      </c>
      <c r="F542" s="208">
        <f t="shared" si="286"/>
        <v>0</v>
      </c>
      <c r="G542" s="208">
        <f t="shared" si="286"/>
        <v>0</v>
      </c>
      <c r="H542" s="208">
        <f t="shared" si="286"/>
        <v>0</v>
      </c>
      <c r="I542" s="208">
        <f t="shared" si="286"/>
        <v>0</v>
      </c>
      <c r="J542" s="208">
        <f t="shared" si="286"/>
        <v>0</v>
      </c>
      <c r="K542" s="208">
        <f t="shared" si="286"/>
        <v>0</v>
      </c>
      <c r="L542" s="208">
        <f t="shared" si="286"/>
        <v>0</v>
      </c>
      <c r="M542" s="208">
        <f t="shared" si="286"/>
        <v>0</v>
      </c>
      <c r="N542" s="208">
        <f t="shared" si="286"/>
        <v>0</v>
      </c>
      <c r="O542" s="208">
        <f t="shared" si="286"/>
        <v>0</v>
      </c>
      <c r="P542" s="208">
        <f t="shared" si="286"/>
        <v>0</v>
      </c>
      <c r="Q542" s="208">
        <f t="shared" si="286"/>
        <v>1231755.7306939578</v>
      </c>
      <c r="R542" s="208">
        <f t="shared" si="286"/>
        <v>1970809.1691103324</v>
      </c>
      <c r="S542" s="208">
        <f t="shared" si="286"/>
        <v>1182485.5014661995</v>
      </c>
      <c r="T542" s="208">
        <f t="shared" si="286"/>
        <v>709491.30087971967</v>
      </c>
      <c r="U542" s="208">
        <f t="shared" si="286"/>
        <v>709491.30087971967</v>
      </c>
      <c r="V542" s="208">
        <f t="shared" si="286"/>
        <v>354745.65043985983</v>
      </c>
      <c r="W542" s="208">
        <f t="shared" si="286"/>
        <v>0</v>
      </c>
      <c r="X542" s="208">
        <f t="shared" si="286"/>
        <v>0</v>
      </c>
      <c r="Y542" s="208">
        <f t="shared" si="286"/>
        <v>0</v>
      </c>
      <c r="Z542" s="208">
        <f t="shared" si="286"/>
        <v>0</v>
      </c>
      <c r="AA542" s="208">
        <f t="shared" si="286"/>
        <v>0</v>
      </c>
      <c r="AB542" s="208">
        <f t="shared" si="286"/>
        <v>0</v>
      </c>
      <c r="AC542" s="208">
        <f t="shared" si="286"/>
        <v>0</v>
      </c>
      <c r="AD542" s="208">
        <f t="shared" si="286"/>
        <v>0</v>
      </c>
      <c r="AE542" s="208">
        <f t="shared" si="286"/>
        <v>0</v>
      </c>
      <c r="AF542" s="208">
        <f t="shared" si="286"/>
        <v>0</v>
      </c>
      <c r="AG542" s="208">
        <f t="shared" si="286"/>
        <v>0</v>
      </c>
      <c r="AH542" s="208">
        <f t="shared" si="286"/>
        <v>0</v>
      </c>
      <c r="AI542" s="208">
        <f t="shared" si="286"/>
        <v>0</v>
      </c>
      <c r="AJ542" s="208">
        <f t="shared" si="286"/>
        <v>0</v>
      </c>
      <c r="AK542" s="208">
        <f t="shared" si="286"/>
        <v>0</v>
      </c>
      <c r="AL542" s="208">
        <f t="shared" si="286"/>
        <v>0</v>
      </c>
      <c r="AM542" s="208">
        <f t="shared" si="286"/>
        <v>0</v>
      </c>
      <c r="AN542" s="208">
        <f t="shared" si="286"/>
        <v>0</v>
      </c>
      <c r="AO542" s="208">
        <f t="shared" si="286"/>
        <v>0</v>
      </c>
      <c r="AP542" s="208">
        <f t="shared" si="286"/>
        <v>0</v>
      </c>
    </row>
    <row r="543" spans="1:42">
      <c r="A543" s="119">
        <f>A542+1</f>
        <v>2</v>
      </c>
      <c r="B543" s="218">
        <f t="shared" si="285"/>
        <v>1539980.512798867</v>
      </c>
      <c r="C543" s="250">
        <f t="shared" ref="C543:AP543" si="287">LOOKUP(C531,$B$499:$AP$499,$B$500:$AP$500)*$B758</f>
        <v>0</v>
      </c>
      <c r="D543" s="208">
        <f t="shared" si="287"/>
        <v>0</v>
      </c>
      <c r="E543" s="208">
        <f t="shared" si="287"/>
        <v>0</v>
      </c>
      <c r="F543" s="208">
        <f t="shared" si="287"/>
        <v>0</v>
      </c>
      <c r="G543" s="208">
        <f t="shared" si="287"/>
        <v>0</v>
      </c>
      <c r="H543" s="208">
        <f t="shared" si="287"/>
        <v>0</v>
      </c>
      <c r="I543" s="208">
        <f t="shared" si="287"/>
        <v>0</v>
      </c>
      <c r="J543" s="208">
        <f t="shared" si="287"/>
        <v>0</v>
      </c>
      <c r="K543" s="208">
        <f t="shared" si="287"/>
        <v>0</v>
      </c>
      <c r="L543" s="208">
        <f t="shared" si="287"/>
        <v>0</v>
      </c>
      <c r="M543" s="208">
        <f t="shared" si="287"/>
        <v>0</v>
      </c>
      <c r="N543" s="208">
        <f t="shared" si="287"/>
        <v>0</v>
      </c>
      <c r="O543" s="208">
        <f t="shared" si="287"/>
        <v>0</v>
      </c>
      <c r="P543" s="208">
        <f t="shared" si="287"/>
        <v>0</v>
      </c>
      <c r="Q543" s="208">
        <f t="shared" si="287"/>
        <v>0</v>
      </c>
      <c r="R543" s="208">
        <f t="shared" si="287"/>
        <v>0</v>
      </c>
      <c r="S543" s="208">
        <f t="shared" si="287"/>
        <v>0</v>
      </c>
      <c r="T543" s="208">
        <f t="shared" si="287"/>
        <v>0</v>
      </c>
      <c r="U543" s="208">
        <f t="shared" si="287"/>
        <v>0</v>
      </c>
      <c r="V543" s="208">
        <f t="shared" si="287"/>
        <v>0</v>
      </c>
      <c r="W543" s="208">
        <f t="shared" si="287"/>
        <v>0</v>
      </c>
      <c r="X543" s="208">
        <f t="shared" si="287"/>
        <v>0</v>
      </c>
      <c r="Y543" s="208">
        <f t="shared" si="287"/>
        <v>0</v>
      </c>
      <c r="Z543" s="208">
        <f t="shared" si="287"/>
        <v>0</v>
      </c>
      <c r="AA543" s="208">
        <f t="shared" si="287"/>
        <v>0</v>
      </c>
      <c r="AB543" s="208">
        <f t="shared" si="287"/>
        <v>0</v>
      </c>
      <c r="AC543" s="208">
        <f t="shared" si="287"/>
        <v>0</v>
      </c>
      <c r="AD543" s="208">
        <f t="shared" si="287"/>
        <v>0</v>
      </c>
      <c r="AE543" s="208">
        <f t="shared" si="287"/>
        <v>0</v>
      </c>
      <c r="AF543" s="208">
        <f t="shared" si="287"/>
        <v>1539980.512798867</v>
      </c>
      <c r="AG543" s="208">
        <f t="shared" si="287"/>
        <v>0</v>
      </c>
      <c r="AH543" s="208">
        <f t="shared" si="287"/>
        <v>0</v>
      </c>
      <c r="AI543" s="208">
        <f t="shared" si="287"/>
        <v>0</v>
      </c>
      <c r="AJ543" s="208">
        <f t="shared" si="287"/>
        <v>0</v>
      </c>
      <c r="AK543" s="208">
        <f t="shared" si="287"/>
        <v>0</v>
      </c>
      <c r="AL543" s="208">
        <f t="shared" si="287"/>
        <v>0</v>
      </c>
      <c r="AM543" s="208">
        <f t="shared" si="287"/>
        <v>0</v>
      </c>
      <c r="AN543" s="208">
        <f t="shared" si="287"/>
        <v>0</v>
      </c>
      <c r="AO543" s="208">
        <f t="shared" si="287"/>
        <v>0</v>
      </c>
      <c r="AP543" s="208">
        <f t="shared" si="287"/>
        <v>0</v>
      </c>
    </row>
    <row r="544" spans="1:42">
      <c r="A544" s="119">
        <f t="shared" ref="A544:A549" si="288">A543+1</f>
        <v>3</v>
      </c>
      <c r="B544" s="218">
        <f t="shared" si="285"/>
        <v>0</v>
      </c>
      <c r="C544" s="250">
        <f t="shared" ref="C544:AP544" si="289">LOOKUP(C532,$B$499:$AP$499,$B$500:$AP$500)*$B759</f>
        <v>0</v>
      </c>
      <c r="D544" s="208">
        <f t="shared" si="289"/>
        <v>0</v>
      </c>
      <c r="E544" s="208">
        <f t="shared" si="289"/>
        <v>0</v>
      </c>
      <c r="F544" s="208">
        <f t="shared" si="289"/>
        <v>0</v>
      </c>
      <c r="G544" s="208">
        <f t="shared" si="289"/>
        <v>0</v>
      </c>
      <c r="H544" s="208">
        <f t="shared" si="289"/>
        <v>0</v>
      </c>
      <c r="I544" s="208">
        <f t="shared" si="289"/>
        <v>0</v>
      </c>
      <c r="J544" s="208">
        <f t="shared" si="289"/>
        <v>0</v>
      </c>
      <c r="K544" s="208">
        <f t="shared" si="289"/>
        <v>0</v>
      </c>
      <c r="L544" s="208">
        <f t="shared" si="289"/>
        <v>0</v>
      </c>
      <c r="M544" s="208">
        <f t="shared" si="289"/>
        <v>0</v>
      </c>
      <c r="N544" s="208">
        <f t="shared" si="289"/>
        <v>0</v>
      </c>
      <c r="O544" s="208">
        <f t="shared" si="289"/>
        <v>0</v>
      </c>
      <c r="P544" s="208">
        <f t="shared" si="289"/>
        <v>0</v>
      </c>
      <c r="Q544" s="208">
        <f t="shared" si="289"/>
        <v>0</v>
      </c>
      <c r="R544" s="208">
        <f t="shared" si="289"/>
        <v>0</v>
      </c>
      <c r="S544" s="208">
        <f t="shared" si="289"/>
        <v>0</v>
      </c>
      <c r="T544" s="208">
        <f t="shared" si="289"/>
        <v>0</v>
      </c>
      <c r="U544" s="208">
        <f t="shared" si="289"/>
        <v>0</v>
      </c>
      <c r="V544" s="208">
        <f t="shared" si="289"/>
        <v>0</v>
      </c>
      <c r="W544" s="208">
        <f t="shared" si="289"/>
        <v>0</v>
      </c>
      <c r="X544" s="208">
        <f t="shared" si="289"/>
        <v>0</v>
      </c>
      <c r="Y544" s="208">
        <f t="shared" si="289"/>
        <v>0</v>
      </c>
      <c r="Z544" s="208">
        <f t="shared" si="289"/>
        <v>0</v>
      </c>
      <c r="AA544" s="208">
        <f t="shared" si="289"/>
        <v>0</v>
      </c>
      <c r="AB544" s="208">
        <f t="shared" si="289"/>
        <v>0</v>
      </c>
      <c r="AC544" s="208">
        <f t="shared" si="289"/>
        <v>0</v>
      </c>
      <c r="AD544" s="208">
        <f t="shared" si="289"/>
        <v>0</v>
      </c>
      <c r="AE544" s="208">
        <f t="shared" si="289"/>
        <v>0</v>
      </c>
      <c r="AF544" s="208">
        <f t="shared" si="289"/>
        <v>0</v>
      </c>
      <c r="AG544" s="208">
        <f t="shared" si="289"/>
        <v>0</v>
      </c>
      <c r="AH544" s="208">
        <f t="shared" si="289"/>
        <v>0</v>
      </c>
      <c r="AI544" s="208">
        <f t="shared" si="289"/>
        <v>0</v>
      </c>
      <c r="AJ544" s="208">
        <f t="shared" si="289"/>
        <v>0</v>
      </c>
      <c r="AK544" s="208">
        <f t="shared" si="289"/>
        <v>0</v>
      </c>
      <c r="AL544" s="208">
        <f t="shared" si="289"/>
        <v>0</v>
      </c>
      <c r="AM544" s="208">
        <f t="shared" si="289"/>
        <v>0</v>
      </c>
      <c r="AN544" s="208">
        <f t="shared" si="289"/>
        <v>0</v>
      </c>
      <c r="AO544" s="208">
        <f t="shared" si="289"/>
        <v>0</v>
      </c>
      <c r="AP544" s="208">
        <f t="shared" si="289"/>
        <v>0</v>
      </c>
    </row>
    <row r="545" spans="1:42">
      <c r="A545" s="119">
        <f t="shared" si="288"/>
        <v>4</v>
      </c>
      <c r="B545" s="218">
        <f t="shared" si="285"/>
        <v>0</v>
      </c>
      <c r="C545" s="250">
        <f t="shared" ref="C545:AP545" si="290">LOOKUP(C533,$B$499:$AP$499,$B$500:$AP$500)*$B760</f>
        <v>0</v>
      </c>
      <c r="D545" s="208">
        <f t="shared" si="290"/>
        <v>0</v>
      </c>
      <c r="E545" s="208">
        <f t="shared" si="290"/>
        <v>0</v>
      </c>
      <c r="F545" s="208">
        <f t="shared" si="290"/>
        <v>0</v>
      </c>
      <c r="G545" s="208">
        <f t="shared" si="290"/>
        <v>0</v>
      </c>
      <c r="H545" s="208">
        <f t="shared" si="290"/>
        <v>0</v>
      </c>
      <c r="I545" s="208">
        <f t="shared" si="290"/>
        <v>0</v>
      </c>
      <c r="J545" s="208">
        <f t="shared" si="290"/>
        <v>0</v>
      </c>
      <c r="K545" s="208">
        <f t="shared" si="290"/>
        <v>0</v>
      </c>
      <c r="L545" s="208">
        <f t="shared" si="290"/>
        <v>0</v>
      </c>
      <c r="M545" s="208">
        <f t="shared" si="290"/>
        <v>0</v>
      </c>
      <c r="N545" s="208">
        <f t="shared" si="290"/>
        <v>0</v>
      </c>
      <c r="O545" s="208">
        <f t="shared" si="290"/>
        <v>0</v>
      </c>
      <c r="P545" s="208">
        <f t="shared" si="290"/>
        <v>0</v>
      </c>
      <c r="Q545" s="208">
        <f t="shared" si="290"/>
        <v>0</v>
      </c>
      <c r="R545" s="208">
        <f t="shared" si="290"/>
        <v>0</v>
      </c>
      <c r="S545" s="208">
        <f t="shared" si="290"/>
        <v>0</v>
      </c>
      <c r="T545" s="208">
        <f t="shared" si="290"/>
        <v>0</v>
      </c>
      <c r="U545" s="208">
        <f t="shared" si="290"/>
        <v>0</v>
      </c>
      <c r="V545" s="208">
        <f t="shared" si="290"/>
        <v>0</v>
      </c>
      <c r="W545" s="208">
        <f t="shared" si="290"/>
        <v>0</v>
      </c>
      <c r="X545" s="208">
        <f t="shared" si="290"/>
        <v>0</v>
      </c>
      <c r="Y545" s="208">
        <f t="shared" si="290"/>
        <v>0</v>
      </c>
      <c r="Z545" s="208">
        <f t="shared" si="290"/>
        <v>0</v>
      </c>
      <c r="AA545" s="208">
        <f t="shared" si="290"/>
        <v>0</v>
      </c>
      <c r="AB545" s="208">
        <f t="shared" si="290"/>
        <v>0</v>
      </c>
      <c r="AC545" s="208">
        <f t="shared" si="290"/>
        <v>0</v>
      </c>
      <c r="AD545" s="208">
        <f t="shared" si="290"/>
        <v>0</v>
      </c>
      <c r="AE545" s="208">
        <f t="shared" si="290"/>
        <v>0</v>
      </c>
      <c r="AF545" s="208">
        <f t="shared" si="290"/>
        <v>0</v>
      </c>
      <c r="AG545" s="208">
        <f t="shared" si="290"/>
        <v>0</v>
      </c>
      <c r="AH545" s="208">
        <f t="shared" si="290"/>
        <v>0</v>
      </c>
      <c r="AI545" s="208">
        <f t="shared" si="290"/>
        <v>0</v>
      </c>
      <c r="AJ545" s="208">
        <f t="shared" si="290"/>
        <v>0</v>
      </c>
      <c r="AK545" s="208">
        <f t="shared" si="290"/>
        <v>0</v>
      </c>
      <c r="AL545" s="208">
        <f t="shared" si="290"/>
        <v>0</v>
      </c>
      <c r="AM545" s="208">
        <f t="shared" si="290"/>
        <v>0</v>
      </c>
      <c r="AN545" s="208">
        <f t="shared" si="290"/>
        <v>0</v>
      </c>
      <c r="AO545" s="208">
        <f t="shared" si="290"/>
        <v>0</v>
      </c>
      <c r="AP545" s="208">
        <f t="shared" si="290"/>
        <v>0</v>
      </c>
    </row>
    <row r="546" spans="1:42">
      <c r="A546" s="119">
        <f t="shared" si="288"/>
        <v>5</v>
      </c>
      <c r="B546" s="218">
        <f t="shared" si="285"/>
        <v>0</v>
      </c>
      <c r="C546" s="250">
        <f t="shared" ref="C546:AP546" si="291">LOOKUP(C534,$B$499:$AP$499,$B$500:$AP$500)*$B761</f>
        <v>0</v>
      </c>
      <c r="D546" s="208">
        <f t="shared" si="291"/>
        <v>0</v>
      </c>
      <c r="E546" s="208">
        <f t="shared" si="291"/>
        <v>0</v>
      </c>
      <c r="F546" s="208">
        <f t="shared" si="291"/>
        <v>0</v>
      </c>
      <c r="G546" s="208">
        <f t="shared" si="291"/>
        <v>0</v>
      </c>
      <c r="H546" s="208">
        <f t="shared" si="291"/>
        <v>0</v>
      </c>
      <c r="I546" s="208">
        <f t="shared" si="291"/>
        <v>0</v>
      </c>
      <c r="J546" s="208">
        <f t="shared" si="291"/>
        <v>0</v>
      </c>
      <c r="K546" s="208">
        <f t="shared" si="291"/>
        <v>0</v>
      </c>
      <c r="L546" s="208">
        <f t="shared" si="291"/>
        <v>0</v>
      </c>
      <c r="M546" s="208">
        <f t="shared" si="291"/>
        <v>0</v>
      </c>
      <c r="N546" s="208">
        <f t="shared" si="291"/>
        <v>0</v>
      </c>
      <c r="O546" s="208">
        <f t="shared" si="291"/>
        <v>0</v>
      </c>
      <c r="P546" s="208">
        <f t="shared" si="291"/>
        <v>0</v>
      </c>
      <c r="Q546" s="208">
        <f t="shared" si="291"/>
        <v>0</v>
      </c>
      <c r="R546" s="208">
        <f t="shared" si="291"/>
        <v>0</v>
      </c>
      <c r="S546" s="208">
        <f t="shared" si="291"/>
        <v>0</v>
      </c>
      <c r="T546" s="208">
        <f t="shared" si="291"/>
        <v>0</v>
      </c>
      <c r="U546" s="208">
        <f t="shared" si="291"/>
        <v>0</v>
      </c>
      <c r="V546" s="208">
        <f t="shared" si="291"/>
        <v>0</v>
      </c>
      <c r="W546" s="208">
        <f t="shared" si="291"/>
        <v>0</v>
      </c>
      <c r="X546" s="208">
        <f t="shared" si="291"/>
        <v>0</v>
      </c>
      <c r="Y546" s="208">
        <f t="shared" si="291"/>
        <v>0</v>
      </c>
      <c r="Z546" s="208">
        <f t="shared" si="291"/>
        <v>0</v>
      </c>
      <c r="AA546" s="208">
        <f t="shared" si="291"/>
        <v>0</v>
      </c>
      <c r="AB546" s="208">
        <f t="shared" si="291"/>
        <v>0</v>
      </c>
      <c r="AC546" s="208">
        <f t="shared" si="291"/>
        <v>0</v>
      </c>
      <c r="AD546" s="208">
        <f t="shared" si="291"/>
        <v>0</v>
      </c>
      <c r="AE546" s="208">
        <f t="shared" si="291"/>
        <v>0</v>
      </c>
      <c r="AF546" s="208">
        <f t="shared" si="291"/>
        <v>0</v>
      </c>
      <c r="AG546" s="208">
        <f t="shared" si="291"/>
        <v>0</v>
      </c>
      <c r="AH546" s="208">
        <f t="shared" si="291"/>
        <v>0</v>
      </c>
      <c r="AI546" s="208">
        <f t="shared" si="291"/>
        <v>0</v>
      </c>
      <c r="AJ546" s="208">
        <f t="shared" si="291"/>
        <v>0</v>
      </c>
      <c r="AK546" s="208">
        <f t="shared" si="291"/>
        <v>0</v>
      </c>
      <c r="AL546" s="208">
        <f t="shared" si="291"/>
        <v>0</v>
      </c>
      <c r="AM546" s="208">
        <f t="shared" si="291"/>
        <v>0</v>
      </c>
      <c r="AN546" s="208">
        <f t="shared" si="291"/>
        <v>0</v>
      </c>
      <c r="AO546" s="208">
        <f t="shared" si="291"/>
        <v>0</v>
      </c>
      <c r="AP546" s="208">
        <f t="shared" si="291"/>
        <v>0</v>
      </c>
    </row>
    <row r="547" spans="1:42">
      <c r="A547" s="119">
        <f t="shared" si="288"/>
        <v>6</v>
      </c>
      <c r="B547" s="218">
        <f t="shared" si="285"/>
        <v>0</v>
      </c>
      <c r="C547" s="250">
        <f t="shared" ref="C547:AP547" si="292">LOOKUP(C535,$B$499:$AP$499,$B$500:$AP$500)*$B762</f>
        <v>0</v>
      </c>
      <c r="D547" s="208">
        <f t="shared" si="292"/>
        <v>0</v>
      </c>
      <c r="E547" s="208">
        <f t="shared" si="292"/>
        <v>0</v>
      </c>
      <c r="F547" s="208">
        <f t="shared" si="292"/>
        <v>0</v>
      </c>
      <c r="G547" s="208">
        <f t="shared" si="292"/>
        <v>0</v>
      </c>
      <c r="H547" s="208">
        <f t="shared" si="292"/>
        <v>0</v>
      </c>
      <c r="I547" s="208">
        <f t="shared" si="292"/>
        <v>0</v>
      </c>
      <c r="J547" s="208">
        <f t="shared" si="292"/>
        <v>0</v>
      </c>
      <c r="K547" s="208">
        <f t="shared" si="292"/>
        <v>0</v>
      </c>
      <c r="L547" s="208">
        <f t="shared" si="292"/>
        <v>0</v>
      </c>
      <c r="M547" s="208">
        <f t="shared" si="292"/>
        <v>0</v>
      </c>
      <c r="N547" s="208">
        <f t="shared" si="292"/>
        <v>0</v>
      </c>
      <c r="O547" s="208">
        <f t="shared" si="292"/>
        <v>0</v>
      </c>
      <c r="P547" s="208">
        <f t="shared" si="292"/>
        <v>0</v>
      </c>
      <c r="Q547" s="208">
        <f t="shared" si="292"/>
        <v>0</v>
      </c>
      <c r="R547" s="208">
        <f t="shared" si="292"/>
        <v>0</v>
      </c>
      <c r="S547" s="208">
        <f t="shared" si="292"/>
        <v>0</v>
      </c>
      <c r="T547" s="208">
        <f t="shared" si="292"/>
        <v>0</v>
      </c>
      <c r="U547" s="208">
        <f t="shared" si="292"/>
        <v>0</v>
      </c>
      <c r="V547" s="208">
        <f t="shared" si="292"/>
        <v>0</v>
      </c>
      <c r="W547" s="208">
        <f t="shared" si="292"/>
        <v>0</v>
      </c>
      <c r="X547" s="208">
        <f t="shared" si="292"/>
        <v>0</v>
      </c>
      <c r="Y547" s="208">
        <f t="shared" si="292"/>
        <v>0</v>
      </c>
      <c r="Z547" s="208">
        <f t="shared" si="292"/>
        <v>0</v>
      </c>
      <c r="AA547" s="208">
        <f t="shared" si="292"/>
        <v>0</v>
      </c>
      <c r="AB547" s="208">
        <f t="shared" si="292"/>
        <v>0</v>
      </c>
      <c r="AC547" s="208">
        <f t="shared" si="292"/>
        <v>0</v>
      </c>
      <c r="AD547" s="208">
        <f t="shared" si="292"/>
        <v>0</v>
      </c>
      <c r="AE547" s="208">
        <f t="shared" si="292"/>
        <v>0</v>
      </c>
      <c r="AF547" s="208">
        <f t="shared" si="292"/>
        <v>0</v>
      </c>
      <c r="AG547" s="208">
        <f t="shared" si="292"/>
        <v>0</v>
      </c>
      <c r="AH547" s="208">
        <f t="shared" si="292"/>
        <v>0</v>
      </c>
      <c r="AI547" s="208">
        <f t="shared" si="292"/>
        <v>0</v>
      </c>
      <c r="AJ547" s="208">
        <f t="shared" si="292"/>
        <v>0</v>
      </c>
      <c r="AK547" s="208">
        <f t="shared" si="292"/>
        <v>0</v>
      </c>
      <c r="AL547" s="208">
        <f t="shared" si="292"/>
        <v>0</v>
      </c>
      <c r="AM547" s="208">
        <f t="shared" si="292"/>
        <v>0</v>
      </c>
      <c r="AN547" s="208">
        <f t="shared" si="292"/>
        <v>0</v>
      </c>
      <c r="AO547" s="208">
        <f t="shared" si="292"/>
        <v>0</v>
      </c>
      <c r="AP547" s="208">
        <f t="shared" si="292"/>
        <v>0</v>
      </c>
    </row>
    <row r="548" spans="1:42">
      <c r="A548" s="119">
        <f t="shared" si="288"/>
        <v>7</v>
      </c>
      <c r="B548" s="218">
        <f t="shared" si="285"/>
        <v>0</v>
      </c>
      <c r="C548" s="250">
        <f t="shared" ref="C548:AP548" si="293">LOOKUP(C536,$B$499:$AP$499,$B$500:$AP$500)*$B763</f>
        <v>0</v>
      </c>
      <c r="D548" s="208">
        <f t="shared" si="293"/>
        <v>0</v>
      </c>
      <c r="E548" s="208">
        <f t="shared" si="293"/>
        <v>0</v>
      </c>
      <c r="F548" s="208">
        <f t="shared" si="293"/>
        <v>0</v>
      </c>
      <c r="G548" s="208">
        <f t="shared" si="293"/>
        <v>0</v>
      </c>
      <c r="H548" s="208">
        <f t="shared" si="293"/>
        <v>0</v>
      </c>
      <c r="I548" s="208">
        <f t="shared" si="293"/>
        <v>0</v>
      </c>
      <c r="J548" s="208">
        <f t="shared" si="293"/>
        <v>0</v>
      </c>
      <c r="K548" s="208">
        <f t="shared" si="293"/>
        <v>0</v>
      </c>
      <c r="L548" s="208">
        <f t="shared" si="293"/>
        <v>0</v>
      </c>
      <c r="M548" s="208">
        <f t="shared" si="293"/>
        <v>0</v>
      </c>
      <c r="N548" s="208">
        <f t="shared" si="293"/>
        <v>0</v>
      </c>
      <c r="O548" s="208">
        <f t="shared" si="293"/>
        <v>0</v>
      </c>
      <c r="P548" s="208">
        <f t="shared" si="293"/>
        <v>0</v>
      </c>
      <c r="Q548" s="208">
        <f t="shared" si="293"/>
        <v>0</v>
      </c>
      <c r="R548" s="208">
        <f t="shared" si="293"/>
        <v>0</v>
      </c>
      <c r="S548" s="208">
        <f t="shared" si="293"/>
        <v>0</v>
      </c>
      <c r="T548" s="208">
        <f t="shared" si="293"/>
        <v>0</v>
      </c>
      <c r="U548" s="208">
        <f t="shared" si="293"/>
        <v>0</v>
      </c>
      <c r="V548" s="208">
        <f t="shared" si="293"/>
        <v>0</v>
      </c>
      <c r="W548" s="208">
        <f t="shared" si="293"/>
        <v>0</v>
      </c>
      <c r="X548" s="208">
        <f t="shared" si="293"/>
        <v>0</v>
      </c>
      <c r="Y548" s="208">
        <f t="shared" si="293"/>
        <v>0</v>
      </c>
      <c r="Z548" s="208">
        <f t="shared" si="293"/>
        <v>0</v>
      </c>
      <c r="AA548" s="208">
        <f t="shared" si="293"/>
        <v>0</v>
      </c>
      <c r="AB548" s="208">
        <f t="shared" si="293"/>
        <v>0</v>
      </c>
      <c r="AC548" s="208">
        <f t="shared" si="293"/>
        <v>0</v>
      </c>
      <c r="AD548" s="208">
        <f t="shared" si="293"/>
        <v>0</v>
      </c>
      <c r="AE548" s="208">
        <f t="shared" si="293"/>
        <v>0</v>
      </c>
      <c r="AF548" s="208">
        <f t="shared" si="293"/>
        <v>0</v>
      </c>
      <c r="AG548" s="208">
        <f t="shared" si="293"/>
        <v>0</v>
      </c>
      <c r="AH548" s="208">
        <f t="shared" si="293"/>
        <v>0</v>
      </c>
      <c r="AI548" s="208">
        <f t="shared" si="293"/>
        <v>0</v>
      </c>
      <c r="AJ548" s="208">
        <f t="shared" si="293"/>
        <v>0</v>
      </c>
      <c r="AK548" s="208">
        <f t="shared" si="293"/>
        <v>0</v>
      </c>
      <c r="AL548" s="208">
        <f t="shared" si="293"/>
        <v>0</v>
      </c>
      <c r="AM548" s="208">
        <f t="shared" si="293"/>
        <v>0</v>
      </c>
      <c r="AN548" s="208">
        <f t="shared" si="293"/>
        <v>0</v>
      </c>
      <c r="AO548" s="208">
        <f t="shared" si="293"/>
        <v>0</v>
      </c>
      <c r="AP548" s="208">
        <f t="shared" si="293"/>
        <v>0</v>
      </c>
    </row>
    <row r="549" spans="1:42">
      <c r="A549" s="119">
        <f t="shared" si="288"/>
        <v>8</v>
      </c>
      <c r="B549" s="218">
        <f t="shared" si="285"/>
        <v>0</v>
      </c>
      <c r="C549" s="250">
        <f t="shared" ref="C549:AP549" si="294">LOOKUP(C537,$B$499:$AP$499,$B$500:$AP$500)*$B764</f>
        <v>0</v>
      </c>
      <c r="D549" s="208">
        <f t="shared" si="294"/>
        <v>0</v>
      </c>
      <c r="E549" s="208">
        <f t="shared" si="294"/>
        <v>0</v>
      </c>
      <c r="F549" s="208">
        <f t="shared" si="294"/>
        <v>0</v>
      </c>
      <c r="G549" s="208">
        <f t="shared" si="294"/>
        <v>0</v>
      </c>
      <c r="H549" s="208">
        <f t="shared" si="294"/>
        <v>0</v>
      </c>
      <c r="I549" s="208">
        <f t="shared" si="294"/>
        <v>0</v>
      </c>
      <c r="J549" s="208">
        <f t="shared" si="294"/>
        <v>0</v>
      </c>
      <c r="K549" s="208">
        <f t="shared" si="294"/>
        <v>0</v>
      </c>
      <c r="L549" s="208">
        <f t="shared" si="294"/>
        <v>0</v>
      </c>
      <c r="M549" s="208">
        <f t="shared" si="294"/>
        <v>0</v>
      </c>
      <c r="N549" s="208">
        <f t="shared" si="294"/>
        <v>0</v>
      </c>
      <c r="O549" s="208">
        <f t="shared" si="294"/>
        <v>0</v>
      </c>
      <c r="P549" s="208">
        <f t="shared" si="294"/>
        <v>0</v>
      </c>
      <c r="Q549" s="208">
        <f t="shared" si="294"/>
        <v>0</v>
      </c>
      <c r="R549" s="208">
        <f t="shared" si="294"/>
        <v>0</v>
      </c>
      <c r="S549" s="208">
        <f t="shared" si="294"/>
        <v>0</v>
      </c>
      <c r="T549" s="208">
        <f t="shared" si="294"/>
        <v>0</v>
      </c>
      <c r="U549" s="208">
        <f t="shared" si="294"/>
        <v>0</v>
      </c>
      <c r="V549" s="208">
        <f t="shared" si="294"/>
        <v>0</v>
      </c>
      <c r="W549" s="208">
        <f t="shared" si="294"/>
        <v>0</v>
      </c>
      <c r="X549" s="208">
        <f t="shared" si="294"/>
        <v>0</v>
      </c>
      <c r="Y549" s="208">
        <f t="shared" si="294"/>
        <v>0</v>
      </c>
      <c r="Z549" s="208">
        <f t="shared" si="294"/>
        <v>0</v>
      </c>
      <c r="AA549" s="208">
        <f t="shared" si="294"/>
        <v>0</v>
      </c>
      <c r="AB549" s="208">
        <f t="shared" si="294"/>
        <v>0</v>
      </c>
      <c r="AC549" s="208">
        <f t="shared" si="294"/>
        <v>0</v>
      </c>
      <c r="AD549" s="208">
        <f t="shared" si="294"/>
        <v>0</v>
      </c>
      <c r="AE549" s="208">
        <f t="shared" si="294"/>
        <v>0</v>
      </c>
      <c r="AF549" s="208">
        <f t="shared" si="294"/>
        <v>0</v>
      </c>
      <c r="AG549" s="208">
        <f t="shared" si="294"/>
        <v>0</v>
      </c>
      <c r="AH549" s="208">
        <f t="shared" si="294"/>
        <v>0</v>
      </c>
      <c r="AI549" s="208">
        <f t="shared" si="294"/>
        <v>0</v>
      </c>
      <c r="AJ549" s="208">
        <f t="shared" si="294"/>
        <v>0</v>
      </c>
      <c r="AK549" s="208">
        <f t="shared" si="294"/>
        <v>0</v>
      </c>
      <c r="AL549" s="208">
        <f t="shared" si="294"/>
        <v>0</v>
      </c>
      <c r="AM549" s="208">
        <f t="shared" si="294"/>
        <v>0</v>
      </c>
      <c r="AN549" s="208">
        <f t="shared" si="294"/>
        <v>0</v>
      </c>
      <c r="AO549" s="208">
        <f t="shared" si="294"/>
        <v>0</v>
      </c>
      <c r="AP549" s="208">
        <f t="shared" si="294"/>
        <v>0</v>
      </c>
    </row>
    <row r="550" spans="1:42">
      <c r="A550" s="119">
        <f>A549+1</f>
        <v>9</v>
      </c>
      <c r="B550" s="218">
        <f t="shared" si="285"/>
        <v>0</v>
      </c>
      <c r="C550" s="250">
        <f t="shared" ref="C550:AP550" si="295">LOOKUP(C538,$B$499:$AP$499,$B$500:$AP$500)*$B765</f>
        <v>0</v>
      </c>
      <c r="D550" s="208">
        <f t="shared" si="295"/>
        <v>0</v>
      </c>
      <c r="E550" s="208">
        <f t="shared" si="295"/>
        <v>0</v>
      </c>
      <c r="F550" s="208">
        <f t="shared" si="295"/>
        <v>0</v>
      </c>
      <c r="G550" s="208">
        <f t="shared" si="295"/>
        <v>0</v>
      </c>
      <c r="H550" s="208">
        <f t="shared" si="295"/>
        <v>0</v>
      </c>
      <c r="I550" s="208">
        <f t="shared" si="295"/>
        <v>0</v>
      </c>
      <c r="J550" s="208">
        <f t="shared" si="295"/>
        <v>0</v>
      </c>
      <c r="K550" s="208">
        <f t="shared" si="295"/>
        <v>0</v>
      </c>
      <c r="L550" s="208">
        <f t="shared" si="295"/>
        <v>0</v>
      </c>
      <c r="M550" s="208">
        <f t="shared" si="295"/>
        <v>0</v>
      </c>
      <c r="N550" s="208">
        <f t="shared" si="295"/>
        <v>0</v>
      </c>
      <c r="O550" s="208">
        <f t="shared" si="295"/>
        <v>0</v>
      </c>
      <c r="P550" s="208">
        <f t="shared" si="295"/>
        <v>0</v>
      </c>
      <c r="Q550" s="208">
        <f t="shared" si="295"/>
        <v>0</v>
      </c>
      <c r="R550" s="208">
        <f t="shared" si="295"/>
        <v>0</v>
      </c>
      <c r="S550" s="208">
        <f t="shared" si="295"/>
        <v>0</v>
      </c>
      <c r="T550" s="208">
        <f t="shared" si="295"/>
        <v>0</v>
      </c>
      <c r="U550" s="208">
        <f t="shared" si="295"/>
        <v>0</v>
      </c>
      <c r="V550" s="208">
        <f t="shared" si="295"/>
        <v>0</v>
      </c>
      <c r="W550" s="208">
        <f t="shared" si="295"/>
        <v>0</v>
      </c>
      <c r="X550" s="208">
        <f t="shared" si="295"/>
        <v>0</v>
      </c>
      <c r="Y550" s="208">
        <f t="shared" si="295"/>
        <v>0</v>
      </c>
      <c r="Z550" s="208">
        <f t="shared" si="295"/>
        <v>0</v>
      </c>
      <c r="AA550" s="208">
        <f t="shared" si="295"/>
        <v>0</v>
      </c>
      <c r="AB550" s="208">
        <f t="shared" si="295"/>
        <v>0</v>
      </c>
      <c r="AC550" s="208">
        <f t="shared" si="295"/>
        <v>0</v>
      </c>
      <c r="AD550" s="208">
        <f t="shared" si="295"/>
        <v>0</v>
      </c>
      <c r="AE550" s="208">
        <f t="shared" si="295"/>
        <v>0</v>
      </c>
      <c r="AF550" s="208">
        <f t="shared" si="295"/>
        <v>0</v>
      </c>
      <c r="AG550" s="208">
        <f t="shared" si="295"/>
        <v>0</v>
      </c>
      <c r="AH550" s="208">
        <f t="shared" si="295"/>
        <v>0</v>
      </c>
      <c r="AI550" s="208">
        <f t="shared" si="295"/>
        <v>0</v>
      </c>
      <c r="AJ550" s="208">
        <f t="shared" si="295"/>
        <v>0</v>
      </c>
      <c r="AK550" s="208">
        <f t="shared" si="295"/>
        <v>0</v>
      </c>
      <c r="AL550" s="208">
        <f t="shared" si="295"/>
        <v>0</v>
      </c>
      <c r="AM550" s="208">
        <f t="shared" si="295"/>
        <v>0</v>
      </c>
      <c r="AN550" s="208">
        <f t="shared" si="295"/>
        <v>0</v>
      </c>
      <c r="AO550" s="208">
        <f t="shared" si="295"/>
        <v>0</v>
      </c>
      <c r="AP550" s="208">
        <f t="shared" si="295"/>
        <v>0</v>
      </c>
    </row>
    <row r="551" spans="1:42">
      <c r="A551" s="119">
        <f t="shared" ref="A551" si="296">A550+1</f>
        <v>10</v>
      </c>
      <c r="B551" s="218">
        <f t="shared" si="285"/>
        <v>0</v>
      </c>
      <c r="C551" s="246">
        <f t="shared" ref="C551:AP551" si="297">LOOKUP(C539,$B$499:$AP$499,$B$500:$AP$500)*$B766</f>
        <v>0</v>
      </c>
      <c r="D551" s="209">
        <f t="shared" si="297"/>
        <v>0</v>
      </c>
      <c r="E551" s="209">
        <f t="shared" si="297"/>
        <v>0</v>
      </c>
      <c r="F551" s="209">
        <f t="shared" si="297"/>
        <v>0</v>
      </c>
      <c r="G551" s="209">
        <f t="shared" si="297"/>
        <v>0</v>
      </c>
      <c r="H551" s="209">
        <f t="shared" si="297"/>
        <v>0</v>
      </c>
      <c r="I551" s="209">
        <f t="shared" si="297"/>
        <v>0</v>
      </c>
      <c r="J551" s="209">
        <f t="shared" si="297"/>
        <v>0</v>
      </c>
      <c r="K551" s="209">
        <f t="shared" si="297"/>
        <v>0</v>
      </c>
      <c r="L551" s="209">
        <f t="shared" si="297"/>
        <v>0</v>
      </c>
      <c r="M551" s="209">
        <f t="shared" si="297"/>
        <v>0</v>
      </c>
      <c r="N551" s="209">
        <f t="shared" si="297"/>
        <v>0</v>
      </c>
      <c r="O551" s="209">
        <f t="shared" si="297"/>
        <v>0</v>
      </c>
      <c r="P551" s="209">
        <f t="shared" si="297"/>
        <v>0</v>
      </c>
      <c r="Q551" s="209">
        <f t="shared" si="297"/>
        <v>0</v>
      </c>
      <c r="R551" s="209">
        <f t="shared" si="297"/>
        <v>0</v>
      </c>
      <c r="S551" s="209">
        <f t="shared" si="297"/>
        <v>0</v>
      </c>
      <c r="T551" s="209">
        <f t="shared" si="297"/>
        <v>0</v>
      </c>
      <c r="U551" s="209">
        <f t="shared" si="297"/>
        <v>0</v>
      </c>
      <c r="V551" s="209">
        <f t="shared" si="297"/>
        <v>0</v>
      </c>
      <c r="W551" s="209">
        <f t="shared" si="297"/>
        <v>0</v>
      </c>
      <c r="X551" s="209">
        <f t="shared" si="297"/>
        <v>0</v>
      </c>
      <c r="Y551" s="209">
        <f t="shared" si="297"/>
        <v>0</v>
      </c>
      <c r="Z551" s="209">
        <f t="shared" si="297"/>
        <v>0</v>
      </c>
      <c r="AA551" s="209">
        <f t="shared" si="297"/>
        <v>0</v>
      </c>
      <c r="AB551" s="209">
        <f t="shared" si="297"/>
        <v>0</v>
      </c>
      <c r="AC551" s="209">
        <f t="shared" si="297"/>
        <v>0</v>
      </c>
      <c r="AD551" s="209">
        <f t="shared" si="297"/>
        <v>0</v>
      </c>
      <c r="AE551" s="209">
        <f t="shared" si="297"/>
        <v>0</v>
      </c>
      <c r="AF551" s="209">
        <f t="shared" si="297"/>
        <v>0</v>
      </c>
      <c r="AG551" s="209">
        <f t="shared" si="297"/>
        <v>0</v>
      </c>
      <c r="AH551" s="209">
        <f t="shared" si="297"/>
        <v>0</v>
      </c>
      <c r="AI551" s="209">
        <f t="shared" si="297"/>
        <v>0</v>
      </c>
      <c r="AJ551" s="209">
        <f t="shared" si="297"/>
        <v>0</v>
      </c>
      <c r="AK551" s="209">
        <f t="shared" si="297"/>
        <v>0</v>
      </c>
      <c r="AL551" s="209">
        <f t="shared" si="297"/>
        <v>0</v>
      </c>
      <c r="AM551" s="209">
        <f t="shared" si="297"/>
        <v>0</v>
      </c>
      <c r="AN551" s="209">
        <f t="shared" si="297"/>
        <v>0</v>
      </c>
      <c r="AO551" s="209">
        <f t="shared" si="297"/>
        <v>0</v>
      </c>
      <c r="AP551" s="209">
        <f t="shared" si="297"/>
        <v>0</v>
      </c>
    </row>
    <row r="552" spans="1:42" s="119" customFormat="1">
      <c r="A552" s="247" t="s">
        <v>53</v>
      </c>
      <c r="B552" s="146"/>
      <c r="C552" s="146">
        <f>SUM(C542:C551)</f>
        <v>0</v>
      </c>
      <c r="D552" s="146">
        <f t="shared" ref="D552:AP552" si="298">SUM(D542:D551)</f>
        <v>0</v>
      </c>
      <c r="E552" s="146">
        <f t="shared" si="298"/>
        <v>0</v>
      </c>
      <c r="F552" s="146">
        <f t="shared" si="298"/>
        <v>0</v>
      </c>
      <c r="G552" s="146">
        <f t="shared" si="298"/>
        <v>0</v>
      </c>
      <c r="H552" s="146">
        <f t="shared" si="298"/>
        <v>0</v>
      </c>
      <c r="I552" s="146">
        <f t="shared" si="298"/>
        <v>0</v>
      </c>
      <c r="J552" s="146">
        <f t="shared" si="298"/>
        <v>0</v>
      </c>
      <c r="K552" s="146">
        <f t="shared" si="298"/>
        <v>0</v>
      </c>
      <c r="L552" s="146">
        <f t="shared" si="298"/>
        <v>0</v>
      </c>
      <c r="M552" s="146">
        <f t="shared" si="298"/>
        <v>0</v>
      </c>
      <c r="N552" s="146">
        <f t="shared" si="298"/>
        <v>0</v>
      </c>
      <c r="O552" s="146">
        <f t="shared" si="298"/>
        <v>0</v>
      </c>
      <c r="P552" s="146">
        <f t="shared" si="298"/>
        <v>0</v>
      </c>
      <c r="Q552" s="146">
        <f t="shared" si="298"/>
        <v>1231755.7306939578</v>
      </c>
      <c r="R552" s="146">
        <f t="shared" si="298"/>
        <v>1970809.1691103324</v>
      </c>
      <c r="S552" s="146">
        <f t="shared" si="298"/>
        <v>1182485.5014661995</v>
      </c>
      <c r="T552" s="146">
        <f t="shared" si="298"/>
        <v>709491.30087971967</v>
      </c>
      <c r="U552" s="146">
        <f t="shared" si="298"/>
        <v>709491.30087971967</v>
      </c>
      <c r="V552" s="146">
        <f t="shared" si="298"/>
        <v>354745.65043985983</v>
      </c>
      <c r="W552" s="146">
        <f t="shared" si="298"/>
        <v>0</v>
      </c>
      <c r="X552" s="146">
        <f t="shared" si="298"/>
        <v>0</v>
      </c>
      <c r="Y552" s="146">
        <f t="shared" si="298"/>
        <v>0</v>
      </c>
      <c r="Z552" s="146">
        <f t="shared" si="298"/>
        <v>0</v>
      </c>
      <c r="AA552" s="146">
        <f t="shared" si="298"/>
        <v>0</v>
      </c>
      <c r="AB552" s="146">
        <f t="shared" si="298"/>
        <v>0</v>
      </c>
      <c r="AC552" s="146">
        <f t="shared" si="298"/>
        <v>0</v>
      </c>
      <c r="AD552" s="146">
        <f t="shared" si="298"/>
        <v>0</v>
      </c>
      <c r="AE552" s="146">
        <f t="shared" si="298"/>
        <v>0</v>
      </c>
      <c r="AF552" s="146">
        <f t="shared" si="298"/>
        <v>1539980.512798867</v>
      </c>
      <c r="AG552" s="146">
        <f t="shared" si="298"/>
        <v>0</v>
      </c>
      <c r="AH552" s="146">
        <f t="shared" si="298"/>
        <v>0</v>
      </c>
      <c r="AI552" s="146">
        <f t="shared" si="298"/>
        <v>0</v>
      </c>
      <c r="AJ552" s="146">
        <f t="shared" si="298"/>
        <v>0</v>
      </c>
      <c r="AK552" s="146">
        <f t="shared" si="298"/>
        <v>0</v>
      </c>
      <c r="AL552" s="146">
        <f t="shared" si="298"/>
        <v>0</v>
      </c>
      <c r="AM552" s="146">
        <f t="shared" si="298"/>
        <v>0</v>
      </c>
      <c r="AN552" s="146">
        <f t="shared" si="298"/>
        <v>0</v>
      </c>
      <c r="AO552" s="146">
        <f t="shared" si="298"/>
        <v>0</v>
      </c>
      <c r="AP552" s="146">
        <f t="shared" si="298"/>
        <v>0</v>
      </c>
    </row>
    <row r="553" spans="1:42" s="119" customFormat="1">
      <c r="A553" s="247"/>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146"/>
      <c r="AD553" s="146"/>
      <c r="AE553" s="146"/>
      <c r="AF553" s="146"/>
      <c r="AG553" s="146"/>
      <c r="AH553" s="146"/>
      <c r="AI553" s="146"/>
      <c r="AJ553" s="146"/>
      <c r="AK553" s="146"/>
      <c r="AL553" s="146"/>
      <c r="AM553" s="146"/>
      <c r="AN553" s="146"/>
      <c r="AO553" s="146"/>
      <c r="AP553" s="146"/>
    </row>
    <row r="554" spans="1:42">
      <c r="A554" s="219" t="s">
        <v>387</v>
      </c>
      <c r="C554" s="208"/>
      <c r="D554" s="208"/>
      <c r="E554" s="208"/>
      <c r="F554" s="208"/>
      <c r="G554" s="208"/>
      <c r="H554" s="208"/>
      <c r="I554" s="208"/>
      <c r="J554" s="208"/>
      <c r="K554" s="208"/>
      <c r="L554" s="208"/>
      <c r="M554" s="208"/>
      <c r="N554" s="208"/>
      <c r="O554" s="208"/>
      <c r="P554" s="208"/>
      <c r="Q554" s="208"/>
      <c r="R554" s="208"/>
      <c r="S554" s="208"/>
      <c r="T554" s="208"/>
      <c r="U554" s="208"/>
      <c r="V554" s="208"/>
      <c r="W554" s="208"/>
      <c r="X554" s="208"/>
      <c r="Y554" s="208"/>
      <c r="Z554" s="208"/>
      <c r="AA554" s="208"/>
      <c r="AB554" s="208"/>
      <c r="AC554" s="208"/>
      <c r="AD554" s="208"/>
      <c r="AE554" s="208"/>
      <c r="AF554" s="208"/>
      <c r="AG554" s="208"/>
      <c r="AH554" s="208"/>
      <c r="AI554" s="208"/>
      <c r="AJ554" s="208"/>
      <c r="AK554" s="208"/>
      <c r="AL554" s="208"/>
      <c r="AM554" s="208"/>
      <c r="AN554" s="208"/>
      <c r="AO554" s="208"/>
      <c r="AP554" s="208"/>
    </row>
    <row r="555" spans="1:42">
      <c r="A555" s="226" t="s">
        <v>217</v>
      </c>
      <c r="C555" s="208"/>
      <c r="D555" s="208"/>
      <c r="E555" s="208"/>
      <c r="F555" s="208"/>
      <c r="G555" s="208"/>
      <c r="H555" s="208"/>
      <c r="I555" s="208"/>
      <c r="J555" s="208"/>
      <c r="K555" s="208"/>
      <c r="L555" s="208"/>
      <c r="M555" s="208"/>
      <c r="N555" s="208"/>
      <c r="O555" s="208"/>
      <c r="P555" s="208"/>
      <c r="Q555" s="208"/>
      <c r="R555" s="208"/>
      <c r="S555" s="208"/>
      <c r="T555" s="208"/>
      <c r="U555" s="208"/>
      <c r="V555" s="208"/>
      <c r="W555" s="208"/>
      <c r="X555" s="208"/>
      <c r="Y555" s="208"/>
      <c r="Z555" s="208"/>
      <c r="AA555" s="208"/>
      <c r="AB555" s="208"/>
      <c r="AC555" s="208"/>
      <c r="AD555" s="208"/>
      <c r="AE555" s="208"/>
      <c r="AF555" s="208"/>
      <c r="AG555" s="208"/>
      <c r="AH555" s="208"/>
      <c r="AI555" s="208"/>
      <c r="AJ555" s="208"/>
      <c r="AK555" s="208"/>
      <c r="AL555" s="208"/>
      <c r="AM555" s="208"/>
      <c r="AN555" s="208"/>
      <c r="AO555" s="208"/>
      <c r="AP555" s="208"/>
    </row>
    <row r="556" spans="1:42">
      <c r="A556" s="37">
        <v>1</v>
      </c>
      <c r="C556" s="208">
        <f>C421</f>
        <v>0</v>
      </c>
      <c r="D556" s="208">
        <f t="shared" ref="D556:AP562" si="299">D421</f>
        <v>0</v>
      </c>
      <c r="E556" s="208">
        <f t="shared" si="299"/>
        <v>1</v>
      </c>
      <c r="F556" s="208">
        <f t="shared" si="299"/>
        <v>2</v>
      </c>
      <c r="G556" s="208">
        <f t="shared" si="299"/>
        <v>3</v>
      </c>
      <c r="H556" s="208">
        <f t="shared" si="299"/>
        <v>4</v>
      </c>
      <c r="I556" s="208">
        <f t="shared" si="299"/>
        <v>5</v>
      </c>
      <c r="J556" s="208">
        <f t="shared" si="299"/>
        <v>6</v>
      </c>
      <c r="K556" s="208">
        <f t="shared" si="299"/>
        <v>7</v>
      </c>
      <c r="L556" s="208">
        <f t="shared" si="299"/>
        <v>8</v>
      </c>
      <c r="M556" s="208">
        <f t="shared" si="299"/>
        <v>9</v>
      </c>
      <c r="N556" s="208">
        <f t="shared" si="299"/>
        <v>10</v>
      </c>
      <c r="O556" s="208">
        <f t="shared" si="299"/>
        <v>11</v>
      </c>
      <c r="P556" s="208">
        <f t="shared" si="299"/>
        <v>12</v>
      </c>
      <c r="Q556" s="208">
        <f t="shared" si="299"/>
        <v>13</v>
      </c>
      <c r="R556" s="208">
        <f t="shared" si="299"/>
        <v>14</v>
      </c>
      <c r="S556" s="208">
        <f t="shared" si="299"/>
        <v>15</v>
      </c>
      <c r="T556" s="208">
        <f t="shared" si="299"/>
        <v>16</v>
      </c>
      <c r="U556" s="208">
        <f t="shared" si="299"/>
        <v>17</v>
      </c>
      <c r="V556" s="208">
        <f t="shared" si="299"/>
        <v>18</v>
      </c>
      <c r="W556" s="208">
        <f t="shared" si="299"/>
        <v>19</v>
      </c>
      <c r="X556" s="208">
        <f t="shared" si="299"/>
        <v>20</v>
      </c>
      <c r="Y556" s="208">
        <f t="shared" si="299"/>
        <v>21</v>
      </c>
      <c r="Z556" s="208">
        <f t="shared" si="299"/>
        <v>22</v>
      </c>
      <c r="AA556" s="208">
        <f t="shared" si="299"/>
        <v>23</v>
      </c>
      <c r="AB556" s="208">
        <f t="shared" si="299"/>
        <v>24</v>
      </c>
      <c r="AC556" s="208">
        <f t="shared" si="299"/>
        <v>25</v>
      </c>
      <c r="AD556" s="208">
        <f t="shared" si="299"/>
        <v>26</v>
      </c>
      <c r="AE556" s="208">
        <f t="shared" si="299"/>
        <v>27</v>
      </c>
      <c r="AF556" s="208">
        <f t="shared" si="299"/>
        <v>28</v>
      </c>
      <c r="AG556" s="208">
        <f t="shared" si="299"/>
        <v>0</v>
      </c>
      <c r="AH556" s="208">
        <f t="shared" si="299"/>
        <v>0</v>
      </c>
      <c r="AI556" s="208">
        <f t="shared" si="299"/>
        <v>0</v>
      </c>
      <c r="AJ556" s="208">
        <f t="shared" si="299"/>
        <v>0</v>
      </c>
      <c r="AK556" s="208">
        <f t="shared" si="299"/>
        <v>0</v>
      </c>
      <c r="AL556" s="208">
        <f t="shared" si="299"/>
        <v>0</v>
      </c>
      <c r="AM556" s="208">
        <f t="shared" si="299"/>
        <v>0</v>
      </c>
      <c r="AN556" s="208">
        <f t="shared" si="299"/>
        <v>0</v>
      </c>
      <c r="AO556" s="208">
        <f t="shared" si="299"/>
        <v>0</v>
      </c>
      <c r="AP556" s="208">
        <f t="shared" si="299"/>
        <v>0</v>
      </c>
    </row>
    <row r="557" spans="1:42">
      <c r="A557" s="37">
        <f>A556+1</f>
        <v>2</v>
      </c>
      <c r="C557" s="208">
        <f t="shared" ref="C557:R565" si="300">C422</f>
        <v>0</v>
      </c>
      <c r="D557" s="208">
        <f t="shared" si="300"/>
        <v>0</v>
      </c>
      <c r="E557" s="208">
        <f t="shared" si="300"/>
        <v>0</v>
      </c>
      <c r="F557" s="208">
        <f t="shared" si="300"/>
        <v>0</v>
      </c>
      <c r="G557" s="208">
        <f t="shared" si="300"/>
        <v>0</v>
      </c>
      <c r="H557" s="208">
        <f t="shared" si="300"/>
        <v>1</v>
      </c>
      <c r="I557" s="208">
        <f t="shared" si="300"/>
        <v>2</v>
      </c>
      <c r="J557" s="208">
        <f t="shared" si="300"/>
        <v>3</v>
      </c>
      <c r="K557" s="208">
        <f t="shared" si="300"/>
        <v>4</v>
      </c>
      <c r="L557" s="208">
        <f t="shared" si="300"/>
        <v>5</v>
      </c>
      <c r="M557" s="208">
        <f t="shared" si="300"/>
        <v>6</v>
      </c>
      <c r="N557" s="208">
        <f t="shared" si="300"/>
        <v>7</v>
      </c>
      <c r="O557" s="208">
        <f t="shared" si="300"/>
        <v>8</v>
      </c>
      <c r="P557" s="208">
        <f t="shared" si="300"/>
        <v>9</v>
      </c>
      <c r="Q557" s="208">
        <f t="shared" si="300"/>
        <v>10</v>
      </c>
      <c r="R557" s="208">
        <f t="shared" si="300"/>
        <v>11</v>
      </c>
      <c r="S557" s="208">
        <f t="shared" si="299"/>
        <v>12</v>
      </c>
      <c r="T557" s="208">
        <f t="shared" si="299"/>
        <v>13</v>
      </c>
      <c r="U557" s="208">
        <f t="shared" si="299"/>
        <v>14</v>
      </c>
      <c r="V557" s="208">
        <f t="shared" si="299"/>
        <v>15</v>
      </c>
      <c r="W557" s="208">
        <f t="shared" si="299"/>
        <v>16</v>
      </c>
      <c r="X557" s="208">
        <f t="shared" si="299"/>
        <v>17</v>
      </c>
      <c r="Y557" s="208">
        <f t="shared" si="299"/>
        <v>18</v>
      </c>
      <c r="Z557" s="208">
        <f t="shared" si="299"/>
        <v>19</v>
      </c>
      <c r="AA557" s="208">
        <f t="shared" si="299"/>
        <v>20</v>
      </c>
      <c r="AB557" s="208">
        <f t="shared" si="299"/>
        <v>21</v>
      </c>
      <c r="AC557" s="208">
        <f t="shared" si="299"/>
        <v>22</v>
      </c>
      <c r="AD557" s="208">
        <f t="shared" si="299"/>
        <v>23</v>
      </c>
      <c r="AE557" s="208">
        <f t="shared" si="299"/>
        <v>24</v>
      </c>
      <c r="AF557" s="208">
        <f t="shared" si="299"/>
        <v>25</v>
      </c>
      <c r="AG557" s="208">
        <f t="shared" si="299"/>
        <v>0</v>
      </c>
      <c r="AH557" s="208">
        <f t="shared" si="299"/>
        <v>0</v>
      </c>
      <c r="AI557" s="208">
        <f t="shared" si="299"/>
        <v>0</v>
      </c>
      <c r="AJ557" s="208">
        <f t="shared" si="299"/>
        <v>0</v>
      </c>
      <c r="AK557" s="208">
        <f t="shared" si="299"/>
        <v>0</v>
      </c>
      <c r="AL557" s="208">
        <f t="shared" si="299"/>
        <v>0</v>
      </c>
      <c r="AM557" s="208">
        <f t="shared" si="299"/>
        <v>0</v>
      </c>
      <c r="AN557" s="208">
        <f t="shared" si="299"/>
        <v>0</v>
      </c>
      <c r="AO557" s="208">
        <f t="shared" si="299"/>
        <v>0</v>
      </c>
      <c r="AP557" s="208">
        <f t="shared" si="299"/>
        <v>0</v>
      </c>
    </row>
    <row r="558" spans="1:42">
      <c r="A558" s="37">
        <f t="shared" ref="A558:A563" si="301">A557+1</f>
        <v>3</v>
      </c>
      <c r="C558" s="208">
        <f t="shared" si="300"/>
        <v>0</v>
      </c>
      <c r="D558" s="208">
        <f t="shared" si="299"/>
        <v>0</v>
      </c>
      <c r="E558" s="208">
        <f t="shared" si="299"/>
        <v>0</v>
      </c>
      <c r="F558" s="208">
        <f t="shared" si="299"/>
        <v>0</v>
      </c>
      <c r="G558" s="208">
        <f t="shared" si="299"/>
        <v>0</v>
      </c>
      <c r="H558" s="208">
        <f t="shared" si="299"/>
        <v>0</v>
      </c>
      <c r="I558" s="208">
        <f t="shared" si="299"/>
        <v>0</v>
      </c>
      <c r="J558" s="208">
        <f t="shared" si="299"/>
        <v>0</v>
      </c>
      <c r="K558" s="208">
        <f t="shared" si="299"/>
        <v>1</v>
      </c>
      <c r="L558" s="208">
        <f t="shared" si="299"/>
        <v>2</v>
      </c>
      <c r="M558" s="208">
        <f t="shared" si="299"/>
        <v>3</v>
      </c>
      <c r="N558" s="208">
        <f t="shared" si="299"/>
        <v>4</v>
      </c>
      <c r="O558" s="208">
        <f t="shared" si="299"/>
        <v>5</v>
      </c>
      <c r="P558" s="208">
        <f t="shared" si="299"/>
        <v>6</v>
      </c>
      <c r="Q558" s="208">
        <f t="shared" si="299"/>
        <v>7</v>
      </c>
      <c r="R558" s="208">
        <f t="shared" si="299"/>
        <v>8</v>
      </c>
      <c r="S558" s="208">
        <f t="shared" si="299"/>
        <v>9</v>
      </c>
      <c r="T558" s="208">
        <f t="shared" si="299"/>
        <v>10</v>
      </c>
      <c r="U558" s="208">
        <f t="shared" si="299"/>
        <v>11</v>
      </c>
      <c r="V558" s="208">
        <f t="shared" si="299"/>
        <v>12</v>
      </c>
      <c r="W558" s="208">
        <f t="shared" si="299"/>
        <v>13</v>
      </c>
      <c r="X558" s="208">
        <f t="shared" si="299"/>
        <v>14</v>
      </c>
      <c r="Y558" s="208">
        <f t="shared" si="299"/>
        <v>15</v>
      </c>
      <c r="Z558" s="208">
        <f t="shared" si="299"/>
        <v>16</v>
      </c>
      <c r="AA558" s="208">
        <f t="shared" si="299"/>
        <v>17</v>
      </c>
      <c r="AB558" s="208">
        <f t="shared" si="299"/>
        <v>18</v>
      </c>
      <c r="AC558" s="208">
        <f t="shared" si="299"/>
        <v>19</v>
      </c>
      <c r="AD558" s="208">
        <f t="shared" si="299"/>
        <v>20</v>
      </c>
      <c r="AE558" s="208">
        <f t="shared" si="299"/>
        <v>21</v>
      </c>
      <c r="AF558" s="208">
        <f t="shared" si="299"/>
        <v>22</v>
      </c>
      <c r="AG558" s="208">
        <f t="shared" si="299"/>
        <v>0</v>
      </c>
      <c r="AH558" s="208">
        <f t="shared" si="299"/>
        <v>0</v>
      </c>
      <c r="AI558" s="208">
        <f t="shared" si="299"/>
        <v>0</v>
      </c>
      <c r="AJ558" s="208">
        <f t="shared" si="299"/>
        <v>0</v>
      </c>
      <c r="AK558" s="208">
        <f t="shared" si="299"/>
        <v>0</v>
      </c>
      <c r="AL558" s="208">
        <f t="shared" si="299"/>
        <v>0</v>
      </c>
      <c r="AM558" s="208">
        <f t="shared" si="299"/>
        <v>0</v>
      </c>
      <c r="AN558" s="208">
        <f t="shared" si="299"/>
        <v>0</v>
      </c>
      <c r="AO558" s="208">
        <f t="shared" si="299"/>
        <v>0</v>
      </c>
      <c r="AP558" s="208">
        <f t="shared" si="299"/>
        <v>0</v>
      </c>
    </row>
    <row r="559" spans="1:42">
      <c r="A559" s="37">
        <f t="shared" si="301"/>
        <v>4</v>
      </c>
      <c r="C559" s="208">
        <f t="shared" si="300"/>
        <v>0</v>
      </c>
      <c r="D559" s="208">
        <f t="shared" si="299"/>
        <v>0</v>
      </c>
      <c r="E559" s="208">
        <f t="shared" si="299"/>
        <v>0</v>
      </c>
      <c r="F559" s="208">
        <f t="shared" si="299"/>
        <v>0</v>
      </c>
      <c r="G559" s="208">
        <f t="shared" si="299"/>
        <v>0</v>
      </c>
      <c r="H559" s="208">
        <f t="shared" si="299"/>
        <v>0</v>
      </c>
      <c r="I559" s="208">
        <f t="shared" si="299"/>
        <v>0</v>
      </c>
      <c r="J559" s="208">
        <f t="shared" si="299"/>
        <v>0</v>
      </c>
      <c r="K559" s="208">
        <f t="shared" si="299"/>
        <v>0</v>
      </c>
      <c r="L559" s="208">
        <f t="shared" si="299"/>
        <v>0</v>
      </c>
      <c r="M559" s="208">
        <f t="shared" si="299"/>
        <v>0</v>
      </c>
      <c r="N559" s="208">
        <f t="shared" si="299"/>
        <v>1</v>
      </c>
      <c r="O559" s="208">
        <f t="shared" si="299"/>
        <v>2</v>
      </c>
      <c r="P559" s="208">
        <f t="shared" si="299"/>
        <v>3</v>
      </c>
      <c r="Q559" s="208">
        <f t="shared" si="299"/>
        <v>4</v>
      </c>
      <c r="R559" s="208">
        <f t="shared" si="299"/>
        <v>5</v>
      </c>
      <c r="S559" s="208">
        <f t="shared" si="299"/>
        <v>6</v>
      </c>
      <c r="T559" s="208">
        <f t="shared" si="299"/>
        <v>7</v>
      </c>
      <c r="U559" s="208">
        <f t="shared" si="299"/>
        <v>8</v>
      </c>
      <c r="V559" s="208">
        <f t="shared" si="299"/>
        <v>9</v>
      </c>
      <c r="W559" s="208">
        <f t="shared" si="299"/>
        <v>10</v>
      </c>
      <c r="X559" s="208">
        <f t="shared" si="299"/>
        <v>11</v>
      </c>
      <c r="Y559" s="208">
        <f t="shared" si="299"/>
        <v>12</v>
      </c>
      <c r="Z559" s="208">
        <f t="shared" si="299"/>
        <v>13</v>
      </c>
      <c r="AA559" s="208">
        <f t="shared" si="299"/>
        <v>14</v>
      </c>
      <c r="AB559" s="208">
        <f t="shared" si="299"/>
        <v>15</v>
      </c>
      <c r="AC559" s="208">
        <f t="shared" si="299"/>
        <v>16</v>
      </c>
      <c r="AD559" s="208">
        <f t="shared" si="299"/>
        <v>17</v>
      </c>
      <c r="AE559" s="208">
        <f t="shared" si="299"/>
        <v>18</v>
      </c>
      <c r="AF559" s="208">
        <f t="shared" si="299"/>
        <v>19</v>
      </c>
      <c r="AG559" s="208">
        <f t="shared" si="299"/>
        <v>0</v>
      </c>
      <c r="AH559" s="208">
        <f t="shared" si="299"/>
        <v>0</v>
      </c>
      <c r="AI559" s="208">
        <f t="shared" si="299"/>
        <v>0</v>
      </c>
      <c r="AJ559" s="208">
        <f t="shared" si="299"/>
        <v>0</v>
      </c>
      <c r="AK559" s="208">
        <f t="shared" si="299"/>
        <v>0</v>
      </c>
      <c r="AL559" s="208">
        <f t="shared" si="299"/>
        <v>0</v>
      </c>
      <c r="AM559" s="208">
        <f t="shared" si="299"/>
        <v>0</v>
      </c>
      <c r="AN559" s="208">
        <f t="shared" si="299"/>
        <v>0</v>
      </c>
      <c r="AO559" s="208">
        <f t="shared" si="299"/>
        <v>0</v>
      </c>
      <c r="AP559" s="208">
        <f t="shared" si="299"/>
        <v>0</v>
      </c>
    </row>
    <row r="560" spans="1:42">
      <c r="A560" s="37">
        <f t="shared" si="301"/>
        <v>5</v>
      </c>
      <c r="C560" s="208">
        <f t="shared" si="300"/>
        <v>0</v>
      </c>
      <c r="D560" s="208">
        <f t="shared" si="299"/>
        <v>0</v>
      </c>
      <c r="E560" s="208">
        <f t="shared" si="299"/>
        <v>0</v>
      </c>
      <c r="F560" s="208">
        <f t="shared" si="299"/>
        <v>0</v>
      </c>
      <c r="G560" s="208">
        <f t="shared" si="299"/>
        <v>0</v>
      </c>
      <c r="H560" s="208">
        <f t="shared" si="299"/>
        <v>0</v>
      </c>
      <c r="I560" s="208">
        <f t="shared" si="299"/>
        <v>0</v>
      </c>
      <c r="J560" s="208">
        <f t="shared" si="299"/>
        <v>0</v>
      </c>
      <c r="K560" s="208">
        <f t="shared" si="299"/>
        <v>0</v>
      </c>
      <c r="L560" s="208">
        <f t="shared" si="299"/>
        <v>0</v>
      </c>
      <c r="M560" s="208">
        <f t="shared" si="299"/>
        <v>0</v>
      </c>
      <c r="N560" s="208">
        <f t="shared" si="299"/>
        <v>0</v>
      </c>
      <c r="O560" s="208">
        <f t="shared" si="299"/>
        <v>0</v>
      </c>
      <c r="P560" s="208">
        <f t="shared" si="299"/>
        <v>0</v>
      </c>
      <c r="Q560" s="208">
        <f t="shared" si="299"/>
        <v>1</v>
      </c>
      <c r="R560" s="208">
        <f t="shared" si="299"/>
        <v>2</v>
      </c>
      <c r="S560" s="208">
        <f t="shared" si="299"/>
        <v>3</v>
      </c>
      <c r="T560" s="208">
        <f t="shared" si="299"/>
        <v>4</v>
      </c>
      <c r="U560" s="208">
        <f t="shared" si="299"/>
        <v>5</v>
      </c>
      <c r="V560" s="208">
        <f t="shared" si="299"/>
        <v>6</v>
      </c>
      <c r="W560" s="208">
        <f t="shared" si="299"/>
        <v>7</v>
      </c>
      <c r="X560" s="208">
        <f t="shared" si="299"/>
        <v>8</v>
      </c>
      <c r="Y560" s="208">
        <f t="shared" si="299"/>
        <v>9</v>
      </c>
      <c r="Z560" s="208">
        <f t="shared" si="299"/>
        <v>10</v>
      </c>
      <c r="AA560" s="208">
        <f t="shared" si="299"/>
        <v>11</v>
      </c>
      <c r="AB560" s="208">
        <f t="shared" si="299"/>
        <v>12</v>
      </c>
      <c r="AC560" s="208">
        <f t="shared" si="299"/>
        <v>13</v>
      </c>
      <c r="AD560" s="208">
        <f t="shared" si="299"/>
        <v>14</v>
      </c>
      <c r="AE560" s="208">
        <f t="shared" si="299"/>
        <v>15</v>
      </c>
      <c r="AF560" s="208">
        <f t="shared" si="299"/>
        <v>16</v>
      </c>
      <c r="AG560" s="208">
        <f t="shared" si="299"/>
        <v>0</v>
      </c>
      <c r="AH560" s="208">
        <f t="shared" si="299"/>
        <v>0</v>
      </c>
      <c r="AI560" s="208">
        <f t="shared" si="299"/>
        <v>0</v>
      </c>
      <c r="AJ560" s="208">
        <f t="shared" si="299"/>
        <v>0</v>
      </c>
      <c r="AK560" s="208">
        <f t="shared" si="299"/>
        <v>0</v>
      </c>
      <c r="AL560" s="208">
        <f t="shared" si="299"/>
        <v>0</v>
      </c>
      <c r="AM560" s="208">
        <f t="shared" si="299"/>
        <v>0</v>
      </c>
      <c r="AN560" s="208">
        <f t="shared" si="299"/>
        <v>0</v>
      </c>
      <c r="AO560" s="208">
        <f t="shared" si="299"/>
        <v>0</v>
      </c>
      <c r="AP560" s="208">
        <f t="shared" si="299"/>
        <v>0</v>
      </c>
    </row>
    <row r="561" spans="1:42">
      <c r="A561" s="37">
        <f t="shared" si="301"/>
        <v>6</v>
      </c>
      <c r="C561" s="208">
        <f t="shared" si="300"/>
        <v>0</v>
      </c>
      <c r="D561" s="208">
        <f t="shared" si="299"/>
        <v>0</v>
      </c>
      <c r="E561" s="208">
        <f t="shared" si="299"/>
        <v>0</v>
      </c>
      <c r="F561" s="208">
        <f t="shared" si="299"/>
        <v>0</v>
      </c>
      <c r="G561" s="208">
        <f t="shared" si="299"/>
        <v>0</v>
      </c>
      <c r="H561" s="208">
        <f t="shared" si="299"/>
        <v>0</v>
      </c>
      <c r="I561" s="208">
        <f t="shared" si="299"/>
        <v>0</v>
      </c>
      <c r="J561" s="208">
        <f t="shared" si="299"/>
        <v>0</v>
      </c>
      <c r="K561" s="208">
        <f t="shared" si="299"/>
        <v>0</v>
      </c>
      <c r="L561" s="208">
        <f t="shared" si="299"/>
        <v>0</v>
      </c>
      <c r="M561" s="208">
        <f t="shared" si="299"/>
        <v>0</v>
      </c>
      <c r="N561" s="208">
        <f t="shared" si="299"/>
        <v>0</v>
      </c>
      <c r="O561" s="208">
        <f t="shared" si="299"/>
        <v>0</v>
      </c>
      <c r="P561" s="208">
        <f t="shared" si="299"/>
        <v>0</v>
      </c>
      <c r="Q561" s="208">
        <f t="shared" si="299"/>
        <v>0</v>
      </c>
      <c r="R561" s="208">
        <f t="shared" si="299"/>
        <v>0</v>
      </c>
      <c r="S561" s="208">
        <f t="shared" si="299"/>
        <v>0</v>
      </c>
      <c r="T561" s="208">
        <f t="shared" si="299"/>
        <v>1</v>
      </c>
      <c r="U561" s="208">
        <f t="shared" si="299"/>
        <v>2</v>
      </c>
      <c r="V561" s="208">
        <f t="shared" si="299"/>
        <v>3</v>
      </c>
      <c r="W561" s="208">
        <f t="shared" si="299"/>
        <v>4</v>
      </c>
      <c r="X561" s="208">
        <f t="shared" si="299"/>
        <v>5</v>
      </c>
      <c r="Y561" s="208">
        <f t="shared" si="299"/>
        <v>6</v>
      </c>
      <c r="Z561" s="208">
        <f t="shared" si="299"/>
        <v>7</v>
      </c>
      <c r="AA561" s="208">
        <f t="shared" si="299"/>
        <v>8</v>
      </c>
      <c r="AB561" s="208">
        <f t="shared" si="299"/>
        <v>9</v>
      </c>
      <c r="AC561" s="208">
        <f t="shared" si="299"/>
        <v>10</v>
      </c>
      <c r="AD561" s="208">
        <f t="shared" si="299"/>
        <v>11</v>
      </c>
      <c r="AE561" s="208">
        <f t="shared" si="299"/>
        <v>12</v>
      </c>
      <c r="AF561" s="208">
        <f t="shared" si="299"/>
        <v>13</v>
      </c>
      <c r="AG561" s="208">
        <f t="shared" si="299"/>
        <v>0</v>
      </c>
      <c r="AH561" s="208">
        <f t="shared" si="299"/>
        <v>0</v>
      </c>
      <c r="AI561" s="208">
        <f t="shared" si="299"/>
        <v>0</v>
      </c>
      <c r="AJ561" s="208">
        <f t="shared" si="299"/>
        <v>0</v>
      </c>
      <c r="AK561" s="208">
        <f t="shared" si="299"/>
        <v>0</v>
      </c>
      <c r="AL561" s="208">
        <f t="shared" si="299"/>
        <v>0</v>
      </c>
      <c r="AM561" s="208">
        <f t="shared" si="299"/>
        <v>0</v>
      </c>
      <c r="AN561" s="208">
        <f t="shared" si="299"/>
        <v>0</v>
      </c>
      <c r="AO561" s="208">
        <f t="shared" si="299"/>
        <v>0</v>
      </c>
      <c r="AP561" s="208">
        <f t="shared" si="299"/>
        <v>0</v>
      </c>
    </row>
    <row r="562" spans="1:42">
      <c r="A562" s="37">
        <f t="shared" si="301"/>
        <v>7</v>
      </c>
      <c r="C562" s="208">
        <f t="shared" si="300"/>
        <v>0</v>
      </c>
      <c r="D562" s="208">
        <f t="shared" si="299"/>
        <v>0</v>
      </c>
      <c r="E562" s="208">
        <f t="shared" si="299"/>
        <v>0</v>
      </c>
      <c r="F562" s="208">
        <f t="shared" si="299"/>
        <v>0</v>
      </c>
      <c r="G562" s="208">
        <f t="shared" si="299"/>
        <v>0</v>
      </c>
      <c r="H562" s="208">
        <f t="shared" si="299"/>
        <v>0</v>
      </c>
      <c r="I562" s="208">
        <f t="shared" si="299"/>
        <v>0</v>
      </c>
      <c r="J562" s="208">
        <f t="shared" si="299"/>
        <v>0</v>
      </c>
      <c r="K562" s="208">
        <f t="shared" si="299"/>
        <v>0</v>
      </c>
      <c r="L562" s="208">
        <f t="shared" si="299"/>
        <v>0</v>
      </c>
      <c r="M562" s="208">
        <f t="shared" si="299"/>
        <v>0</v>
      </c>
      <c r="N562" s="208">
        <f t="shared" si="299"/>
        <v>0</v>
      </c>
      <c r="O562" s="208">
        <f t="shared" si="299"/>
        <v>0</v>
      </c>
      <c r="P562" s="208">
        <f t="shared" si="299"/>
        <v>0</v>
      </c>
      <c r="Q562" s="208">
        <f t="shared" si="299"/>
        <v>0</v>
      </c>
      <c r="R562" s="208">
        <f t="shared" si="299"/>
        <v>0</v>
      </c>
      <c r="S562" s="208">
        <f t="shared" si="299"/>
        <v>0</v>
      </c>
      <c r="T562" s="208">
        <f t="shared" si="299"/>
        <v>0</v>
      </c>
      <c r="U562" s="208">
        <f t="shared" si="299"/>
        <v>0</v>
      </c>
      <c r="V562" s="208">
        <f t="shared" si="299"/>
        <v>0</v>
      </c>
      <c r="W562" s="208">
        <f t="shared" si="299"/>
        <v>1</v>
      </c>
      <c r="X562" s="208">
        <f t="shared" si="299"/>
        <v>2</v>
      </c>
      <c r="Y562" s="208">
        <f t="shared" si="299"/>
        <v>3</v>
      </c>
      <c r="Z562" s="208">
        <f t="shared" si="299"/>
        <v>4</v>
      </c>
      <c r="AA562" s="208">
        <f t="shared" si="299"/>
        <v>5</v>
      </c>
      <c r="AB562" s="208">
        <f t="shared" si="299"/>
        <v>6</v>
      </c>
      <c r="AC562" s="208">
        <f t="shared" si="299"/>
        <v>7</v>
      </c>
      <c r="AD562" s="208">
        <f t="shared" si="299"/>
        <v>8</v>
      </c>
      <c r="AE562" s="208">
        <f t="shared" si="299"/>
        <v>9</v>
      </c>
      <c r="AF562" s="208">
        <f t="shared" si="299"/>
        <v>10</v>
      </c>
      <c r="AG562" s="208">
        <f t="shared" si="299"/>
        <v>0</v>
      </c>
      <c r="AH562" s="208">
        <f t="shared" si="299"/>
        <v>0</v>
      </c>
      <c r="AI562" s="208">
        <f t="shared" si="299"/>
        <v>0</v>
      </c>
      <c r="AJ562" s="208">
        <f t="shared" si="299"/>
        <v>0</v>
      </c>
      <c r="AK562" s="208">
        <f t="shared" si="299"/>
        <v>0</v>
      </c>
      <c r="AL562" s="208">
        <f t="shared" si="299"/>
        <v>0</v>
      </c>
      <c r="AM562" s="208">
        <f t="shared" si="299"/>
        <v>0</v>
      </c>
      <c r="AN562" s="208">
        <f t="shared" ref="AN562:AP562" si="302">AN427</f>
        <v>0</v>
      </c>
      <c r="AO562" s="208">
        <f t="shared" si="302"/>
        <v>0</v>
      </c>
      <c r="AP562" s="208">
        <f t="shared" si="302"/>
        <v>0</v>
      </c>
    </row>
    <row r="563" spans="1:42">
      <c r="A563" s="37">
        <f t="shared" si="301"/>
        <v>8</v>
      </c>
      <c r="C563" s="208">
        <f t="shared" si="300"/>
        <v>0</v>
      </c>
      <c r="D563" s="208">
        <f t="shared" si="300"/>
        <v>0</v>
      </c>
      <c r="E563" s="208">
        <f t="shared" si="300"/>
        <v>0</v>
      </c>
      <c r="F563" s="208">
        <f t="shared" si="300"/>
        <v>0</v>
      </c>
      <c r="G563" s="208">
        <f t="shared" si="300"/>
        <v>0</v>
      </c>
      <c r="H563" s="208">
        <f t="shared" si="300"/>
        <v>0</v>
      </c>
      <c r="I563" s="208">
        <f t="shared" si="300"/>
        <v>0</v>
      </c>
      <c r="J563" s="208">
        <f t="shared" si="300"/>
        <v>0</v>
      </c>
      <c r="K563" s="208">
        <f t="shared" si="300"/>
        <v>0</v>
      </c>
      <c r="L563" s="208">
        <f t="shared" si="300"/>
        <v>0</v>
      </c>
      <c r="M563" s="208">
        <f t="shared" si="300"/>
        <v>0</v>
      </c>
      <c r="N563" s="208">
        <f t="shared" si="300"/>
        <v>0</v>
      </c>
      <c r="O563" s="208">
        <f t="shared" si="300"/>
        <v>0</v>
      </c>
      <c r="P563" s="208">
        <f t="shared" si="300"/>
        <v>0</v>
      </c>
      <c r="Q563" s="208">
        <f t="shared" si="300"/>
        <v>0</v>
      </c>
      <c r="R563" s="208">
        <f t="shared" si="300"/>
        <v>0</v>
      </c>
      <c r="S563" s="208">
        <f t="shared" ref="S563:AP565" si="303">S428</f>
        <v>0</v>
      </c>
      <c r="T563" s="208">
        <f t="shared" si="303"/>
        <v>0</v>
      </c>
      <c r="U563" s="208">
        <f t="shared" si="303"/>
        <v>0</v>
      </c>
      <c r="V563" s="208">
        <f t="shared" si="303"/>
        <v>0</v>
      </c>
      <c r="W563" s="208">
        <f t="shared" si="303"/>
        <v>0</v>
      </c>
      <c r="X563" s="208">
        <f t="shared" si="303"/>
        <v>0</v>
      </c>
      <c r="Y563" s="208">
        <f t="shared" si="303"/>
        <v>0</v>
      </c>
      <c r="Z563" s="208">
        <f t="shared" si="303"/>
        <v>1</v>
      </c>
      <c r="AA563" s="208">
        <f t="shared" si="303"/>
        <v>2</v>
      </c>
      <c r="AB563" s="208">
        <f t="shared" si="303"/>
        <v>3</v>
      </c>
      <c r="AC563" s="208">
        <f t="shared" si="303"/>
        <v>4</v>
      </c>
      <c r="AD563" s="208">
        <f t="shared" si="303"/>
        <v>5</v>
      </c>
      <c r="AE563" s="208">
        <f t="shared" si="303"/>
        <v>6</v>
      </c>
      <c r="AF563" s="208">
        <f t="shared" si="303"/>
        <v>7</v>
      </c>
      <c r="AG563" s="208">
        <f t="shared" si="303"/>
        <v>0</v>
      </c>
      <c r="AH563" s="208">
        <f t="shared" si="303"/>
        <v>0</v>
      </c>
      <c r="AI563" s="208">
        <f t="shared" si="303"/>
        <v>0</v>
      </c>
      <c r="AJ563" s="208">
        <f t="shared" si="303"/>
        <v>0</v>
      </c>
      <c r="AK563" s="208">
        <f t="shared" si="303"/>
        <v>0</v>
      </c>
      <c r="AL563" s="208">
        <f t="shared" si="303"/>
        <v>0</v>
      </c>
      <c r="AM563" s="208">
        <f t="shared" si="303"/>
        <v>0</v>
      </c>
      <c r="AN563" s="208">
        <f t="shared" si="303"/>
        <v>0</v>
      </c>
      <c r="AO563" s="208">
        <f t="shared" si="303"/>
        <v>0</v>
      </c>
      <c r="AP563" s="208">
        <f t="shared" si="303"/>
        <v>0</v>
      </c>
    </row>
    <row r="564" spans="1:42">
      <c r="A564" s="37">
        <f>A563+1</f>
        <v>9</v>
      </c>
      <c r="C564" s="208">
        <f t="shared" si="300"/>
        <v>0</v>
      </c>
      <c r="D564" s="208">
        <f t="shared" si="300"/>
        <v>0</v>
      </c>
      <c r="E564" s="208">
        <f t="shared" si="300"/>
        <v>0</v>
      </c>
      <c r="F564" s="208">
        <f t="shared" si="300"/>
        <v>0</v>
      </c>
      <c r="G564" s="208">
        <f t="shared" si="300"/>
        <v>0</v>
      </c>
      <c r="H564" s="208">
        <f t="shared" si="300"/>
        <v>0</v>
      </c>
      <c r="I564" s="208">
        <f t="shared" si="300"/>
        <v>0</v>
      </c>
      <c r="J564" s="208">
        <f t="shared" si="300"/>
        <v>0</v>
      </c>
      <c r="K564" s="208">
        <f t="shared" si="300"/>
        <v>0</v>
      </c>
      <c r="L564" s="208">
        <f t="shared" si="300"/>
        <v>0</v>
      </c>
      <c r="M564" s="208">
        <f t="shared" si="300"/>
        <v>0</v>
      </c>
      <c r="N564" s="208">
        <f t="shared" si="300"/>
        <v>0</v>
      </c>
      <c r="O564" s="208">
        <f t="shared" si="300"/>
        <v>0</v>
      </c>
      <c r="P564" s="208">
        <f t="shared" si="300"/>
        <v>0</v>
      </c>
      <c r="Q564" s="208">
        <f t="shared" si="300"/>
        <v>0</v>
      </c>
      <c r="R564" s="208">
        <f t="shared" si="300"/>
        <v>0</v>
      </c>
      <c r="S564" s="208">
        <f t="shared" si="303"/>
        <v>0</v>
      </c>
      <c r="T564" s="208">
        <f t="shared" si="303"/>
        <v>0</v>
      </c>
      <c r="U564" s="208">
        <f t="shared" si="303"/>
        <v>0</v>
      </c>
      <c r="V564" s="208">
        <f t="shared" si="303"/>
        <v>0</v>
      </c>
      <c r="W564" s="208">
        <f t="shared" si="303"/>
        <v>0</v>
      </c>
      <c r="X564" s="208">
        <f t="shared" si="303"/>
        <v>0</v>
      </c>
      <c r="Y564" s="208">
        <f t="shared" si="303"/>
        <v>0</v>
      </c>
      <c r="Z564" s="208">
        <f t="shared" si="303"/>
        <v>0</v>
      </c>
      <c r="AA564" s="208">
        <f t="shared" si="303"/>
        <v>0</v>
      </c>
      <c r="AB564" s="208">
        <f t="shared" si="303"/>
        <v>0</v>
      </c>
      <c r="AC564" s="208">
        <f t="shared" si="303"/>
        <v>1</v>
      </c>
      <c r="AD564" s="208">
        <f t="shared" si="303"/>
        <v>2</v>
      </c>
      <c r="AE564" s="208">
        <f t="shared" si="303"/>
        <v>3</v>
      </c>
      <c r="AF564" s="208">
        <f t="shared" si="303"/>
        <v>4</v>
      </c>
      <c r="AG564" s="208">
        <f t="shared" si="303"/>
        <v>0</v>
      </c>
      <c r="AH564" s="208">
        <f t="shared" si="303"/>
        <v>0</v>
      </c>
      <c r="AI564" s="208">
        <f t="shared" si="303"/>
        <v>0</v>
      </c>
      <c r="AJ564" s="208">
        <f t="shared" si="303"/>
        <v>0</v>
      </c>
      <c r="AK564" s="208">
        <f t="shared" si="303"/>
        <v>0</v>
      </c>
      <c r="AL564" s="208">
        <f t="shared" si="303"/>
        <v>0</v>
      </c>
      <c r="AM564" s="208">
        <f t="shared" si="303"/>
        <v>0</v>
      </c>
      <c r="AN564" s="208">
        <f t="shared" si="303"/>
        <v>0</v>
      </c>
      <c r="AO564" s="208">
        <f t="shared" si="303"/>
        <v>0</v>
      </c>
      <c r="AP564" s="208">
        <f t="shared" si="303"/>
        <v>0</v>
      </c>
    </row>
    <row r="565" spans="1:42">
      <c r="A565" s="37">
        <f t="shared" ref="A565" si="304">A564+1</f>
        <v>10</v>
      </c>
      <c r="C565" s="208">
        <f t="shared" si="300"/>
        <v>0</v>
      </c>
      <c r="D565" s="208">
        <f t="shared" si="300"/>
        <v>0</v>
      </c>
      <c r="E565" s="208">
        <f t="shared" si="300"/>
        <v>0</v>
      </c>
      <c r="F565" s="208">
        <f t="shared" si="300"/>
        <v>0</v>
      </c>
      <c r="G565" s="208">
        <f t="shared" si="300"/>
        <v>0</v>
      </c>
      <c r="H565" s="208">
        <f t="shared" si="300"/>
        <v>0</v>
      </c>
      <c r="I565" s="208">
        <f t="shared" si="300"/>
        <v>0</v>
      </c>
      <c r="J565" s="208">
        <f t="shared" si="300"/>
        <v>0</v>
      </c>
      <c r="K565" s="208">
        <f t="shared" si="300"/>
        <v>0</v>
      </c>
      <c r="L565" s="208">
        <f t="shared" si="300"/>
        <v>0</v>
      </c>
      <c r="M565" s="208">
        <f t="shared" si="300"/>
        <v>0</v>
      </c>
      <c r="N565" s="208">
        <f t="shared" si="300"/>
        <v>0</v>
      </c>
      <c r="O565" s="208">
        <f t="shared" si="300"/>
        <v>0</v>
      </c>
      <c r="P565" s="208">
        <f t="shared" si="300"/>
        <v>0</v>
      </c>
      <c r="Q565" s="208">
        <f t="shared" si="300"/>
        <v>0</v>
      </c>
      <c r="R565" s="208">
        <f t="shared" si="300"/>
        <v>0</v>
      </c>
      <c r="S565" s="208">
        <f t="shared" si="303"/>
        <v>0</v>
      </c>
      <c r="T565" s="208">
        <f t="shared" si="303"/>
        <v>0</v>
      </c>
      <c r="U565" s="208">
        <f t="shared" si="303"/>
        <v>0</v>
      </c>
      <c r="V565" s="208">
        <f t="shared" si="303"/>
        <v>0</v>
      </c>
      <c r="W565" s="208">
        <f t="shared" si="303"/>
        <v>0</v>
      </c>
      <c r="X565" s="208">
        <f t="shared" si="303"/>
        <v>0</v>
      </c>
      <c r="Y565" s="208">
        <f t="shared" si="303"/>
        <v>0</v>
      </c>
      <c r="Z565" s="208">
        <f t="shared" si="303"/>
        <v>0</v>
      </c>
      <c r="AA565" s="208">
        <f t="shared" si="303"/>
        <v>0</v>
      </c>
      <c r="AB565" s="208">
        <f t="shared" si="303"/>
        <v>0</v>
      </c>
      <c r="AC565" s="208">
        <f t="shared" si="303"/>
        <v>0</v>
      </c>
      <c r="AD565" s="208">
        <f t="shared" si="303"/>
        <v>0</v>
      </c>
      <c r="AE565" s="208">
        <f t="shared" si="303"/>
        <v>0</v>
      </c>
      <c r="AF565" s="208">
        <f t="shared" si="303"/>
        <v>1</v>
      </c>
      <c r="AG565" s="208">
        <f t="shared" si="303"/>
        <v>0</v>
      </c>
      <c r="AH565" s="208">
        <f t="shared" si="303"/>
        <v>0</v>
      </c>
      <c r="AI565" s="208">
        <f t="shared" si="303"/>
        <v>0</v>
      </c>
      <c r="AJ565" s="208">
        <f t="shared" si="303"/>
        <v>0</v>
      </c>
      <c r="AK565" s="208">
        <f t="shared" si="303"/>
        <v>0</v>
      </c>
      <c r="AL565" s="208">
        <f t="shared" si="303"/>
        <v>0</v>
      </c>
      <c r="AM565" s="208">
        <f t="shared" si="303"/>
        <v>0</v>
      </c>
      <c r="AN565" s="208">
        <f t="shared" si="303"/>
        <v>0</v>
      </c>
      <c r="AO565" s="208">
        <f t="shared" si="303"/>
        <v>0</v>
      </c>
      <c r="AP565" s="208">
        <f t="shared" si="303"/>
        <v>0</v>
      </c>
    </row>
    <row r="566" spans="1:42">
      <c r="A566" s="226"/>
      <c r="C566" s="208"/>
      <c r="D566" s="208"/>
      <c r="E566" s="208"/>
      <c r="F566" s="208"/>
      <c r="G566" s="208"/>
      <c r="H566" s="208"/>
      <c r="I566" s="208"/>
      <c r="J566" s="208"/>
      <c r="K566" s="208"/>
      <c r="L566" s="208"/>
      <c r="M566" s="208"/>
      <c r="N566" s="208"/>
      <c r="O566" s="208"/>
      <c r="P566" s="208"/>
      <c r="Q566" s="208"/>
      <c r="R566" s="208"/>
      <c r="S566" s="208"/>
      <c r="T566" s="208"/>
      <c r="U566" s="208"/>
      <c r="V566" s="208"/>
      <c r="W566" s="208"/>
      <c r="X566" s="208"/>
      <c r="Y566" s="208"/>
      <c r="Z566" s="208"/>
      <c r="AA566" s="208"/>
      <c r="AB566" s="208"/>
      <c r="AC566" s="208"/>
      <c r="AD566" s="208"/>
      <c r="AE566" s="208"/>
      <c r="AF566" s="208"/>
      <c r="AG566" s="208"/>
      <c r="AH566" s="208"/>
      <c r="AI566" s="208"/>
      <c r="AJ566" s="208"/>
      <c r="AK566" s="208"/>
      <c r="AL566" s="208"/>
      <c r="AM566" s="208"/>
      <c r="AN566" s="208"/>
      <c r="AO566" s="208"/>
      <c r="AP566" s="208"/>
    </row>
    <row r="567" spans="1:42">
      <c r="A567" s="226" t="s">
        <v>221</v>
      </c>
      <c r="C567" s="208"/>
      <c r="D567" s="208"/>
      <c r="E567" s="208"/>
      <c r="F567" s="208"/>
      <c r="G567" s="208"/>
      <c r="H567" s="208"/>
      <c r="I567" s="208"/>
      <c r="J567" s="208"/>
      <c r="K567" s="208"/>
      <c r="L567" s="208"/>
      <c r="M567" s="208"/>
      <c r="N567" s="208"/>
      <c r="O567" s="208"/>
      <c r="P567" s="208"/>
      <c r="Q567" s="208"/>
      <c r="R567" s="208"/>
      <c r="S567" s="208"/>
      <c r="T567" s="208"/>
      <c r="U567" s="208"/>
      <c r="V567" s="208"/>
      <c r="W567" s="208"/>
      <c r="X567" s="208"/>
      <c r="Y567" s="208"/>
      <c r="Z567" s="208"/>
      <c r="AA567" s="208"/>
      <c r="AB567" s="208"/>
      <c r="AC567" s="208"/>
      <c r="AD567" s="208"/>
      <c r="AE567" s="208"/>
      <c r="AF567" s="208"/>
      <c r="AG567" s="208"/>
      <c r="AH567" s="208"/>
      <c r="AI567" s="208"/>
      <c r="AJ567" s="208"/>
      <c r="AK567" s="208"/>
      <c r="AL567" s="208"/>
      <c r="AM567" s="208"/>
      <c r="AN567" s="208"/>
      <c r="AO567" s="208"/>
      <c r="AP567" s="208"/>
    </row>
    <row r="568" spans="1:42">
      <c r="A568" s="37">
        <v>1</v>
      </c>
      <c r="B568" s="218">
        <f t="shared" ref="B568:B577" si="305">SUM(C568:AP568)</f>
        <v>103022.49999999997</v>
      </c>
      <c r="C568" s="250">
        <f t="shared" ref="C568:AP568" si="306">LOOKUP(C556,$B$499:$AP$499,$B$500:$AP$500)*$B789</f>
        <v>0</v>
      </c>
      <c r="D568" s="208">
        <f t="shared" si="306"/>
        <v>0</v>
      </c>
      <c r="E568" s="208">
        <f t="shared" si="306"/>
        <v>20604.499999999996</v>
      </c>
      <c r="F568" s="208">
        <f t="shared" si="306"/>
        <v>32967.19999999999</v>
      </c>
      <c r="G568" s="208">
        <f t="shared" si="306"/>
        <v>19780.319999999996</v>
      </c>
      <c r="H568" s="208">
        <f t="shared" si="306"/>
        <v>11868.191999999995</v>
      </c>
      <c r="I568" s="208">
        <f t="shared" si="306"/>
        <v>11868.191999999995</v>
      </c>
      <c r="J568" s="208">
        <f t="shared" si="306"/>
        <v>5934.0959999999977</v>
      </c>
      <c r="K568" s="208">
        <f t="shared" si="306"/>
        <v>0</v>
      </c>
      <c r="L568" s="208">
        <f t="shared" si="306"/>
        <v>0</v>
      </c>
      <c r="M568" s="208">
        <f t="shared" si="306"/>
        <v>0</v>
      </c>
      <c r="N568" s="208">
        <f t="shared" si="306"/>
        <v>0</v>
      </c>
      <c r="O568" s="208">
        <f t="shared" si="306"/>
        <v>0</v>
      </c>
      <c r="P568" s="208">
        <f t="shared" si="306"/>
        <v>0</v>
      </c>
      <c r="Q568" s="208">
        <f t="shared" si="306"/>
        <v>0</v>
      </c>
      <c r="R568" s="208">
        <f t="shared" si="306"/>
        <v>0</v>
      </c>
      <c r="S568" s="208">
        <f t="shared" si="306"/>
        <v>0</v>
      </c>
      <c r="T568" s="208">
        <f t="shared" si="306"/>
        <v>0</v>
      </c>
      <c r="U568" s="208">
        <f t="shared" si="306"/>
        <v>0</v>
      </c>
      <c r="V568" s="208">
        <f t="shared" si="306"/>
        <v>0</v>
      </c>
      <c r="W568" s="208">
        <f t="shared" si="306"/>
        <v>0</v>
      </c>
      <c r="X568" s="208">
        <f t="shared" si="306"/>
        <v>0</v>
      </c>
      <c r="Y568" s="208">
        <f t="shared" si="306"/>
        <v>0</v>
      </c>
      <c r="Z568" s="208">
        <f t="shared" si="306"/>
        <v>0</v>
      </c>
      <c r="AA568" s="208">
        <f t="shared" si="306"/>
        <v>0</v>
      </c>
      <c r="AB568" s="208">
        <f t="shared" si="306"/>
        <v>0</v>
      </c>
      <c r="AC568" s="208">
        <f t="shared" si="306"/>
        <v>0</v>
      </c>
      <c r="AD568" s="208">
        <f t="shared" si="306"/>
        <v>0</v>
      </c>
      <c r="AE568" s="208">
        <f t="shared" si="306"/>
        <v>0</v>
      </c>
      <c r="AF568" s="208">
        <f t="shared" si="306"/>
        <v>0</v>
      </c>
      <c r="AG568" s="208">
        <f t="shared" si="306"/>
        <v>0</v>
      </c>
      <c r="AH568" s="208">
        <f t="shared" si="306"/>
        <v>0</v>
      </c>
      <c r="AI568" s="208">
        <f t="shared" si="306"/>
        <v>0</v>
      </c>
      <c r="AJ568" s="208">
        <f t="shared" si="306"/>
        <v>0</v>
      </c>
      <c r="AK568" s="208">
        <f t="shared" si="306"/>
        <v>0</v>
      </c>
      <c r="AL568" s="208">
        <f t="shared" si="306"/>
        <v>0</v>
      </c>
      <c r="AM568" s="208">
        <f t="shared" si="306"/>
        <v>0</v>
      </c>
      <c r="AN568" s="208">
        <f t="shared" si="306"/>
        <v>0</v>
      </c>
      <c r="AO568" s="208">
        <f t="shared" si="306"/>
        <v>0</v>
      </c>
      <c r="AP568" s="208">
        <f t="shared" si="306"/>
        <v>0</v>
      </c>
    </row>
    <row r="569" spans="1:42">
      <c r="A569" s="37">
        <f>A568+1</f>
        <v>2</v>
      </c>
      <c r="B569" s="218">
        <f t="shared" si="305"/>
        <v>107728.40038843744</v>
      </c>
      <c r="C569" s="250">
        <f t="shared" ref="C569:AP569" si="307">LOOKUP(C557,$B$499:$AP$499,$B$500:$AP$500)*$B790</f>
        <v>0</v>
      </c>
      <c r="D569" s="208">
        <f t="shared" si="307"/>
        <v>0</v>
      </c>
      <c r="E569" s="208">
        <f t="shared" si="307"/>
        <v>0</v>
      </c>
      <c r="F569" s="208">
        <f t="shared" si="307"/>
        <v>0</v>
      </c>
      <c r="G569" s="208">
        <f t="shared" si="307"/>
        <v>0</v>
      </c>
      <c r="H569" s="208">
        <f t="shared" si="307"/>
        <v>21545.680077687488</v>
      </c>
      <c r="I569" s="208">
        <f t="shared" si="307"/>
        <v>34473.088124299975</v>
      </c>
      <c r="J569" s="208">
        <f t="shared" si="307"/>
        <v>20683.852874579985</v>
      </c>
      <c r="K569" s="208">
        <f t="shared" si="307"/>
        <v>12410.311724747991</v>
      </c>
      <c r="L569" s="208">
        <f t="shared" si="307"/>
        <v>12410.311724747991</v>
      </c>
      <c r="M569" s="208">
        <f t="shared" si="307"/>
        <v>6205.1558623739957</v>
      </c>
      <c r="N569" s="208">
        <f t="shared" si="307"/>
        <v>0</v>
      </c>
      <c r="O569" s="208">
        <f t="shared" si="307"/>
        <v>0</v>
      </c>
      <c r="P569" s="208">
        <f t="shared" si="307"/>
        <v>0</v>
      </c>
      <c r="Q569" s="208">
        <f t="shared" si="307"/>
        <v>0</v>
      </c>
      <c r="R569" s="208">
        <f t="shared" si="307"/>
        <v>0</v>
      </c>
      <c r="S569" s="208">
        <f t="shared" si="307"/>
        <v>0</v>
      </c>
      <c r="T569" s="208">
        <f t="shared" si="307"/>
        <v>0</v>
      </c>
      <c r="U569" s="208">
        <f t="shared" si="307"/>
        <v>0</v>
      </c>
      <c r="V569" s="208">
        <f t="shared" si="307"/>
        <v>0</v>
      </c>
      <c r="W569" s="208">
        <f t="shared" si="307"/>
        <v>0</v>
      </c>
      <c r="X569" s="208">
        <f t="shared" si="307"/>
        <v>0</v>
      </c>
      <c r="Y569" s="208">
        <f t="shared" si="307"/>
        <v>0</v>
      </c>
      <c r="Z569" s="208">
        <f t="shared" si="307"/>
        <v>0</v>
      </c>
      <c r="AA569" s="208">
        <f t="shared" si="307"/>
        <v>0</v>
      </c>
      <c r="AB569" s="208">
        <f t="shared" si="307"/>
        <v>0</v>
      </c>
      <c r="AC569" s="208">
        <f t="shared" si="307"/>
        <v>0</v>
      </c>
      <c r="AD569" s="208">
        <f t="shared" si="307"/>
        <v>0</v>
      </c>
      <c r="AE569" s="208">
        <f t="shared" si="307"/>
        <v>0</v>
      </c>
      <c r="AF569" s="208">
        <f t="shared" si="307"/>
        <v>0</v>
      </c>
      <c r="AG569" s="208">
        <f t="shared" si="307"/>
        <v>0</v>
      </c>
      <c r="AH569" s="208">
        <f t="shared" si="307"/>
        <v>0</v>
      </c>
      <c r="AI569" s="208">
        <f t="shared" si="307"/>
        <v>0</v>
      </c>
      <c r="AJ569" s="208">
        <f t="shared" si="307"/>
        <v>0</v>
      </c>
      <c r="AK569" s="208">
        <f t="shared" si="307"/>
        <v>0</v>
      </c>
      <c r="AL569" s="208">
        <f t="shared" si="307"/>
        <v>0</v>
      </c>
      <c r="AM569" s="208">
        <f t="shared" si="307"/>
        <v>0</v>
      </c>
      <c r="AN569" s="208">
        <f t="shared" si="307"/>
        <v>0</v>
      </c>
      <c r="AO569" s="208">
        <f t="shared" si="307"/>
        <v>0</v>
      </c>
      <c r="AP569" s="208">
        <f t="shared" si="307"/>
        <v>0</v>
      </c>
    </row>
    <row r="570" spans="1:42">
      <c r="A570" s="37">
        <f t="shared" ref="A570:A575" si="308">A569+1</f>
        <v>3</v>
      </c>
      <c r="B570" s="218">
        <f t="shared" si="305"/>
        <v>112649.25865953058</v>
      </c>
      <c r="C570" s="250">
        <f t="shared" ref="C570:AP570" si="309">LOOKUP(C558,$B$499:$AP$499,$B$500:$AP$500)*$B791</f>
        <v>0</v>
      </c>
      <c r="D570" s="208">
        <f t="shared" si="309"/>
        <v>0</v>
      </c>
      <c r="E570" s="208">
        <f t="shared" si="309"/>
        <v>0</v>
      </c>
      <c r="F570" s="208">
        <f t="shared" si="309"/>
        <v>0</v>
      </c>
      <c r="G570" s="208">
        <f t="shared" si="309"/>
        <v>0</v>
      </c>
      <c r="H570" s="208">
        <f t="shared" si="309"/>
        <v>0</v>
      </c>
      <c r="I570" s="208">
        <f t="shared" si="309"/>
        <v>0</v>
      </c>
      <c r="J570" s="208">
        <f t="shared" si="309"/>
        <v>0</v>
      </c>
      <c r="K570" s="208">
        <f t="shared" si="309"/>
        <v>22529.851731906117</v>
      </c>
      <c r="L570" s="208">
        <f t="shared" si="309"/>
        <v>36047.762771049784</v>
      </c>
      <c r="M570" s="208">
        <f t="shared" si="309"/>
        <v>21628.65766262987</v>
      </c>
      <c r="N570" s="208">
        <f t="shared" si="309"/>
        <v>12977.194597577922</v>
      </c>
      <c r="O570" s="208">
        <f t="shared" si="309"/>
        <v>12977.194597577922</v>
      </c>
      <c r="P570" s="208">
        <f t="shared" si="309"/>
        <v>6488.5972987889609</v>
      </c>
      <c r="Q570" s="208">
        <f t="shared" si="309"/>
        <v>0</v>
      </c>
      <c r="R570" s="208">
        <f t="shared" si="309"/>
        <v>0</v>
      </c>
      <c r="S570" s="208">
        <f t="shared" si="309"/>
        <v>0</v>
      </c>
      <c r="T570" s="208">
        <f t="shared" si="309"/>
        <v>0</v>
      </c>
      <c r="U570" s="208">
        <f t="shared" si="309"/>
        <v>0</v>
      </c>
      <c r="V570" s="208">
        <f t="shared" si="309"/>
        <v>0</v>
      </c>
      <c r="W570" s="208">
        <f t="shared" si="309"/>
        <v>0</v>
      </c>
      <c r="X570" s="208">
        <f t="shared" si="309"/>
        <v>0</v>
      </c>
      <c r="Y570" s="208">
        <f t="shared" si="309"/>
        <v>0</v>
      </c>
      <c r="Z570" s="208">
        <f t="shared" si="309"/>
        <v>0</v>
      </c>
      <c r="AA570" s="208">
        <f t="shared" si="309"/>
        <v>0</v>
      </c>
      <c r="AB570" s="208">
        <f t="shared" si="309"/>
        <v>0</v>
      </c>
      <c r="AC570" s="208">
        <f t="shared" si="309"/>
        <v>0</v>
      </c>
      <c r="AD570" s="208">
        <f t="shared" si="309"/>
        <v>0</v>
      </c>
      <c r="AE570" s="208">
        <f t="shared" si="309"/>
        <v>0</v>
      </c>
      <c r="AF570" s="208">
        <f t="shared" si="309"/>
        <v>0</v>
      </c>
      <c r="AG570" s="208">
        <f t="shared" si="309"/>
        <v>0</v>
      </c>
      <c r="AH570" s="208">
        <f t="shared" si="309"/>
        <v>0</v>
      </c>
      <c r="AI570" s="208">
        <f t="shared" si="309"/>
        <v>0</v>
      </c>
      <c r="AJ570" s="208">
        <f t="shared" si="309"/>
        <v>0</v>
      </c>
      <c r="AK570" s="208">
        <f t="shared" si="309"/>
        <v>0</v>
      </c>
      <c r="AL570" s="208">
        <f t="shared" si="309"/>
        <v>0</v>
      </c>
      <c r="AM570" s="208">
        <f t="shared" si="309"/>
        <v>0</v>
      </c>
      <c r="AN570" s="208">
        <f t="shared" si="309"/>
        <v>0</v>
      </c>
      <c r="AO570" s="208">
        <f t="shared" si="309"/>
        <v>0</v>
      </c>
      <c r="AP570" s="208">
        <f t="shared" si="309"/>
        <v>0</v>
      </c>
    </row>
    <row r="571" spans="1:42">
      <c r="A571" s="37">
        <f t="shared" si="308"/>
        <v>4</v>
      </c>
      <c r="B571" s="218">
        <f t="shared" si="305"/>
        <v>117794.89374005256</v>
      </c>
      <c r="C571" s="250">
        <f t="shared" ref="C571:AP571" si="310">LOOKUP(C559,$B$499:$AP$499,$B$500:$AP$500)*$B792</f>
        <v>0</v>
      </c>
      <c r="D571" s="208">
        <f t="shared" si="310"/>
        <v>0</v>
      </c>
      <c r="E571" s="208">
        <f t="shared" si="310"/>
        <v>0</v>
      </c>
      <c r="F571" s="208">
        <f t="shared" si="310"/>
        <v>0</v>
      </c>
      <c r="G571" s="208">
        <f t="shared" si="310"/>
        <v>0</v>
      </c>
      <c r="H571" s="208">
        <f t="shared" si="310"/>
        <v>0</v>
      </c>
      <c r="I571" s="208">
        <f t="shared" si="310"/>
        <v>0</v>
      </c>
      <c r="J571" s="208">
        <f t="shared" si="310"/>
        <v>0</v>
      </c>
      <c r="K571" s="208">
        <f t="shared" si="310"/>
        <v>0</v>
      </c>
      <c r="L571" s="208">
        <f t="shared" si="310"/>
        <v>0</v>
      </c>
      <c r="M571" s="208">
        <f t="shared" si="310"/>
        <v>0</v>
      </c>
      <c r="N571" s="208">
        <f t="shared" si="310"/>
        <v>23558.978748010515</v>
      </c>
      <c r="O571" s="208">
        <f t="shared" si="310"/>
        <v>37694.365996816821</v>
      </c>
      <c r="P571" s="208">
        <f t="shared" si="310"/>
        <v>22616.619598090092</v>
      </c>
      <c r="Q571" s="208">
        <f t="shared" si="310"/>
        <v>13569.971758854055</v>
      </c>
      <c r="R571" s="208">
        <f t="shared" si="310"/>
        <v>13569.971758854055</v>
      </c>
      <c r="S571" s="208">
        <f t="shared" si="310"/>
        <v>6784.9858794270276</v>
      </c>
      <c r="T571" s="208">
        <f t="shared" si="310"/>
        <v>0</v>
      </c>
      <c r="U571" s="208">
        <f t="shared" si="310"/>
        <v>0</v>
      </c>
      <c r="V571" s="208">
        <f t="shared" si="310"/>
        <v>0</v>
      </c>
      <c r="W571" s="208">
        <f t="shared" si="310"/>
        <v>0</v>
      </c>
      <c r="X571" s="208">
        <f t="shared" si="310"/>
        <v>0</v>
      </c>
      <c r="Y571" s="208">
        <f t="shared" si="310"/>
        <v>0</v>
      </c>
      <c r="Z571" s="208">
        <f t="shared" si="310"/>
        <v>0</v>
      </c>
      <c r="AA571" s="208">
        <f t="shared" si="310"/>
        <v>0</v>
      </c>
      <c r="AB571" s="208">
        <f t="shared" si="310"/>
        <v>0</v>
      </c>
      <c r="AC571" s="208">
        <f t="shared" si="310"/>
        <v>0</v>
      </c>
      <c r="AD571" s="208">
        <f t="shared" si="310"/>
        <v>0</v>
      </c>
      <c r="AE571" s="208">
        <f t="shared" si="310"/>
        <v>0</v>
      </c>
      <c r="AF571" s="208">
        <f t="shared" si="310"/>
        <v>0</v>
      </c>
      <c r="AG571" s="208">
        <f t="shared" si="310"/>
        <v>0</v>
      </c>
      <c r="AH571" s="208">
        <f t="shared" si="310"/>
        <v>0</v>
      </c>
      <c r="AI571" s="208">
        <f t="shared" si="310"/>
        <v>0</v>
      </c>
      <c r="AJ571" s="208">
        <f t="shared" si="310"/>
        <v>0</v>
      </c>
      <c r="AK571" s="208">
        <f t="shared" si="310"/>
        <v>0</v>
      </c>
      <c r="AL571" s="208">
        <f t="shared" si="310"/>
        <v>0</v>
      </c>
      <c r="AM571" s="208">
        <f t="shared" si="310"/>
        <v>0</v>
      </c>
      <c r="AN571" s="208">
        <f t="shared" si="310"/>
        <v>0</v>
      </c>
      <c r="AO571" s="208">
        <f t="shared" si="310"/>
        <v>0</v>
      </c>
      <c r="AP571" s="208">
        <f t="shared" si="310"/>
        <v>0</v>
      </c>
    </row>
    <row r="572" spans="1:42">
      <c r="A572" s="37">
        <f t="shared" si="308"/>
        <v>5</v>
      </c>
      <c r="B572" s="218">
        <f t="shared" si="305"/>
        <v>123175.57306939577</v>
      </c>
      <c r="C572" s="250">
        <f t="shared" ref="C572:AP572" si="311">LOOKUP(C560,$B$499:$AP$499,$B$500:$AP$500)*$B793</f>
        <v>0</v>
      </c>
      <c r="D572" s="208">
        <f t="shared" si="311"/>
        <v>0</v>
      </c>
      <c r="E572" s="208">
        <f t="shared" si="311"/>
        <v>0</v>
      </c>
      <c r="F572" s="208">
        <f t="shared" si="311"/>
        <v>0</v>
      </c>
      <c r="G572" s="208">
        <f t="shared" si="311"/>
        <v>0</v>
      </c>
      <c r="H572" s="208">
        <f t="shared" si="311"/>
        <v>0</v>
      </c>
      <c r="I572" s="208">
        <f t="shared" si="311"/>
        <v>0</v>
      </c>
      <c r="J572" s="208">
        <f t="shared" si="311"/>
        <v>0</v>
      </c>
      <c r="K572" s="208">
        <f t="shared" si="311"/>
        <v>0</v>
      </c>
      <c r="L572" s="208">
        <f t="shared" si="311"/>
        <v>0</v>
      </c>
      <c r="M572" s="208">
        <f t="shared" si="311"/>
        <v>0</v>
      </c>
      <c r="N572" s="208">
        <f t="shared" si="311"/>
        <v>0</v>
      </c>
      <c r="O572" s="208">
        <f t="shared" si="311"/>
        <v>0</v>
      </c>
      <c r="P572" s="208">
        <f t="shared" si="311"/>
        <v>0</v>
      </c>
      <c r="Q572" s="208">
        <f t="shared" si="311"/>
        <v>24635.114613879156</v>
      </c>
      <c r="R572" s="208">
        <f t="shared" si="311"/>
        <v>39416.183382206647</v>
      </c>
      <c r="S572" s="208">
        <f t="shared" si="311"/>
        <v>23649.710029323989</v>
      </c>
      <c r="T572" s="208">
        <f t="shared" si="311"/>
        <v>14189.826017594392</v>
      </c>
      <c r="U572" s="208">
        <f t="shared" si="311"/>
        <v>14189.826017594392</v>
      </c>
      <c r="V572" s="208">
        <f t="shared" si="311"/>
        <v>7094.9130087971962</v>
      </c>
      <c r="W572" s="208">
        <f t="shared" si="311"/>
        <v>0</v>
      </c>
      <c r="X572" s="208">
        <f t="shared" si="311"/>
        <v>0</v>
      </c>
      <c r="Y572" s="208">
        <f t="shared" si="311"/>
        <v>0</v>
      </c>
      <c r="Z572" s="208">
        <f t="shared" si="311"/>
        <v>0</v>
      </c>
      <c r="AA572" s="208">
        <f t="shared" si="311"/>
        <v>0</v>
      </c>
      <c r="AB572" s="208">
        <f t="shared" si="311"/>
        <v>0</v>
      </c>
      <c r="AC572" s="208">
        <f t="shared" si="311"/>
        <v>0</v>
      </c>
      <c r="AD572" s="208">
        <f t="shared" si="311"/>
        <v>0</v>
      </c>
      <c r="AE572" s="208">
        <f t="shared" si="311"/>
        <v>0</v>
      </c>
      <c r="AF572" s="208">
        <f t="shared" si="311"/>
        <v>0</v>
      </c>
      <c r="AG572" s="208">
        <f t="shared" si="311"/>
        <v>0</v>
      </c>
      <c r="AH572" s="208">
        <f t="shared" si="311"/>
        <v>0</v>
      </c>
      <c r="AI572" s="208">
        <f t="shared" si="311"/>
        <v>0</v>
      </c>
      <c r="AJ572" s="208">
        <f t="shared" si="311"/>
        <v>0</v>
      </c>
      <c r="AK572" s="208">
        <f t="shared" si="311"/>
        <v>0</v>
      </c>
      <c r="AL572" s="208">
        <f t="shared" si="311"/>
        <v>0</v>
      </c>
      <c r="AM572" s="208">
        <f t="shared" si="311"/>
        <v>0</v>
      </c>
      <c r="AN572" s="208">
        <f t="shared" si="311"/>
        <v>0</v>
      </c>
      <c r="AO572" s="208">
        <f t="shared" si="311"/>
        <v>0</v>
      </c>
      <c r="AP572" s="208">
        <f t="shared" si="311"/>
        <v>0</v>
      </c>
    </row>
    <row r="573" spans="1:42">
      <c r="A573" s="37">
        <f t="shared" si="308"/>
        <v>6</v>
      </c>
      <c r="B573" s="218">
        <f t="shared" si="305"/>
        <v>128802.03308689946</v>
      </c>
      <c r="C573" s="250">
        <f t="shared" ref="C573:AP573" si="312">LOOKUP(C561,$B$499:$AP$499,$B$500:$AP$500)*$B794</f>
        <v>0</v>
      </c>
      <c r="D573" s="208">
        <f t="shared" si="312"/>
        <v>0</v>
      </c>
      <c r="E573" s="208">
        <f t="shared" si="312"/>
        <v>0</v>
      </c>
      <c r="F573" s="208">
        <f t="shared" si="312"/>
        <v>0</v>
      </c>
      <c r="G573" s="208">
        <f t="shared" si="312"/>
        <v>0</v>
      </c>
      <c r="H573" s="208">
        <f t="shared" si="312"/>
        <v>0</v>
      </c>
      <c r="I573" s="208">
        <f t="shared" si="312"/>
        <v>0</v>
      </c>
      <c r="J573" s="208">
        <f t="shared" si="312"/>
        <v>0</v>
      </c>
      <c r="K573" s="208">
        <f t="shared" si="312"/>
        <v>0</v>
      </c>
      <c r="L573" s="208">
        <f t="shared" si="312"/>
        <v>0</v>
      </c>
      <c r="M573" s="208">
        <f t="shared" si="312"/>
        <v>0</v>
      </c>
      <c r="N573" s="208">
        <f t="shared" si="312"/>
        <v>0</v>
      </c>
      <c r="O573" s="208">
        <f t="shared" si="312"/>
        <v>0</v>
      </c>
      <c r="P573" s="208">
        <f t="shared" si="312"/>
        <v>0</v>
      </c>
      <c r="Q573" s="208">
        <f t="shared" si="312"/>
        <v>0</v>
      </c>
      <c r="R573" s="208">
        <f t="shared" si="312"/>
        <v>0</v>
      </c>
      <c r="S573" s="208">
        <f t="shared" si="312"/>
        <v>0</v>
      </c>
      <c r="T573" s="208">
        <f t="shared" si="312"/>
        <v>25760.406617379896</v>
      </c>
      <c r="U573" s="208">
        <f t="shared" si="312"/>
        <v>41216.650587807831</v>
      </c>
      <c r="V573" s="208">
        <f t="shared" si="312"/>
        <v>24729.990352684701</v>
      </c>
      <c r="W573" s="208">
        <f t="shared" si="312"/>
        <v>14837.99421161082</v>
      </c>
      <c r="X573" s="208">
        <f t="shared" si="312"/>
        <v>14837.99421161082</v>
      </c>
      <c r="Y573" s="208">
        <f t="shared" si="312"/>
        <v>7418.9971058054098</v>
      </c>
      <c r="Z573" s="208">
        <f t="shared" si="312"/>
        <v>0</v>
      </c>
      <c r="AA573" s="208">
        <f t="shared" si="312"/>
        <v>0</v>
      </c>
      <c r="AB573" s="208">
        <f t="shared" si="312"/>
        <v>0</v>
      </c>
      <c r="AC573" s="208">
        <f t="shared" si="312"/>
        <v>0</v>
      </c>
      <c r="AD573" s="208">
        <f t="shared" si="312"/>
        <v>0</v>
      </c>
      <c r="AE573" s="208">
        <f t="shared" si="312"/>
        <v>0</v>
      </c>
      <c r="AF573" s="208">
        <f t="shared" si="312"/>
        <v>0</v>
      </c>
      <c r="AG573" s="208">
        <f t="shared" si="312"/>
        <v>0</v>
      </c>
      <c r="AH573" s="208">
        <f t="shared" si="312"/>
        <v>0</v>
      </c>
      <c r="AI573" s="208">
        <f t="shared" si="312"/>
        <v>0</v>
      </c>
      <c r="AJ573" s="208">
        <f t="shared" si="312"/>
        <v>0</v>
      </c>
      <c r="AK573" s="208">
        <f t="shared" si="312"/>
        <v>0</v>
      </c>
      <c r="AL573" s="208">
        <f t="shared" si="312"/>
        <v>0</v>
      </c>
      <c r="AM573" s="208">
        <f t="shared" si="312"/>
        <v>0</v>
      </c>
      <c r="AN573" s="208">
        <f t="shared" si="312"/>
        <v>0</v>
      </c>
      <c r="AO573" s="208">
        <f t="shared" si="312"/>
        <v>0</v>
      </c>
      <c r="AP573" s="208">
        <f t="shared" si="312"/>
        <v>0</v>
      </c>
    </row>
    <row r="574" spans="1:42">
      <c r="A574" s="37">
        <f t="shared" si="308"/>
        <v>7</v>
      </c>
      <c r="B574" s="218">
        <f t="shared" si="305"/>
        <v>134685.50065500522</v>
      </c>
      <c r="C574" s="250">
        <f t="shared" ref="C574:AP574" si="313">LOOKUP(C562,$B$499:$AP$499,$B$500:$AP$500)*$B795</f>
        <v>0</v>
      </c>
      <c r="D574" s="208">
        <f t="shared" si="313"/>
        <v>0</v>
      </c>
      <c r="E574" s="208">
        <f t="shared" si="313"/>
        <v>0</v>
      </c>
      <c r="F574" s="208">
        <f t="shared" si="313"/>
        <v>0</v>
      </c>
      <c r="G574" s="208">
        <f t="shared" si="313"/>
        <v>0</v>
      </c>
      <c r="H574" s="208">
        <f t="shared" si="313"/>
        <v>0</v>
      </c>
      <c r="I574" s="208">
        <f t="shared" si="313"/>
        <v>0</v>
      </c>
      <c r="J574" s="208">
        <f t="shared" si="313"/>
        <v>0</v>
      </c>
      <c r="K574" s="208">
        <f t="shared" si="313"/>
        <v>0</v>
      </c>
      <c r="L574" s="208">
        <f t="shared" si="313"/>
        <v>0</v>
      </c>
      <c r="M574" s="208">
        <f t="shared" si="313"/>
        <v>0</v>
      </c>
      <c r="N574" s="208">
        <f t="shared" si="313"/>
        <v>0</v>
      </c>
      <c r="O574" s="208">
        <f t="shared" si="313"/>
        <v>0</v>
      </c>
      <c r="P574" s="208">
        <f t="shared" si="313"/>
        <v>0</v>
      </c>
      <c r="Q574" s="208">
        <f t="shared" si="313"/>
        <v>0</v>
      </c>
      <c r="R574" s="208">
        <f t="shared" si="313"/>
        <v>0</v>
      </c>
      <c r="S574" s="208">
        <f t="shared" si="313"/>
        <v>0</v>
      </c>
      <c r="T574" s="208">
        <f t="shared" si="313"/>
        <v>0</v>
      </c>
      <c r="U574" s="208">
        <f t="shared" si="313"/>
        <v>0</v>
      </c>
      <c r="V574" s="208">
        <f t="shared" si="313"/>
        <v>0</v>
      </c>
      <c r="W574" s="208">
        <f t="shared" si="313"/>
        <v>26937.100131001047</v>
      </c>
      <c r="X574" s="208">
        <f t="shared" si="313"/>
        <v>43099.360209601669</v>
      </c>
      <c r="Y574" s="208">
        <f t="shared" si="313"/>
        <v>25859.616125761004</v>
      </c>
      <c r="Z574" s="208">
        <f t="shared" si="313"/>
        <v>15515.7696754566</v>
      </c>
      <c r="AA574" s="208">
        <f t="shared" si="313"/>
        <v>15515.7696754566</v>
      </c>
      <c r="AB574" s="208">
        <f t="shared" si="313"/>
        <v>7757.8848377283002</v>
      </c>
      <c r="AC574" s="208">
        <f t="shared" si="313"/>
        <v>0</v>
      </c>
      <c r="AD574" s="208">
        <f t="shared" si="313"/>
        <v>0</v>
      </c>
      <c r="AE574" s="208">
        <f t="shared" si="313"/>
        <v>0</v>
      </c>
      <c r="AF574" s="208">
        <f t="shared" si="313"/>
        <v>0</v>
      </c>
      <c r="AG574" s="208">
        <f t="shared" si="313"/>
        <v>0</v>
      </c>
      <c r="AH574" s="208">
        <f t="shared" si="313"/>
        <v>0</v>
      </c>
      <c r="AI574" s="208">
        <f t="shared" si="313"/>
        <v>0</v>
      </c>
      <c r="AJ574" s="208">
        <f t="shared" si="313"/>
        <v>0</v>
      </c>
      <c r="AK574" s="208">
        <f t="shared" si="313"/>
        <v>0</v>
      </c>
      <c r="AL574" s="208">
        <f t="shared" si="313"/>
        <v>0</v>
      </c>
      <c r="AM574" s="208">
        <f t="shared" si="313"/>
        <v>0</v>
      </c>
      <c r="AN574" s="208">
        <f t="shared" si="313"/>
        <v>0</v>
      </c>
      <c r="AO574" s="208">
        <f t="shared" si="313"/>
        <v>0</v>
      </c>
      <c r="AP574" s="208">
        <f t="shared" si="313"/>
        <v>0</v>
      </c>
    </row>
    <row r="575" spans="1:42">
      <c r="A575" s="37">
        <f t="shared" si="308"/>
        <v>8</v>
      </c>
      <c r="B575" s="218">
        <f t="shared" si="305"/>
        <v>140837.71546098724</v>
      </c>
      <c r="C575" s="250">
        <f t="shared" ref="C575:AP575" si="314">LOOKUP(C563,$B$499:$AP$499,$B$500:$AP$500)*$B796</f>
        <v>0</v>
      </c>
      <c r="D575" s="208">
        <f t="shared" si="314"/>
        <v>0</v>
      </c>
      <c r="E575" s="208">
        <f t="shared" si="314"/>
        <v>0</v>
      </c>
      <c r="F575" s="208">
        <f t="shared" si="314"/>
        <v>0</v>
      </c>
      <c r="G575" s="208">
        <f t="shared" si="314"/>
        <v>0</v>
      </c>
      <c r="H575" s="208">
        <f t="shared" si="314"/>
        <v>0</v>
      </c>
      <c r="I575" s="208">
        <f t="shared" si="314"/>
        <v>0</v>
      </c>
      <c r="J575" s="208">
        <f t="shared" si="314"/>
        <v>0</v>
      </c>
      <c r="K575" s="208">
        <f t="shared" si="314"/>
        <v>0</v>
      </c>
      <c r="L575" s="208">
        <f t="shared" si="314"/>
        <v>0</v>
      </c>
      <c r="M575" s="208">
        <f t="shared" si="314"/>
        <v>0</v>
      </c>
      <c r="N575" s="208">
        <f t="shared" si="314"/>
        <v>0</v>
      </c>
      <c r="O575" s="208">
        <f t="shared" si="314"/>
        <v>0</v>
      </c>
      <c r="P575" s="208">
        <f t="shared" si="314"/>
        <v>0</v>
      </c>
      <c r="Q575" s="208">
        <f t="shared" si="314"/>
        <v>0</v>
      </c>
      <c r="R575" s="208">
        <f t="shared" si="314"/>
        <v>0</v>
      </c>
      <c r="S575" s="208">
        <f t="shared" si="314"/>
        <v>0</v>
      </c>
      <c r="T575" s="208">
        <f t="shared" si="314"/>
        <v>0</v>
      </c>
      <c r="U575" s="208">
        <f t="shared" si="314"/>
        <v>0</v>
      </c>
      <c r="V575" s="208">
        <f t="shared" si="314"/>
        <v>0</v>
      </c>
      <c r="W575" s="208">
        <f t="shared" si="314"/>
        <v>0</v>
      </c>
      <c r="X575" s="208">
        <f t="shared" si="314"/>
        <v>0</v>
      </c>
      <c r="Y575" s="208">
        <f t="shared" si="314"/>
        <v>0</v>
      </c>
      <c r="Z575" s="208">
        <f t="shared" si="314"/>
        <v>28167.543092197448</v>
      </c>
      <c r="AA575" s="208">
        <f t="shared" si="314"/>
        <v>45068.068947515916</v>
      </c>
      <c r="AB575" s="208">
        <f t="shared" si="314"/>
        <v>27040.841368509551</v>
      </c>
      <c r="AC575" s="208">
        <f t="shared" si="314"/>
        <v>16224.504821105729</v>
      </c>
      <c r="AD575" s="208">
        <f t="shared" si="314"/>
        <v>16224.504821105729</v>
      </c>
      <c r="AE575" s="208">
        <f t="shared" si="314"/>
        <v>8112.2524105528646</v>
      </c>
      <c r="AF575" s="208">
        <f t="shared" si="314"/>
        <v>0</v>
      </c>
      <c r="AG575" s="208">
        <f t="shared" si="314"/>
        <v>0</v>
      </c>
      <c r="AH575" s="208">
        <f t="shared" si="314"/>
        <v>0</v>
      </c>
      <c r="AI575" s="208">
        <f t="shared" si="314"/>
        <v>0</v>
      </c>
      <c r="AJ575" s="208">
        <f t="shared" si="314"/>
        <v>0</v>
      </c>
      <c r="AK575" s="208">
        <f t="shared" si="314"/>
        <v>0</v>
      </c>
      <c r="AL575" s="208">
        <f t="shared" si="314"/>
        <v>0</v>
      </c>
      <c r="AM575" s="208">
        <f t="shared" si="314"/>
        <v>0</v>
      </c>
      <c r="AN575" s="208">
        <f t="shared" si="314"/>
        <v>0</v>
      </c>
      <c r="AO575" s="208">
        <f t="shared" si="314"/>
        <v>0</v>
      </c>
      <c r="AP575" s="208">
        <f t="shared" si="314"/>
        <v>0</v>
      </c>
    </row>
    <row r="576" spans="1:42">
      <c r="A576" s="37">
        <f>A575+1</f>
        <v>9</v>
      </c>
      <c r="B576" s="218">
        <f t="shared" si="305"/>
        <v>121822.53268718722</v>
      </c>
      <c r="C576" s="250">
        <f t="shared" ref="C576:AP576" si="315">LOOKUP(C564,$B$499:$AP$499,$B$500:$AP$500)*$B797</f>
        <v>0</v>
      </c>
      <c r="D576" s="208">
        <f t="shared" si="315"/>
        <v>0</v>
      </c>
      <c r="E576" s="208">
        <f t="shared" si="315"/>
        <v>0</v>
      </c>
      <c r="F576" s="208">
        <f t="shared" si="315"/>
        <v>0</v>
      </c>
      <c r="G576" s="208">
        <f t="shared" si="315"/>
        <v>0</v>
      </c>
      <c r="H576" s="208">
        <f t="shared" si="315"/>
        <v>0</v>
      </c>
      <c r="I576" s="208">
        <f t="shared" si="315"/>
        <v>0</v>
      </c>
      <c r="J576" s="208">
        <f t="shared" si="315"/>
        <v>0</v>
      </c>
      <c r="K576" s="208">
        <f t="shared" si="315"/>
        <v>0</v>
      </c>
      <c r="L576" s="208">
        <f t="shared" si="315"/>
        <v>0</v>
      </c>
      <c r="M576" s="208">
        <f t="shared" si="315"/>
        <v>0</v>
      </c>
      <c r="N576" s="208">
        <f t="shared" si="315"/>
        <v>0</v>
      </c>
      <c r="O576" s="208">
        <f t="shared" si="315"/>
        <v>0</v>
      </c>
      <c r="P576" s="208">
        <f t="shared" si="315"/>
        <v>0</v>
      </c>
      <c r="Q576" s="208">
        <f t="shared" si="315"/>
        <v>0</v>
      </c>
      <c r="R576" s="208">
        <f t="shared" si="315"/>
        <v>0</v>
      </c>
      <c r="S576" s="208">
        <f t="shared" si="315"/>
        <v>0</v>
      </c>
      <c r="T576" s="208">
        <f t="shared" si="315"/>
        <v>0</v>
      </c>
      <c r="U576" s="208">
        <f t="shared" si="315"/>
        <v>0</v>
      </c>
      <c r="V576" s="208">
        <f t="shared" si="315"/>
        <v>0</v>
      </c>
      <c r="W576" s="208">
        <f t="shared" si="315"/>
        <v>0</v>
      </c>
      <c r="X576" s="208">
        <f t="shared" si="315"/>
        <v>0</v>
      </c>
      <c r="Y576" s="208">
        <f t="shared" si="315"/>
        <v>0</v>
      </c>
      <c r="Z576" s="208">
        <f t="shared" si="315"/>
        <v>0</v>
      </c>
      <c r="AA576" s="208">
        <f t="shared" si="315"/>
        <v>0</v>
      </c>
      <c r="AB576" s="208">
        <f t="shared" si="315"/>
        <v>0</v>
      </c>
      <c r="AC576" s="208">
        <f t="shared" si="315"/>
        <v>29454.190688391496</v>
      </c>
      <c r="AD576" s="208">
        <f t="shared" si="315"/>
        <v>47126.705101426393</v>
      </c>
      <c r="AE576" s="208">
        <f t="shared" si="315"/>
        <v>28276.023060855838</v>
      </c>
      <c r="AF576" s="208">
        <f t="shared" si="315"/>
        <v>16965.613836513501</v>
      </c>
      <c r="AG576" s="208">
        <f t="shared" si="315"/>
        <v>0</v>
      </c>
      <c r="AH576" s="208">
        <f t="shared" si="315"/>
        <v>0</v>
      </c>
      <c r="AI576" s="208">
        <f t="shared" si="315"/>
        <v>0</v>
      </c>
      <c r="AJ576" s="208">
        <f t="shared" si="315"/>
        <v>0</v>
      </c>
      <c r="AK576" s="208">
        <f t="shared" si="315"/>
        <v>0</v>
      </c>
      <c r="AL576" s="208">
        <f t="shared" si="315"/>
        <v>0</v>
      </c>
      <c r="AM576" s="208">
        <f t="shared" si="315"/>
        <v>0</v>
      </c>
      <c r="AN576" s="208">
        <f t="shared" si="315"/>
        <v>0</v>
      </c>
      <c r="AO576" s="208">
        <f t="shared" si="315"/>
        <v>0</v>
      </c>
      <c r="AP576" s="208">
        <f t="shared" si="315"/>
        <v>0</v>
      </c>
    </row>
    <row r="577" spans="1:45">
      <c r="A577" s="37">
        <f t="shared" ref="A577" si="316">A576+1</f>
        <v>10</v>
      </c>
      <c r="B577" s="218">
        <f t="shared" si="305"/>
        <v>30799.610255977339</v>
      </c>
      <c r="C577" s="246">
        <f t="shared" ref="C577:AP577" si="317">LOOKUP(C565,$B$499:$AP$499,$B$500:$AP$500)*$B798</f>
        <v>0</v>
      </c>
      <c r="D577" s="209">
        <f t="shared" si="317"/>
        <v>0</v>
      </c>
      <c r="E577" s="209">
        <f t="shared" si="317"/>
        <v>0</v>
      </c>
      <c r="F577" s="209">
        <f t="shared" si="317"/>
        <v>0</v>
      </c>
      <c r="G577" s="209">
        <f t="shared" si="317"/>
        <v>0</v>
      </c>
      <c r="H577" s="209">
        <f t="shared" si="317"/>
        <v>0</v>
      </c>
      <c r="I577" s="209">
        <f t="shared" si="317"/>
        <v>0</v>
      </c>
      <c r="J577" s="209">
        <f t="shared" si="317"/>
        <v>0</v>
      </c>
      <c r="K577" s="209">
        <f t="shared" si="317"/>
        <v>0</v>
      </c>
      <c r="L577" s="209">
        <f t="shared" si="317"/>
        <v>0</v>
      </c>
      <c r="M577" s="209">
        <f t="shared" si="317"/>
        <v>0</v>
      </c>
      <c r="N577" s="209">
        <f t="shared" si="317"/>
        <v>0</v>
      </c>
      <c r="O577" s="209">
        <f t="shared" si="317"/>
        <v>0</v>
      </c>
      <c r="P577" s="209">
        <f t="shared" si="317"/>
        <v>0</v>
      </c>
      <c r="Q577" s="209">
        <f t="shared" si="317"/>
        <v>0</v>
      </c>
      <c r="R577" s="209">
        <f t="shared" si="317"/>
        <v>0</v>
      </c>
      <c r="S577" s="209">
        <f t="shared" si="317"/>
        <v>0</v>
      </c>
      <c r="T577" s="209">
        <f t="shared" si="317"/>
        <v>0</v>
      </c>
      <c r="U577" s="209">
        <f t="shared" si="317"/>
        <v>0</v>
      </c>
      <c r="V577" s="209">
        <f t="shared" si="317"/>
        <v>0</v>
      </c>
      <c r="W577" s="209">
        <f t="shared" si="317"/>
        <v>0</v>
      </c>
      <c r="X577" s="209">
        <f t="shared" si="317"/>
        <v>0</v>
      </c>
      <c r="Y577" s="209">
        <f t="shared" si="317"/>
        <v>0</v>
      </c>
      <c r="Z577" s="209">
        <f t="shared" si="317"/>
        <v>0</v>
      </c>
      <c r="AA577" s="209">
        <f t="shared" si="317"/>
        <v>0</v>
      </c>
      <c r="AB577" s="209">
        <f t="shared" si="317"/>
        <v>0</v>
      </c>
      <c r="AC577" s="209">
        <f t="shared" si="317"/>
        <v>0</v>
      </c>
      <c r="AD577" s="209">
        <f t="shared" si="317"/>
        <v>0</v>
      </c>
      <c r="AE577" s="209">
        <f t="shared" si="317"/>
        <v>0</v>
      </c>
      <c r="AF577" s="209">
        <f t="shared" si="317"/>
        <v>30799.610255977339</v>
      </c>
      <c r="AG577" s="209">
        <f t="shared" si="317"/>
        <v>0</v>
      </c>
      <c r="AH577" s="209">
        <f t="shared" si="317"/>
        <v>0</v>
      </c>
      <c r="AI577" s="209">
        <f t="shared" si="317"/>
        <v>0</v>
      </c>
      <c r="AJ577" s="209">
        <f t="shared" si="317"/>
        <v>0</v>
      </c>
      <c r="AK577" s="209">
        <f t="shared" si="317"/>
        <v>0</v>
      </c>
      <c r="AL577" s="209">
        <f t="shared" si="317"/>
        <v>0</v>
      </c>
      <c r="AM577" s="209">
        <f t="shared" si="317"/>
        <v>0</v>
      </c>
      <c r="AN577" s="209">
        <f t="shared" si="317"/>
        <v>0</v>
      </c>
      <c r="AO577" s="209">
        <f t="shared" si="317"/>
        <v>0</v>
      </c>
      <c r="AP577" s="209">
        <f t="shared" si="317"/>
        <v>0</v>
      </c>
    </row>
    <row r="578" spans="1:45" s="119" customFormat="1">
      <c r="A578" s="247" t="s">
        <v>53</v>
      </c>
      <c r="B578" s="146"/>
      <c r="C578" s="146">
        <f>SUM(C568:C577)</f>
        <v>0</v>
      </c>
      <c r="D578" s="146">
        <f t="shared" ref="D578:AP578" si="318">SUM(D568:D577)</f>
        <v>0</v>
      </c>
      <c r="E578" s="146">
        <f t="shared" si="318"/>
        <v>20604.499999999996</v>
      </c>
      <c r="F578" s="146">
        <f t="shared" si="318"/>
        <v>32967.19999999999</v>
      </c>
      <c r="G578" s="146">
        <f t="shared" si="318"/>
        <v>19780.319999999996</v>
      </c>
      <c r="H578" s="146">
        <f t="shared" si="318"/>
        <v>33413.872077687483</v>
      </c>
      <c r="I578" s="146">
        <f t="shared" si="318"/>
        <v>46341.28012429997</v>
      </c>
      <c r="J578" s="146">
        <f t="shared" si="318"/>
        <v>26617.948874579983</v>
      </c>
      <c r="K578" s="146">
        <f t="shared" si="318"/>
        <v>34940.163456654111</v>
      </c>
      <c r="L578" s="146">
        <f t="shared" si="318"/>
        <v>48458.074495797773</v>
      </c>
      <c r="M578" s="146">
        <f t="shared" si="318"/>
        <v>27833.813525003865</v>
      </c>
      <c r="N578" s="146">
        <f t="shared" si="318"/>
        <v>36536.173345588439</v>
      </c>
      <c r="O578" s="146">
        <f t="shared" si="318"/>
        <v>50671.560594394745</v>
      </c>
      <c r="P578" s="146">
        <f t="shared" si="318"/>
        <v>29105.216896879054</v>
      </c>
      <c r="Q578" s="146">
        <f t="shared" si="318"/>
        <v>38205.086372733211</v>
      </c>
      <c r="R578" s="146">
        <f t="shared" si="318"/>
        <v>52986.155141060706</v>
      </c>
      <c r="S578" s="146">
        <f t="shared" si="318"/>
        <v>30434.695908751019</v>
      </c>
      <c r="T578" s="146">
        <f t="shared" si="318"/>
        <v>39950.232634974287</v>
      </c>
      <c r="U578" s="146">
        <f t="shared" si="318"/>
        <v>55406.476605402226</v>
      </c>
      <c r="V578" s="146">
        <f t="shared" si="318"/>
        <v>31824.903361481898</v>
      </c>
      <c r="W578" s="146">
        <f t="shared" si="318"/>
        <v>41775.094342611868</v>
      </c>
      <c r="X578" s="146">
        <f t="shared" si="318"/>
        <v>57937.354421212491</v>
      </c>
      <c r="Y578" s="146">
        <f t="shared" si="318"/>
        <v>33278.613231566414</v>
      </c>
      <c r="Z578" s="146">
        <f t="shared" si="318"/>
        <v>43683.312767654046</v>
      </c>
      <c r="AA578" s="146">
        <f t="shared" si="318"/>
        <v>60583.838622972515</v>
      </c>
      <c r="AB578" s="146">
        <f t="shared" si="318"/>
        <v>34798.72620623785</v>
      </c>
      <c r="AC578" s="146">
        <f t="shared" si="318"/>
        <v>45678.695509497222</v>
      </c>
      <c r="AD578" s="146">
        <f t="shared" si="318"/>
        <v>63351.209922532122</v>
      </c>
      <c r="AE578" s="146">
        <f t="shared" si="318"/>
        <v>36388.275471408706</v>
      </c>
      <c r="AF578" s="146">
        <f t="shared" si="318"/>
        <v>47765.22409249084</v>
      </c>
      <c r="AG578" s="146">
        <f t="shared" si="318"/>
        <v>0</v>
      </c>
      <c r="AH578" s="146">
        <f t="shared" si="318"/>
        <v>0</v>
      </c>
      <c r="AI578" s="146">
        <f t="shared" si="318"/>
        <v>0</v>
      </c>
      <c r="AJ578" s="146">
        <f t="shared" si="318"/>
        <v>0</v>
      </c>
      <c r="AK578" s="146">
        <f t="shared" si="318"/>
        <v>0</v>
      </c>
      <c r="AL578" s="146">
        <f t="shared" si="318"/>
        <v>0</v>
      </c>
      <c r="AM578" s="146">
        <f t="shared" si="318"/>
        <v>0</v>
      </c>
      <c r="AN578" s="146">
        <f t="shared" si="318"/>
        <v>0</v>
      </c>
      <c r="AO578" s="146">
        <f t="shared" si="318"/>
        <v>0</v>
      </c>
      <c r="AP578" s="146">
        <f t="shared" si="318"/>
        <v>0</v>
      </c>
    </row>
    <row r="579" spans="1:45" s="119" customFormat="1">
      <c r="A579" s="247"/>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146"/>
      <c r="AD579" s="146"/>
      <c r="AE579" s="146"/>
      <c r="AF579" s="146"/>
      <c r="AG579" s="146"/>
      <c r="AH579" s="146"/>
      <c r="AI579" s="146"/>
      <c r="AJ579" s="146"/>
      <c r="AK579" s="146"/>
      <c r="AL579" s="146"/>
      <c r="AM579" s="146"/>
      <c r="AN579" s="146"/>
      <c r="AO579" s="146"/>
      <c r="AP579" s="146"/>
    </row>
    <row r="580" spans="1:45" s="119" customFormat="1">
      <c r="A580" s="201" t="s">
        <v>33</v>
      </c>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146"/>
      <c r="AD580" s="146"/>
      <c r="AE580" s="146"/>
      <c r="AF580" s="146"/>
      <c r="AG580" s="146"/>
      <c r="AH580" s="146"/>
      <c r="AI580" s="146"/>
      <c r="AJ580" s="146"/>
      <c r="AK580" s="146"/>
      <c r="AL580" s="146"/>
      <c r="AM580" s="146"/>
      <c r="AN580" s="146"/>
      <c r="AO580" s="146"/>
      <c r="AP580" s="146"/>
    </row>
    <row r="581" spans="1:45" s="119" customFormat="1">
      <c r="A581" s="251" t="s">
        <v>177</v>
      </c>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146"/>
      <c r="AD581" s="146"/>
      <c r="AE581" s="146"/>
      <c r="AF581" s="146"/>
      <c r="AG581" s="146"/>
      <c r="AH581" s="146"/>
      <c r="AI581" s="146"/>
      <c r="AJ581" s="146"/>
      <c r="AK581" s="146"/>
      <c r="AL581" s="146"/>
      <c r="AM581" s="146"/>
      <c r="AN581" s="146"/>
      <c r="AO581" s="146"/>
      <c r="AP581" s="146"/>
    </row>
    <row r="582" spans="1:45" s="119" customFormat="1">
      <c r="A582" s="37" t="s">
        <v>83</v>
      </c>
      <c r="B582" s="252" t="s">
        <v>173</v>
      </c>
      <c r="C582" s="253"/>
      <c r="D582" s="253"/>
      <c r="E582" s="253"/>
      <c r="F582" s="253"/>
      <c r="G582" s="253"/>
      <c r="H582" s="253"/>
      <c r="I582" s="254"/>
      <c r="J582" s="255" t="s">
        <v>174</v>
      </c>
      <c r="K582" s="256"/>
      <c r="L582" s="146"/>
      <c r="M582" s="146"/>
      <c r="N582" s="146"/>
      <c r="O582" s="146"/>
      <c r="P582" s="146"/>
      <c r="Q582" s="146"/>
      <c r="R582" s="146"/>
      <c r="S582" s="146"/>
      <c r="T582" s="146"/>
      <c r="U582" s="146"/>
      <c r="V582" s="146"/>
      <c r="W582" s="146"/>
      <c r="X582" s="146"/>
      <c r="Y582" s="146"/>
      <c r="Z582" s="146"/>
      <c r="AA582" s="146"/>
      <c r="AB582" s="146"/>
      <c r="AC582" s="146"/>
      <c r="AD582" s="146"/>
      <c r="AE582" s="146"/>
      <c r="AF582" s="146"/>
      <c r="AG582" s="146"/>
      <c r="AH582" s="146"/>
      <c r="AI582" s="146"/>
      <c r="AJ582" s="146"/>
      <c r="AK582" s="146"/>
      <c r="AL582" s="146"/>
      <c r="AM582" s="146"/>
      <c r="AN582" s="146"/>
      <c r="AO582" s="146"/>
      <c r="AP582" s="146"/>
    </row>
    <row r="583" spans="1:45" s="119" customFormat="1" ht="38.25">
      <c r="A583" s="37"/>
      <c r="B583" s="133" t="s">
        <v>164</v>
      </c>
      <c r="C583" s="133" t="s">
        <v>163</v>
      </c>
      <c r="D583" s="133" t="s">
        <v>166</v>
      </c>
      <c r="E583" s="133" t="s">
        <v>155</v>
      </c>
      <c r="F583" s="228" t="s">
        <v>156</v>
      </c>
      <c r="G583" s="228" t="s">
        <v>172</v>
      </c>
      <c r="H583" s="133" t="s">
        <v>165</v>
      </c>
      <c r="I583" s="133" t="s">
        <v>167</v>
      </c>
      <c r="J583" s="257" t="s">
        <v>34</v>
      </c>
      <c r="K583" s="133" t="s">
        <v>167</v>
      </c>
      <c r="L583" s="146"/>
      <c r="M583" s="146"/>
      <c r="N583" s="146"/>
      <c r="O583" s="146"/>
      <c r="P583" s="146"/>
      <c r="Q583" s="146"/>
      <c r="R583" s="146"/>
      <c r="S583" s="146"/>
      <c r="T583" s="146"/>
      <c r="U583" s="146"/>
      <c r="V583" s="146"/>
      <c r="W583" s="146"/>
      <c r="X583" s="146"/>
      <c r="Y583" s="146"/>
      <c r="Z583" s="146"/>
      <c r="AA583" s="146"/>
      <c r="AB583" s="146"/>
      <c r="AC583" s="146"/>
      <c r="AD583" s="146"/>
      <c r="AE583" s="146"/>
      <c r="AF583" s="146"/>
      <c r="AG583" s="146"/>
      <c r="AH583" s="146"/>
      <c r="AI583" s="146"/>
      <c r="AJ583" s="146"/>
      <c r="AK583" s="146"/>
      <c r="AL583" s="146"/>
      <c r="AM583" s="146"/>
      <c r="AN583" s="146"/>
      <c r="AO583" s="146"/>
      <c r="AP583" s="146"/>
      <c r="AQ583" s="146"/>
      <c r="AR583" s="146"/>
      <c r="AS583" s="146"/>
    </row>
    <row r="584" spans="1:45" s="119" customFormat="1">
      <c r="A584" s="206" t="str">
        <f>A448</f>
        <v>5-yr MACRS</v>
      </c>
      <c r="B584" s="232">
        <f>'Inputs &amp; Results'!D221</f>
        <v>40466381.590438232</v>
      </c>
      <c r="C584" s="258">
        <f>IF('Inputs &amp; Results'!B251="Yes",B584,0)</f>
        <v>40466381.590438232</v>
      </c>
      <c r="D584" s="259">
        <f>C584/$C$591</f>
        <v>1</v>
      </c>
      <c r="E584" s="260">
        <f t="shared" ref="E584:E589" si="319">$E$591*D584</f>
        <v>3000</v>
      </c>
      <c r="F584" s="146">
        <f>$F$591*D584</f>
        <v>0</v>
      </c>
      <c r="G584" s="261">
        <f>C584-E584-F584</f>
        <v>40463381.590438232</v>
      </c>
      <c r="H584" s="261">
        <f>$H$591*D584</f>
        <v>0</v>
      </c>
      <c r="I584" s="261">
        <f>H584*0.5</f>
        <v>0</v>
      </c>
      <c r="J584" s="248">
        <f>D584*$J$591</f>
        <v>20000</v>
      </c>
      <c r="K584" s="248">
        <f>J584*0.5</f>
        <v>10000</v>
      </c>
      <c r="L584" s="146"/>
      <c r="M584" s="146"/>
      <c r="N584" s="146"/>
      <c r="O584" s="146"/>
      <c r="P584" s="146"/>
      <c r="Q584" s="146"/>
      <c r="R584" s="146"/>
      <c r="S584" s="146"/>
      <c r="T584" s="146"/>
      <c r="U584" s="146"/>
      <c r="V584" s="146"/>
      <c r="W584" s="146"/>
      <c r="X584" s="146"/>
      <c r="Y584" s="146"/>
      <c r="Z584" s="146"/>
      <c r="AA584" s="146"/>
      <c r="AB584" s="146"/>
      <c r="AC584" s="146"/>
      <c r="AD584" s="146"/>
      <c r="AE584" s="146"/>
      <c r="AF584" s="146"/>
      <c r="AG584" s="146"/>
      <c r="AH584" s="146"/>
      <c r="AI584" s="146"/>
      <c r="AJ584" s="146"/>
      <c r="AK584" s="146"/>
      <c r="AL584" s="146"/>
      <c r="AM584" s="146"/>
      <c r="AN584" s="146"/>
      <c r="AO584" s="146"/>
      <c r="AP584" s="146"/>
      <c r="AQ584" s="146"/>
      <c r="AR584" s="146"/>
      <c r="AS584" s="146"/>
    </row>
    <row r="585" spans="1:45" s="119" customFormat="1">
      <c r="A585" s="206" t="str">
        <f t="shared" ref="A585:A590" si="320">A449</f>
        <v>15-yr MACRS</v>
      </c>
      <c r="B585" s="165">
        <f>'Inputs &amp; Results'!D222</f>
        <v>693709.39869322674</v>
      </c>
      <c r="C585" s="262">
        <f>IF('Inputs &amp; Results'!B252="Yes",B585,0)</f>
        <v>0</v>
      </c>
      <c r="D585" s="263">
        <f t="shared" ref="D585:D589" si="321">C585/$C$591</f>
        <v>0</v>
      </c>
      <c r="E585" s="146">
        <f t="shared" si="319"/>
        <v>0</v>
      </c>
      <c r="F585" s="146">
        <f t="shared" ref="F585:F589" si="322">$F$591*D585</f>
        <v>0</v>
      </c>
      <c r="G585" s="248">
        <f t="shared" ref="G585:G589" si="323">C585-E585-F585</f>
        <v>0</v>
      </c>
      <c r="H585" s="248">
        <f t="shared" ref="H585:H589" si="324">$H$591*D585</f>
        <v>0</v>
      </c>
      <c r="I585" s="248">
        <f t="shared" ref="I585:I589" si="325">H585*0.5</f>
        <v>0</v>
      </c>
      <c r="J585" s="248">
        <f t="shared" ref="J585:J589" si="326">D585*$J$591</f>
        <v>0</v>
      </c>
      <c r="K585" s="248">
        <f t="shared" ref="K585:K589" si="327">J585*0.5</f>
        <v>0</v>
      </c>
      <c r="L585" s="146"/>
      <c r="M585" s="146"/>
      <c r="N585" s="146"/>
      <c r="O585" s="146"/>
      <c r="P585" s="146"/>
      <c r="Q585" s="146"/>
      <c r="R585" s="146"/>
      <c r="S585" s="146"/>
      <c r="T585" s="146"/>
      <c r="U585" s="146"/>
      <c r="V585" s="146"/>
      <c r="W585" s="146"/>
      <c r="X585" s="146"/>
      <c r="Y585" s="146"/>
      <c r="Z585" s="146"/>
      <c r="AA585" s="146"/>
      <c r="AB585" s="146"/>
      <c r="AC585" s="146"/>
      <c r="AD585" s="146"/>
      <c r="AE585" s="146"/>
      <c r="AF585" s="146"/>
      <c r="AG585" s="146"/>
      <c r="AH585" s="146"/>
      <c r="AI585" s="146"/>
      <c r="AJ585" s="146"/>
      <c r="AK585" s="146"/>
      <c r="AL585" s="146"/>
      <c r="AM585" s="146"/>
      <c r="AN585" s="146"/>
      <c r="AO585" s="146"/>
      <c r="AP585" s="146"/>
      <c r="AQ585" s="146"/>
      <c r="AR585" s="146"/>
      <c r="AS585" s="146"/>
    </row>
    <row r="586" spans="1:45" s="119" customFormat="1">
      <c r="A586" s="206" t="str">
        <f t="shared" si="320"/>
        <v>5-yr SL</v>
      </c>
      <c r="B586" s="165">
        <f>'Inputs &amp; Results'!D223</f>
        <v>0</v>
      </c>
      <c r="C586" s="262">
        <f>IF('Inputs &amp; Results'!B253="Yes",B586,0)</f>
        <v>0</v>
      </c>
      <c r="D586" s="263">
        <f t="shared" si="321"/>
        <v>0</v>
      </c>
      <c r="E586" s="146">
        <f t="shared" si="319"/>
        <v>0</v>
      </c>
      <c r="F586" s="146">
        <f t="shared" si="322"/>
        <v>0</v>
      </c>
      <c r="G586" s="248">
        <f t="shared" si="323"/>
        <v>0</v>
      </c>
      <c r="H586" s="248">
        <f t="shared" si="324"/>
        <v>0</v>
      </c>
      <c r="I586" s="248">
        <f t="shared" si="325"/>
        <v>0</v>
      </c>
      <c r="J586" s="248">
        <f t="shared" si="326"/>
        <v>0</v>
      </c>
      <c r="K586" s="248">
        <f t="shared" si="327"/>
        <v>0</v>
      </c>
      <c r="L586" s="146"/>
      <c r="M586" s="146"/>
      <c r="N586" s="146"/>
      <c r="O586" s="146"/>
      <c r="P586" s="146"/>
      <c r="Q586" s="146"/>
      <c r="R586" s="146"/>
      <c r="S586" s="146"/>
      <c r="T586" s="146"/>
      <c r="U586" s="146"/>
      <c r="V586" s="146"/>
      <c r="W586" s="146"/>
      <c r="X586" s="146"/>
      <c r="Y586" s="146"/>
      <c r="Z586" s="146"/>
      <c r="AA586" s="146"/>
      <c r="AB586" s="146"/>
      <c r="AC586" s="146"/>
      <c r="AD586" s="146"/>
      <c r="AE586" s="146"/>
      <c r="AF586" s="146"/>
      <c r="AG586" s="146"/>
      <c r="AH586" s="146"/>
      <c r="AI586" s="146"/>
      <c r="AJ586" s="146"/>
      <c r="AK586" s="146"/>
      <c r="AL586" s="146"/>
      <c r="AM586" s="146"/>
      <c r="AN586" s="146"/>
      <c r="AO586" s="146"/>
      <c r="AP586" s="146"/>
      <c r="AQ586" s="146"/>
      <c r="AR586" s="146"/>
      <c r="AS586" s="146"/>
    </row>
    <row r="587" spans="1:45" s="119" customFormat="1">
      <c r="A587" s="206" t="str">
        <f t="shared" si="320"/>
        <v>15-yr SL</v>
      </c>
      <c r="B587" s="165">
        <f>'Inputs &amp; Results'!D224</f>
        <v>693709.39869322674</v>
      </c>
      <c r="C587" s="262">
        <f>IF('Inputs &amp; Results'!B254="Yes",B587,0)</f>
        <v>0</v>
      </c>
      <c r="D587" s="263">
        <f t="shared" si="321"/>
        <v>0</v>
      </c>
      <c r="E587" s="146">
        <f t="shared" si="319"/>
        <v>0</v>
      </c>
      <c r="F587" s="146">
        <f t="shared" si="322"/>
        <v>0</v>
      </c>
      <c r="G587" s="248">
        <f t="shared" si="323"/>
        <v>0</v>
      </c>
      <c r="H587" s="248">
        <f t="shared" si="324"/>
        <v>0</v>
      </c>
      <c r="I587" s="248">
        <f t="shared" si="325"/>
        <v>0</v>
      </c>
      <c r="J587" s="248">
        <f t="shared" si="326"/>
        <v>0</v>
      </c>
      <c r="K587" s="248">
        <f t="shared" si="327"/>
        <v>0</v>
      </c>
      <c r="L587" s="146"/>
      <c r="M587" s="146"/>
      <c r="N587" s="146"/>
      <c r="O587" s="146"/>
      <c r="P587" s="146"/>
      <c r="Q587" s="146"/>
      <c r="R587" s="146"/>
      <c r="S587" s="146"/>
      <c r="T587" s="146"/>
      <c r="U587" s="146"/>
      <c r="V587" s="146"/>
      <c r="W587" s="146"/>
      <c r="X587" s="146"/>
      <c r="Y587" s="146"/>
      <c r="Z587" s="146"/>
      <c r="AA587" s="146"/>
      <c r="AB587" s="146"/>
      <c r="AC587" s="146"/>
      <c r="AD587" s="146"/>
      <c r="AE587" s="146"/>
      <c r="AF587" s="146"/>
      <c r="AG587" s="146"/>
      <c r="AH587" s="146"/>
      <c r="AI587" s="146"/>
      <c r="AJ587" s="146"/>
      <c r="AK587" s="146"/>
      <c r="AL587" s="146"/>
      <c r="AM587" s="146"/>
      <c r="AN587" s="146"/>
      <c r="AO587" s="146"/>
      <c r="AP587" s="146"/>
      <c r="AQ587" s="146"/>
      <c r="AR587" s="146"/>
      <c r="AS587" s="146"/>
    </row>
    <row r="588" spans="1:45" s="119" customFormat="1">
      <c r="A588" s="206" t="str">
        <f t="shared" si="320"/>
        <v>20-yr SL</v>
      </c>
      <c r="B588" s="165">
        <f>'Inputs &amp; Results'!D225</f>
        <v>462472.93246215122</v>
      </c>
      <c r="C588" s="262">
        <f>IF('Inputs &amp; Results'!B255="Yes",B588,0)</f>
        <v>0</v>
      </c>
      <c r="D588" s="263">
        <f t="shared" si="321"/>
        <v>0</v>
      </c>
      <c r="E588" s="146">
        <f t="shared" si="319"/>
        <v>0</v>
      </c>
      <c r="F588" s="146">
        <f t="shared" si="322"/>
        <v>0</v>
      </c>
      <c r="G588" s="248">
        <f t="shared" si="323"/>
        <v>0</v>
      </c>
      <c r="H588" s="248">
        <f t="shared" si="324"/>
        <v>0</v>
      </c>
      <c r="I588" s="248">
        <f t="shared" si="325"/>
        <v>0</v>
      </c>
      <c r="J588" s="248">
        <f t="shared" si="326"/>
        <v>0</v>
      </c>
      <c r="K588" s="248">
        <f t="shared" si="327"/>
        <v>0</v>
      </c>
      <c r="L588" s="146"/>
      <c r="M588" s="146"/>
      <c r="N588" s="146"/>
      <c r="O588" s="146"/>
      <c r="P588" s="146"/>
      <c r="Q588" s="146"/>
      <c r="R588" s="146"/>
      <c r="S588" s="146"/>
      <c r="T588" s="146"/>
      <c r="U588" s="146"/>
      <c r="V588" s="146"/>
      <c r="W588" s="146"/>
      <c r="X588" s="146"/>
      <c r="Y588" s="146"/>
      <c r="Z588" s="146"/>
      <c r="AA588" s="146"/>
      <c r="AB588" s="146"/>
      <c r="AC588" s="146"/>
      <c r="AD588" s="146"/>
      <c r="AE588" s="146"/>
      <c r="AF588" s="146"/>
      <c r="AG588" s="146"/>
      <c r="AH588" s="146"/>
      <c r="AI588" s="146"/>
      <c r="AJ588" s="146"/>
      <c r="AK588" s="146"/>
      <c r="AL588" s="146"/>
      <c r="AM588" s="146"/>
      <c r="AN588" s="146"/>
      <c r="AO588" s="146"/>
      <c r="AP588" s="146"/>
      <c r="AQ588" s="146"/>
      <c r="AR588" s="146"/>
      <c r="AS588" s="146"/>
    </row>
    <row r="589" spans="1:45" s="119" customFormat="1">
      <c r="A589" s="206" t="str">
        <f t="shared" si="320"/>
        <v>39-yr SL</v>
      </c>
      <c r="B589" s="165">
        <f>'Inputs &amp; Results'!D226</f>
        <v>231236.46623107561</v>
      </c>
      <c r="C589" s="262">
        <f>IF('Inputs &amp; Results'!B256="Yes",B589,0)</f>
        <v>0</v>
      </c>
      <c r="D589" s="263">
        <f t="shared" si="321"/>
        <v>0</v>
      </c>
      <c r="E589" s="146">
        <f t="shared" si="319"/>
        <v>0</v>
      </c>
      <c r="F589" s="146">
        <f t="shared" si="322"/>
        <v>0</v>
      </c>
      <c r="G589" s="248">
        <f t="shared" si="323"/>
        <v>0</v>
      </c>
      <c r="H589" s="248">
        <f t="shared" si="324"/>
        <v>0</v>
      </c>
      <c r="I589" s="248">
        <f t="shared" si="325"/>
        <v>0</v>
      </c>
      <c r="J589" s="248">
        <f t="shared" si="326"/>
        <v>0</v>
      </c>
      <c r="K589" s="248">
        <f t="shared" si="327"/>
        <v>0</v>
      </c>
      <c r="L589" s="146"/>
      <c r="M589" s="146"/>
      <c r="N589" s="146"/>
      <c r="O589" s="146"/>
      <c r="P589" s="146"/>
      <c r="Q589" s="146"/>
      <c r="R589" s="146"/>
      <c r="S589" s="146"/>
      <c r="T589" s="146"/>
      <c r="U589" s="146"/>
      <c r="V589" s="146"/>
      <c r="W589" s="146"/>
      <c r="X589" s="146"/>
      <c r="Y589" s="146"/>
      <c r="Z589" s="146"/>
      <c r="AA589" s="146"/>
      <c r="AB589" s="146"/>
      <c r="AC589" s="146"/>
      <c r="AD589" s="146"/>
      <c r="AE589" s="146"/>
      <c r="AF589" s="146"/>
      <c r="AG589" s="146"/>
      <c r="AH589" s="146"/>
      <c r="AI589" s="146"/>
      <c r="AJ589" s="146"/>
      <c r="AK589" s="146"/>
      <c r="AL589" s="146"/>
      <c r="AM589" s="146"/>
      <c r="AN589" s="146"/>
      <c r="AO589" s="146"/>
      <c r="AP589" s="146"/>
      <c r="AQ589" s="146"/>
      <c r="AR589" s="146"/>
      <c r="AS589" s="146"/>
    </row>
    <row r="590" spans="1:45" s="119" customFormat="1">
      <c r="A590" s="206" t="str">
        <f t="shared" si="320"/>
        <v xml:space="preserve">Non-Depreciable </v>
      </c>
      <c r="B590" s="237">
        <f>'Inputs &amp; Results'!D227</f>
        <v>3699783.4596972079</v>
      </c>
      <c r="C590" s="233"/>
      <c r="D590" s="264"/>
      <c r="E590" s="264"/>
      <c r="F590" s="264"/>
      <c r="G590" s="265"/>
      <c r="H590" s="265"/>
      <c r="I590" s="265"/>
      <c r="J590" s="265"/>
      <c r="K590" s="265"/>
      <c r="L590" s="146"/>
      <c r="M590" s="146"/>
      <c r="N590" s="146"/>
      <c r="O590" s="146"/>
      <c r="P590" s="146"/>
      <c r="Q590" s="146"/>
      <c r="R590" s="146"/>
      <c r="S590" s="146"/>
      <c r="T590" s="146"/>
      <c r="U590" s="146"/>
      <c r="V590" s="146"/>
      <c r="W590" s="146"/>
      <c r="X590" s="146"/>
      <c r="Y590" s="146"/>
      <c r="Z590" s="146"/>
      <c r="AA590" s="146"/>
      <c r="AB590" s="146"/>
      <c r="AC590" s="146"/>
      <c r="AD590" s="146"/>
      <c r="AE590" s="146"/>
      <c r="AF590" s="146"/>
      <c r="AG590" s="146"/>
      <c r="AH590" s="146"/>
      <c r="AI590" s="146"/>
      <c r="AJ590" s="146"/>
      <c r="AK590" s="146"/>
      <c r="AL590" s="146"/>
      <c r="AM590" s="146"/>
      <c r="AN590" s="146"/>
      <c r="AO590" s="146"/>
      <c r="AP590" s="146"/>
      <c r="AQ590" s="146"/>
      <c r="AR590" s="146"/>
      <c r="AS590" s="146"/>
    </row>
    <row r="591" spans="1:45" s="119" customFormat="1">
      <c r="A591" s="37"/>
      <c r="B591" s="246">
        <f>SUM(B584:B590)</f>
        <v>46247293.24621512</v>
      </c>
      <c r="C591" s="237">
        <f>SUM(C584:C590)</f>
        <v>40466381.590438232</v>
      </c>
      <c r="D591" s="266">
        <f>SUM(D584:D590)</f>
        <v>1</v>
      </c>
      <c r="E591" s="249">
        <f>B600+B606</f>
        <v>3000</v>
      </c>
      <c r="F591" s="225">
        <f>B612</f>
        <v>0</v>
      </c>
      <c r="G591" s="249">
        <f>SUM(G584:G590)</f>
        <v>40463381.590438232</v>
      </c>
      <c r="H591" s="249">
        <f>MIN(ITCStateMax,ITCStatePercent*G591)</f>
        <v>0</v>
      </c>
      <c r="I591" s="249">
        <f>SUM(I584:I590)</f>
        <v>0</v>
      </c>
      <c r="J591" s="249">
        <f>ITCStateFixed</f>
        <v>20000</v>
      </c>
      <c r="K591" s="249">
        <f>SUM(K584:K590)</f>
        <v>10000</v>
      </c>
      <c r="L591" s="146"/>
      <c r="M591" s="146"/>
      <c r="N591" s="146"/>
      <c r="O591" s="146"/>
      <c r="P591" s="146"/>
      <c r="Q591" s="146"/>
      <c r="R591" s="146"/>
      <c r="S591" s="146"/>
      <c r="T591" s="146"/>
      <c r="U591" s="146"/>
      <c r="V591" s="146"/>
      <c r="W591" s="146"/>
      <c r="X591" s="146"/>
      <c r="Y591" s="146"/>
      <c r="Z591" s="146"/>
      <c r="AA591" s="146"/>
      <c r="AB591" s="146"/>
      <c r="AC591" s="146"/>
      <c r="AD591" s="146"/>
      <c r="AE591" s="146"/>
      <c r="AF591" s="146"/>
      <c r="AG591" s="146"/>
      <c r="AH591" s="146"/>
      <c r="AI591" s="146"/>
      <c r="AJ591" s="146"/>
      <c r="AK591" s="146"/>
      <c r="AL591" s="146"/>
      <c r="AM591" s="146"/>
      <c r="AN591" s="146"/>
      <c r="AO591" s="146"/>
      <c r="AP591" s="146"/>
      <c r="AQ591" s="146"/>
      <c r="AR591" s="146"/>
      <c r="AS591" s="146"/>
    </row>
    <row r="592" spans="1:45" s="119" customFormat="1">
      <c r="A592" s="37"/>
      <c r="B592" s="164"/>
      <c r="C592" s="164"/>
      <c r="D592" s="245"/>
      <c r="E592" s="220"/>
      <c r="F592" s="220"/>
      <c r="G592" s="220"/>
      <c r="H592" s="220"/>
      <c r="I592" s="146"/>
      <c r="J592" s="146"/>
      <c r="K592" s="42"/>
      <c r="L592" s="146"/>
      <c r="M592" s="146"/>
      <c r="N592" s="146"/>
      <c r="O592" s="146"/>
      <c r="P592" s="146"/>
      <c r="Q592" s="146"/>
      <c r="R592" s="146"/>
      <c r="S592" s="146"/>
      <c r="T592" s="146"/>
      <c r="U592" s="146"/>
      <c r="V592" s="146"/>
      <c r="W592" s="146"/>
      <c r="X592" s="146"/>
      <c r="Y592" s="146"/>
      <c r="Z592" s="146"/>
      <c r="AA592" s="146"/>
      <c r="AB592" s="146"/>
      <c r="AC592" s="146"/>
      <c r="AD592" s="146"/>
      <c r="AE592" s="146"/>
      <c r="AF592" s="146"/>
      <c r="AG592" s="146"/>
      <c r="AH592" s="146"/>
      <c r="AI592" s="146"/>
      <c r="AJ592" s="146"/>
      <c r="AK592" s="146"/>
      <c r="AL592" s="146"/>
      <c r="AM592" s="146"/>
      <c r="AN592" s="146"/>
      <c r="AO592" s="146"/>
      <c r="AP592" s="146"/>
      <c r="AQ592" s="146"/>
      <c r="AR592" s="146"/>
      <c r="AS592" s="146"/>
    </row>
    <row r="593" spans="1:44" s="119" customFormat="1">
      <c r="A593" s="206" t="s">
        <v>170</v>
      </c>
      <c r="B593" s="37"/>
      <c r="C593" s="146"/>
      <c r="D593" s="146"/>
      <c r="E593" s="146"/>
      <c r="F593" s="146"/>
      <c r="G593" s="267"/>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146"/>
      <c r="AD593" s="146"/>
      <c r="AE593" s="146"/>
      <c r="AF593" s="146"/>
      <c r="AG593" s="146"/>
      <c r="AH593" s="146"/>
      <c r="AI593" s="146"/>
      <c r="AJ593" s="146"/>
      <c r="AK593" s="146"/>
      <c r="AL593" s="146"/>
      <c r="AM593" s="146"/>
      <c r="AN593" s="146"/>
      <c r="AO593" s="146"/>
      <c r="AP593" s="146"/>
      <c r="AQ593" s="146"/>
      <c r="AR593" s="146"/>
    </row>
    <row r="594" spans="1:44" s="119" customFormat="1">
      <c r="A594" s="222" t="str">
        <f t="shared" ref="A594:A612" si="328">A324</f>
        <v>Investment Based Incentive (IBI)</v>
      </c>
      <c r="B594" s="37"/>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146"/>
      <c r="AD594" s="146"/>
      <c r="AE594" s="146"/>
      <c r="AF594" s="146"/>
      <c r="AG594" s="146"/>
      <c r="AH594" s="146"/>
      <c r="AI594" s="146"/>
      <c r="AJ594" s="146"/>
      <c r="AK594" s="146"/>
      <c r="AL594" s="146"/>
      <c r="AM594" s="146"/>
      <c r="AN594" s="146"/>
      <c r="AO594" s="146"/>
      <c r="AP594" s="146"/>
      <c r="AQ594" s="146"/>
      <c r="AR594" s="146"/>
    </row>
    <row r="595" spans="1:44" s="119" customFormat="1">
      <c r="A595" s="238" t="str">
        <f t="shared" si="328"/>
        <v>Fixed Amount ($)</v>
      </c>
      <c r="B595" s="37"/>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146"/>
      <c r="AD595" s="146"/>
      <c r="AE595" s="146"/>
      <c r="AF595" s="146"/>
      <c r="AG595" s="146"/>
      <c r="AH595" s="146"/>
      <c r="AI595" s="146"/>
      <c r="AJ595" s="146"/>
      <c r="AK595" s="146"/>
      <c r="AL595" s="146"/>
      <c r="AM595" s="146"/>
      <c r="AN595" s="146"/>
      <c r="AO595" s="146"/>
      <c r="AP595" s="146"/>
      <c r="AQ595" s="146"/>
      <c r="AR595" s="146"/>
    </row>
    <row r="596" spans="1:44" s="119" customFormat="1">
      <c r="A596" s="238" t="str">
        <f t="shared" si="328"/>
        <v>Federal</v>
      </c>
      <c r="B596" s="164">
        <f>IF(IBIFedFixedStateITC="Yes",IBIFedFixed,0)</f>
        <v>1000</v>
      </c>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146"/>
      <c r="AD596" s="146"/>
      <c r="AE596" s="146"/>
      <c r="AF596" s="146"/>
      <c r="AG596" s="146"/>
      <c r="AH596" s="146"/>
      <c r="AI596" s="146"/>
      <c r="AJ596" s="146"/>
      <c r="AK596" s="146"/>
      <c r="AL596" s="146"/>
      <c r="AM596" s="146"/>
      <c r="AN596" s="146"/>
      <c r="AO596" s="146"/>
      <c r="AP596" s="146"/>
      <c r="AQ596" s="146"/>
      <c r="AR596" s="146"/>
    </row>
    <row r="597" spans="1:44" s="119" customFormat="1">
      <c r="A597" s="238" t="str">
        <f t="shared" si="328"/>
        <v>State</v>
      </c>
      <c r="B597" s="164">
        <f>IF(IBIStateFixedStateITC="Yes",IBIStateFixed,0)</f>
        <v>2000</v>
      </c>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c r="AA597" s="146"/>
      <c r="AB597" s="146"/>
      <c r="AC597" s="146"/>
      <c r="AD597" s="146"/>
      <c r="AE597" s="146"/>
      <c r="AF597" s="146"/>
      <c r="AG597" s="146"/>
      <c r="AH597" s="146"/>
      <c r="AI597" s="146"/>
      <c r="AJ597" s="146"/>
      <c r="AK597" s="146"/>
      <c r="AL597" s="146"/>
      <c r="AM597" s="146"/>
      <c r="AN597" s="146"/>
      <c r="AO597" s="146"/>
      <c r="AP597" s="146"/>
      <c r="AQ597" s="146"/>
      <c r="AR597" s="146"/>
    </row>
    <row r="598" spans="1:44" s="119" customFormat="1">
      <c r="A598" s="238" t="str">
        <f t="shared" si="328"/>
        <v>Utility</v>
      </c>
      <c r="B598" s="164">
        <f>IF(IBIUtilityFixedStateITC="Yes",IBIUtilityFixed,0)</f>
        <v>0</v>
      </c>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c r="AA598" s="146"/>
      <c r="AB598" s="146"/>
      <c r="AC598" s="146"/>
      <c r="AD598" s="146"/>
      <c r="AE598" s="146"/>
      <c r="AF598" s="146"/>
      <c r="AG598" s="146"/>
      <c r="AH598" s="146"/>
      <c r="AI598" s="146"/>
      <c r="AJ598" s="146"/>
      <c r="AK598" s="146"/>
      <c r="AL598" s="146"/>
      <c r="AM598" s="146"/>
      <c r="AN598" s="146"/>
      <c r="AO598" s="146"/>
      <c r="AP598" s="146"/>
      <c r="AQ598" s="146"/>
      <c r="AR598" s="146"/>
    </row>
    <row r="599" spans="1:44" s="119" customFormat="1">
      <c r="A599" s="238" t="str">
        <f t="shared" si="328"/>
        <v>Other</v>
      </c>
      <c r="B599" s="209">
        <f>IF(IBIOtherFixedStateITC="Yes",IBIOtherFixed,0)</f>
        <v>0</v>
      </c>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c r="AA599" s="146"/>
      <c r="AB599" s="146"/>
      <c r="AC599" s="146"/>
      <c r="AD599" s="146"/>
      <c r="AE599" s="146"/>
      <c r="AF599" s="146"/>
      <c r="AG599" s="146"/>
      <c r="AH599" s="146"/>
      <c r="AI599" s="146"/>
      <c r="AJ599" s="146"/>
      <c r="AK599" s="146"/>
      <c r="AL599" s="146"/>
      <c r="AM599" s="146"/>
      <c r="AN599" s="146"/>
      <c r="AO599" s="146"/>
      <c r="AP599" s="146"/>
      <c r="AQ599" s="146"/>
      <c r="AR599" s="146"/>
    </row>
    <row r="600" spans="1:44" s="119" customFormat="1">
      <c r="A600" s="238" t="str">
        <f t="shared" si="328"/>
        <v>Total</v>
      </c>
      <c r="B600" s="164">
        <f>SUM(B596:B599)</f>
        <v>3000</v>
      </c>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c r="AA600" s="146"/>
      <c r="AB600" s="146"/>
      <c r="AC600" s="146"/>
      <c r="AD600" s="146"/>
      <c r="AE600" s="146"/>
      <c r="AF600" s="146"/>
      <c r="AG600" s="146"/>
      <c r="AH600" s="146"/>
      <c r="AI600" s="146"/>
      <c r="AJ600" s="146"/>
      <c r="AK600" s="146"/>
      <c r="AL600" s="146"/>
      <c r="AM600" s="146"/>
      <c r="AN600" s="146"/>
      <c r="AO600" s="146"/>
      <c r="AP600" s="146"/>
      <c r="AQ600" s="146"/>
      <c r="AR600" s="146"/>
    </row>
    <row r="601" spans="1:44" s="119" customFormat="1">
      <c r="A601" s="222" t="str">
        <f t="shared" si="328"/>
        <v>Percentage of Pre-Financing Costs</v>
      </c>
      <c r="B601" s="37"/>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c r="AA601" s="146"/>
      <c r="AB601" s="146"/>
      <c r="AC601" s="146"/>
      <c r="AD601" s="146"/>
      <c r="AE601" s="146"/>
      <c r="AF601" s="146"/>
      <c r="AG601" s="146"/>
      <c r="AH601" s="146"/>
      <c r="AI601" s="146"/>
      <c r="AJ601" s="146"/>
      <c r="AK601" s="146"/>
      <c r="AL601" s="146"/>
      <c r="AM601" s="146"/>
      <c r="AN601" s="146"/>
      <c r="AO601" s="146"/>
      <c r="AP601" s="146"/>
      <c r="AQ601" s="146"/>
      <c r="AR601" s="146"/>
    </row>
    <row r="602" spans="1:44" s="119" customFormat="1">
      <c r="A602" s="238" t="str">
        <f t="shared" si="328"/>
        <v>Federal</v>
      </c>
      <c r="B602" s="164">
        <f>IF(IBIFedPercentStateITC="Yes",IBIFedPercent,0)</f>
        <v>0</v>
      </c>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c r="AA602" s="146"/>
      <c r="AB602" s="146"/>
      <c r="AC602" s="146"/>
      <c r="AD602" s="146"/>
      <c r="AE602" s="146"/>
      <c r="AF602" s="146"/>
      <c r="AG602" s="146"/>
      <c r="AH602" s="146"/>
      <c r="AI602" s="146"/>
      <c r="AJ602" s="146"/>
      <c r="AK602" s="146"/>
      <c r="AL602" s="146"/>
      <c r="AM602" s="146"/>
      <c r="AN602" s="146"/>
      <c r="AO602" s="146"/>
      <c r="AP602" s="146"/>
      <c r="AQ602" s="146"/>
      <c r="AR602" s="146"/>
    </row>
    <row r="603" spans="1:44" s="119" customFormat="1">
      <c r="A603" s="238" t="str">
        <f t="shared" si="328"/>
        <v>State</v>
      </c>
      <c r="B603" s="164">
        <f>IF(IBIStatePercentStateITC="Yes",IBIStatePercent,0)</f>
        <v>0</v>
      </c>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c r="AA603" s="146"/>
      <c r="AB603" s="146"/>
      <c r="AC603" s="146"/>
      <c r="AD603" s="146"/>
      <c r="AE603" s="146"/>
      <c r="AF603" s="146"/>
      <c r="AG603" s="146"/>
      <c r="AH603" s="146"/>
      <c r="AI603" s="146"/>
      <c r="AJ603" s="146"/>
      <c r="AK603" s="146"/>
      <c r="AL603" s="146"/>
      <c r="AM603" s="146"/>
      <c r="AN603" s="146"/>
      <c r="AO603" s="146"/>
      <c r="AP603" s="146"/>
      <c r="AQ603" s="146"/>
      <c r="AR603" s="146"/>
    </row>
    <row r="604" spans="1:44" s="119" customFormat="1">
      <c r="A604" s="238" t="str">
        <f t="shared" si="328"/>
        <v>Utility</v>
      </c>
      <c r="B604" s="164">
        <f>IF(IBIUtilityPercentStateITC="Yes",IBIUtilityPercent,0)</f>
        <v>0</v>
      </c>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c r="AA604" s="146"/>
      <c r="AB604" s="146"/>
      <c r="AC604" s="146"/>
      <c r="AD604" s="146"/>
      <c r="AE604" s="146"/>
      <c r="AF604" s="146"/>
      <c r="AG604" s="146"/>
      <c r="AH604" s="146"/>
      <c r="AI604" s="146"/>
      <c r="AJ604" s="146"/>
      <c r="AK604" s="146"/>
      <c r="AL604" s="146"/>
      <c r="AM604" s="146"/>
      <c r="AN604" s="146"/>
      <c r="AO604" s="146"/>
      <c r="AP604" s="146"/>
      <c r="AQ604" s="146"/>
      <c r="AR604" s="146"/>
    </row>
    <row r="605" spans="1:44" s="119" customFormat="1">
      <c r="A605" s="238" t="str">
        <f t="shared" si="328"/>
        <v>Other</v>
      </c>
      <c r="B605" s="209">
        <f>IF(IBIOtherPercentStateITC="Yes",IBIOtherPercent,0)</f>
        <v>0</v>
      </c>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c r="AA605" s="146"/>
      <c r="AB605" s="146"/>
      <c r="AC605" s="146"/>
      <c r="AD605" s="146"/>
      <c r="AE605" s="146"/>
      <c r="AF605" s="146"/>
      <c r="AG605" s="146"/>
      <c r="AH605" s="146"/>
      <c r="AI605" s="146"/>
      <c r="AJ605" s="146"/>
      <c r="AK605" s="146"/>
      <c r="AL605" s="146"/>
      <c r="AM605" s="146"/>
      <c r="AN605" s="146"/>
      <c r="AO605" s="146"/>
      <c r="AP605" s="146"/>
      <c r="AQ605" s="146"/>
      <c r="AR605" s="146"/>
    </row>
    <row r="606" spans="1:44" s="119" customFormat="1">
      <c r="A606" s="238" t="str">
        <f t="shared" si="328"/>
        <v>Total</v>
      </c>
      <c r="B606" s="164">
        <f>SUM(B602:B605)</f>
        <v>0</v>
      </c>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c r="AA606" s="146"/>
      <c r="AB606" s="146"/>
      <c r="AC606" s="146"/>
      <c r="AD606" s="146"/>
      <c r="AE606" s="146"/>
      <c r="AF606" s="146"/>
      <c r="AG606" s="146"/>
      <c r="AH606" s="146"/>
      <c r="AI606" s="146"/>
      <c r="AJ606" s="146"/>
      <c r="AK606" s="146"/>
      <c r="AL606" s="146"/>
      <c r="AM606" s="146"/>
      <c r="AN606" s="146"/>
      <c r="AO606" s="146"/>
      <c r="AP606" s="146"/>
      <c r="AQ606" s="146"/>
      <c r="AR606" s="146"/>
    </row>
    <row r="607" spans="1:44" s="119" customFormat="1">
      <c r="A607" s="222" t="str">
        <f t="shared" si="328"/>
        <v>Capacity Based Incentive (CBI)</v>
      </c>
      <c r="B607" s="37"/>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c r="AA607" s="146"/>
      <c r="AB607" s="146"/>
      <c r="AC607" s="146"/>
      <c r="AD607" s="146"/>
      <c r="AE607" s="146"/>
      <c r="AF607" s="146"/>
      <c r="AG607" s="146"/>
      <c r="AH607" s="146"/>
      <c r="AI607" s="146"/>
      <c r="AJ607" s="146"/>
      <c r="AK607" s="146"/>
      <c r="AL607" s="146"/>
      <c r="AM607" s="146"/>
      <c r="AN607" s="146"/>
      <c r="AO607" s="146"/>
      <c r="AP607" s="146"/>
      <c r="AQ607" s="146"/>
      <c r="AR607" s="146"/>
    </row>
    <row r="608" spans="1:44" s="119" customFormat="1">
      <c r="A608" s="238" t="str">
        <f t="shared" si="328"/>
        <v>Federal</v>
      </c>
      <c r="B608" s="164">
        <f>IF(CBIFedStateITC="Yes",CBIFed,0)</f>
        <v>0</v>
      </c>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c r="AA608" s="146"/>
      <c r="AB608" s="146"/>
      <c r="AC608" s="146"/>
      <c r="AD608" s="146"/>
      <c r="AE608" s="146"/>
      <c r="AF608" s="146"/>
      <c r="AG608" s="146"/>
      <c r="AH608" s="146"/>
      <c r="AI608" s="146"/>
      <c r="AJ608" s="146"/>
      <c r="AK608" s="146"/>
      <c r="AL608" s="146"/>
      <c r="AM608" s="146"/>
      <c r="AN608" s="146"/>
      <c r="AO608" s="146"/>
      <c r="AP608" s="146"/>
    </row>
    <row r="609" spans="1:42" s="119" customFormat="1">
      <c r="A609" s="238" t="str">
        <f t="shared" si="328"/>
        <v>State</v>
      </c>
      <c r="B609" s="164">
        <f>IF(CBIStateStateITC="Yes",CBIState,0)</f>
        <v>0</v>
      </c>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c r="AA609" s="146"/>
      <c r="AB609" s="146"/>
      <c r="AC609" s="146"/>
      <c r="AD609" s="146"/>
      <c r="AE609" s="146"/>
      <c r="AF609" s="146"/>
      <c r="AG609" s="146"/>
      <c r="AH609" s="146"/>
      <c r="AI609" s="146"/>
      <c r="AJ609" s="146"/>
      <c r="AK609" s="146"/>
      <c r="AL609" s="146"/>
      <c r="AM609" s="146"/>
      <c r="AN609" s="146"/>
      <c r="AO609" s="146"/>
      <c r="AP609" s="146"/>
    </row>
    <row r="610" spans="1:42" s="119" customFormat="1">
      <c r="A610" s="238" t="str">
        <f t="shared" si="328"/>
        <v>Utility</v>
      </c>
      <c r="B610" s="164">
        <f>IF(CBIUtilityStateITC="Yes",CBIUtility,0)</f>
        <v>0</v>
      </c>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c r="AA610" s="146"/>
      <c r="AB610" s="146"/>
      <c r="AC610" s="146"/>
      <c r="AD610" s="146"/>
      <c r="AE610" s="146"/>
      <c r="AF610" s="146"/>
      <c r="AG610" s="146"/>
      <c r="AH610" s="146"/>
      <c r="AI610" s="146"/>
      <c r="AJ610" s="146"/>
      <c r="AK610" s="146"/>
      <c r="AL610" s="146"/>
      <c r="AM610" s="146"/>
      <c r="AN610" s="146"/>
      <c r="AO610" s="146"/>
      <c r="AP610" s="146"/>
    </row>
    <row r="611" spans="1:42" s="119" customFormat="1">
      <c r="A611" s="238" t="str">
        <f t="shared" si="328"/>
        <v>Other</v>
      </c>
      <c r="B611" s="209">
        <f>IF(CBIOtherStateITC="Yes",CBIOther,0)</f>
        <v>0</v>
      </c>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c r="AA611" s="146"/>
      <c r="AB611" s="146"/>
      <c r="AC611" s="146"/>
      <c r="AD611" s="146"/>
      <c r="AE611" s="146"/>
      <c r="AF611" s="146"/>
      <c r="AG611" s="146"/>
      <c r="AH611" s="146"/>
      <c r="AI611" s="146"/>
      <c r="AJ611" s="146"/>
      <c r="AK611" s="146"/>
      <c r="AL611" s="146"/>
      <c r="AM611" s="146"/>
      <c r="AN611" s="146"/>
      <c r="AO611" s="146"/>
      <c r="AP611" s="146"/>
    </row>
    <row r="612" spans="1:42" s="119" customFormat="1">
      <c r="A612" s="238" t="str">
        <f t="shared" si="328"/>
        <v>Total</v>
      </c>
      <c r="B612" s="216">
        <f>SUM(B608:B611)</f>
        <v>0</v>
      </c>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c r="AA612" s="146"/>
      <c r="AB612" s="146"/>
      <c r="AC612" s="146"/>
      <c r="AD612" s="146"/>
      <c r="AE612" s="146"/>
      <c r="AF612" s="146"/>
      <c r="AG612" s="146"/>
      <c r="AH612" s="146"/>
      <c r="AI612" s="146"/>
      <c r="AJ612" s="146"/>
      <c r="AK612" s="146"/>
      <c r="AL612" s="146"/>
      <c r="AM612" s="146"/>
      <c r="AN612" s="146"/>
      <c r="AO612" s="146"/>
      <c r="AP612" s="146"/>
    </row>
    <row r="613" spans="1:42" s="119" customFormat="1">
      <c r="A613" s="206" t="s">
        <v>169</v>
      </c>
      <c r="B613" s="164">
        <f>B600+B606+B612</f>
        <v>3000</v>
      </c>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c r="AA613" s="146"/>
      <c r="AB613" s="146"/>
      <c r="AC613" s="146"/>
      <c r="AD613" s="146"/>
      <c r="AE613" s="146"/>
      <c r="AF613" s="146"/>
      <c r="AG613" s="146"/>
      <c r="AH613" s="146"/>
      <c r="AI613" s="146"/>
      <c r="AJ613" s="146"/>
      <c r="AK613" s="146"/>
      <c r="AL613" s="146"/>
      <c r="AM613" s="146"/>
      <c r="AN613" s="146"/>
      <c r="AO613" s="146"/>
      <c r="AP613" s="146"/>
    </row>
    <row r="614" spans="1:42" s="119" customFormat="1">
      <c r="A614" s="268" t="s">
        <v>292</v>
      </c>
      <c r="B614" s="269" t="str">
        <f>IF(B613-E591-F591=0,"OK","Check")</f>
        <v>OK</v>
      </c>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c r="AA614" s="146"/>
      <c r="AB614" s="146"/>
      <c r="AC614" s="146"/>
      <c r="AD614" s="146"/>
      <c r="AE614" s="146"/>
      <c r="AF614" s="146"/>
      <c r="AG614" s="146"/>
      <c r="AH614" s="146"/>
      <c r="AI614" s="146"/>
      <c r="AJ614" s="146"/>
      <c r="AK614" s="146"/>
      <c r="AL614" s="146"/>
      <c r="AM614" s="146"/>
      <c r="AN614" s="146"/>
      <c r="AO614" s="146"/>
      <c r="AP614" s="146"/>
    </row>
    <row r="615" spans="1:42" s="119" customFormat="1">
      <c r="A615" s="22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c r="AA615" s="146"/>
      <c r="AB615" s="146"/>
      <c r="AC615" s="146"/>
      <c r="AD615" s="146"/>
      <c r="AE615" s="146"/>
      <c r="AF615" s="146"/>
      <c r="AG615" s="146"/>
      <c r="AH615" s="146"/>
      <c r="AI615" s="146"/>
      <c r="AJ615" s="146"/>
      <c r="AK615" s="146"/>
      <c r="AL615" s="146"/>
      <c r="AM615" s="146"/>
      <c r="AN615" s="146"/>
      <c r="AO615" s="146"/>
      <c r="AP615" s="146"/>
    </row>
    <row r="616" spans="1:42" s="119" customFormat="1">
      <c r="A616" s="251" t="s">
        <v>178</v>
      </c>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c r="AA616" s="146"/>
      <c r="AB616" s="146"/>
      <c r="AC616" s="146"/>
      <c r="AD616" s="146"/>
      <c r="AE616" s="146"/>
      <c r="AF616" s="146"/>
      <c r="AG616" s="146"/>
      <c r="AH616" s="146"/>
      <c r="AI616" s="146"/>
      <c r="AJ616" s="146"/>
      <c r="AK616" s="146"/>
      <c r="AL616" s="146"/>
      <c r="AM616" s="146"/>
      <c r="AN616" s="146"/>
      <c r="AO616" s="146"/>
      <c r="AP616" s="146"/>
    </row>
    <row r="617" spans="1:42" s="119" customFormat="1">
      <c r="A617" s="37" t="s">
        <v>83</v>
      </c>
      <c r="B617" s="252" t="s">
        <v>173</v>
      </c>
      <c r="C617" s="253"/>
      <c r="D617" s="253"/>
      <c r="E617" s="253"/>
      <c r="F617" s="253"/>
      <c r="G617" s="253"/>
      <c r="H617" s="253"/>
      <c r="I617" s="254"/>
      <c r="J617" s="255" t="s">
        <v>174</v>
      </c>
      <c r="K617" s="256"/>
      <c r="L617" s="146"/>
      <c r="M617" s="146"/>
      <c r="N617" s="146"/>
      <c r="O617" s="146"/>
      <c r="P617" s="146"/>
      <c r="Q617" s="146"/>
      <c r="R617" s="146"/>
      <c r="S617" s="146"/>
      <c r="T617" s="146"/>
      <c r="U617" s="146"/>
      <c r="V617" s="146"/>
      <c r="W617" s="146"/>
      <c r="X617" s="146"/>
      <c r="Y617" s="146"/>
      <c r="Z617" s="146"/>
      <c r="AA617" s="146"/>
      <c r="AB617" s="146"/>
      <c r="AC617" s="146"/>
      <c r="AD617" s="146"/>
      <c r="AE617" s="146"/>
      <c r="AF617" s="146"/>
      <c r="AG617" s="146"/>
      <c r="AH617" s="146"/>
      <c r="AI617" s="146"/>
      <c r="AJ617" s="146"/>
      <c r="AK617" s="146"/>
      <c r="AL617" s="146"/>
      <c r="AM617" s="146"/>
      <c r="AN617" s="146"/>
      <c r="AO617" s="146"/>
      <c r="AP617" s="146"/>
    </row>
    <row r="618" spans="1:42" s="119" customFormat="1" ht="38.25">
      <c r="A618" s="37"/>
      <c r="B618" s="133" t="s">
        <v>164</v>
      </c>
      <c r="C618" s="133" t="s">
        <v>163</v>
      </c>
      <c r="D618" s="133" t="s">
        <v>166</v>
      </c>
      <c r="E618" s="133" t="s">
        <v>155</v>
      </c>
      <c r="F618" s="228" t="s">
        <v>156</v>
      </c>
      <c r="G618" s="228" t="s">
        <v>172</v>
      </c>
      <c r="H618" s="133" t="s">
        <v>165</v>
      </c>
      <c r="I618" s="133" t="s">
        <v>167</v>
      </c>
      <c r="J618" s="257" t="s">
        <v>34</v>
      </c>
      <c r="K618" s="133" t="s">
        <v>167</v>
      </c>
      <c r="L618" s="146"/>
      <c r="M618" s="146"/>
      <c r="N618" s="146"/>
      <c r="O618" s="146"/>
      <c r="P618" s="146"/>
      <c r="Q618" s="146"/>
      <c r="R618" s="146"/>
      <c r="S618" s="146"/>
      <c r="T618" s="146"/>
      <c r="U618" s="146"/>
      <c r="V618" s="146"/>
      <c r="W618" s="146"/>
      <c r="X618" s="146"/>
      <c r="Y618" s="146"/>
      <c r="Z618" s="146"/>
      <c r="AA618" s="146"/>
      <c r="AB618" s="146"/>
      <c r="AC618" s="146"/>
      <c r="AD618" s="146"/>
      <c r="AE618" s="146"/>
      <c r="AF618" s="146"/>
      <c r="AG618" s="146"/>
      <c r="AH618" s="146"/>
      <c r="AI618" s="146"/>
      <c r="AJ618" s="146"/>
      <c r="AK618" s="146"/>
      <c r="AL618" s="146"/>
      <c r="AM618" s="146"/>
      <c r="AN618" s="146"/>
      <c r="AO618" s="146"/>
      <c r="AP618" s="146"/>
    </row>
    <row r="619" spans="1:42" s="119" customFormat="1">
      <c r="A619" s="206" t="str">
        <f>A584</f>
        <v>5-yr MACRS</v>
      </c>
      <c r="B619" s="232">
        <f>'Inputs &amp; Results'!D221</f>
        <v>40466381.590438232</v>
      </c>
      <c r="C619" s="258">
        <f>IF('Inputs &amp; Results'!B259="Yes",B619,0)</f>
        <v>40466381.590438232</v>
      </c>
      <c r="D619" s="259">
        <f>C619/$C$626</f>
        <v>1</v>
      </c>
      <c r="E619" s="260">
        <f>$E$626*D619</f>
        <v>3000</v>
      </c>
      <c r="F619" s="146">
        <f>$F$626*D619</f>
        <v>5000000</v>
      </c>
      <c r="G619" s="261">
        <f>C619-E619-F619</f>
        <v>35463381.590438232</v>
      </c>
      <c r="H619" s="261">
        <f>$H$626*D619</f>
        <v>0</v>
      </c>
      <c r="I619" s="261">
        <f>H619*0.5</f>
        <v>0</v>
      </c>
      <c r="J619" s="248">
        <f>D619*$J$626</f>
        <v>10000</v>
      </c>
      <c r="K619" s="248">
        <f>J619*0.5</f>
        <v>5000</v>
      </c>
      <c r="L619" s="146"/>
      <c r="M619" s="146"/>
      <c r="N619" s="146"/>
      <c r="O619" s="146"/>
      <c r="P619" s="146"/>
      <c r="Q619" s="146"/>
      <c r="R619" s="146"/>
      <c r="S619" s="146"/>
      <c r="T619" s="146"/>
      <c r="U619" s="146"/>
      <c r="V619" s="146"/>
      <c r="W619" s="146"/>
      <c r="X619" s="146"/>
      <c r="Y619" s="146"/>
      <c r="Z619" s="146"/>
      <c r="AA619" s="146"/>
      <c r="AB619" s="146"/>
      <c r="AC619" s="146"/>
      <c r="AD619" s="146"/>
      <c r="AE619" s="146"/>
      <c r="AF619" s="146"/>
      <c r="AG619" s="146"/>
      <c r="AH619" s="146"/>
      <c r="AI619" s="146"/>
      <c r="AJ619" s="146"/>
      <c r="AK619" s="146"/>
      <c r="AL619" s="146"/>
      <c r="AM619" s="146"/>
      <c r="AN619" s="146"/>
      <c r="AO619" s="146"/>
      <c r="AP619" s="146"/>
    </row>
    <row r="620" spans="1:42" s="119" customFormat="1">
      <c r="A620" s="206" t="str">
        <f t="shared" ref="A620:A625" si="329">A585</f>
        <v>15-yr MACRS</v>
      </c>
      <c r="B620" s="165">
        <f>'Inputs &amp; Results'!D222</f>
        <v>693709.39869322674</v>
      </c>
      <c r="C620" s="262">
        <f>IF('Inputs &amp; Results'!B260="Yes",B620,0)</f>
        <v>0</v>
      </c>
      <c r="D620" s="263">
        <f t="shared" ref="D620:D624" si="330">C620/$C$626</f>
        <v>0</v>
      </c>
      <c r="E620" s="146">
        <f t="shared" ref="E620:E624" si="331">$E$626*D620</f>
        <v>0</v>
      </c>
      <c r="F620" s="146">
        <f t="shared" ref="F620:F624" si="332">$F$626*D620</f>
        <v>0</v>
      </c>
      <c r="G620" s="248">
        <f t="shared" ref="G620:G624" si="333">C620-E620-F620</f>
        <v>0</v>
      </c>
      <c r="H620" s="248">
        <f t="shared" ref="H620:H624" si="334">$H$626*D620</f>
        <v>0</v>
      </c>
      <c r="I620" s="248">
        <f t="shared" ref="I620:I624" si="335">H620*0.5</f>
        <v>0</v>
      </c>
      <c r="J620" s="248">
        <f t="shared" ref="J620:J624" si="336">D620*$J$626</f>
        <v>0</v>
      </c>
      <c r="K620" s="248">
        <f t="shared" ref="K620:K624" si="337">J620*0.5</f>
        <v>0</v>
      </c>
      <c r="L620" s="146"/>
      <c r="M620" s="146"/>
      <c r="N620" s="146"/>
      <c r="O620" s="146"/>
      <c r="P620" s="146"/>
      <c r="Q620" s="146"/>
      <c r="R620" s="146"/>
      <c r="S620" s="146"/>
      <c r="T620" s="146"/>
      <c r="U620" s="146"/>
      <c r="V620" s="146"/>
      <c r="W620" s="146"/>
      <c r="X620" s="146"/>
      <c r="Y620" s="146"/>
      <c r="Z620" s="146"/>
      <c r="AA620" s="146"/>
      <c r="AB620" s="146"/>
      <c r="AC620" s="146"/>
      <c r="AD620" s="146"/>
      <c r="AE620" s="146"/>
      <c r="AF620" s="146"/>
      <c r="AG620" s="146"/>
      <c r="AH620" s="146"/>
      <c r="AI620" s="146"/>
      <c r="AJ620" s="146"/>
      <c r="AK620" s="146"/>
      <c r="AL620" s="146"/>
      <c r="AM620" s="146"/>
      <c r="AN620" s="146"/>
      <c r="AO620" s="146"/>
      <c r="AP620" s="146"/>
    </row>
    <row r="621" spans="1:42" s="119" customFormat="1">
      <c r="A621" s="206" t="str">
        <f t="shared" si="329"/>
        <v>5-yr SL</v>
      </c>
      <c r="B621" s="165">
        <f>'Inputs &amp; Results'!D223</f>
        <v>0</v>
      </c>
      <c r="C621" s="262">
        <f>IF('Inputs &amp; Results'!B261="Yes",B621,0)</f>
        <v>0</v>
      </c>
      <c r="D621" s="263">
        <f t="shared" si="330"/>
        <v>0</v>
      </c>
      <c r="E621" s="146">
        <f t="shared" si="331"/>
        <v>0</v>
      </c>
      <c r="F621" s="146">
        <f t="shared" si="332"/>
        <v>0</v>
      </c>
      <c r="G621" s="248">
        <f t="shared" si="333"/>
        <v>0</v>
      </c>
      <c r="H621" s="248">
        <f t="shared" si="334"/>
        <v>0</v>
      </c>
      <c r="I621" s="248">
        <f t="shared" si="335"/>
        <v>0</v>
      </c>
      <c r="J621" s="248">
        <f t="shared" si="336"/>
        <v>0</v>
      </c>
      <c r="K621" s="248">
        <f t="shared" si="337"/>
        <v>0</v>
      </c>
      <c r="L621" s="146"/>
      <c r="M621" s="146"/>
      <c r="N621" s="146"/>
      <c r="O621" s="146"/>
      <c r="P621" s="146"/>
      <c r="Q621" s="146"/>
      <c r="R621" s="146"/>
      <c r="S621" s="146"/>
      <c r="T621" s="146"/>
      <c r="U621" s="146"/>
      <c r="V621" s="146"/>
      <c r="W621" s="146"/>
      <c r="X621" s="146"/>
      <c r="Y621" s="146"/>
      <c r="Z621" s="146"/>
      <c r="AA621" s="146"/>
      <c r="AB621" s="146"/>
      <c r="AC621" s="146"/>
      <c r="AD621" s="146"/>
      <c r="AE621" s="146"/>
      <c r="AF621" s="146"/>
      <c r="AG621" s="146"/>
      <c r="AH621" s="146"/>
      <c r="AI621" s="146"/>
      <c r="AJ621" s="146"/>
      <c r="AK621" s="146"/>
      <c r="AL621" s="146"/>
      <c r="AM621" s="146"/>
      <c r="AN621" s="146"/>
      <c r="AO621" s="146"/>
      <c r="AP621" s="146"/>
    </row>
    <row r="622" spans="1:42" s="119" customFormat="1">
      <c r="A622" s="206" t="str">
        <f t="shared" si="329"/>
        <v>15-yr SL</v>
      </c>
      <c r="B622" s="165">
        <f>'Inputs &amp; Results'!D224</f>
        <v>693709.39869322674</v>
      </c>
      <c r="C622" s="262">
        <f>IF('Inputs &amp; Results'!B262="Yes",B622,0)</f>
        <v>0</v>
      </c>
      <c r="D622" s="263">
        <f t="shared" si="330"/>
        <v>0</v>
      </c>
      <c r="E622" s="146">
        <f t="shared" si="331"/>
        <v>0</v>
      </c>
      <c r="F622" s="146">
        <f t="shared" si="332"/>
        <v>0</v>
      </c>
      <c r="G622" s="248">
        <f t="shared" si="333"/>
        <v>0</v>
      </c>
      <c r="H622" s="248">
        <f t="shared" si="334"/>
        <v>0</v>
      </c>
      <c r="I622" s="248">
        <f t="shared" si="335"/>
        <v>0</v>
      </c>
      <c r="J622" s="248">
        <f t="shared" si="336"/>
        <v>0</v>
      </c>
      <c r="K622" s="248">
        <f t="shared" si="337"/>
        <v>0</v>
      </c>
      <c r="L622" s="146"/>
      <c r="M622" s="146"/>
      <c r="N622" s="146"/>
      <c r="O622" s="146"/>
      <c r="P622" s="146"/>
      <c r="Q622" s="146"/>
      <c r="R622" s="146"/>
      <c r="S622" s="146"/>
      <c r="T622" s="146"/>
      <c r="U622" s="146"/>
      <c r="V622" s="146"/>
      <c r="W622" s="146"/>
      <c r="X622" s="146"/>
      <c r="Y622" s="146"/>
      <c r="Z622" s="146"/>
      <c r="AA622" s="146"/>
      <c r="AB622" s="146"/>
      <c r="AC622" s="146"/>
      <c r="AD622" s="146"/>
      <c r="AE622" s="146"/>
      <c r="AF622" s="146"/>
      <c r="AG622" s="146"/>
      <c r="AH622" s="146"/>
      <c r="AI622" s="146"/>
      <c r="AJ622" s="146"/>
      <c r="AK622" s="146"/>
      <c r="AL622" s="146"/>
      <c r="AM622" s="146"/>
      <c r="AN622" s="146"/>
      <c r="AO622" s="146"/>
      <c r="AP622" s="146"/>
    </row>
    <row r="623" spans="1:42" s="119" customFormat="1">
      <c r="A623" s="206" t="str">
        <f t="shared" si="329"/>
        <v>20-yr SL</v>
      </c>
      <c r="B623" s="165">
        <f>'Inputs &amp; Results'!D225</f>
        <v>462472.93246215122</v>
      </c>
      <c r="C623" s="262">
        <f>IF('Inputs &amp; Results'!B263="Yes",B623,0)</f>
        <v>0</v>
      </c>
      <c r="D623" s="263">
        <f t="shared" si="330"/>
        <v>0</v>
      </c>
      <c r="E623" s="146">
        <f t="shared" si="331"/>
        <v>0</v>
      </c>
      <c r="F623" s="146">
        <f t="shared" si="332"/>
        <v>0</v>
      </c>
      <c r="G623" s="248">
        <f t="shared" si="333"/>
        <v>0</v>
      </c>
      <c r="H623" s="248">
        <f t="shared" si="334"/>
        <v>0</v>
      </c>
      <c r="I623" s="248">
        <f t="shared" si="335"/>
        <v>0</v>
      </c>
      <c r="J623" s="248">
        <f t="shared" si="336"/>
        <v>0</v>
      </c>
      <c r="K623" s="248">
        <f t="shared" si="337"/>
        <v>0</v>
      </c>
      <c r="L623" s="146"/>
      <c r="M623" s="146"/>
      <c r="N623" s="146"/>
      <c r="O623" s="146"/>
      <c r="P623" s="146"/>
      <c r="Q623" s="146"/>
      <c r="R623" s="146"/>
      <c r="S623" s="146"/>
      <c r="T623" s="146"/>
      <c r="U623" s="146"/>
      <c r="V623" s="146"/>
      <c r="W623" s="146"/>
      <c r="X623" s="146"/>
      <c r="Y623" s="146"/>
      <c r="Z623" s="146"/>
      <c r="AA623" s="146"/>
      <c r="AB623" s="146"/>
      <c r="AC623" s="146"/>
      <c r="AD623" s="146"/>
      <c r="AE623" s="146"/>
      <c r="AF623" s="146"/>
      <c r="AG623" s="146"/>
      <c r="AH623" s="146"/>
      <c r="AI623" s="146"/>
      <c r="AJ623" s="146"/>
      <c r="AK623" s="146"/>
      <c r="AL623" s="146"/>
      <c r="AM623" s="146"/>
      <c r="AN623" s="146"/>
      <c r="AO623" s="146"/>
      <c r="AP623" s="146"/>
    </row>
    <row r="624" spans="1:42" s="119" customFormat="1">
      <c r="A624" s="206" t="str">
        <f t="shared" si="329"/>
        <v>39-yr SL</v>
      </c>
      <c r="B624" s="165">
        <f>'Inputs &amp; Results'!D226</f>
        <v>231236.46623107561</v>
      </c>
      <c r="C624" s="262">
        <f>IF('Inputs &amp; Results'!B264="Yes",B624,0)</f>
        <v>0</v>
      </c>
      <c r="D624" s="263">
        <f t="shared" si="330"/>
        <v>0</v>
      </c>
      <c r="E624" s="146">
        <f t="shared" si="331"/>
        <v>0</v>
      </c>
      <c r="F624" s="146">
        <f t="shared" si="332"/>
        <v>0</v>
      </c>
      <c r="G624" s="248">
        <f t="shared" si="333"/>
        <v>0</v>
      </c>
      <c r="H624" s="248">
        <f t="shared" si="334"/>
        <v>0</v>
      </c>
      <c r="I624" s="248">
        <f t="shared" si="335"/>
        <v>0</v>
      </c>
      <c r="J624" s="248">
        <f t="shared" si="336"/>
        <v>0</v>
      </c>
      <c r="K624" s="248">
        <f t="shared" si="337"/>
        <v>0</v>
      </c>
      <c r="L624" s="146"/>
      <c r="M624" s="146"/>
      <c r="N624" s="146"/>
      <c r="O624" s="146"/>
      <c r="P624" s="146"/>
      <c r="Q624" s="146"/>
      <c r="R624" s="146"/>
      <c r="S624" s="146"/>
      <c r="T624" s="146"/>
      <c r="U624" s="146"/>
      <c r="V624" s="146"/>
      <c r="W624" s="146"/>
      <c r="X624" s="146"/>
      <c r="Y624" s="146"/>
      <c r="Z624" s="146"/>
      <c r="AA624" s="146"/>
      <c r="AB624" s="146"/>
      <c r="AC624" s="146"/>
      <c r="AD624" s="146"/>
      <c r="AE624" s="146"/>
      <c r="AF624" s="146"/>
      <c r="AG624" s="146"/>
      <c r="AH624" s="146"/>
      <c r="AI624" s="146"/>
      <c r="AJ624" s="146"/>
      <c r="AK624" s="146"/>
      <c r="AL624" s="146"/>
      <c r="AM624" s="146"/>
      <c r="AN624" s="146"/>
      <c r="AO624" s="146"/>
      <c r="AP624" s="146"/>
    </row>
    <row r="625" spans="1:42" s="119" customFormat="1">
      <c r="A625" s="206" t="str">
        <f t="shared" si="329"/>
        <v xml:space="preserve">Non-Depreciable </v>
      </c>
      <c r="B625" s="237">
        <f>'Inputs &amp; Results'!D227</f>
        <v>3699783.4596972079</v>
      </c>
      <c r="C625" s="233"/>
      <c r="D625" s="264"/>
      <c r="E625" s="264"/>
      <c r="F625" s="264"/>
      <c r="G625" s="265"/>
      <c r="H625" s="265"/>
      <c r="I625" s="265"/>
      <c r="J625" s="265"/>
      <c r="K625" s="265"/>
      <c r="L625" s="146"/>
      <c r="M625" s="146"/>
      <c r="N625" s="146"/>
      <c r="O625" s="146"/>
      <c r="P625" s="146"/>
      <c r="Q625" s="146"/>
      <c r="R625" s="146"/>
      <c r="S625" s="146"/>
      <c r="T625" s="146"/>
      <c r="U625" s="146"/>
      <c r="V625" s="146"/>
      <c r="W625" s="146"/>
      <c r="X625" s="146"/>
      <c r="Y625" s="146"/>
      <c r="Z625" s="146"/>
      <c r="AA625" s="146"/>
      <c r="AB625" s="146"/>
      <c r="AC625" s="146"/>
      <c r="AD625" s="146"/>
      <c r="AE625" s="146"/>
      <c r="AF625" s="146"/>
      <c r="AG625" s="146"/>
      <c r="AH625" s="146"/>
      <c r="AI625" s="146"/>
      <c r="AJ625" s="146"/>
      <c r="AK625" s="146"/>
      <c r="AL625" s="146"/>
      <c r="AM625" s="146"/>
      <c r="AN625" s="146"/>
      <c r="AO625" s="146"/>
      <c r="AP625" s="146"/>
    </row>
    <row r="626" spans="1:42" s="119" customFormat="1">
      <c r="A626" s="37"/>
      <c r="B626" s="246">
        <f>SUM(B619:B625)</f>
        <v>46247293.24621512</v>
      </c>
      <c r="C626" s="237">
        <f>SUM(C619:C625)</f>
        <v>40466381.590438232</v>
      </c>
      <c r="D626" s="266">
        <f>SUM(D619:D625)</f>
        <v>1</v>
      </c>
      <c r="E626" s="249">
        <f>B635+B641</f>
        <v>3000</v>
      </c>
      <c r="F626" s="225">
        <f>B647</f>
        <v>5000000</v>
      </c>
      <c r="G626" s="249">
        <f>SUM(G619:G625)</f>
        <v>35463381.590438232</v>
      </c>
      <c r="H626" s="249">
        <f>MIN(ITCFedMax,ITCFedPercent*G626)</f>
        <v>0</v>
      </c>
      <c r="I626" s="249">
        <f>SUM(I619:I625)</f>
        <v>0</v>
      </c>
      <c r="J626" s="249">
        <f>ITCFedFixed</f>
        <v>10000</v>
      </c>
      <c r="K626" s="249">
        <f>SUM(K619:K625)</f>
        <v>5000</v>
      </c>
      <c r="L626" s="146"/>
      <c r="M626" s="146"/>
      <c r="N626" s="146"/>
      <c r="O626" s="146"/>
      <c r="P626" s="146"/>
      <c r="Q626" s="146"/>
      <c r="R626" s="146"/>
      <c r="S626" s="146"/>
      <c r="T626" s="146"/>
      <c r="U626" s="146"/>
      <c r="V626" s="146"/>
      <c r="W626" s="146"/>
      <c r="X626" s="146"/>
      <c r="Y626" s="146"/>
      <c r="Z626" s="146"/>
      <c r="AA626" s="146"/>
      <c r="AB626" s="146"/>
      <c r="AC626" s="146"/>
      <c r="AD626" s="146"/>
      <c r="AE626" s="146"/>
      <c r="AF626" s="146"/>
      <c r="AG626" s="146"/>
      <c r="AH626" s="146"/>
      <c r="AI626" s="146"/>
      <c r="AJ626" s="146"/>
      <c r="AK626" s="146"/>
      <c r="AL626" s="146"/>
      <c r="AM626" s="146"/>
      <c r="AN626" s="146"/>
      <c r="AO626" s="146"/>
      <c r="AP626" s="146"/>
    </row>
    <row r="627" spans="1:42" s="119" customFormat="1">
      <c r="A627" s="37"/>
      <c r="B627" s="164"/>
      <c r="C627" s="164"/>
      <c r="D627" s="245"/>
      <c r="E627" s="220"/>
      <c r="F627" s="220"/>
      <c r="G627" s="220"/>
      <c r="H627" s="220"/>
      <c r="I627" s="146"/>
      <c r="J627" s="146"/>
      <c r="K627" s="42"/>
      <c r="L627" s="146"/>
      <c r="M627" s="146"/>
      <c r="N627" s="146"/>
      <c r="O627" s="146"/>
      <c r="P627" s="146"/>
      <c r="Q627" s="146"/>
      <c r="R627" s="146"/>
      <c r="S627" s="146"/>
      <c r="T627" s="146"/>
      <c r="U627" s="146"/>
      <c r="V627" s="146"/>
      <c r="W627" s="146"/>
      <c r="X627" s="146"/>
      <c r="Y627" s="146"/>
      <c r="Z627" s="146"/>
      <c r="AA627" s="146"/>
      <c r="AB627" s="146"/>
      <c r="AC627" s="146"/>
      <c r="AD627" s="146"/>
      <c r="AE627" s="146"/>
      <c r="AF627" s="146"/>
      <c r="AG627" s="146"/>
      <c r="AH627" s="146"/>
      <c r="AI627" s="146"/>
      <c r="AJ627" s="146"/>
      <c r="AK627" s="146"/>
      <c r="AL627" s="146"/>
      <c r="AM627" s="146"/>
      <c r="AN627" s="146"/>
      <c r="AO627" s="146"/>
      <c r="AP627" s="146"/>
    </row>
    <row r="628" spans="1:42" s="119" customFormat="1">
      <c r="A628" s="206" t="s">
        <v>170</v>
      </c>
      <c r="B628" s="37"/>
      <c r="C628" s="146"/>
      <c r="D628" s="146"/>
      <c r="E628" s="146"/>
      <c r="F628" s="146"/>
      <c r="G628" s="267"/>
      <c r="H628" s="146"/>
      <c r="I628" s="146"/>
      <c r="J628" s="146"/>
      <c r="K628" s="146"/>
      <c r="L628" s="146"/>
      <c r="M628" s="146"/>
      <c r="N628" s="146"/>
      <c r="O628" s="146"/>
      <c r="P628" s="146"/>
      <c r="Q628" s="146"/>
      <c r="R628" s="146"/>
      <c r="S628" s="146"/>
      <c r="T628" s="146"/>
      <c r="U628" s="146"/>
      <c r="V628" s="146"/>
      <c r="W628" s="146"/>
      <c r="X628" s="146"/>
      <c r="Y628" s="146"/>
      <c r="Z628" s="146"/>
      <c r="AA628" s="146"/>
      <c r="AB628" s="146"/>
      <c r="AC628" s="146"/>
      <c r="AD628" s="146"/>
      <c r="AE628" s="146"/>
      <c r="AF628" s="146"/>
      <c r="AG628" s="146"/>
      <c r="AH628" s="146"/>
      <c r="AI628" s="146"/>
      <c r="AJ628" s="146"/>
      <c r="AK628" s="146"/>
      <c r="AL628" s="146"/>
      <c r="AM628" s="146"/>
      <c r="AN628" s="146"/>
      <c r="AO628" s="146"/>
      <c r="AP628" s="146"/>
    </row>
    <row r="629" spans="1:42" s="119" customFormat="1">
      <c r="A629" s="222" t="str">
        <f>A594</f>
        <v>Investment Based Incentive (IBI)</v>
      </c>
      <c r="B629" s="37"/>
      <c r="C629" s="146"/>
      <c r="D629" s="146"/>
      <c r="E629" s="146"/>
      <c r="F629" s="146"/>
      <c r="G629" s="146"/>
      <c r="H629" s="146"/>
      <c r="I629" s="146"/>
      <c r="J629" s="146"/>
      <c r="K629" s="146"/>
      <c r="L629" s="146"/>
      <c r="M629" s="146"/>
      <c r="N629" s="146"/>
      <c r="O629" s="146"/>
      <c r="P629" s="146"/>
      <c r="Q629" s="146"/>
      <c r="R629" s="146"/>
      <c r="S629" s="146"/>
      <c r="T629" s="146"/>
      <c r="U629" s="146"/>
      <c r="V629" s="146"/>
      <c r="W629" s="146"/>
      <c r="X629" s="146"/>
      <c r="Y629" s="146"/>
      <c r="Z629" s="146"/>
      <c r="AA629" s="146"/>
      <c r="AB629" s="146"/>
      <c r="AC629" s="146"/>
      <c r="AD629" s="146"/>
      <c r="AE629" s="146"/>
      <c r="AF629" s="146"/>
      <c r="AG629" s="146"/>
      <c r="AH629" s="146"/>
      <c r="AI629" s="146"/>
      <c r="AJ629" s="146"/>
      <c r="AK629" s="146"/>
      <c r="AL629" s="146"/>
      <c r="AM629" s="146"/>
      <c r="AN629" s="146"/>
      <c r="AO629" s="146"/>
      <c r="AP629" s="146"/>
    </row>
    <row r="630" spans="1:42" s="119" customFormat="1">
      <c r="A630" s="238" t="str">
        <f t="shared" ref="A630:A648" si="338">A595</f>
        <v>Fixed Amount ($)</v>
      </c>
      <c r="B630" s="37"/>
      <c r="C630" s="146"/>
      <c r="D630" s="146"/>
      <c r="E630" s="146"/>
      <c r="F630" s="146"/>
      <c r="G630" s="146"/>
      <c r="H630" s="146"/>
      <c r="I630" s="146"/>
      <c r="J630" s="146"/>
      <c r="K630" s="146"/>
      <c r="L630" s="146"/>
      <c r="M630" s="146"/>
      <c r="N630" s="146"/>
      <c r="O630" s="146"/>
      <c r="P630" s="146"/>
      <c r="Q630" s="146"/>
      <c r="R630" s="146"/>
      <c r="S630" s="146"/>
      <c r="T630" s="146"/>
      <c r="U630" s="146"/>
      <c r="V630" s="146"/>
      <c r="W630" s="146"/>
      <c r="X630" s="146"/>
      <c r="Y630" s="146"/>
      <c r="Z630" s="146"/>
      <c r="AA630" s="146"/>
      <c r="AB630" s="146"/>
      <c r="AC630" s="146"/>
      <c r="AD630" s="146"/>
      <c r="AE630" s="146"/>
      <c r="AF630" s="146"/>
      <c r="AG630" s="146"/>
      <c r="AH630" s="146"/>
      <c r="AI630" s="146"/>
      <c r="AJ630" s="146"/>
      <c r="AK630" s="146"/>
      <c r="AL630" s="146"/>
      <c r="AM630" s="146"/>
      <c r="AN630" s="146"/>
      <c r="AO630" s="146"/>
      <c r="AP630" s="146"/>
    </row>
    <row r="631" spans="1:42" s="119" customFormat="1">
      <c r="A631" s="238" t="str">
        <f t="shared" si="338"/>
        <v>Federal</v>
      </c>
      <c r="B631" s="164">
        <f>IF(IBIFedFixedFedITC="Yes",IBIFedFixed,0)</f>
        <v>1000</v>
      </c>
      <c r="C631" s="146"/>
      <c r="D631" s="146"/>
      <c r="E631" s="146"/>
      <c r="F631" s="146"/>
      <c r="G631" s="146"/>
      <c r="H631" s="146"/>
      <c r="I631" s="146"/>
      <c r="J631" s="146"/>
      <c r="K631" s="146"/>
      <c r="L631" s="146"/>
      <c r="M631" s="146"/>
      <c r="N631" s="146"/>
      <c r="O631" s="146"/>
      <c r="P631" s="146"/>
      <c r="Q631" s="146"/>
      <c r="R631" s="146"/>
      <c r="S631" s="146"/>
      <c r="T631" s="146"/>
      <c r="U631" s="146"/>
      <c r="V631" s="146"/>
      <c r="W631" s="146"/>
      <c r="X631" s="146"/>
      <c r="Y631" s="146"/>
      <c r="Z631" s="146"/>
      <c r="AA631" s="146"/>
      <c r="AB631" s="146"/>
      <c r="AC631" s="146"/>
      <c r="AD631" s="146"/>
      <c r="AE631" s="146"/>
      <c r="AF631" s="146"/>
      <c r="AG631" s="146"/>
      <c r="AH631" s="146"/>
      <c r="AI631" s="146"/>
      <c r="AJ631" s="146"/>
      <c r="AK631" s="146"/>
      <c r="AL631" s="146"/>
      <c r="AM631" s="146"/>
      <c r="AN631" s="146"/>
      <c r="AO631" s="146"/>
      <c r="AP631" s="146"/>
    </row>
    <row r="632" spans="1:42" s="119" customFormat="1">
      <c r="A632" s="238" t="str">
        <f t="shared" si="338"/>
        <v>State</v>
      </c>
      <c r="B632" s="164">
        <f>IF(IBIStateFixedFedITC="Yes",IBIStateFixed,0)</f>
        <v>2000</v>
      </c>
      <c r="C632" s="146"/>
      <c r="D632" s="146"/>
      <c r="E632" s="146"/>
      <c r="F632" s="146"/>
      <c r="G632" s="146"/>
      <c r="H632" s="146"/>
      <c r="I632" s="146"/>
      <c r="J632" s="146"/>
      <c r="K632" s="146"/>
      <c r="L632" s="146"/>
      <c r="M632" s="146"/>
      <c r="N632" s="146"/>
      <c r="O632" s="146"/>
      <c r="P632" s="146"/>
      <c r="Q632" s="146"/>
      <c r="R632" s="146"/>
      <c r="S632" s="146"/>
      <c r="T632" s="146"/>
      <c r="U632" s="146"/>
      <c r="V632" s="146"/>
      <c r="W632" s="146"/>
      <c r="X632" s="146"/>
      <c r="Y632" s="146"/>
      <c r="Z632" s="146"/>
      <c r="AA632" s="146"/>
      <c r="AB632" s="146"/>
      <c r="AC632" s="146"/>
      <c r="AD632" s="146"/>
      <c r="AE632" s="146"/>
      <c r="AF632" s="146"/>
      <c r="AG632" s="146"/>
      <c r="AH632" s="146"/>
      <c r="AI632" s="146"/>
      <c r="AJ632" s="146"/>
      <c r="AK632" s="146"/>
      <c r="AL632" s="146"/>
      <c r="AM632" s="146"/>
      <c r="AN632" s="146"/>
      <c r="AO632" s="146"/>
      <c r="AP632" s="146"/>
    </row>
    <row r="633" spans="1:42" s="119" customFormat="1">
      <c r="A633" s="238" t="str">
        <f t="shared" si="338"/>
        <v>Utility</v>
      </c>
      <c r="B633" s="164">
        <f>IF(IBIUtilityFixedFedITC="Yes",IBIUtilityFixed,0)</f>
        <v>0</v>
      </c>
      <c r="C633" s="146"/>
      <c r="D633" s="146"/>
      <c r="E633" s="146"/>
      <c r="F633" s="146"/>
      <c r="G633" s="146"/>
      <c r="H633" s="146"/>
      <c r="I633" s="146"/>
      <c r="J633" s="146"/>
      <c r="K633" s="146"/>
      <c r="L633" s="146"/>
      <c r="M633" s="146"/>
      <c r="N633" s="146"/>
      <c r="O633" s="146"/>
      <c r="P633" s="146"/>
      <c r="Q633" s="146"/>
      <c r="R633" s="146"/>
      <c r="S633" s="146"/>
      <c r="T633" s="146"/>
      <c r="U633" s="146"/>
      <c r="V633" s="146"/>
      <c r="W633" s="146"/>
      <c r="X633" s="146"/>
      <c r="Y633" s="146"/>
      <c r="Z633" s="146"/>
      <c r="AA633" s="146"/>
      <c r="AB633" s="146"/>
      <c r="AC633" s="146"/>
      <c r="AD633" s="146"/>
      <c r="AE633" s="146"/>
      <c r="AF633" s="146"/>
      <c r="AG633" s="146"/>
      <c r="AH633" s="146"/>
      <c r="AI633" s="146"/>
      <c r="AJ633" s="146"/>
      <c r="AK633" s="146"/>
      <c r="AL633" s="146"/>
      <c r="AM633" s="146"/>
      <c r="AN633" s="146"/>
      <c r="AO633" s="146"/>
      <c r="AP633" s="146"/>
    </row>
    <row r="634" spans="1:42" s="119" customFormat="1">
      <c r="A634" s="238" t="str">
        <f t="shared" si="338"/>
        <v>Other</v>
      </c>
      <c r="B634" s="209">
        <f>IF(IBIOtherFixedFedITC="Yes",IBIOtherFixed,0)</f>
        <v>0</v>
      </c>
      <c r="C634" s="146"/>
      <c r="D634" s="146"/>
      <c r="E634" s="146"/>
      <c r="F634" s="146"/>
      <c r="G634" s="146"/>
      <c r="H634" s="146"/>
      <c r="I634" s="146"/>
      <c r="J634" s="146"/>
      <c r="K634" s="146"/>
      <c r="L634" s="146"/>
      <c r="M634" s="146"/>
      <c r="N634" s="146"/>
      <c r="O634" s="146"/>
      <c r="P634" s="146"/>
      <c r="Q634" s="146"/>
      <c r="R634" s="146"/>
      <c r="S634" s="146"/>
      <c r="T634" s="146"/>
      <c r="U634" s="146"/>
      <c r="V634" s="146"/>
      <c r="W634" s="146"/>
      <c r="X634" s="146"/>
      <c r="Y634" s="146"/>
      <c r="Z634" s="146"/>
      <c r="AA634" s="146"/>
      <c r="AB634" s="146"/>
      <c r="AC634" s="146"/>
      <c r="AD634" s="146"/>
      <c r="AE634" s="146"/>
      <c r="AF634" s="146"/>
      <c r="AG634" s="146"/>
      <c r="AH634" s="146"/>
      <c r="AI634" s="146"/>
      <c r="AJ634" s="146"/>
      <c r="AK634" s="146"/>
      <c r="AL634" s="146"/>
      <c r="AM634" s="146"/>
      <c r="AN634" s="146"/>
      <c r="AO634" s="146"/>
      <c r="AP634" s="146"/>
    </row>
    <row r="635" spans="1:42" s="119" customFormat="1">
      <c r="A635" s="238" t="str">
        <f t="shared" si="338"/>
        <v>Total</v>
      </c>
      <c r="B635" s="164">
        <f>SUM(B631:B634)</f>
        <v>3000</v>
      </c>
      <c r="C635" s="146"/>
      <c r="D635" s="146"/>
      <c r="E635" s="146"/>
      <c r="F635" s="146"/>
      <c r="G635" s="146"/>
      <c r="H635" s="146"/>
      <c r="I635" s="146"/>
      <c r="J635" s="146"/>
      <c r="K635" s="146"/>
      <c r="L635" s="146"/>
      <c r="M635" s="146"/>
      <c r="N635" s="146"/>
      <c r="O635" s="146"/>
      <c r="P635" s="146"/>
      <c r="Q635" s="146"/>
      <c r="R635" s="146"/>
      <c r="S635" s="146"/>
      <c r="T635" s="146"/>
      <c r="U635" s="146"/>
      <c r="V635" s="146"/>
      <c r="W635" s="146"/>
      <c r="X635" s="146"/>
      <c r="Y635" s="146"/>
      <c r="Z635" s="146"/>
      <c r="AA635" s="146"/>
      <c r="AB635" s="146"/>
      <c r="AC635" s="146"/>
      <c r="AD635" s="146"/>
      <c r="AE635" s="146"/>
      <c r="AF635" s="146"/>
      <c r="AG635" s="146"/>
      <c r="AH635" s="146"/>
      <c r="AI635" s="146"/>
      <c r="AJ635" s="146"/>
      <c r="AK635" s="146"/>
      <c r="AL635" s="146"/>
      <c r="AM635" s="146"/>
      <c r="AN635" s="146"/>
      <c r="AO635" s="146"/>
      <c r="AP635" s="146"/>
    </row>
    <row r="636" spans="1:42" s="119" customFormat="1">
      <c r="A636" s="222" t="str">
        <f t="shared" si="338"/>
        <v>Percentage of Pre-Financing Costs</v>
      </c>
      <c r="B636" s="37"/>
      <c r="C636" s="146"/>
      <c r="D636" s="146"/>
      <c r="E636" s="146"/>
      <c r="F636" s="146"/>
      <c r="G636" s="146"/>
      <c r="H636" s="146"/>
      <c r="I636" s="146"/>
      <c r="J636" s="146"/>
      <c r="K636" s="146"/>
      <c r="L636" s="146"/>
      <c r="M636" s="146"/>
      <c r="N636" s="146"/>
      <c r="O636" s="146"/>
      <c r="P636" s="146"/>
      <c r="Q636" s="146"/>
      <c r="R636" s="146"/>
      <c r="S636" s="146"/>
      <c r="T636" s="146"/>
      <c r="U636" s="146"/>
      <c r="V636" s="146"/>
      <c r="W636" s="146"/>
      <c r="X636" s="146"/>
      <c r="Y636" s="146"/>
      <c r="Z636" s="146"/>
      <c r="AA636" s="146"/>
      <c r="AB636" s="146"/>
      <c r="AC636" s="146"/>
      <c r="AD636" s="146"/>
      <c r="AE636" s="146"/>
      <c r="AF636" s="146"/>
      <c r="AG636" s="146"/>
      <c r="AH636" s="146"/>
      <c r="AI636" s="146"/>
      <c r="AJ636" s="146"/>
      <c r="AK636" s="146"/>
      <c r="AL636" s="146"/>
      <c r="AM636" s="146"/>
      <c r="AN636" s="146"/>
      <c r="AO636" s="146"/>
      <c r="AP636" s="146"/>
    </row>
    <row r="637" spans="1:42" s="119" customFormat="1">
      <c r="A637" s="238" t="str">
        <f t="shared" si="338"/>
        <v>Federal</v>
      </c>
      <c r="B637" s="164">
        <f>IF(IBIFedPercentFedITC="Yes",IBIFedPercent,0)</f>
        <v>0</v>
      </c>
      <c r="C637" s="146"/>
      <c r="D637" s="146"/>
      <c r="E637" s="146"/>
      <c r="F637" s="146"/>
      <c r="G637" s="146"/>
      <c r="H637" s="146"/>
      <c r="I637" s="146"/>
      <c r="J637" s="146"/>
      <c r="K637" s="146"/>
      <c r="L637" s="146"/>
      <c r="M637" s="146"/>
      <c r="N637" s="146"/>
      <c r="O637" s="146"/>
      <c r="P637" s="146"/>
      <c r="Q637" s="146"/>
      <c r="R637" s="146"/>
      <c r="S637" s="146"/>
      <c r="T637" s="146"/>
      <c r="U637" s="146"/>
      <c r="V637" s="146"/>
      <c r="W637" s="146"/>
      <c r="X637" s="146"/>
      <c r="Y637" s="146"/>
      <c r="Z637" s="146"/>
      <c r="AA637" s="146"/>
      <c r="AB637" s="146"/>
      <c r="AC637" s="146"/>
      <c r="AD637" s="146"/>
      <c r="AE637" s="146"/>
      <c r="AF637" s="146"/>
      <c r="AG637" s="146"/>
      <c r="AH637" s="146"/>
      <c r="AI637" s="146"/>
      <c r="AJ637" s="146"/>
      <c r="AK637" s="146"/>
      <c r="AL637" s="146"/>
      <c r="AM637" s="146"/>
      <c r="AN637" s="146"/>
      <c r="AO637" s="146"/>
      <c r="AP637" s="146"/>
    </row>
    <row r="638" spans="1:42" s="119" customFormat="1">
      <c r="A638" s="238" t="str">
        <f t="shared" si="338"/>
        <v>State</v>
      </c>
      <c r="B638" s="164">
        <f>IF(IBIStatePercentFedITC="Yes",IBIStatePercent,0)</f>
        <v>0</v>
      </c>
      <c r="C638" s="146"/>
      <c r="D638" s="146"/>
      <c r="E638" s="146"/>
      <c r="F638" s="146"/>
      <c r="G638" s="146"/>
      <c r="H638" s="146"/>
      <c r="I638" s="146"/>
      <c r="J638" s="146"/>
      <c r="K638" s="146"/>
      <c r="L638" s="146"/>
      <c r="M638" s="146"/>
      <c r="N638" s="146"/>
      <c r="O638" s="146"/>
      <c r="P638" s="146"/>
      <c r="Q638" s="146"/>
      <c r="R638" s="146"/>
      <c r="S638" s="146"/>
      <c r="T638" s="146"/>
      <c r="U638" s="146"/>
      <c r="V638" s="146"/>
      <c r="W638" s="146"/>
      <c r="X638" s="146"/>
      <c r="Y638" s="146"/>
      <c r="Z638" s="146"/>
      <c r="AA638" s="146"/>
      <c r="AB638" s="146"/>
      <c r="AC638" s="146"/>
      <c r="AD638" s="146"/>
      <c r="AE638" s="146"/>
      <c r="AF638" s="146"/>
      <c r="AG638" s="146"/>
      <c r="AH638" s="146"/>
      <c r="AI638" s="146"/>
      <c r="AJ638" s="146"/>
      <c r="AK638" s="146"/>
      <c r="AL638" s="146"/>
      <c r="AM638" s="146"/>
      <c r="AN638" s="146"/>
      <c r="AO638" s="146"/>
      <c r="AP638" s="146"/>
    </row>
    <row r="639" spans="1:42" s="119" customFormat="1">
      <c r="A639" s="238" t="str">
        <f t="shared" si="338"/>
        <v>Utility</v>
      </c>
      <c r="B639" s="164">
        <f>IF(IBIUtilityPercentFedITC="Yes",IBIUtilityPercent,0)</f>
        <v>0</v>
      </c>
      <c r="C639" s="146"/>
      <c r="D639" s="146"/>
      <c r="E639" s="146"/>
      <c r="F639" s="146"/>
      <c r="G639" s="146"/>
      <c r="H639" s="146"/>
      <c r="I639" s="146"/>
      <c r="J639" s="146"/>
      <c r="K639" s="146"/>
      <c r="L639" s="146"/>
      <c r="M639" s="146"/>
      <c r="N639" s="146"/>
      <c r="O639" s="146"/>
      <c r="P639" s="146"/>
      <c r="Q639" s="146"/>
      <c r="R639" s="146"/>
      <c r="S639" s="146"/>
      <c r="T639" s="146"/>
      <c r="U639" s="146"/>
      <c r="V639" s="146"/>
      <c r="W639" s="146"/>
      <c r="X639" s="146"/>
      <c r="Y639" s="146"/>
      <c r="Z639" s="146"/>
      <c r="AA639" s="146"/>
      <c r="AB639" s="146"/>
      <c r="AC639" s="146"/>
      <c r="AD639" s="146"/>
      <c r="AE639" s="146"/>
      <c r="AF639" s="146"/>
      <c r="AG639" s="146"/>
      <c r="AH639" s="146"/>
      <c r="AI639" s="146"/>
      <c r="AJ639" s="146"/>
      <c r="AK639" s="146"/>
      <c r="AL639" s="146"/>
      <c r="AM639" s="146"/>
      <c r="AN639" s="146"/>
      <c r="AO639" s="146"/>
      <c r="AP639" s="146"/>
    </row>
    <row r="640" spans="1:42" s="119" customFormat="1">
      <c r="A640" s="238" t="str">
        <f t="shared" si="338"/>
        <v>Other</v>
      </c>
      <c r="B640" s="209">
        <f>IF(IBIOtherPercentFedITC="Yes",IBIOtherPercent,0)</f>
        <v>0</v>
      </c>
      <c r="C640" s="146"/>
      <c r="D640" s="146"/>
      <c r="E640" s="146"/>
      <c r="F640" s="146"/>
      <c r="G640" s="146"/>
      <c r="H640" s="146"/>
      <c r="I640" s="146"/>
      <c r="J640" s="146"/>
      <c r="K640" s="146"/>
      <c r="L640" s="146"/>
      <c r="M640" s="146"/>
      <c r="N640" s="146"/>
      <c r="O640" s="146"/>
      <c r="P640" s="146"/>
      <c r="Q640" s="146"/>
      <c r="R640" s="146"/>
      <c r="S640" s="146"/>
      <c r="T640" s="146"/>
      <c r="U640" s="146"/>
      <c r="V640" s="146"/>
      <c r="W640" s="146"/>
      <c r="X640" s="146"/>
      <c r="Y640" s="146"/>
      <c r="Z640" s="146"/>
      <c r="AA640" s="146"/>
      <c r="AB640" s="146"/>
      <c r="AC640" s="146"/>
      <c r="AD640" s="146"/>
      <c r="AE640" s="146"/>
      <c r="AF640" s="146"/>
      <c r="AG640" s="146"/>
      <c r="AH640" s="146"/>
      <c r="AI640" s="146"/>
      <c r="AJ640" s="146"/>
      <c r="AK640" s="146"/>
      <c r="AL640" s="146"/>
      <c r="AM640" s="146"/>
      <c r="AN640" s="146"/>
      <c r="AO640" s="146"/>
      <c r="AP640" s="146"/>
    </row>
    <row r="641" spans="1:42" s="119" customFormat="1">
      <c r="A641" s="238" t="str">
        <f t="shared" si="338"/>
        <v>Total</v>
      </c>
      <c r="B641" s="164">
        <f>SUM(B637:B640)</f>
        <v>0</v>
      </c>
      <c r="C641" s="146"/>
      <c r="D641" s="146"/>
      <c r="E641" s="146"/>
      <c r="F641" s="146"/>
      <c r="G641" s="146"/>
      <c r="H641" s="146"/>
      <c r="I641" s="146"/>
      <c r="J641" s="146"/>
      <c r="K641" s="146"/>
      <c r="L641" s="146"/>
      <c r="M641" s="146"/>
      <c r="N641" s="146"/>
      <c r="O641" s="146"/>
      <c r="P641" s="146"/>
      <c r="Q641" s="146"/>
      <c r="R641" s="146"/>
      <c r="S641" s="146"/>
      <c r="T641" s="146"/>
      <c r="U641" s="146"/>
      <c r="V641" s="146"/>
      <c r="W641" s="146"/>
      <c r="X641" s="146"/>
      <c r="Y641" s="146"/>
      <c r="Z641" s="146"/>
      <c r="AA641" s="146"/>
      <c r="AB641" s="146"/>
      <c r="AC641" s="146"/>
      <c r="AD641" s="146"/>
      <c r="AE641" s="146"/>
      <c r="AF641" s="146"/>
      <c r="AG641" s="146"/>
      <c r="AH641" s="146"/>
      <c r="AI641" s="146"/>
      <c r="AJ641" s="146"/>
      <c r="AK641" s="146"/>
      <c r="AL641" s="146"/>
      <c r="AM641" s="146"/>
      <c r="AN641" s="146"/>
      <c r="AO641" s="146"/>
      <c r="AP641" s="146"/>
    </row>
    <row r="642" spans="1:42" s="119" customFormat="1">
      <c r="A642" s="222" t="str">
        <f t="shared" si="338"/>
        <v>Capacity Based Incentive (CBI)</v>
      </c>
      <c r="B642" s="37"/>
      <c r="C642" s="146"/>
      <c r="D642" s="146"/>
      <c r="E642" s="146"/>
      <c r="F642" s="146"/>
      <c r="G642" s="146"/>
      <c r="H642" s="146"/>
      <c r="I642" s="146"/>
      <c r="J642" s="146"/>
      <c r="K642" s="146"/>
      <c r="L642" s="146"/>
      <c r="M642" s="146"/>
      <c r="N642" s="146"/>
      <c r="O642" s="146"/>
      <c r="P642" s="146"/>
      <c r="Q642" s="146"/>
      <c r="R642" s="146"/>
      <c r="S642" s="146"/>
      <c r="T642" s="146"/>
      <c r="U642" s="146"/>
      <c r="V642" s="146"/>
      <c r="W642" s="146"/>
      <c r="X642" s="146"/>
      <c r="Y642" s="146"/>
      <c r="Z642" s="146"/>
      <c r="AA642" s="146"/>
      <c r="AB642" s="146"/>
      <c r="AC642" s="146"/>
      <c r="AD642" s="146"/>
      <c r="AE642" s="146"/>
      <c r="AF642" s="146"/>
      <c r="AG642" s="146"/>
      <c r="AH642" s="146"/>
      <c r="AI642" s="146"/>
      <c r="AJ642" s="146"/>
      <c r="AK642" s="146"/>
      <c r="AL642" s="146"/>
      <c r="AM642" s="146"/>
      <c r="AN642" s="146"/>
      <c r="AO642" s="146"/>
      <c r="AP642" s="146"/>
    </row>
    <row r="643" spans="1:42" s="119" customFormat="1">
      <c r="A643" s="238" t="str">
        <f t="shared" si="338"/>
        <v>Federal</v>
      </c>
      <c r="B643" s="164">
        <f>IF(CBIFedFedITC="Yes",CBIFed,0)</f>
        <v>5000000</v>
      </c>
      <c r="C643" s="146"/>
      <c r="D643" s="146"/>
      <c r="E643" s="146"/>
      <c r="F643" s="146"/>
      <c r="G643" s="146"/>
      <c r="H643" s="146"/>
      <c r="I643" s="146"/>
      <c r="J643" s="146"/>
      <c r="K643" s="146"/>
      <c r="L643" s="146"/>
      <c r="M643" s="146"/>
      <c r="N643" s="146"/>
      <c r="O643" s="146"/>
      <c r="P643" s="146"/>
      <c r="Q643" s="146"/>
      <c r="R643" s="146"/>
      <c r="S643" s="146"/>
      <c r="T643" s="146"/>
      <c r="U643" s="146"/>
      <c r="V643" s="146"/>
      <c r="W643" s="146"/>
      <c r="X643" s="146"/>
      <c r="Y643" s="146"/>
      <c r="Z643" s="146"/>
      <c r="AA643" s="146"/>
      <c r="AB643" s="146"/>
      <c r="AC643" s="146"/>
      <c r="AD643" s="146"/>
      <c r="AE643" s="146"/>
      <c r="AF643" s="146"/>
      <c r="AG643" s="146"/>
      <c r="AH643" s="146"/>
      <c r="AI643" s="146"/>
      <c r="AJ643" s="146"/>
      <c r="AK643" s="146"/>
      <c r="AL643" s="146"/>
      <c r="AM643" s="146"/>
      <c r="AN643" s="146"/>
      <c r="AO643" s="146"/>
      <c r="AP643" s="146"/>
    </row>
    <row r="644" spans="1:42" s="119" customFormat="1">
      <c r="A644" s="238" t="str">
        <f t="shared" si="338"/>
        <v>State</v>
      </c>
      <c r="B644" s="164">
        <f>IF(CBIStateFedITC="Yes",CBIState,0)</f>
        <v>0</v>
      </c>
      <c r="C644" s="146"/>
      <c r="D644" s="146"/>
      <c r="E644" s="146"/>
      <c r="F644" s="146"/>
      <c r="G644" s="146"/>
      <c r="H644" s="146"/>
      <c r="I644" s="146"/>
      <c r="J644" s="146"/>
      <c r="K644" s="146"/>
      <c r="L644" s="146"/>
      <c r="M644" s="146"/>
      <c r="N644" s="146"/>
      <c r="O644" s="146"/>
      <c r="P644" s="146"/>
      <c r="Q644" s="146"/>
      <c r="R644" s="146"/>
      <c r="S644" s="146"/>
      <c r="T644" s="146"/>
      <c r="U644" s="146"/>
      <c r="V644" s="146"/>
      <c r="W644" s="146"/>
      <c r="X644" s="146"/>
      <c r="Y644" s="146"/>
      <c r="Z644" s="146"/>
      <c r="AA644" s="146"/>
      <c r="AB644" s="146"/>
      <c r="AC644" s="146"/>
      <c r="AD644" s="146"/>
      <c r="AE644" s="146"/>
      <c r="AF644" s="146"/>
      <c r="AG644" s="146"/>
      <c r="AH644" s="146"/>
      <c r="AI644" s="146"/>
      <c r="AJ644" s="146"/>
      <c r="AK644" s="146"/>
      <c r="AL644" s="146"/>
      <c r="AM644" s="146"/>
      <c r="AN644" s="146"/>
      <c r="AO644" s="146"/>
      <c r="AP644" s="146"/>
    </row>
    <row r="645" spans="1:42" s="119" customFormat="1">
      <c r="A645" s="238" t="str">
        <f t="shared" si="338"/>
        <v>Utility</v>
      </c>
      <c r="B645" s="164">
        <f>IF(CBIUtilityFedITC="Yes",CBIUtility,0)</f>
        <v>0</v>
      </c>
      <c r="C645" s="146"/>
      <c r="D645" s="146"/>
      <c r="E645" s="146"/>
      <c r="F645" s="146"/>
      <c r="G645" s="146"/>
      <c r="H645" s="146"/>
      <c r="I645" s="146"/>
      <c r="J645" s="146"/>
      <c r="K645" s="146"/>
      <c r="L645" s="146"/>
      <c r="M645" s="146"/>
      <c r="N645" s="146"/>
      <c r="O645" s="146"/>
      <c r="P645" s="146"/>
      <c r="Q645" s="146"/>
      <c r="R645" s="146"/>
      <c r="S645" s="146"/>
      <c r="T645" s="146"/>
      <c r="U645" s="146"/>
      <c r="V645" s="146"/>
      <c r="W645" s="146"/>
      <c r="X645" s="146"/>
      <c r="Y645" s="146"/>
      <c r="Z645" s="146"/>
      <c r="AA645" s="146"/>
      <c r="AB645" s="146"/>
      <c r="AC645" s="146"/>
      <c r="AD645" s="146"/>
      <c r="AE645" s="146"/>
      <c r="AF645" s="146"/>
      <c r="AG645" s="146"/>
      <c r="AH645" s="146"/>
      <c r="AI645" s="146"/>
      <c r="AJ645" s="146"/>
      <c r="AK645" s="146"/>
      <c r="AL645" s="146"/>
      <c r="AM645" s="146"/>
      <c r="AN645" s="146"/>
      <c r="AO645" s="146"/>
      <c r="AP645" s="146"/>
    </row>
    <row r="646" spans="1:42" s="119" customFormat="1">
      <c r="A646" s="238" t="str">
        <f t="shared" si="338"/>
        <v>Other</v>
      </c>
      <c r="B646" s="209">
        <f>IF(CBIOtherFedITC="Yes",CBIOther,0)</f>
        <v>0</v>
      </c>
      <c r="C646" s="146"/>
      <c r="D646" s="146"/>
      <c r="E646" s="146"/>
      <c r="F646" s="146"/>
      <c r="G646" s="146"/>
      <c r="H646" s="146"/>
      <c r="I646" s="146"/>
      <c r="J646" s="146"/>
      <c r="K646" s="146"/>
      <c r="L646" s="146"/>
      <c r="M646" s="146"/>
      <c r="N646" s="146"/>
      <c r="O646" s="146"/>
      <c r="P646" s="146"/>
      <c r="Q646" s="146"/>
      <c r="R646" s="146"/>
      <c r="S646" s="146"/>
      <c r="T646" s="146"/>
      <c r="U646" s="146"/>
      <c r="V646" s="146"/>
      <c r="W646" s="146"/>
      <c r="X646" s="146"/>
      <c r="Y646" s="146"/>
      <c r="Z646" s="146"/>
      <c r="AA646" s="146"/>
      <c r="AB646" s="146"/>
      <c r="AC646" s="146"/>
      <c r="AD646" s="146"/>
      <c r="AE646" s="146"/>
      <c r="AF646" s="146"/>
      <c r="AG646" s="146"/>
      <c r="AH646" s="146"/>
      <c r="AI646" s="146"/>
      <c r="AJ646" s="146"/>
      <c r="AK646" s="146"/>
      <c r="AL646" s="146"/>
      <c r="AM646" s="146"/>
      <c r="AN646" s="146"/>
      <c r="AO646" s="146"/>
      <c r="AP646" s="146"/>
    </row>
    <row r="647" spans="1:42" s="119" customFormat="1">
      <c r="A647" s="238" t="str">
        <f t="shared" si="338"/>
        <v>Total</v>
      </c>
      <c r="B647" s="216">
        <f>SUM(B643:B646)</f>
        <v>5000000</v>
      </c>
      <c r="C647" s="146"/>
      <c r="D647" s="146"/>
      <c r="E647" s="146"/>
      <c r="F647" s="146"/>
      <c r="G647" s="146"/>
      <c r="H647" s="146"/>
      <c r="I647" s="146"/>
      <c r="J647" s="146"/>
      <c r="K647" s="146"/>
      <c r="L647" s="146"/>
      <c r="M647" s="146"/>
      <c r="N647" s="146"/>
      <c r="O647" s="146"/>
      <c r="P647" s="146"/>
      <c r="Q647" s="146"/>
      <c r="R647" s="146"/>
      <c r="S647" s="146"/>
      <c r="T647" s="146"/>
      <c r="U647" s="146"/>
      <c r="V647" s="146"/>
      <c r="W647" s="146"/>
      <c r="X647" s="146"/>
      <c r="Y647" s="146"/>
      <c r="Z647" s="146"/>
      <c r="AA647" s="146"/>
      <c r="AB647" s="146"/>
      <c r="AC647" s="146"/>
      <c r="AD647" s="146"/>
      <c r="AE647" s="146"/>
      <c r="AF647" s="146"/>
      <c r="AG647" s="146"/>
      <c r="AH647" s="146"/>
      <c r="AI647" s="146"/>
      <c r="AJ647" s="146"/>
      <c r="AK647" s="146"/>
      <c r="AL647" s="146"/>
      <c r="AM647" s="146"/>
      <c r="AN647" s="146"/>
      <c r="AO647" s="146"/>
      <c r="AP647" s="146"/>
    </row>
    <row r="648" spans="1:42" s="119" customFormat="1">
      <c r="A648" s="206" t="str">
        <f t="shared" si="338"/>
        <v>Total ITC Qualifying Cost Reduction</v>
      </c>
      <c r="B648" s="164">
        <f>B635+B641+B647</f>
        <v>5003000</v>
      </c>
      <c r="C648" s="146"/>
      <c r="D648" s="146"/>
      <c r="E648" s="146"/>
      <c r="F648" s="146"/>
      <c r="G648" s="146"/>
      <c r="H648" s="146"/>
      <c r="I648" s="146"/>
      <c r="J648" s="146"/>
      <c r="K648" s="146"/>
      <c r="L648" s="146"/>
      <c r="M648" s="146"/>
      <c r="N648" s="146"/>
      <c r="O648" s="146"/>
      <c r="P648" s="146"/>
      <c r="Q648" s="146"/>
      <c r="R648" s="146"/>
      <c r="S648" s="146"/>
      <c r="T648" s="146"/>
      <c r="U648" s="146"/>
      <c r="V648" s="146"/>
      <c r="W648" s="146"/>
      <c r="X648" s="146"/>
      <c r="Y648" s="146"/>
      <c r="Z648" s="146"/>
      <c r="AA648" s="146"/>
      <c r="AB648" s="146"/>
      <c r="AC648" s="146"/>
      <c r="AD648" s="146"/>
      <c r="AE648" s="146"/>
      <c r="AF648" s="146"/>
      <c r="AG648" s="146"/>
      <c r="AH648" s="146"/>
      <c r="AI648" s="146"/>
      <c r="AJ648" s="146"/>
      <c r="AK648" s="146"/>
      <c r="AL648" s="146"/>
      <c r="AM648" s="146"/>
      <c r="AN648" s="146"/>
      <c r="AO648" s="146"/>
      <c r="AP648" s="146"/>
    </row>
    <row r="649" spans="1:42" s="119" customFormat="1">
      <c r="A649" s="268" t="s">
        <v>292</v>
      </c>
      <c r="B649" s="269" t="str">
        <f>IF(B648-E626-F626=0,"OK","Check")</f>
        <v>OK</v>
      </c>
      <c r="C649" s="146"/>
      <c r="D649" s="146"/>
      <c r="E649" s="146"/>
      <c r="F649" s="146"/>
      <c r="G649" s="146"/>
      <c r="H649" s="146"/>
      <c r="I649" s="146"/>
      <c r="J649" s="146"/>
      <c r="K649" s="146"/>
      <c r="L649" s="146"/>
      <c r="M649" s="146"/>
      <c r="N649" s="146"/>
      <c r="O649" s="146"/>
      <c r="P649" s="146"/>
      <c r="Q649" s="146"/>
      <c r="R649" s="146"/>
      <c r="S649" s="146"/>
      <c r="T649" s="146"/>
      <c r="U649" s="146"/>
      <c r="V649" s="146"/>
      <c r="W649" s="146"/>
      <c r="X649" s="146"/>
      <c r="Y649" s="146"/>
      <c r="Z649" s="146"/>
      <c r="AA649" s="146"/>
      <c r="AB649" s="146"/>
      <c r="AC649" s="146"/>
      <c r="AD649" s="146"/>
      <c r="AE649" s="146"/>
      <c r="AF649" s="146"/>
      <c r="AG649" s="146"/>
      <c r="AH649" s="146"/>
      <c r="AI649" s="146"/>
      <c r="AJ649" s="146"/>
      <c r="AK649" s="146"/>
      <c r="AL649" s="146"/>
      <c r="AM649" s="146"/>
      <c r="AN649" s="146"/>
      <c r="AO649" s="146"/>
      <c r="AP649" s="146"/>
    </row>
    <row r="650" spans="1:42" s="119" customFormat="1">
      <c r="A650" s="226"/>
      <c r="C650" s="146"/>
      <c r="D650" s="146"/>
      <c r="E650" s="146"/>
      <c r="F650" s="146"/>
      <c r="G650" s="146"/>
      <c r="H650" s="146"/>
      <c r="I650" s="146"/>
      <c r="J650" s="146"/>
      <c r="K650" s="146"/>
      <c r="L650" s="146"/>
      <c r="M650" s="146"/>
      <c r="N650" s="146"/>
      <c r="O650" s="146"/>
      <c r="P650" s="146"/>
      <c r="Q650" s="146"/>
      <c r="R650" s="146"/>
      <c r="S650" s="146"/>
      <c r="T650" s="146"/>
      <c r="U650" s="146"/>
      <c r="V650" s="146"/>
      <c r="W650" s="146"/>
      <c r="X650" s="146"/>
      <c r="Y650" s="146"/>
      <c r="Z650" s="146"/>
      <c r="AA650" s="146"/>
      <c r="AB650" s="146"/>
      <c r="AC650" s="146"/>
      <c r="AD650" s="146"/>
      <c r="AE650" s="146"/>
      <c r="AF650" s="146"/>
      <c r="AG650" s="146"/>
      <c r="AH650" s="146"/>
      <c r="AI650" s="146"/>
      <c r="AJ650" s="146"/>
      <c r="AK650" s="146"/>
      <c r="AL650" s="146"/>
      <c r="AM650" s="146"/>
      <c r="AN650" s="146"/>
      <c r="AO650" s="146"/>
      <c r="AP650" s="146"/>
    </row>
    <row r="651" spans="1:42" s="119" customFormat="1">
      <c r="A651" s="201" t="s">
        <v>180</v>
      </c>
      <c r="C651" s="146"/>
      <c r="D651" s="146"/>
      <c r="E651" s="146"/>
      <c r="F651" s="146"/>
      <c r="G651" s="146"/>
      <c r="H651" s="146"/>
      <c r="I651" s="146"/>
      <c r="J651" s="146"/>
      <c r="K651" s="146"/>
      <c r="L651" s="146"/>
      <c r="M651" s="146"/>
      <c r="N651" s="146"/>
      <c r="O651" s="146"/>
      <c r="P651" s="146"/>
      <c r="Q651" s="146"/>
      <c r="R651" s="146"/>
      <c r="S651" s="146"/>
      <c r="T651" s="146"/>
      <c r="U651" s="146"/>
      <c r="V651" s="146"/>
      <c r="W651" s="146"/>
      <c r="X651" s="146"/>
      <c r="Y651" s="146"/>
      <c r="Z651" s="146"/>
      <c r="AA651" s="146"/>
      <c r="AB651" s="146"/>
      <c r="AC651" s="146"/>
      <c r="AD651" s="146"/>
      <c r="AE651" s="146"/>
      <c r="AF651" s="146"/>
      <c r="AG651" s="146"/>
      <c r="AH651" s="146"/>
      <c r="AI651" s="146"/>
      <c r="AJ651" s="146"/>
      <c r="AK651" s="146"/>
      <c r="AL651" s="146"/>
      <c r="AM651" s="146"/>
      <c r="AN651" s="146"/>
      <c r="AO651" s="146"/>
      <c r="AP651" s="146"/>
    </row>
    <row r="652" spans="1:42" s="119" customFormat="1">
      <c r="A652" s="219" t="s">
        <v>37</v>
      </c>
      <c r="C652" s="146"/>
      <c r="D652" s="146"/>
      <c r="E652" s="146"/>
      <c r="F652" s="146"/>
      <c r="G652" s="146"/>
      <c r="H652" s="146"/>
      <c r="I652" s="146"/>
      <c r="J652" s="146"/>
      <c r="K652" s="146"/>
      <c r="L652" s="146"/>
      <c r="M652" s="146"/>
      <c r="N652" s="146"/>
      <c r="O652" s="146"/>
      <c r="P652" s="146"/>
      <c r="Q652" s="146"/>
      <c r="R652" s="146"/>
      <c r="S652" s="146"/>
      <c r="T652" s="146"/>
      <c r="U652" s="146"/>
      <c r="V652" s="146"/>
      <c r="W652" s="146"/>
      <c r="X652" s="146"/>
      <c r="Y652" s="146"/>
      <c r="Z652" s="146"/>
      <c r="AA652" s="146"/>
      <c r="AB652" s="146"/>
      <c r="AC652" s="146"/>
      <c r="AD652" s="146"/>
      <c r="AE652" s="146"/>
      <c r="AF652" s="146"/>
      <c r="AG652" s="146"/>
      <c r="AH652" s="146"/>
      <c r="AI652" s="146"/>
      <c r="AJ652" s="146"/>
      <c r="AK652" s="146"/>
      <c r="AL652" s="146"/>
      <c r="AM652" s="146"/>
      <c r="AN652" s="146"/>
      <c r="AO652" s="146"/>
      <c r="AP652" s="146"/>
    </row>
    <row r="653" spans="1:42" s="119" customFormat="1">
      <c r="A653" s="226" t="s">
        <v>182</v>
      </c>
      <c r="C653" s="270">
        <f t="shared" ref="C653:AP653" si="339">IF(C$2&lt;=StatePTCTerm,StatePTCAmount*(1+Inflation)^B$2,0)</f>
        <v>0</v>
      </c>
      <c r="D653" s="270">
        <f t="shared" si="339"/>
        <v>0</v>
      </c>
      <c r="E653" s="270">
        <f t="shared" si="339"/>
        <v>0</v>
      </c>
      <c r="F653" s="270">
        <f t="shared" si="339"/>
        <v>0</v>
      </c>
      <c r="G653" s="270">
        <f t="shared" si="339"/>
        <v>0</v>
      </c>
      <c r="H653" s="270">
        <f t="shared" si="339"/>
        <v>0</v>
      </c>
      <c r="I653" s="270">
        <f t="shared" si="339"/>
        <v>0</v>
      </c>
      <c r="J653" s="270">
        <f t="shared" si="339"/>
        <v>0</v>
      </c>
      <c r="K653" s="270">
        <f t="shared" si="339"/>
        <v>0</v>
      </c>
      <c r="L653" s="270">
        <f t="shared" si="339"/>
        <v>0</v>
      </c>
      <c r="M653" s="270">
        <f t="shared" si="339"/>
        <v>0</v>
      </c>
      <c r="N653" s="270">
        <f t="shared" si="339"/>
        <v>0</v>
      </c>
      <c r="O653" s="270">
        <f t="shared" si="339"/>
        <v>0</v>
      </c>
      <c r="P653" s="270">
        <f t="shared" si="339"/>
        <v>0</v>
      </c>
      <c r="Q653" s="270">
        <f t="shared" si="339"/>
        <v>0</v>
      </c>
      <c r="R653" s="270">
        <f t="shared" si="339"/>
        <v>0</v>
      </c>
      <c r="S653" s="270">
        <f t="shared" si="339"/>
        <v>0</v>
      </c>
      <c r="T653" s="270">
        <f t="shared" si="339"/>
        <v>0</v>
      </c>
      <c r="U653" s="270">
        <f t="shared" si="339"/>
        <v>0</v>
      </c>
      <c r="V653" s="270">
        <f t="shared" si="339"/>
        <v>0</v>
      </c>
      <c r="W653" s="270">
        <f t="shared" si="339"/>
        <v>0</v>
      </c>
      <c r="X653" s="270">
        <f t="shared" si="339"/>
        <v>0</v>
      </c>
      <c r="Y653" s="270">
        <f t="shared" si="339"/>
        <v>0</v>
      </c>
      <c r="Z653" s="270">
        <f t="shared" si="339"/>
        <v>0</v>
      </c>
      <c r="AA653" s="270">
        <f t="shared" si="339"/>
        <v>0</v>
      </c>
      <c r="AB653" s="270">
        <f t="shared" si="339"/>
        <v>0</v>
      </c>
      <c r="AC653" s="270">
        <f t="shared" si="339"/>
        <v>0</v>
      </c>
      <c r="AD653" s="270">
        <f t="shared" si="339"/>
        <v>0</v>
      </c>
      <c r="AE653" s="270">
        <f t="shared" si="339"/>
        <v>0</v>
      </c>
      <c r="AF653" s="270">
        <f t="shared" si="339"/>
        <v>0</v>
      </c>
      <c r="AG653" s="270">
        <f t="shared" si="339"/>
        <v>0</v>
      </c>
      <c r="AH653" s="270">
        <f t="shared" si="339"/>
        <v>0</v>
      </c>
      <c r="AI653" s="270">
        <f t="shared" si="339"/>
        <v>0</v>
      </c>
      <c r="AJ653" s="270">
        <f t="shared" si="339"/>
        <v>0</v>
      </c>
      <c r="AK653" s="270">
        <f t="shared" si="339"/>
        <v>0</v>
      </c>
      <c r="AL653" s="270">
        <f t="shared" si="339"/>
        <v>0</v>
      </c>
      <c r="AM653" s="270">
        <f t="shared" si="339"/>
        <v>0</v>
      </c>
      <c r="AN653" s="270">
        <f t="shared" si="339"/>
        <v>0</v>
      </c>
      <c r="AO653" s="270">
        <f t="shared" si="339"/>
        <v>0</v>
      </c>
      <c r="AP653" s="270">
        <f t="shared" si="339"/>
        <v>0</v>
      </c>
    </row>
    <row r="654" spans="1:42" s="119" customFormat="1">
      <c r="A654" s="226" t="s">
        <v>183</v>
      </c>
      <c r="C654" s="271">
        <f>ROUND(C653*1000,0)</f>
        <v>0</v>
      </c>
      <c r="D654" s="271">
        <f>ROUND(D653*1000,0)</f>
        <v>0</v>
      </c>
      <c r="E654" s="271">
        <f t="shared" ref="E654:AP654" si="340">ROUND(E653*1000,0)</f>
        <v>0</v>
      </c>
      <c r="F654" s="271">
        <f t="shared" si="340"/>
        <v>0</v>
      </c>
      <c r="G654" s="271">
        <f t="shared" si="340"/>
        <v>0</v>
      </c>
      <c r="H654" s="271">
        <f t="shared" si="340"/>
        <v>0</v>
      </c>
      <c r="I654" s="271">
        <f t="shared" si="340"/>
        <v>0</v>
      </c>
      <c r="J654" s="271">
        <f t="shared" si="340"/>
        <v>0</v>
      </c>
      <c r="K654" s="271">
        <f t="shared" si="340"/>
        <v>0</v>
      </c>
      <c r="L654" s="271">
        <f t="shared" si="340"/>
        <v>0</v>
      </c>
      <c r="M654" s="271">
        <f t="shared" si="340"/>
        <v>0</v>
      </c>
      <c r="N654" s="271">
        <f t="shared" si="340"/>
        <v>0</v>
      </c>
      <c r="O654" s="271">
        <f t="shared" si="340"/>
        <v>0</v>
      </c>
      <c r="P654" s="271">
        <f t="shared" si="340"/>
        <v>0</v>
      </c>
      <c r="Q654" s="271">
        <f t="shared" si="340"/>
        <v>0</v>
      </c>
      <c r="R654" s="271">
        <f t="shared" si="340"/>
        <v>0</v>
      </c>
      <c r="S654" s="271">
        <f t="shared" si="340"/>
        <v>0</v>
      </c>
      <c r="T654" s="271">
        <f t="shared" si="340"/>
        <v>0</v>
      </c>
      <c r="U654" s="271">
        <f t="shared" si="340"/>
        <v>0</v>
      </c>
      <c r="V654" s="271">
        <f t="shared" si="340"/>
        <v>0</v>
      </c>
      <c r="W654" s="271">
        <f t="shared" si="340"/>
        <v>0</v>
      </c>
      <c r="X654" s="271">
        <f t="shared" si="340"/>
        <v>0</v>
      </c>
      <c r="Y654" s="271">
        <f t="shared" si="340"/>
        <v>0</v>
      </c>
      <c r="Z654" s="271">
        <f t="shared" si="340"/>
        <v>0</v>
      </c>
      <c r="AA654" s="271">
        <f t="shared" si="340"/>
        <v>0</v>
      </c>
      <c r="AB654" s="271">
        <f t="shared" si="340"/>
        <v>0</v>
      </c>
      <c r="AC654" s="271">
        <f t="shared" si="340"/>
        <v>0</v>
      </c>
      <c r="AD654" s="271">
        <f t="shared" si="340"/>
        <v>0</v>
      </c>
      <c r="AE654" s="271">
        <f t="shared" si="340"/>
        <v>0</v>
      </c>
      <c r="AF654" s="271">
        <f t="shared" si="340"/>
        <v>0</v>
      </c>
      <c r="AG654" s="271">
        <f t="shared" si="340"/>
        <v>0</v>
      </c>
      <c r="AH654" s="271">
        <f t="shared" si="340"/>
        <v>0</v>
      </c>
      <c r="AI654" s="271">
        <f t="shared" si="340"/>
        <v>0</v>
      </c>
      <c r="AJ654" s="271">
        <f t="shared" si="340"/>
        <v>0</v>
      </c>
      <c r="AK654" s="271">
        <f t="shared" si="340"/>
        <v>0</v>
      </c>
      <c r="AL654" s="271">
        <f t="shared" si="340"/>
        <v>0</v>
      </c>
      <c r="AM654" s="271">
        <f t="shared" si="340"/>
        <v>0</v>
      </c>
      <c r="AN654" s="271">
        <f t="shared" si="340"/>
        <v>0</v>
      </c>
      <c r="AO654" s="271">
        <f t="shared" si="340"/>
        <v>0</v>
      </c>
      <c r="AP654" s="271">
        <f t="shared" si="340"/>
        <v>0</v>
      </c>
    </row>
    <row r="655" spans="1:42" s="119" customFormat="1">
      <c r="A655" s="226" t="s">
        <v>184</v>
      </c>
      <c r="C655" s="225">
        <f>C$5/1000</f>
        <v>17000</v>
      </c>
      <c r="D655" s="225">
        <f>D$5/1000</f>
        <v>16915</v>
      </c>
      <c r="E655" s="225">
        <f t="shared" ref="E655:AP655" si="341">E$5/1000</f>
        <v>16830.424999999999</v>
      </c>
      <c r="F655" s="225">
        <f t="shared" si="341"/>
        <v>16746.272874999999</v>
      </c>
      <c r="G655" s="225">
        <f t="shared" si="341"/>
        <v>16662.541510625</v>
      </c>
      <c r="H655" s="225">
        <f t="shared" si="341"/>
        <v>16579.228803071874</v>
      </c>
      <c r="I655" s="225">
        <f t="shared" si="341"/>
        <v>16496.332659056516</v>
      </c>
      <c r="J655" s="225">
        <f t="shared" si="341"/>
        <v>16413.850995761233</v>
      </c>
      <c r="K655" s="225">
        <f t="shared" si="341"/>
        <v>16331.781740782426</v>
      </c>
      <c r="L655" s="225">
        <f t="shared" si="341"/>
        <v>16250.122832078514</v>
      </c>
      <c r="M655" s="225">
        <f t="shared" si="341"/>
        <v>16168.872217918122</v>
      </c>
      <c r="N655" s="225">
        <f t="shared" si="341"/>
        <v>16088.027856828532</v>
      </c>
      <c r="O655" s="225">
        <f t="shared" si="341"/>
        <v>16007.587717544387</v>
      </c>
      <c r="P655" s="225">
        <f t="shared" si="341"/>
        <v>15927.549778956667</v>
      </c>
      <c r="Q655" s="225">
        <f t="shared" si="341"/>
        <v>15847.912030061883</v>
      </c>
      <c r="R655" s="225">
        <f t="shared" si="341"/>
        <v>15768.672469911573</v>
      </c>
      <c r="S655" s="225">
        <f t="shared" si="341"/>
        <v>15689.829107562015</v>
      </c>
      <c r="T655" s="225">
        <f t="shared" si="341"/>
        <v>15611.379962024204</v>
      </c>
      <c r="U655" s="225">
        <f t="shared" si="341"/>
        <v>15533.323062214084</v>
      </c>
      <c r="V655" s="225">
        <f t="shared" si="341"/>
        <v>15455.656446903013</v>
      </c>
      <c r="W655" s="225">
        <f t="shared" si="341"/>
        <v>15378.378164668497</v>
      </c>
      <c r="X655" s="225">
        <f t="shared" si="341"/>
        <v>15301.486273845156</v>
      </c>
      <c r="Y655" s="225">
        <f t="shared" si="341"/>
        <v>15224.978842475928</v>
      </c>
      <c r="Z655" s="225">
        <f t="shared" si="341"/>
        <v>15148.853948263548</v>
      </c>
      <c r="AA655" s="225">
        <f t="shared" si="341"/>
        <v>15073.109678522231</v>
      </c>
      <c r="AB655" s="225">
        <f t="shared" si="341"/>
        <v>14997.74413012962</v>
      </c>
      <c r="AC655" s="225">
        <f t="shared" si="341"/>
        <v>14922.755409478972</v>
      </c>
      <c r="AD655" s="225">
        <f t="shared" si="341"/>
        <v>14848.141632431576</v>
      </c>
      <c r="AE655" s="225">
        <f t="shared" si="341"/>
        <v>14773.900924269417</v>
      </c>
      <c r="AF655" s="225">
        <f t="shared" si="341"/>
        <v>14700.03141964807</v>
      </c>
      <c r="AG655" s="225">
        <f t="shared" si="341"/>
        <v>0</v>
      </c>
      <c r="AH655" s="225">
        <f t="shared" si="341"/>
        <v>0</v>
      </c>
      <c r="AI655" s="225">
        <f t="shared" si="341"/>
        <v>0</v>
      </c>
      <c r="AJ655" s="225">
        <f t="shared" si="341"/>
        <v>0</v>
      </c>
      <c r="AK655" s="225">
        <f t="shared" si="341"/>
        <v>0</v>
      </c>
      <c r="AL655" s="225">
        <f t="shared" si="341"/>
        <v>0</v>
      </c>
      <c r="AM655" s="225">
        <f t="shared" si="341"/>
        <v>0</v>
      </c>
      <c r="AN655" s="225">
        <f t="shared" si="341"/>
        <v>0</v>
      </c>
      <c r="AO655" s="225">
        <f t="shared" si="341"/>
        <v>0</v>
      </c>
      <c r="AP655" s="225">
        <f t="shared" si="341"/>
        <v>0</v>
      </c>
    </row>
    <row r="656" spans="1:42" s="119" customFormat="1">
      <c r="A656" s="226" t="s">
        <v>53</v>
      </c>
      <c r="C656" s="146">
        <f>C654*C655</f>
        <v>0</v>
      </c>
      <c r="D656" s="146">
        <f>D654*D655</f>
        <v>0</v>
      </c>
      <c r="E656" s="146">
        <f t="shared" ref="E656:AP656" si="342">E654*E655</f>
        <v>0</v>
      </c>
      <c r="F656" s="146">
        <f t="shared" si="342"/>
        <v>0</v>
      </c>
      <c r="G656" s="146">
        <f t="shared" si="342"/>
        <v>0</v>
      </c>
      <c r="H656" s="146">
        <f t="shared" si="342"/>
        <v>0</v>
      </c>
      <c r="I656" s="146">
        <f t="shared" si="342"/>
        <v>0</v>
      </c>
      <c r="J656" s="146">
        <f t="shared" si="342"/>
        <v>0</v>
      </c>
      <c r="K656" s="146">
        <f t="shared" si="342"/>
        <v>0</v>
      </c>
      <c r="L656" s="146">
        <f t="shared" si="342"/>
        <v>0</v>
      </c>
      <c r="M656" s="146">
        <f t="shared" si="342"/>
        <v>0</v>
      </c>
      <c r="N656" s="146">
        <f t="shared" si="342"/>
        <v>0</v>
      </c>
      <c r="O656" s="146">
        <f t="shared" si="342"/>
        <v>0</v>
      </c>
      <c r="P656" s="146">
        <f t="shared" si="342"/>
        <v>0</v>
      </c>
      <c r="Q656" s="146">
        <f t="shared" si="342"/>
        <v>0</v>
      </c>
      <c r="R656" s="146">
        <f t="shared" si="342"/>
        <v>0</v>
      </c>
      <c r="S656" s="146">
        <f t="shared" si="342"/>
        <v>0</v>
      </c>
      <c r="T656" s="146">
        <f t="shared" si="342"/>
        <v>0</v>
      </c>
      <c r="U656" s="146">
        <f t="shared" si="342"/>
        <v>0</v>
      </c>
      <c r="V656" s="146">
        <f t="shared" si="342"/>
        <v>0</v>
      </c>
      <c r="W656" s="146">
        <f t="shared" si="342"/>
        <v>0</v>
      </c>
      <c r="X656" s="146">
        <f t="shared" si="342"/>
        <v>0</v>
      </c>
      <c r="Y656" s="146">
        <f t="shared" si="342"/>
        <v>0</v>
      </c>
      <c r="Z656" s="146">
        <f t="shared" si="342"/>
        <v>0</v>
      </c>
      <c r="AA656" s="146">
        <f t="shared" si="342"/>
        <v>0</v>
      </c>
      <c r="AB656" s="146">
        <f t="shared" si="342"/>
        <v>0</v>
      </c>
      <c r="AC656" s="146">
        <f t="shared" si="342"/>
        <v>0</v>
      </c>
      <c r="AD656" s="146">
        <f t="shared" si="342"/>
        <v>0</v>
      </c>
      <c r="AE656" s="146">
        <f t="shared" si="342"/>
        <v>0</v>
      </c>
      <c r="AF656" s="146">
        <f t="shared" si="342"/>
        <v>0</v>
      </c>
      <c r="AG656" s="146">
        <f t="shared" si="342"/>
        <v>0</v>
      </c>
      <c r="AH656" s="146">
        <f t="shared" si="342"/>
        <v>0</v>
      </c>
      <c r="AI656" s="146">
        <f t="shared" si="342"/>
        <v>0</v>
      </c>
      <c r="AJ656" s="146">
        <f t="shared" si="342"/>
        <v>0</v>
      </c>
      <c r="AK656" s="146">
        <f t="shared" si="342"/>
        <v>0</v>
      </c>
      <c r="AL656" s="146">
        <f t="shared" si="342"/>
        <v>0</v>
      </c>
      <c r="AM656" s="146">
        <f t="shared" si="342"/>
        <v>0</v>
      </c>
      <c r="AN656" s="146">
        <f t="shared" si="342"/>
        <v>0</v>
      </c>
      <c r="AO656" s="146">
        <f t="shared" si="342"/>
        <v>0</v>
      </c>
      <c r="AP656" s="146">
        <f t="shared" si="342"/>
        <v>0</v>
      </c>
    </row>
    <row r="657" spans="1:42" s="119" customFormat="1">
      <c r="A657" s="219"/>
      <c r="C657" s="146"/>
      <c r="D657" s="146"/>
      <c r="E657" s="146"/>
      <c r="F657" s="146"/>
      <c r="G657" s="146"/>
      <c r="H657" s="146"/>
      <c r="I657" s="146"/>
      <c r="J657" s="146"/>
      <c r="K657" s="146"/>
      <c r="L657" s="146"/>
      <c r="M657" s="146"/>
      <c r="N657" s="146"/>
      <c r="O657" s="146"/>
      <c r="P657" s="146"/>
      <c r="Q657" s="146"/>
      <c r="R657" s="146"/>
      <c r="S657" s="146"/>
      <c r="T657" s="146"/>
      <c r="U657" s="146"/>
      <c r="V657" s="146"/>
      <c r="W657" s="146"/>
      <c r="X657" s="146"/>
      <c r="Y657" s="146"/>
      <c r="Z657" s="146"/>
      <c r="AA657" s="146"/>
      <c r="AB657" s="146"/>
      <c r="AC657" s="146"/>
      <c r="AD657" s="146"/>
      <c r="AE657" s="146"/>
      <c r="AF657" s="146"/>
      <c r="AG657" s="146"/>
      <c r="AH657" s="146"/>
      <c r="AI657" s="146"/>
      <c r="AJ657" s="146"/>
      <c r="AK657" s="146"/>
      <c r="AL657" s="146"/>
      <c r="AM657" s="146"/>
      <c r="AN657" s="146"/>
      <c r="AO657" s="146"/>
      <c r="AP657" s="146"/>
    </row>
    <row r="658" spans="1:42" s="119" customFormat="1">
      <c r="A658" s="219" t="s">
        <v>36</v>
      </c>
      <c r="C658" s="146"/>
      <c r="D658" s="146"/>
      <c r="E658" s="146"/>
      <c r="F658" s="146"/>
      <c r="G658" s="146"/>
      <c r="H658" s="146"/>
      <c r="I658" s="146"/>
      <c r="J658" s="146"/>
      <c r="K658" s="146"/>
      <c r="L658" s="146"/>
      <c r="M658" s="146"/>
      <c r="N658" s="146"/>
      <c r="O658" s="146"/>
      <c r="P658" s="146"/>
      <c r="Q658" s="146"/>
      <c r="R658" s="146"/>
      <c r="S658" s="146"/>
      <c r="T658" s="146"/>
      <c r="U658" s="146"/>
      <c r="V658" s="146"/>
      <c r="W658" s="146"/>
      <c r="X658" s="146"/>
      <c r="Y658" s="146"/>
      <c r="Z658" s="146"/>
      <c r="AA658" s="146"/>
      <c r="AB658" s="146"/>
      <c r="AC658" s="146"/>
      <c r="AD658" s="146"/>
      <c r="AE658" s="146"/>
      <c r="AF658" s="146"/>
      <c r="AG658" s="146"/>
      <c r="AH658" s="146"/>
      <c r="AI658" s="146"/>
      <c r="AJ658" s="146"/>
      <c r="AK658" s="146"/>
      <c r="AL658" s="146"/>
      <c r="AM658" s="146"/>
      <c r="AN658" s="146"/>
      <c r="AO658" s="146"/>
      <c r="AP658" s="146"/>
    </row>
    <row r="659" spans="1:42" s="119" customFormat="1">
      <c r="A659" s="226" t="s">
        <v>182</v>
      </c>
      <c r="C659" s="270">
        <f t="shared" ref="C659:AP659" si="343">IF(C$2&lt;=FedPTCTerm,FedPTCAmount*(1+Inflation)^B$2,0)</f>
        <v>0</v>
      </c>
      <c r="D659" s="270">
        <f t="shared" si="343"/>
        <v>0</v>
      </c>
      <c r="E659" s="270">
        <f t="shared" si="343"/>
        <v>0</v>
      </c>
      <c r="F659" s="270">
        <f t="shared" si="343"/>
        <v>0</v>
      </c>
      <c r="G659" s="270">
        <f t="shared" si="343"/>
        <v>0</v>
      </c>
      <c r="H659" s="270">
        <f t="shared" si="343"/>
        <v>0</v>
      </c>
      <c r="I659" s="270">
        <f t="shared" si="343"/>
        <v>0</v>
      </c>
      <c r="J659" s="270">
        <f t="shared" si="343"/>
        <v>0</v>
      </c>
      <c r="K659" s="270">
        <f t="shared" si="343"/>
        <v>0</v>
      </c>
      <c r="L659" s="270">
        <f t="shared" si="343"/>
        <v>0</v>
      </c>
      <c r="M659" s="270">
        <f t="shared" si="343"/>
        <v>0</v>
      </c>
      <c r="N659" s="270">
        <f t="shared" si="343"/>
        <v>0</v>
      </c>
      <c r="O659" s="270">
        <f t="shared" si="343"/>
        <v>0</v>
      </c>
      <c r="P659" s="270">
        <f t="shared" si="343"/>
        <v>0</v>
      </c>
      <c r="Q659" s="270">
        <f t="shared" si="343"/>
        <v>0</v>
      </c>
      <c r="R659" s="270">
        <f t="shared" si="343"/>
        <v>0</v>
      </c>
      <c r="S659" s="270">
        <f t="shared" si="343"/>
        <v>0</v>
      </c>
      <c r="T659" s="270">
        <f t="shared" si="343"/>
        <v>0</v>
      </c>
      <c r="U659" s="270">
        <f t="shared" si="343"/>
        <v>0</v>
      </c>
      <c r="V659" s="270">
        <f t="shared" si="343"/>
        <v>0</v>
      </c>
      <c r="W659" s="270">
        <f t="shared" si="343"/>
        <v>0</v>
      </c>
      <c r="X659" s="270">
        <f t="shared" si="343"/>
        <v>0</v>
      </c>
      <c r="Y659" s="270">
        <f t="shared" si="343"/>
        <v>0</v>
      </c>
      <c r="Z659" s="270">
        <f t="shared" si="343"/>
        <v>0</v>
      </c>
      <c r="AA659" s="270">
        <f t="shared" si="343"/>
        <v>0</v>
      </c>
      <c r="AB659" s="270">
        <f t="shared" si="343"/>
        <v>0</v>
      </c>
      <c r="AC659" s="270">
        <f t="shared" si="343"/>
        <v>0</v>
      </c>
      <c r="AD659" s="270">
        <f t="shared" si="343"/>
        <v>0</v>
      </c>
      <c r="AE659" s="270">
        <f t="shared" si="343"/>
        <v>0</v>
      </c>
      <c r="AF659" s="270">
        <f t="shared" si="343"/>
        <v>0</v>
      </c>
      <c r="AG659" s="270">
        <f t="shared" si="343"/>
        <v>0</v>
      </c>
      <c r="AH659" s="270">
        <f t="shared" si="343"/>
        <v>0</v>
      </c>
      <c r="AI659" s="270">
        <f t="shared" si="343"/>
        <v>0</v>
      </c>
      <c r="AJ659" s="270">
        <f t="shared" si="343"/>
        <v>0</v>
      </c>
      <c r="AK659" s="270">
        <f t="shared" si="343"/>
        <v>0</v>
      </c>
      <c r="AL659" s="270">
        <f t="shared" si="343"/>
        <v>0</v>
      </c>
      <c r="AM659" s="270">
        <f t="shared" si="343"/>
        <v>0</v>
      </c>
      <c r="AN659" s="270">
        <f t="shared" si="343"/>
        <v>0</v>
      </c>
      <c r="AO659" s="270">
        <f t="shared" si="343"/>
        <v>0</v>
      </c>
      <c r="AP659" s="270">
        <f t="shared" si="343"/>
        <v>0</v>
      </c>
    </row>
    <row r="660" spans="1:42" s="119" customFormat="1">
      <c r="A660" s="226" t="s">
        <v>183</v>
      </c>
      <c r="C660" s="271">
        <f>ROUND(C659*1000,0)</f>
        <v>0</v>
      </c>
      <c r="D660" s="271">
        <f>ROUND(D659*1000,0)</f>
        <v>0</v>
      </c>
      <c r="E660" s="271">
        <f t="shared" ref="E660:AP660" si="344">ROUND(E659*1000,0)</f>
        <v>0</v>
      </c>
      <c r="F660" s="271">
        <f t="shared" si="344"/>
        <v>0</v>
      </c>
      <c r="G660" s="271">
        <f t="shared" si="344"/>
        <v>0</v>
      </c>
      <c r="H660" s="271">
        <f t="shared" si="344"/>
        <v>0</v>
      </c>
      <c r="I660" s="271">
        <f t="shared" si="344"/>
        <v>0</v>
      </c>
      <c r="J660" s="271">
        <f t="shared" si="344"/>
        <v>0</v>
      </c>
      <c r="K660" s="271">
        <f t="shared" si="344"/>
        <v>0</v>
      </c>
      <c r="L660" s="271">
        <f t="shared" si="344"/>
        <v>0</v>
      </c>
      <c r="M660" s="271">
        <f t="shared" si="344"/>
        <v>0</v>
      </c>
      <c r="N660" s="271">
        <f t="shared" si="344"/>
        <v>0</v>
      </c>
      <c r="O660" s="271">
        <f t="shared" si="344"/>
        <v>0</v>
      </c>
      <c r="P660" s="271">
        <f t="shared" si="344"/>
        <v>0</v>
      </c>
      <c r="Q660" s="271">
        <f t="shared" si="344"/>
        <v>0</v>
      </c>
      <c r="R660" s="271">
        <f t="shared" si="344"/>
        <v>0</v>
      </c>
      <c r="S660" s="271">
        <f t="shared" si="344"/>
        <v>0</v>
      </c>
      <c r="T660" s="271">
        <f t="shared" si="344"/>
        <v>0</v>
      </c>
      <c r="U660" s="271">
        <f t="shared" si="344"/>
        <v>0</v>
      </c>
      <c r="V660" s="271">
        <f t="shared" si="344"/>
        <v>0</v>
      </c>
      <c r="W660" s="271">
        <f t="shared" si="344"/>
        <v>0</v>
      </c>
      <c r="X660" s="271">
        <f t="shared" si="344"/>
        <v>0</v>
      </c>
      <c r="Y660" s="271">
        <f t="shared" si="344"/>
        <v>0</v>
      </c>
      <c r="Z660" s="271">
        <f t="shared" si="344"/>
        <v>0</v>
      </c>
      <c r="AA660" s="271">
        <f t="shared" si="344"/>
        <v>0</v>
      </c>
      <c r="AB660" s="271">
        <f t="shared" si="344"/>
        <v>0</v>
      </c>
      <c r="AC660" s="271">
        <f t="shared" si="344"/>
        <v>0</v>
      </c>
      <c r="AD660" s="271">
        <f t="shared" si="344"/>
        <v>0</v>
      </c>
      <c r="AE660" s="271">
        <f t="shared" si="344"/>
        <v>0</v>
      </c>
      <c r="AF660" s="271">
        <f t="shared" si="344"/>
        <v>0</v>
      </c>
      <c r="AG660" s="271">
        <f t="shared" si="344"/>
        <v>0</v>
      </c>
      <c r="AH660" s="271">
        <f t="shared" si="344"/>
        <v>0</v>
      </c>
      <c r="AI660" s="271">
        <f t="shared" si="344"/>
        <v>0</v>
      </c>
      <c r="AJ660" s="271">
        <f t="shared" si="344"/>
        <v>0</v>
      </c>
      <c r="AK660" s="271">
        <f t="shared" si="344"/>
        <v>0</v>
      </c>
      <c r="AL660" s="271">
        <f t="shared" si="344"/>
        <v>0</v>
      </c>
      <c r="AM660" s="271">
        <f t="shared" si="344"/>
        <v>0</v>
      </c>
      <c r="AN660" s="271">
        <f t="shared" si="344"/>
        <v>0</v>
      </c>
      <c r="AO660" s="271">
        <f t="shared" si="344"/>
        <v>0</v>
      </c>
      <c r="AP660" s="271">
        <f t="shared" si="344"/>
        <v>0</v>
      </c>
    </row>
    <row r="661" spans="1:42" s="119" customFormat="1">
      <c r="A661" s="226" t="s">
        <v>184</v>
      </c>
      <c r="C661" s="225">
        <f>C$5/1000</f>
        <v>17000</v>
      </c>
      <c r="D661" s="225">
        <f>D$5/1000</f>
        <v>16915</v>
      </c>
      <c r="E661" s="225">
        <f t="shared" ref="E661:AP661" si="345">E$5/1000</f>
        <v>16830.424999999999</v>
      </c>
      <c r="F661" s="225">
        <f t="shared" si="345"/>
        <v>16746.272874999999</v>
      </c>
      <c r="G661" s="225">
        <f t="shared" si="345"/>
        <v>16662.541510625</v>
      </c>
      <c r="H661" s="225">
        <f t="shared" si="345"/>
        <v>16579.228803071874</v>
      </c>
      <c r="I661" s="225">
        <f t="shared" si="345"/>
        <v>16496.332659056516</v>
      </c>
      <c r="J661" s="225">
        <f t="shared" si="345"/>
        <v>16413.850995761233</v>
      </c>
      <c r="K661" s="225">
        <f t="shared" si="345"/>
        <v>16331.781740782426</v>
      </c>
      <c r="L661" s="225">
        <f t="shared" si="345"/>
        <v>16250.122832078514</v>
      </c>
      <c r="M661" s="225">
        <f t="shared" si="345"/>
        <v>16168.872217918122</v>
      </c>
      <c r="N661" s="225">
        <f t="shared" si="345"/>
        <v>16088.027856828532</v>
      </c>
      <c r="O661" s="225">
        <f t="shared" si="345"/>
        <v>16007.587717544387</v>
      </c>
      <c r="P661" s="225">
        <f t="shared" si="345"/>
        <v>15927.549778956667</v>
      </c>
      <c r="Q661" s="225">
        <f t="shared" si="345"/>
        <v>15847.912030061883</v>
      </c>
      <c r="R661" s="225">
        <f t="shared" si="345"/>
        <v>15768.672469911573</v>
      </c>
      <c r="S661" s="225">
        <f t="shared" si="345"/>
        <v>15689.829107562015</v>
      </c>
      <c r="T661" s="225">
        <f t="shared" si="345"/>
        <v>15611.379962024204</v>
      </c>
      <c r="U661" s="225">
        <f t="shared" si="345"/>
        <v>15533.323062214084</v>
      </c>
      <c r="V661" s="225">
        <f t="shared" si="345"/>
        <v>15455.656446903013</v>
      </c>
      <c r="W661" s="225">
        <f t="shared" si="345"/>
        <v>15378.378164668497</v>
      </c>
      <c r="X661" s="225">
        <f t="shared" si="345"/>
        <v>15301.486273845156</v>
      </c>
      <c r="Y661" s="225">
        <f t="shared" si="345"/>
        <v>15224.978842475928</v>
      </c>
      <c r="Z661" s="225">
        <f t="shared" si="345"/>
        <v>15148.853948263548</v>
      </c>
      <c r="AA661" s="225">
        <f t="shared" si="345"/>
        <v>15073.109678522231</v>
      </c>
      <c r="AB661" s="225">
        <f t="shared" si="345"/>
        <v>14997.74413012962</v>
      </c>
      <c r="AC661" s="225">
        <f t="shared" si="345"/>
        <v>14922.755409478972</v>
      </c>
      <c r="AD661" s="225">
        <f t="shared" si="345"/>
        <v>14848.141632431576</v>
      </c>
      <c r="AE661" s="225">
        <f t="shared" si="345"/>
        <v>14773.900924269417</v>
      </c>
      <c r="AF661" s="225">
        <f t="shared" si="345"/>
        <v>14700.03141964807</v>
      </c>
      <c r="AG661" s="225">
        <f t="shared" si="345"/>
        <v>0</v>
      </c>
      <c r="AH661" s="225">
        <f t="shared" si="345"/>
        <v>0</v>
      </c>
      <c r="AI661" s="225">
        <f t="shared" si="345"/>
        <v>0</v>
      </c>
      <c r="AJ661" s="225">
        <f t="shared" si="345"/>
        <v>0</v>
      </c>
      <c r="AK661" s="225">
        <f t="shared" si="345"/>
        <v>0</v>
      </c>
      <c r="AL661" s="225">
        <f t="shared" si="345"/>
        <v>0</v>
      </c>
      <c r="AM661" s="225">
        <f t="shared" si="345"/>
        <v>0</v>
      </c>
      <c r="AN661" s="225">
        <f t="shared" si="345"/>
        <v>0</v>
      </c>
      <c r="AO661" s="225">
        <f t="shared" si="345"/>
        <v>0</v>
      </c>
      <c r="AP661" s="225">
        <f t="shared" si="345"/>
        <v>0</v>
      </c>
    </row>
    <row r="662" spans="1:42" s="119" customFormat="1">
      <c r="A662" s="226" t="s">
        <v>53</v>
      </c>
      <c r="C662" s="146">
        <f>C660*C661</f>
        <v>0</v>
      </c>
      <c r="D662" s="146">
        <f>D660*D661</f>
        <v>0</v>
      </c>
      <c r="E662" s="146">
        <f t="shared" ref="E662:AP662" si="346">E660*E661</f>
        <v>0</v>
      </c>
      <c r="F662" s="146">
        <f t="shared" si="346"/>
        <v>0</v>
      </c>
      <c r="G662" s="146">
        <f t="shared" si="346"/>
        <v>0</v>
      </c>
      <c r="H662" s="146">
        <f t="shared" si="346"/>
        <v>0</v>
      </c>
      <c r="I662" s="146">
        <f t="shared" si="346"/>
        <v>0</v>
      </c>
      <c r="J662" s="146">
        <f t="shared" si="346"/>
        <v>0</v>
      </c>
      <c r="K662" s="146">
        <f t="shared" si="346"/>
        <v>0</v>
      </c>
      <c r="L662" s="146">
        <f t="shared" si="346"/>
        <v>0</v>
      </c>
      <c r="M662" s="146">
        <f t="shared" si="346"/>
        <v>0</v>
      </c>
      <c r="N662" s="146">
        <f t="shared" si="346"/>
        <v>0</v>
      </c>
      <c r="O662" s="146">
        <f t="shared" si="346"/>
        <v>0</v>
      </c>
      <c r="P662" s="146">
        <f t="shared" si="346"/>
        <v>0</v>
      </c>
      <c r="Q662" s="146">
        <f t="shared" si="346"/>
        <v>0</v>
      </c>
      <c r="R662" s="146">
        <f t="shared" si="346"/>
        <v>0</v>
      </c>
      <c r="S662" s="146">
        <f t="shared" si="346"/>
        <v>0</v>
      </c>
      <c r="T662" s="146">
        <f t="shared" si="346"/>
        <v>0</v>
      </c>
      <c r="U662" s="146">
        <f t="shared" si="346"/>
        <v>0</v>
      </c>
      <c r="V662" s="146">
        <f t="shared" si="346"/>
        <v>0</v>
      </c>
      <c r="W662" s="146">
        <f t="shared" si="346"/>
        <v>0</v>
      </c>
      <c r="X662" s="146">
        <f t="shared" si="346"/>
        <v>0</v>
      </c>
      <c r="Y662" s="146">
        <f t="shared" si="346"/>
        <v>0</v>
      </c>
      <c r="Z662" s="146">
        <f t="shared" si="346"/>
        <v>0</v>
      </c>
      <c r="AA662" s="146">
        <f t="shared" si="346"/>
        <v>0</v>
      </c>
      <c r="AB662" s="146">
        <f t="shared" si="346"/>
        <v>0</v>
      </c>
      <c r="AC662" s="146">
        <f t="shared" si="346"/>
        <v>0</v>
      </c>
      <c r="AD662" s="146">
        <f t="shared" si="346"/>
        <v>0</v>
      </c>
      <c r="AE662" s="146">
        <f t="shared" si="346"/>
        <v>0</v>
      </c>
      <c r="AF662" s="146">
        <f t="shared" si="346"/>
        <v>0</v>
      </c>
      <c r="AG662" s="146">
        <f t="shared" si="346"/>
        <v>0</v>
      </c>
      <c r="AH662" s="146">
        <f t="shared" si="346"/>
        <v>0</v>
      </c>
      <c r="AI662" s="146">
        <f t="shared" si="346"/>
        <v>0</v>
      </c>
      <c r="AJ662" s="146">
        <f t="shared" si="346"/>
        <v>0</v>
      </c>
      <c r="AK662" s="146">
        <f t="shared" si="346"/>
        <v>0</v>
      </c>
      <c r="AL662" s="146">
        <f t="shared" si="346"/>
        <v>0</v>
      </c>
      <c r="AM662" s="146">
        <f t="shared" si="346"/>
        <v>0</v>
      </c>
      <c r="AN662" s="146">
        <f t="shared" si="346"/>
        <v>0</v>
      </c>
      <c r="AO662" s="146">
        <f t="shared" si="346"/>
        <v>0</v>
      </c>
      <c r="AP662" s="146">
        <f t="shared" si="346"/>
        <v>0</v>
      </c>
    </row>
    <row r="663" spans="1:42" s="119" customFormat="1">
      <c r="A663" s="226"/>
      <c r="C663" s="146"/>
      <c r="D663" s="146"/>
      <c r="E663" s="146"/>
      <c r="F663" s="146"/>
      <c r="G663" s="146"/>
      <c r="H663" s="146"/>
      <c r="I663" s="146"/>
      <c r="J663" s="146"/>
      <c r="K663" s="146"/>
      <c r="L663" s="146"/>
      <c r="M663" s="146"/>
      <c r="N663" s="146"/>
      <c r="O663" s="146"/>
      <c r="P663" s="146"/>
      <c r="Q663" s="146"/>
      <c r="R663" s="146"/>
      <c r="S663" s="146"/>
      <c r="T663" s="146"/>
      <c r="U663" s="146"/>
      <c r="V663" s="146"/>
      <c r="W663" s="146"/>
      <c r="X663" s="146"/>
      <c r="Y663" s="146"/>
      <c r="Z663" s="146"/>
      <c r="AA663" s="146"/>
      <c r="AB663" s="146"/>
      <c r="AC663" s="146"/>
      <c r="AD663" s="146"/>
      <c r="AE663" s="146"/>
      <c r="AF663" s="146"/>
      <c r="AG663" s="146"/>
      <c r="AH663" s="146"/>
      <c r="AI663" s="146"/>
      <c r="AJ663" s="146"/>
      <c r="AK663" s="146"/>
      <c r="AL663" s="146"/>
      <c r="AM663" s="146"/>
      <c r="AN663" s="146"/>
      <c r="AO663" s="146"/>
      <c r="AP663" s="146"/>
    </row>
    <row r="664" spans="1:42">
      <c r="A664" s="201" t="s">
        <v>58</v>
      </c>
      <c r="C664" s="208"/>
      <c r="D664" s="208"/>
      <c r="E664" s="208"/>
      <c r="F664" s="208"/>
      <c r="G664" s="208"/>
      <c r="H664" s="208"/>
      <c r="I664" s="208"/>
      <c r="J664" s="208"/>
      <c r="K664" s="208"/>
      <c r="L664" s="208"/>
      <c r="M664" s="208"/>
      <c r="N664" s="208"/>
      <c r="O664" s="208"/>
      <c r="P664" s="208"/>
      <c r="Q664" s="208"/>
      <c r="R664" s="208"/>
      <c r="S664" s="208"/>
      <c r="T664" s="208"/>
      <c r="U664" s="208"/>
      <c r="V664" s="208"/>
      <c r="W664" s="208"/>
      <c r="X664" s="208"/>
      <c r="Y664" s="208"/>
      <c r="Z664" s="208"/>
      <c r="AA664" s="208"/>
      <c r="AB664" s="208"/>
      <c r="AC664" s="208"/>
      <c r="AD664" s="208"/>
      <c r="AE664" s="208"/>
      <c r="AF664" s="208"/>
      <c r="AG664" s="208"/>
      <c r="AH664" s="208"/>
      <c r="AI664" s="208"/>
      <c r="AJ664" s="208"/>
      <c r="AK664" s="208"/>
      <c r="AL664" s="208"/>
      <c r="AM664" s="208"/>
      <c r="AN664" s="208"/>
      <c r="AO664" s="208"/>
      <c r="AP664" s="208"/>
    </row>
    <row r="665" spans="1:42">
      <c r="A665" s="219" t="str">
        <f>'Inputs &amp; Results'!A49</f>
        <v>Fixed Amount ($)</v>
      </c>
      <c r="B665" s="119"/>
      <c r="C665" s="119"/>
      <c r="D665" s="208"/>
      <c r="E665" s="208"/>
      <c r="F665" s="208"/>
      <c r="G665" s="208"/>
      <c r="H665" s="208"/>
      <c r="I665" s="208"/>
      <c r="J665" s="208"/>
      <c r="K665" s="208"/>
      <c r="L665" s="208"/>
      <c r="M665" s="208"/>
      <c r="N665" s="208"/>
      <c r="O665" s="208"/>
      <c r="P665" s="208"/>
      <c r="Q665" s="208"/>
      <c r="R665" s="208"/>
      <c r="S665" s="208"/>
      <c r="T665" s="208"/>
      <c r="U665" s="208"/>
      <c r="V665" s="208"/>
      <c r="W665" s="208"/>
      <c r="X665" s="208"/>
      <c r="Y665" s="208"/>
      <c r="Z665" s="208"/>
      <c r="AA665" s="208"/>
      <c r="AB665" s="208"/>
      <c r="AC665" s="208"/>
      <c r="AD665" s="208"/>
      <c r="AE665" s="208"/>
      <c r="AF665" s="208"/>
      <c r="AG665" s="208"/>
      <c r="AH665" s="208"/>
      <c r="AI665" s="208"/>
      <c r="AJ665" s="208"/>
      <c r="AK665" s="208"/>
      <c r="AL665" s="208"/>
      <c r="AM665" s="208"/>
      <c r="AN665" s="208"/>
      <c r="AO665" s="208"/>
      <c r="AP665" s="208"/>
    </row>
    <row r="666" spans="1:42">
      <c r="A666" s="226" t="str">
        <f>'Inputs &amp; Results'!A50</f>
        <v>Federal</v>
      </c>
      <c r="B666" s="119"/>
      <c r="C666" s="220">
        <f>IBIFedFixed</f>
        <v>1000</v>
      </c>
      <c r="D666" s="208"/>
      <c r="E666" s="208"/>
      <c r="F666" s="208"/>
      <c r="G666" s="208"/>
      <c r="H666" s="208"/>
      <c r="I666" s="208"/>
      <c r="J666" s="208"/>
      <c r="K666" s="208"/>
      <c r="L666" s="208"/>
      <c r="M666" s="208"/>
      <c r="N666" s="208"/>
      <c r="O666" s="208"/>
      <c r="P666" s="208"/>
      <c r="Q666" s="208"/>
      <c r="R666" s="208"/>
      <c r="S666" s="208"/>
      <c r="T666" s="208"/>
      <c r="U666" s="208"/>
      <c r="V666" s="208"/>
      <c r="W666" s="208"/>
      <c r="X666" s="208"/>
      <c r="Y666" s="208"/>
      <c r="Z666" s="208"/>
      <c r="AA666" s="208"/>
      <c r="AB666" s="208"/>
      <c r="AC666" s="208"/>
      <c r="AD666" s="208"/>
      <c r="AE666" s="208"/>
      <c r="AF666" s="208"/>
      <c r="AG666" s="208"/>
      <c r="AH666" s="208"/>
      <c r="AI666" s="208"/>
      <c r="AJ666" s="208"/>
      <c r="AK666" s="208"/>
      <c r="AL666" s="208"/>
      <c r="AM666" s="208"/>
      <c r="AN666" s="208"/>
      <c r="AO666" s="208"/>
      <c r="AP666" s="208"/>
    </row>
    <row r="667" spans="1:42">
      <c r="A667" s="226" t="str">
        <f>'Inputs &amp; Results'!A51</f>
        <v>State</v>
      </c>
      <c r="B667" s="119"/>
      <c r="C667" s="220">
        <f>IBIStateFixed</f>
        <v>2000</v>
      </c>
      <c r="D667" s="208"/>
      <c r="E667" s="208"/>
      <c r="F667" s="208"/>
      <c r="G667" s="208"/>
      <c r="H667" s="208"/>
      <c r="I667" s="208"/>
      <c r="J667" s="208"/>
      <c r="K667" s="208"/>
      <c r="L667" s="208"/>
      <c r="M667" s="208"/>
      <c r="N667" s="208"/>
      <c r="O667" s="208"/>
      <c r="P667" s="208"/>
      <c r="Q667" s="208"/>
      <c r="R667" s="208"/>
      <c r="S667" s="208"/>
      <c r="T667" s="208"/>
      <c r="U667" s="208"/>
      <c r="V667" s="208"/>
      <c r="W667" s="208"/>
      <c r="X667" s="208"/>
      <c r="Y667" s="208"/>
      <c r="Z667" s="208"/>
      <c r="AA667" s="208"/>
      <c r="AB667" s="208"/>
      <c r="AC667" s="208"/>
      <c r="AD667" s="208"/>
      <c r="AE667" s="208"/>
      <c r="AF667" s="208"/>
      <c r="AG667" s="208"/>
      <c r="AH667" s="208"/>
      <c r="AI667" s="208"/>
      <c r="AJ667" s="208"/>
      <c r="AK667" s="208"/>
      <c r="AL667" s="208"/>
      <c r="AM667" s="208"/>
      <c r="AN667" s="208"/>
      <c r="AO667" s="208"/>
      <c r="AP667" s="208"/>
    </row>
    <row r="668" spans="1:42">
      <c r="A668" s="226" t="str">
        <f>'Inputs &amp; Results'!A52</f>
        <v>Utility</v>
      </c>
      <c r="B668" s="119"/>
      <c r="C668" s="220">
        <f>IBIUtilityFixed</f>
        <v>500</v>
      </c>
      <c r="D668" s="208"/>
      <c r="E668" s="208"/>
      <c r="F668" s="208"/>
      <c r="G668" s="208"/>
      <c r="H668" s="208"/>
      <c r="I668" s="208"/>
      <c r="J668" s="208"/>
      <c r="K668" s="208"/>
      <c r="L668" s="208"/>
      <c r="M668" s="208"/>
      <c r="N668" s="208"/>
      <c r="O668" s="208"/>
      <c r="P668" s="208"/>
      <c r="Q668" s="208"/>
      <c r="R668" s="208"/>
      <c r="S668" s="208"/>
      <c r="T668" s="208"/>
      <c r="U668" s="208"/>
      <c r="V668" s="208"/>
      <c r="W668" s="208"/>
      <c r="X668" s="208"/>
      <c r="Y668" s="208"/>
      <c r="Z668" s="208"/>
      <c r="AA668" s="208"/>
      <c r="AB668" s="208"/>
      <c r="AC668" s="208"/>
      <c r="AD668" s="208"/>
      <c r="AE668" s="208"/>
      <c r="AF668" s="208"/>
      <c r="AG668" s="208"/>
      <c r="AH668" s="208"/>
      <c r="AI668" s="208"/>
      <c r="AJ668" s="208"/>
      <c r="AK668" s="208"/>
      <c r="AL668" s="208"/>
      <c r="AM668" s="208"/>
      <c r="AN668" s="208"/>
      <c r="AO668" s="208"/>
      <c r="AP668" s="208"/>
    </row>
    <row r="669" spans="1:42">
      <c r="A669" s="226" t="str">
        <f>'Inputs &amp; Results'!A53</f>
        <v>Other</v>
      </c>
      <c r="C669" s="225">
        <f>IBIOtherFixed</f>
        <v>250</v>
      </c>
      <c r="D669" s="208"/>
      <c r="E669" s="208"/>
      <c r="F669" s="208"/>
      <c r="G669" s="208"/>
      <c r="H669" s="208"/>
      <c r="I669" s="208"/>
      <c r="J669" s="208"/>
      <c r="K669" s="208"/>
      <c r="L669" s="208"/>
      <c r="M669" s="208"/>
      <c r="N669" s="208"/>
      <c r="O669" s="208"/>
      <c r="P669" s="208"/>
      <c r="Q669" s="208"/>
      <c r="R669" s="208"/>
      <c r="S669" s="208"/>
      <c r="T669" s="208"/>
      <c r="U669" s="208"/>
      <c r="V669" s="208"/>
      <c r="W669" s="208"/>
      <c r="X669" s="208"/>
      <c r="Y669" s="208"/>
      <c r="Z669" s="208"/>
      <c r="AA669" s="208"/>
      <c r="AB669" s="208"/>
      <c r="AC669" s="208"/>
      <c r="AD669" s="208"/>
      <c r="AE669" s="208"/>
      <c r="AF669" s="208"/>
      <c r="AG669" s="208"/>
      <c r="AH669" s="208"/>
      <c r="AI669" s="208"/>
      <c r="AJ669" s="208"/>
      <c r="AK669" s="208"/>
      <c r="AL669" s="208"/>
      <c r="AM669" s="208"/>
      <c r="AN669" s="208"/>
      <c r="AO669" s="208"/>
      <c r="AP669" s="208"/>
    </row>
    <row r="670" spans="1:42">
      <c r="A670" s="206" t="s">
        <v>53</v>
      </c>
      <c r="C670" s="208">
        <f>SUM(C666:C669)</f>
        <v>3750</v>
      </c>
      <c r="D670" s="208"/>
      <c r="E670" s="208"/>
      <c r="F670" s="208"/>
      <c r="G670" s="208"/>
      <c r="H670" s="208"/>
      <c r="I670" s="208"/>
      <c r="J670" s="208"/>
      <c r="K670" s="208"/>
      <c r="L670" s="208"/>
      <c r="M670" s="208"/>
      <c r="N670" s="208"/>
      <c r="O670" s="208"/>
      <c r="P670" s="208"/>
      <c r="Q670" s="208"/>
      <c r="R670" s="208"/>
      <c r="S670" s="208"/>
      <c r="T670" s="208"/>
      <c r="U670" s="208"/>
      <c r="V670" s="208"/>
      <c r="W670" s="208"/>
      <c r="X670" s="208"/>
      <c r="Y670" s="208"/>
      <c r="Z670" s="208"/>
      <c r="AA670" s="208"/>
      <c r="AB670" s="208"/>
      <c r="AC670" s="208"/>
      <c r="AD670" s="208"/>
      <c r="AE670" s="208"/>
      <c r="AF670" s="208"/>
      <c r="AG670" s="208"/>
      <c r="AH670" s="208"/>
      <c r="AI670" s="208"/>
      <c r="AJ670" s="208"/>
      <c r="AK670" s="208"/>
      <c r="AL670" s="208"/>
      <c r="AM670" s="208"/>
      <c r="AN670" s="208"/>
      <c r="AO670" s="208"/>
      <c r="AP670" s="208"/>
    </row>
    <row r="671" spans="1:42">
      <c r="A671" s="219" t="str">
        <f>'Inputs &amp; Results'!A54</f>
        <v>Percentage of Pre-Financing Costs</v>
      </c>
      <c r="C671" s="208"/>
      <c r="D671" s="208"/>
      <c r="E671" s="208"/>
      <c r="F671" s="208"/>
      <c r="G671" s="208"/>
      <c r="H671" s="208"/>
      <c r="I671" s="208"/>
      <c r="J671" s="208"/>
      <c r="K671" s="208"/>
      <c r="L671" s="208"/>
      <c r="M671" s="208"/>
      <c r="N671" s="208"/>
      <c r="O671" s="208"/>
      <c r="P671" s="208"/>
      <c r="Q671" s="208"/>
      <c r="R671" s="208"/>
      <c r="S671" s="208"/>
      <c r="T671" s="208"/>
      <c r="U671" s="208"/>
      <c r="V671" s="208"/>
      <c r="W671" s="208"/>
      <c r="X671" s="208"/>
      <c r="Y671" s="208"/>
      <c r="Z671" s="208"/>
      <c r="AA671" s="208"/>
      <c r="AB671" s="208"/>
      <c r="AC671" s="208"/>
      <c r="AD671" s="208"/>
      <c r="AE671" s="208"/>
      <c r="AF671" s="208"/>
      <c r="AG671" s="208"/>
      <c r="AH671" s="208"/>
      <c r="AI671" s="208"/>
      <c r="AJ671" s="208"/>
      <c r="AK671" s="208"/>
      <c r="AL671" s="208"/>
      <c r="AM671" s="208"/>
      <c r="AN671" s="208"/>
      <c r="AO671" s="208"/>
      <c r="AP671" s="208"/>
    </row>
    <row r="672" spans="1:42">
      <c r="A672" s="226" t="str">
        <f>'Inputs &amp; Results'!A55</f>
        <v>Federal</v>
      </c>
      <c r="C672" s="220">
        <f>IBIFedPercent</f>
        <v>2011357.5</v>
      </c>
      <c r="D672" s="208"/>
      <c r="E672" s="208"/>
      <c r="F672" s="208"/>
      <c r="G672" s="208"/>
      <c r="H672" s="208"/>
      <c r="I672" s="208"/>
      <c r="J672" s="208"/>
      <c r="K672" s="208"/>
      <c r="L672" s="208"/>
      <c r="M672" s="208"/>
      <c r="N672" s="208"/>
      <c r="O672" s="208"/>
      <c r="P672" s="208"/>
      <c r="Q672" s="208"/>
      <c r="R672" s="208"/>
      <c r="S672" s="208"/>
      <c r="T672" s="208"/>
      <c r="U672" s="208"/>
      <c r="V672" s="208"/>
      <c r="W672" s="208"/>
      <c r="X672" s="208"/>
      <c r="Y672" s="208"/>
      <c r="Z672" s="208"/>
      <c r="AA672" s="208"/>
      <c r="AB672" s="208"/>
      <c r="AC672" s="208"/>
      <c r="AD672" s="208"/>
      <c r="AE672" s="208"/>
      <c r="AF672" s="208"/>
      <c r="AG672" s="208"/>
      <c r="AH672" s="208"/>
      <c r="AI672" s="208"/>
      <c r="AJ672" s="208"/>
      <c r="AK672" s="208"/>
      <c r="AL672" s="208"/>
      <c r="AM672" s="208"/>
      <c r="AN672" s="208"/>
      <c r="AO672" s="208"/>
      <c r="AP672" s="208"/>
    </row>
    <row r="673" spans="1:42">
      <c r="A673" s="226" t="str">
        <f>'Inputs &amp; Results'!A56</f>
        <v>State</v>
      </c>
      <c r="C673" s="220">
        <f>IBIStatePercent</f>
        <v>4022715</v>
      </c>
      <c r="D673" s="208"/>
      <c r="E673" s="208"/>
      <c r="F673" s="208"/>
      <c r="G673" s="208"/>
      <c r="H673" s="208"/>
      <c r="I673" s="208"/>
      <c r="J673" s="208"/>
      <c r="K673" s="208"/>
      <c r="L673" s="208"/>
      <c r="M673" s="208"/>
      <c r="N673" s="208"/>
      <c r="O673" s="208"/>
      <c r="P673" s="208"/>
      <c r="Q673" s="208"/>
      <c r="R673" s="208"/>
      <c r="S673" s="208"/>
      <c r="T673" s="208"/>
      <c r="U673" s="208"/>
      <c r="V673" s="208"/>
      <c r="W673" s="208"/>
      <c r="X673" s="208"/>
      <c r="Y673" s="208"/>
      <c r="Z673" s="208"/>
      <c r="AA673" s="208"/>
      <c r="AB673" s="208"/>
      <c r="AC673" s="208"/>
      <c r="AD673" s="208"/>
      <c r="AE673" s="208"/>
      <c r="AF673" s="208"/>
      <c r="AG673" s="208"/>
      <c r="AH673" s="208"/>
      <c r="AI673" s="208"/>
      <c r="AJ673" s="208"/>
      <c r="AK673" s="208"/>
      <c r="AL673" s="208"/>
      <c r="AM673" s="208"/>
      <c r="AN673" s="208"/>
      <c r="AO673" s="208"/>
      <c r="AP673" s="208"/>
    </row>
    <row r="674" spans="1:42">
      <c r="A674" s="226" t="str">
        <f>'Inputs &amp; Results'!A57</f>
        <v>Utility</v>
      </c>
      <c r="C674" s="220">
        <f>IBIUtilityPercent</f>
        <v>402271.5</v>
      </c>
      <c r="D674" s="208"/>
      <c r="E674" s="208"/>
      <c r="F674" s="208"/>
      <c r="G674" s="208"/>
      <c r="H674" s="208"/>
      <c r="I674" s="208"/>
      <c r="J674" s="208"/>
      <c r="K674" s="208"/>
      <c r="L674" s="208"/>
      <c r="M674" s="208"/>
      <c r="N674" s="208"/>
      <c r="O674" s="208"/>
      <c r="P674" s="208"/>
      <c r="Q674" s="208"/>
      <c r="R674" s="208"/>
      <c r="S674" s="208"/>
      <c r="T674" s="208"/>
      <c r="U674" s="208"/>
      <c r="V674" s="208"/>
      <c r="W674" s="208"/>
      <c r="X674" s="208"/>
      <c r="Y674" s="208"/>
      <c r="Z674" s="208"/>
      <c r="AA674" s="208"/>
      <c r="AB674" s="208"/>
      <c r="AC674" s="208"/>
      <c r="AD674" s="208"/>
      <c r="AE674" s="208"/>
      <c r="AF674" s="208"/>
      <c r="AG674" s="208"/>
      <c r="AH674" s="208"/>
      <c r="AI674" s="208"/>
      <c r="AJ674" s="208"/>
      <c r="AK674" s="208"/>
      <c r="AL674" s="208"/>
      <c r="AM674" s="208"/>
      <c r="AN674" s="208"/>
      <c r="AO674" s="208"/>
      <c r="AP674" s="208"/>
    </row>
    <row r="675" spans="1:42">
      <c r="A675" s="226" t="str">
        <f>'Inputs &amp; Results'!A58</f>
        <v>Other</v>
      </c>
      <c r="C675" s="225">
        <f>IBIOtherPercent</f>
        <v>201135.75</v>
      </c>
      <c r="D675" s="208"/>
      <c r="E675" s="208"/>
      <c r="F675" s="208"/>
      <c r="G675" s="208"/>
      <c r="H675" s="208"/>
      <c r="I675" s="208"/>
      <c r="J675" s="208"/>
      <c r="K675" s="208"/>
      <c r="L675" s="208"/>
      <c r="M675" s="208"/>
      <c r="N675" s="208"/>
      <c r="O675" s="208"/>
      <c r="P675" s="208"/>
      <c r="Q675" s="208"/>
      <c r="R675" s="208"/>
      <c r="S675" s="208"/>
      <c r="T675" s="208"/>
      <c r="U675" s="208"/>
      <c r="V675" s="208"/>
      <c r="W675" s="208"/>
      <c r="X675" s="208"/>
      <c r="Y675" s="208"/>
      <c r="Z675" s="208"/>
      <c r="AA675" s="208"/>
      <c r="AB675" s="208"/>
      <c r="AC675" s="208"/>
      <c r="AD675" s="208"/>
      <c r="AE675" s="208"/>
      <c r="AF675" s="208"/>
      <c r="AG675" s="208"/>
      <c r="AH675" s="208"/>
      <c r="AI675" s="208"/>
      <c r="AJ675" s="208"/>
      <c r="AK675" s="208"/>
      <c r="AL675" s="208"/>
      <c r="AM675" s="208"/>
      <c r="AN675" s="208"/>
      <c r="AO675" s="208"/>
      <c r="AP675" s="208"/>
    </row>
    <row r="676" spans="1:42">
      <c r="A676" s="226" t="s">
        <v>53</v>
      </c>
      <c r="C676" s="208">
        <f>SUM(C672:C675)</f>
        <v>6637479.75</v>
      </c>
      <c r="D676" s="208"/>
      <c r="E676" s="208"/>
      <c r="F676" s="208"/>
      <c r="G676" s="208"/>
      <c r="H676" s="208"/>
      <c r="I676" s="208"/>
      <c r="J676" s="208"/>
      <c r="K676" s="208"/>
      <c r="L676" s="208"/>
      <c r="M676" s="208"/>
      <c r="N676" s="208"/>
      <c r="O676" s="208"/>
      <c r="P676" s="208"/>
      <c r="Q676" s="208"/>
      <c r="R676" s="208"/>
      <c r="S676" s="208"/>
      <c r="T676" s="208"/>
      <c r="U676" s="208"/>
      <c r="V676" s="208"/>
      <c r="W676" s="208"/>
      <c r="X676" s="208"/>
      <c r="Y676" s="208"/>
      <c r="Z676" s="208"/>
      <c r="AA676" s="208"/>
      <c r="AB676" s="208"/>
      <c r="AC676" s="208"/>
      <c r="AD676" s="208"/>
      <c r="AE676" s="208"/>
      <c r="AF676" s="208"/>
      <c r="AG676" s="208"/>
      <c r="AH676" s="208"/>
      <c r="AI676" s="208"/>
      <c r="AJ676" s="208"/>
      <c r="AK676" s="208"/>
      <c r="AL676" s="208"/>
      <c r="AM676" s="208"/>
      <c r="AN676" s="208"/>
      <c r="AO676" s="208"/>
      <c r="AP676" s="208"/>
    </row>
    <row r="677" spans="1:42">
      <c r="A677" s="201" t="s">
        <v>129</v>
      </c>
      <c r="C677" s="208"/>
      <c r="D677" s="208"/>
      <c r="E677" s="208"/>
      <c r="F677" s="208"/>
      <c r="G677" s="208"/>
      <c r="H677" s="208"/>
      <c r="I677" s="208"/>
      <c r="J677" s="208"/>
      <c r="K677" s="208"/>
      <c r="L677" s="208"/>
      <c r="M677" s="208"/>
      <c r="N677" s="208"/>
      <c r="O677" s="208"/>
      <c r="P677" s="208"/>
      <c r="Q677" s="208"/>
      <c r="R677" s="208"/>
      <c r="S677" s="208"/>
      <c r="T677" s="208"/>
      <c r="U677" s="208"/>
      <c r="V677" s="208"/>
      <c r="W677" s="208"/>
      <c r="X677" s="208"/>
      <c r="Y677" s="208"/>
      <c r="Z677" s="208"/>
      <c r="AA677" s="208"/>
      <c r="AB677" s="208"/>
      <c r="AC677" s="208"/>
      <c r="AD677" s="208"/>
      <c r="AE677" s="208"/>
      <c r="AF677" s="208"/>
      <c r="AG677" s="208"/>
      <c r="AH677" s="208"/>
      <c r="AI677" s="208"/>
      <c r="AJ677" s="208"/>
      <c r="AK677" s="208"/>
      <c r="AL677" s="208"/>
      <c r="AM677" s="208"/>
      <c r="AN677" s="208"/>
      <c r="AO677" s="208"/>
      <c r="AP677" s="208"/>
    </row>
    <row r="678" spans="1:42">
      <c r="A678" s="219" t="str">
        <f>'Inputs &amp; Results'!A60</f>
        <v>Federal</v>
      </c>
      <c r="B678" s="119"/>
      <c r="C678" s="220">
        <f>CBIFed</f>
        <v>5000000</v>
      </c>
      <c r="D678" s="208"/>
      <c r="E678" s="208"/>
      <c r="F678" s="208"/>
      <c r="G678" s="208"/>
      <c r="H678" s="208"/>
      <c r="I678" s="208"/>
      <c r="J678" s="208"/>
      <c r="K678" s="208"/>
      <c r="L678" s="208"/>
      <c r="M678" s="208"/>
      <c r="N678" s="208"/>
      <c r="O678" s="208"/>
      <c r="P678" s="208"/>
      <c r="Q678" s="208"/>
      <c r="R678" s="208"/>
      <c r="S678" s="208"/>
      <c r="T678" s="208"/>
      <c r="U678" s="208"/>
      <c r="V678" s="208"/>
      <c r="W678" s="208"/>
      <c r="X678" s="208"/>
      <c r="Y678" s="208"/>
      <c r="Z678" s="208"/>
      <c r="AA678" s="208"/>
      <c r="AB678" s="208"/>
      <c r="AC678" s="208"/>
      <c r="AD678" s="208"/>
      <c r="AE678" s="208"/>
      <c r="AF678" s="208"/>
      <c r="AG678" s="208"/>
      <c r="AH678" s="208"/>
      <c r="AI678" s="208"/>
      <c r="AJ678" s="208"/>
      <c r="AK678" s="208"/>
      <c r="AL678" s="208"/>
      <c r="AM678" s="208"/>
      <c r="AN678" s="208"/>
      <c r="AO678" s="208"/>
      <c r="AP678" s="208"/>
    </row>
    <row r="679" spans="1:42">
      <c r="A679" s="219" t="str">
        <f>'Inputs &amp; Results'!A61</f>
        <v>State</v>
      </c>
      <c r="B679" s="119"/>
      <c r="C679" s="220">
        <f>CBIState</f>
        <v>2000000</v>
      </c>
      <c r="D679" s="208"/>
      <c r="E679" s="208"/>
      <c r="F679" s="208"/>
      <c r="G679" s="208"/>
      <c r="H679" s="208"/>
      <c r="I679" s="208"/>
      <c r="J679" s="208"/>
      <c r="K679" s="208"/>
      <c r="L679" s="208"/>
      <c r="M679" s="208"/>
      <c r="N679" s="208"/>
      <c r="O679" s="208"/>
      <c r="P679" s="208"/>
      <c r="Q679" s="208"/>
      <c r="R679" s="208"/>
      <c r="S679" s="208"/>
      <c r="T679" s="208"/>
      <c r="U679" s="208"/>
      <c r="V679" s="208"/>
      <c r="W679" s="208"/>
      <c r="X679" s="208"/>
      <c r="Y679" s="208"/>
      <c r="Z679" s="208"/>
      <c r="AA679" s="208"/>
      <c r="AB679" s="208"/>
      <c r="AC679" s="208"/>
      <c r="AD679" s="208"/>
      <c r="AE679" s="208"/>
      <c r="AF679" s="208"/>
      <c r="AG679" s="208"/>
      <c r="AH679" s="208"/>
      <c r="AI679" s="208"/>
      <c r="AJ679" s="208"/>
      <c r="AK679" s="208"/>
      <c r="AL679" s="208"/>
      <c r="AM679" s="208"/>
      <c r="AN679" s="208"/>
      <c r="AO679" s="208"/>
      <c r="AP679" s="208"/>
    </row>
    <row r="680" spans="1:42">
      <c r="A680" s="219" t="str">
        <f>'Inputs &amp; Results'!A62</f>
        <v>Utility</v>
      </c>
      <c r="B680" s="119"/>
      <c r="C680" s="220">
        <f>CBIUtility</f>
        <v>100000</v>
      </c>
      <c r="D680" s="208"/>
      <c r="E680" s="208"/>
      <c r="F680" s="208"/>
      <c r="G680" s="208"/>
      <c r="H680" s="208"/>
      <c r="I680" s="208"/>
      <c r="J680" s="208"/>
      <c r="K680" s="208"/>
      <c r="L680" s="208"/>
      <c r="M680" s="208"/>
      <c r="N680" s="208"/>
      <c r="O680" s="208"/>
      <c r="P680" s="208"/>
      <c r="Q680" s="208"/>
      <c r="R680" s="208"/>
      <c r="S680" s="208"/>
      <c r="T680" s="208"/>
      <c r="U680" s="208"/>
      <c r="V680" s="208"/>
      <c r="W680" s="208"/>
      <c r="X680" s="208"/>
      <c r="Y680" s="208"/>
      <c r="Z680" s="208"/>
      <c r="AA680" s="208"/>
      <c r="AB680" s="208"/>
      <c r="AC680" s="208"/>
      <c r="AD680" s="208"/>
      <c r="AE680" s="208"/>
      <c r="AF680" s="208"/>
      <c r="AG680" s="208"/>
      <c r="AH680" s="208"/>
      <c r="AI680" s="208"/>
      <c r="AJ680" s="208"/>
      <c r="AK680" s="208"/>
      <c r="AL680" s="208"/>
      <c r="AM680" s="208"/>
      <c r="AN680" s="208"/>
      <c r="AO680" s="208"/>
      <c r="AP680" s="208"/>
    </row>
    <row r="681" spans="1:42">
      <c r="A681" s="219" t="str">
        <f>'Inputs &amp; Results'!A63</f>
        <v>Other</v>
      </c>
      <c r="C681" s="225">
        <f>CBIOther</f>
        <v>50000</v>
      </c>
      <c r="D681" s="208"/>
      <c r="E681" s="208"/>
      <c r="F681" s="208"/>
      <c r="G681" s="208"/>
      <c r="H681" s="208"/>
      <c r="I681" s="208"/>
      <c r="J681" s="208"/>
      <c r="K681" s="208"/>
      <c r="L681" s="208"/>
      <c r="M681" s="208"/>
      <c r="N681" s="208"/>
      <c r="O681" s="208"/>
      <c r="P681" s="208"/>
      <c r="Q681" s="208"/>
      <c r="R681" s="208"/>
      <c r="S681" s="208"/>
      <c r="T681" s="208"/>
      <c r="U681" s="208"/>
      <c r="V681" s="208"/>
      <c r="W681" s="208"/>
      <c r="X681" s="208"/>
      <c r="Y681" s="208"/>
      <c r="Z681" s="208"/>
      <c r="AA681" s="208"/>
      <c r="AB681" s="208"/>
      <c r="AC681" s="208"/>
      <c r="AD681" s="208"/>
      <c r="AE681" s="208"/>
      <c r="AF681" s="208"/>
      <c r="AG681" s="208"/>
      <c r="AH681" s="208"/>
      <c r="AI681" s="208"/>
      <c r="AJ681" s="208"/>
      <c r="AK681" s="208"/>
      <c r="AL681" s="208"/>
      <c r="AM681" s="208"/>
      <c r="AN681" s="208"/>
      <c r="AO681" s="208"/>
      <c r="AP681" s="208"/>
    </row>
    <row r="682" spans="1:42">
      <c r="A682" s="202" t="s">
        <v>53</v>
      </c>
      <c r="C682" s="208">
        <f>SUM(C678:C681)</f>
        <v>7150000</v>
      </c>
      <c r="D682" s="208"/>
      <c r="E682" s="208"/>
      <c r="F682" s="208"/>
      <c r="G682" s="208"/>
      <c r="H682" s="208"/>
      <c r="I682" s="208"/>
      <c r="J682" s="208"/>
      <c r="K682" s="208"/>
      <c r="L682" s="208"/>
      <c r="M682" s="208"/>
      <c r="N682" s="208"/>
      <c r="O682" s="208"/>
      <c r="P682" s="208"/>
      <c r="Q682" s="208"/>
      <c r="R682" s="208"/>
      <c r="S682" s="208"/>
      <c r="T682" s="208"/>
      <c r="U682" s="208"/>
      <c r="V682" s="208"/>
      <c r="W682" s="208"/>
      <c r="X682" s="208"/>
      <c r="Y682" s="208"/>
      <c r="Z682" s="208"/>
      <c r="AA682" s="208"/>
      <c r="AB682" s="208"/>
      <c r="AC682" s="208"/>
      <c r="AD682" s="208"/>
      <c r="AE682" s="208"/>
      <c r="AF682" s="208"/>
      <c r="AG682" s="208"/>
      <c r="AH682" s="208"/>
      <c r="AI682" s="208"/>
      <c r="AJ682" s="208"/>
      <c r="AK682" s="208"/>
      <c r="AL682" s="208"/>
      <c r="AM682" s="208"/>
      <c r="AN682" s="208"/>
      <c r="AO682" s="208"/>
      <c r="AP682" s="208"/>
    </row>
    <row r="683" spans="1:42">
      <c r="C683" s="208"/>
      <c r="D683" s="208"/>
      <c r="E683" s="208"/>
      <c r="F683" s="208"/>
      <c r="G683" s="208"/>
      <c r="H683" s="208"/>
      <c r="I683" s="208"/>
      <c r="J683" s="208"/>
      <c r="K683" s="208"/>
      <c r="L683" s="208"/>
      <c r="M683" s="208"/>
      <c r="N683" s="208"/>
      <c r="O683" s="208"/>
      <c r="P683" s="208"/>
      <c r="Q683" s="208"/>
      <c r="R683" s="208"/>
      <c r="S683" s="208"/>
      <c r="T683" s="208"/>
      <c r="U683" s="208"/>
      <c r="V683" s="208"/>
      <c r="W683" s="208"/>
      <c r="X683" s="208"/>
      <c r="Y683" s="208"/>
      <c r="Z683" s="208"/>
      <c r="AA683" s="208"/>
      <c r="AB683" s="208"/>
      <c r="AC683" s="208"/>
      <c r="AD683" s="208"/>
      <c r="AE683" s="208"/>
      <c r="AF683" s="208"/>
      <c r="AG683" s="208"/>
      <c r="AH683" s="208"/>
      <c r="AI683" s="208"/>
      <c r="AJ683" s="208"/>
      <c r="AK683" s="208"/>
      <c r="AL683" s="208"/>
      <c r="AM683" s="208"/>
      <c r="AN683" s="208"/>
      <c r="AO683" s="208"/>
      <c r="AP683" s="208"/>
    </row>
    <row r="684" spans="1:42">
      <c r="A684" s="201" t="s">
        <v>126</v>
      </c>
    </row>
    <row r="685" spans="1:42">
      <c r="A685" s="202" t="str">
        <f>'Inputs &amp; Results'!A65</f>
        <v>Federal</v>
      </c>
    </row>
    <row r="686" spans="1:42">
      <c r="A686" s="206" t="s">
        <v>127</v>
      </c>
      <c r="C686" s="270">
        <f t="shared" ref="C686:AP686" si="347">IF(AND(C$2&lt;=PBIFedTerm,C$2&lt;=AnalysisPeriod),PBIFed*(1+PBIFedEsc)^B$2,0)</f>
        <v>0</v>
      </c>
      <c r="D686" s="270">
        <f t="shared" si="347"/>
        <v>0</v>
      </c>
      <c r="E686" s="270">
        <f t="shared" si="347"/>
        <v>0</v>
      </c>
      <c r="F686" s="270">
        <f t="shared" si="347"/>
        <v>0</v>
      </c>
      <c r="G686" s="270">
        <f t="shared" si="347"/>
        <v>0</v>
      </c>
      <c r="H686" s="270">
        <f t="shared" si="347"/>
        <v>0</v>
      </c>
      <c r="I686" s="270">
        <f t="shared" si="347"/>
        <v>0</v>
      </c>
      <c r="J686" s="270">
        <f t="shared" si="347"/>
        <v>0</v>
      </c>
      <c r="K686" s="270">
        <f t="shared" si="347"/>
        <v>0</v>
      </c>
      <c r="L686" s="270">
        <f t="shared" si="347"/>
        <v>0</v>
      </c>
      <c r="M686" s="270">
        <f t="shared" si="347"/>
        <v>0</v>
      </c>
      <c r="N686" s="270">
        <f t="shared" si="347"/>
        <v>0</v>
      </c>
      <c r="O686" s="270">
        <f t="shared" si="347"/>
        <v>0</v>
      </c>
      <c r="P686" s="270">
        <f t="shared" si="347"/>
        <v>0</v>
      </c>
      <c r="Q686" s="270">
        <f t="shared" si="347"/>
        <v>0</v>
      </c>
      <c r="R686" s="270">
        <f t="shared" si="347"/>
        <v>0</v>
      </c>
      <c r="S686" s="270">
        <f t="shared" si="347"/>
        <v>0</v>
      </c>
      <c r="T686" s="270">
        <f t="shared" si="347"/>
        <v>0</v>
      </c>
      <c r="U686" s="270">
        <f t="shared" si="347"/>
        <v>0</v>
      </c>
      <c r="V686" s="270">
        <f t="shared" si="347"/>
        <v>0</v>
      </c>
      <c r="W686" s="270">
        <f t="shared" si="347"/>
        <v>0</v>
      </c>
      <c r="X686" s="270">
        <f t="shared" si="347"/>
        <v>0</v>
      </c>
      <c r="Y686" s="270">
        <f t="shared" si="347"/>
        <v>0</v>
      </c>
      <c r="Z686" s="270">
        <f t="shared" si="347"/>
        <v>0</v>
      </c>
      <c r="AA686" s="270">
        <f t="shared" si="347"/>
        <v>0</v>
      </c>
      <c r="AB686" s="270">
        <f t="shared" si="347"/>
        <v>0</v>
      </c>
      <c r="AC686" s="270">
        <f t="shared" si="347"/>
        <v>0</v>
      </c>
      <c r="AD686" s="270">
        <f t="shared" si="347"/>
        <v>0</v>
      </c>
      <c r="AE686" s="270">
        <f t="shared" si="347"/>
        <v>0</v>
      </c>
      <c r="AF686" s="270">
        <f t="shared" si="347"/>
        <v>0</v>
      </c>
      <c r="AG686" s="270">
        <f t="shared" si="347"/>
        <v>0</v>
      </c>
      <c r="AH686" s="270">
        <f t="shared" si="347"/>
        <v>0</v>
      </c>
      <c r="AI686" s="270">
        <f t="shared" si="347"/>
        <v>0</v>
      </c>
      <c r="AJ686" s="270">
        <f t="shared" si="347"/>
        <v>0</v>
      </c>
      <c r="AK686" s="270">
        <f t="shared" si="347"/>
        <v>0</v>
      </c>
      <c r="AL686" s="270">
        <f t="shared" si="347"/>
        <v>0</v>
      </c>
      <c r="AM686" s="270">
        <f t="shared" si="347"/>
        <v>0</v>
      </c>
      <c r="AN686" s="270">
        <f t="shared" si="347"/>
        <v>0</v>
      </c>
      <c r="AO686" s="270">
        <f t="shared" si="347"/>
        <v>0</v>
      </c>
      <c r="AP686" s="270">
        <f t="shared" si="347"/>
        <v>0</v>
      </c>
    </row>
    <row r="687" spans="1:42">
      <c r="A687" s="206" t="s">
        <v>128</v>
      </c>
      <c r="C687" s="225">
        <f>C$5</f>
        <v>17000000</v>
      </c>
      <c r="D687" s="225">
        <f t="shared" ref="D687:AP687" si="348">D$5</f>
        <v>16915000</v>
      </c>
      <c r="E687" s="225">
        <f t="shared" si="348"/>
        <v>16830425</v>
      </c>
      <c r="F687" s="225">
        <f t="shared" si="348"/>
        <v>16746272.875</v>
      </c>
      <c r="G687" s="225">
        <f t="shared" si="348"/>
        <v>16662541.510624999</v>
      </c>
      <c r="H687" s="225">
        <f t="shared" si="348"/>
        <v>16579228.803071873</v>
      </c>
      <c r="I687" s="225">
        <f t="shared" si="348"/>
        <v>16496332.659056515</v>
      </c>
      <c r="J687" s="225">
        <f t="shared" si="348"/>
        <v>16413850.995761232</v>
      </c>
      <c r="K687" s="225">
        <f t="shared" si="348"/>
        <v>16331781.740782427</v>
      </c>
      <c r="L687" s="225">
        <f t="shared" si="348"/>
        <v>16250122.832078515</v>
      </c>
      <c r="M687" s="225">
        <f t="shared" si="348"/>
        <v>16168872.217918122</v>
      </c>
      <c r="N687" s="225">
        <f t="shared" si="348"/>
        <v>16088027.856828531</v>
      </c>
      <c r="O687" s="225">
        <f t="shared" si="348"/>
        <v>16007587.717544388</v>
      </c>
      <c r="P687" s="225">
        <f t="shared" si="348"/>
        <v>15927549.778956667</v>
      </c>
      <c r="Q687" s="225">
        <f t="shared" si="348"/>
        <v>15847912.030061884</v>
      </c>
      <c r="R687" s="225">
        <f t="shared" si="348"/>
        <v>15768672.469911573</v>
      </c>
      <c r="S687" s="225">
        <f t="shared" si="348"/>
        <v>15689829.107562015</v>
      </c>
      <c r="T687" s="225">
        <f t="shared" si="348"/>
        <v>15611379.962024204</v>
      </c>
      <c r="U687" s="225">
        <f t="shared" si="348"/>
        <v>15533323.062214084</v>
      </c>
      <c r="V687" s="225">
        <f t="shared" si="348"/>
        <v>15455656.446903013</v>
      </c>
      <c r="W687" s="225">
        <f t="shared" si="348"/>
        <v>15378378.164668497</v>
      </c>
      <c r="X687" s="225">
        <f t="shared" si="348"/>
        <v>15301486.273845155</v>
      </c>
      <c r="Y687" s="225">
        <f t="shared" si="348"/>
        <v>15224978.842475928</v>
      </c>
      <c r="Z687" s="225">
        <f t="shared" si="348"/>
        <v>15148853.948263548</v>
      </c>
      <c r="AA687" s="225">
        <f t="shared" si="348"/>
        <v>15073109.678522231</v>
      </c>
      <c r="AB687" s="225">
        <f t="shared" si="348"/>
        <v>14997744.13012962</v>
      </c>
      <c r="AC687" s="225">
        <f t="shared" si="348"/>
        <v>14922755.409478972</v>
      </c>
      <c r="AD687" s="225">
        <f t="shared" si="348"/>
        <v>14848141.632431576</v>
      </c>
      <c r="AE687" s="225">
        <f t="shared" si="348"/>
        <v>14773900.924269417</v>
      </c>
      <c r="AF687" s="225">
        <f t="shared" si="348"/>
        <v>14700031.41964807</v>
      </c>
      <c r="AG687" s="225">
        <f t="shared" si="348"/>
        <v>0</v>
      </c>
      <c r="AH687" s="225">
        <f t="shared" si="348"/>
        <v>0</v>
      </c>
      <c r="AI687" s="225">
        <f t="shared" si="348"/>
        <v>0</v>
      </c>
      <c r="AJ687" s="225">
        <f t="shared" si="348"/>
        <v>0</v>
      </c>
      <c r="AK687" s="225">
        <f t="shared" si="348"/>
        <v>0</v>
      </c>
      <c r="AL687" s="225">
        <f t="shared" si="348"/>
        <v>0</v>
      </c>
      <c r="AM687" s="225">
        <f t="shared" si="348"/>
        <v>0</v>
      </c>
      <c r="AN687" s="225">
        <f t="shared" si="348"/>
        <v>0</v>
      </c>
      <c r="AO687" s="225">
        <f t="shared" si="348"/>
        <v>0</v>
      </c>
      <c r="AP687" s="225">
        <f t="shared" si="348"/>
        <v>0</v>
      </c>
    </row>
    <row r="688" spans="1:42">
      <c r="A688" s="206" t="s">
        <v>53</v>
      </c>
      <c r="C688" s="220">
        <f>C686*C687</f>
        <v>0</v>
      </c>
      <c r="D688" s="220">
        <f t="shared" ref="D688:AP688" si="349">D686*D687</f>
        <v>0</v>
      </c>
      <c r="E688" s="220">
        <f t="shared" si="349"/>
        <v>0</v>
      </c>
      <c r="F688" s="220">
        <f t="shared" si="349"/>
        <v>0</v>
      </c>
      <c r="G688" s="220">
        <f t="shared" si="349"/>
        <v>0</v>
      </c>
      <c r="H688" s="220">
        <f t="shared" si="349"/>
        <v>0</v>
      </c>
      <c r="I688" s="220">
        <f t="shared" si="349"/>
        <v>0</v>
      </c>
      <c r="J688" s="220">
        <f t="shared" si="349"/>
        <v>0</v>
      </c>
      <c r="K688" s="220">
        <f t="shared" si="349"/>
        <v>0</v>
      </c>
      <c r="L688" s="220">
        <f t="shared" si="349"/>
        <v>0</v>
      </c>
      <c r="M688" s="220">
        <f t="shared" si="349"/>
        <v>0</v>
      </c>
      <c r="N688" s="220">
        <f t="shared" si="349"/>
        <v>0</v>
      </c>
      <c r="O688" s="220">
        <f t="shared" si="349"/>
        <v>0</v>
      </c>
      <c r="P688" s="220">
        <f t="shared" si="349"/>
        <v>0</v>
      </c>
      <c r="Q688" s="220">
        <f t="shared" si="349"/>
        <v>0</v>
      </c>
      <c r="R688" s="220">
        <f t="shared" si="349"/>
        <v>0</v>
      </c>
      <c r="S688" s="220">
        <f t="shared" si="349"/>
        <v>0</v>
      </c>
      <c r="T688" s="220">
        <f t="shared" si="349"/>
        <v>0</v>
      </c>
      <c r="U688" s="220">
        <f t="shared" si="349"/>
        <v>0</v>
      </c>
      <c r="V688" s="220">
        <f t="shared" si="349"/>
        <v>0</v>
      </c>
      <c r="W688" s="220">
        <f t="shared" si="349"/>
        <v>0</v>
      </c>
      <c r="X688" s="220">
        <f t="shared" si="349"/>
        <v>0</v>
      </c>
      <c r="Y688" s="220">
        <f t="shared" si="349"/>
        <v>0</v>
      </c>
      <c r="Z688" s="220">
        <f t="shared" si="349"/>
        <v>0</v>
      </c>
      <c r="AA688" s="220">
        <f t="shared" si="349"/>
        <v>0</v>
      </c>
      <c r="AB688" s="220">
        <f t="shared" si="349"/>
        <v>0</v>
      </c>
      <c r="AC688" s="220">
        <f t="shared" si="349"/>
        <v>0</v>
      </c>
      <c r="AD688" s="220">
        <f t="shared" si="349"/>
        <v>0</v>
      </c>
      <c r="AE688" s="220">
        <f t="shared" si="349"/>
        <v>0</v>
      </c>
      <c r="AF688" s="220">
        <f t="shared" si="349"/>
        <v>0</v>
      </c>
      <c r="AG688" s="220">
        <f t="shared" si="349"/>
        <v>0</v>
      </c>
      <c r="AH688" s="220">
        <f t="shared" si="349"/>
        <v>0</v>
      </c>
      <c r="AI688" s="220">
        <f t="shared" si="349"/>
        <v>0</v>
      </c>
      <c r="AJ688" s="220">
        <f t="shared" si="349"/>
        <v>0</v>
      </c>
      <c r="AK688" s="220">
        <f t="shared" si="349"/>
        <v>0</v>
      </c>
      <c r="AL688" s="220">
        <f t="shared" si="349"/>
        <v>0</v>
      </c>
      <c r="AM688" s="220">
        <f t="shared" si="349"/>
        <v>0</v>
      </c>
      <c r="AN688" s="220">
        <f t="shared" si="349"/>
        <v>0</v>
      </c>
      <c r="AO688" s="220">
        <f t="shared" si="349"/>
        <v>0</v>
      </c>
      <c r="AP688" s="220">
        <f t="shared" si="349"/>
        <v>0</v>
      </c>
    </row>
    <row r="689" spans="1:42">
      <c r="A689" s="202" t="str">
        <f>'Inputs &amp; Results'!A66</f>
        <v>State</v>
      </c>
      <c r="E689" s="203"/>
    </row>
    <row r="690" spans="1:42">
      <c r="A690" s="206" t="s">
        <v>127</v>
      </c>
      <c r="C690" s="270">
        <f t="shared" ref="C690:AP690" si="350">IF(AND(C$2&lt;=PBIStateTerm,C$2&lt;=AnalysisPeriod),PBIState*(1+PBIStateEsc)^B$2,0)</f>
        <v>0</v>
      </c>
      <c r="D690" s="270">
        <f t="shared" si="350"/>
        <v>0</v>
      </c>
      <c r="E690" s="270">
        <f t="shared" si="350"/>
        <v>0</v>
      </c>
      <c r="F690" s="270">
        <f t="shared" si="350"/>
        <v>0</v>
      </c>
      <c r="G690" s="270">
        <f t="shared" si="350"/>
        <v>0</v>
      </c>
      <c r="H690" s="270">
        <f t="shared" si="350"/>
        <v>0</v>
      </c>
      <c r="I690" s="270">
        <f t="shared" si="350"/>
        <v>0</v>
      </c>
      <c r="J690" s="270">
        <f t="shared" si="350"/>
        <v>0</v>
      </c>
      <c r="K690" s="270">
        <f t="shared" si="350"/>
        <v>0</v>
      </c>
      <c r="L690" s="270">
        <f t="shared" si="350"/>
        <v>0</v>
      </c>
      <c r="M690" s="270">
        <f t="shared" si="350"/>
        <v>0</v>
      </c>
      <c r="N690" s="270">
        <f t="shared" si="350"/>
        <v>0</v>
      </c>
      <c r="O690" s="270">
        <f t="shared" si="350"/>
        <v>0</v>
      </c>
      <c r="P690" s="270">
        <f t="shared" si="350"/>
        <v>0</v>
      </c>
      <c r="Q690" s="270">
        <f t="shared" si="350"/>
        <v>0</v>
      </c>
      <c r="R690" s="270">
        <f t="shared" si="350"/>
        <v>0</v>
      </c>
      <c r="S690" s="270">
        <f t="shared" si="350"/>
        <v>0</v>
      </c>
      <c r="T690" s="270">
        <f t="shared" si="350"/>
        <v>0</v>
      </c>
      <c r="U690" s="270">
        <f t="shared" si="350"/>
        <v>0</v>
      </c>
      <c r="V690" s="270">
        <f t="shared" si="350"/>
        <v>0</v>
      </c>
      <c r="W690" s="270">
        <f t="shared" si="350"/>
        <v>0</v>
      </c>
      <c r="X690" s="270">
        <f t="shared" si="350"/>
        <v>0</v>
      </c>
      <c r="Y690" s="270">
        <f t="shared" si="350"/>
        <v>0</v>
      </c>
      <c r="Z690" s="270">
        <f t="shared" si="350"/>
        <v>0</v>
      </c>
      <c r="AA690" s="270">
        <f t="shared" si="350"/>
        <v>0</v>
      </c>
      <c r="AB690" s="270">
        <f t="shared" si="350"/>
        <v>0</v>
      </c>
      <c r="AC690" s="270">
        <f t="shared" si="350"/>
        <v>0</v>
      </c>
      <c r="AD690" s="270">
        <f t="shared" si="350"/>
        <v>0</v>
      </c>
      <c r="AE690" s="270">
        <f t="shared" si="350"/>
        <v>0</v>
      </c>
      <c r="AF690" s="270">
        <f t="shared" si="350"/>
        <v>0</v>
      </c>
      <c r="AG690" s="270">
        <f t="shared" si="350"/>
        <v>0</v>
      </c>
      <c r="AH690" s="270">
        <f t="shared" si="350"/>
        <v>0</v>
      </c>
      <c r="AI690" s="270">
        <f t="shared" si="350"/>
        <v>0</v>
      </c>
      <c r="AJ690" s="270">
        <f t="shared" si="350"/>
        <v>0</v>
      </c>
      <c r="AK690" s="270">
        <f t="shared" si="350"/>
        <v>0</v>
      </c>
      <c r="AL690" s="270">
        <f t="shared" si="350"/>
        <v>0</v>
      </c>
      <c r="AM690" s="270">
        <f t="shared" si="350"/>
        <v>0</v>
      </c>
      <c r="AN690" s="270">
        <f t="shared" si="350"/>
        <v>0</v>
      </c>
      <c r="AO690" s="270">
        <f t="shared" si="350"/>
        <v>0</v>
      </c>
      <c r="AP690" s="270">
        <f t="shared" si="350"/>
        <v>0</v>
      </c>
    </row>
    <row r="691" spans="1:42">
      <c r="A691" s="206" t="s">
        <v>128</v>
      </c>
      <c r="C691" s="225">
        <f>C$5</f>
        <v>17000000</v>
      </c>
      <c r="D691" s="225">
        <f t="shared" ref="D691:AP691" si="351">D$5</f>
        <v>16915000</v>
      </c>
      <c r="E691" s="225">
        <f t="shared" si="351"/>
        <v>16830425</v>
      </c>
      <c r="F691" s="225">
        <f t="shared" si="351"/>
        <v>16746272.875</v>
      </c>
      <c r="G691" s="225">
        <f t="shared" si="351"/>
        <v>16662541.510624999</v>
      </c>
      <c r="H691" s="225">
        <f t="shared" si="351"/>
        <v>16579228.803071873</v>
      </c>
      <c r="I691" s="225">
        <f t="shared" si="351"/>
        <v>16496332.659056515</v>
      </c>
      <c r="J691" s="225">
        <f t="shared" si="351"/>
        <v>16413850.995761232</v>
      </c>
      <c r="K691" s="225">
        <f t="shared" si="351"/>
        <v>16331781.740782427</v>
      </c>
      <c r="L691" s="225">
        <f t="shared" si="351"/>
        <v>16250122.832078515</v>
      </c>
      <c r="M691" s="225">
        <f t="shared" si="351"/>
        <v>16168872.217918122</v>
      </c>
      <c r="N691" s="225">
        <f t="shared" si="351"/>
        <v>16088027.856828531</v>
      </c>
      <c r="O691" s="225">
        <f t="shared" si="351"/>
        <v>16007587.717544388</v>
      </c>
      <c r="P691" s="225">
        <f t="shared" si="351"/>
        <v>15927549.778956667</v>
      </c>
      <c r="Q691" s="225">
        <f t="shared" si="351"/>
        <v>15847912.030061884</v>
      </c>
      <c r="R691" s="225">
        <f t="shared" si="351"/>
        <v>15768672.469911573</v>
      </c>
      <c r="S691" s="225">
        <f t="shared" si="351"/>
        <v>15689829.107562015</v>
      </c>
      <c r="T691" s="225">
        <f t="shared" si="351"/>
        <v>15611379.962024204</v>
      </c>
      <c r="U691" s="225">
        <f t="shared" si="351"/>
        <v>15533323.062214084</v>
      </c>
      <c r="V691" s="225">
        <f t="shared" si="351"/>
        <v>15455656.446903013</v>
      </c>
      <c r="W691" s="225">
        <f t="shared" si="351"/>
        <v>15378378.164668497</v>
      </c>
      <c r="X691" s="225">
        <f t="shared" si="351"/>
        <v>15301486.273845155</v>
      </c>
      <c r="Y691" s="225">
        <f t="shared" si="351"/>
        <v>15224978.842475928</v>
      </c>
      <c r="Z691" s="225">
        <f t="shared" si="351"/>
        <v>15148853.948263548</v>
      </c>
      <c r="AA691" s="225">
        <f t="shared" si="351"/>
        <v>15073109.678522231</v>
      </c>
      <c r="AB691" s="225">
        <f t="shared" si="351"/>
        <v>14997744.13012962</v>
      </c>
      <c r="AC691" s="225">
        <f t="shared" si="351"/>
        <v>14922755.409478972</v>
      </c>
      <c r="AD691" s="225">
        <f t="shared" si="351"/>
        <v>14848141.632431576</v>
      </c>
      <c r="AE691" s="225">
        <f t="shared" si="351"/>
        <v>14773900.924269417</v>
      </c>
      <c r="AF691" s="225">
        <f t="shared" si="351"/>
        <v>14700031.41964807</v>
      </c>
      <c r="AG691" s="225">
        <f t="shared" si="351"/>
        <v>0</v>
      </c>
      <c r="AH691" s="225">
        <f t="shared" si="351"/>
        <v>0</v>
      </c>
      <c r="AI691" s="225">
        <f t="shared" si="351"/>
        <v>0</v>
      </c>
      <c r="AJ691" s="225">
        <f t="shared" si="351"/>
        <v>0</v>
      </c>
      <c r="AK691" s="225">
        <f t="shared" si="351"/>
        <v>0</v>
      </c>
      <c r="AL691" s="225">
        <f t="shared" si="351"/>
        <v>0</v>
      </c>
      <c r="AM691" s="225">
        <f t="shared" si="351"/>
        <v>0</v>
      </c>
      <c r="AN691" s="225">
        <f t="shared" si="351"/>
        <v>0</v>
      </c>
      <c r="AO691" s="225">
        <f t="shared" si="351"/>
        <v>0</v>
      </c>
      <c r="AP691" s="225">
        <f t="shared" si="351"/>
        <v>0</v>
      </c>
    </row>
    <row r="692" spans="1:42">
      <c r="A692" s="206" t="s">
        <v>53</v>
      </c>
      <c r="C692" s="220">
        <f>C690*C691</f>
        <v>0</v>
      </c>
      <c r="D692" s="220">
        <f t="shared" ref="D692:AP692" si="352">D690*D691</f>
        <v>0</v>
      </c>
      <c r="E692" s="220">
        <f t="shared" si="352"/>
        <v>0</v>
      </c>
      <c r="F692" s="220">
        <f t="shared" si="352"/>
        <v>0</v>
      </c>
      <c r="G692" s="220">
        <f t="shared" si="352"/>
        <v>0</v>
      </c>
      <c r="H692" s="220">
        <f t="shared" si="352"/>
        <v>0</v>
      </c>
      <c r="I692" s="220">
        <f t="shared" si="352"/>
        <v>0</v>
      </c>
      <c r="J692" s="220">
        <f t="shared" si="352"/>
        <v>0</v>
      </c>
      <c r="K692" s="220">
        <f t="shared" si="352"/>
        <v>0</v>
      </c>
      <c r="L692" s="220">
        <f t="shared" si="352"/>
        <v>0</v>
      </c>
      <c r="M692" s="220">
        <f t="shared" si="352"/>
        <v>0</v>
      </c>
      <c r="N692" s="220">
        <f t="shared" si="352"/>
        <v>0</v>
      </c>
      <c r="O692" s="220">
        <f t="shared" si="352"/>
        <v>0</v>
      </c>
      <c r="P692" s="220">
        <f t="shared" si="352"/>
        <v>0</v>
      </c>
      <c r="Q692" s="220">
        <f t="shared" si="352"/>
        <v>0</v>
      </c>
      <c r="R692" s="220">
        <f t="shared" si="352"/>
        <v>0</v>
      </c>
      <c r="S692" s="220">
        <f t="shared" si="352"/>
        <v>0</v>
      </c>
      <c r="T692" s="220">
        <f t="shared" si="352"/>
        <v>0</v>
      </c>
      <c r="U692" s="220">
        <f t="shared" si="352"/>
        <v>0</v>
      </c>
      <c r="V692" s="220">
        <f t="shared" si="352"/>
        <v>0</v>
      </c>
      <c r="W692" s="220">
        <f t="shared" si="352"/>
        <v>0</v>
      </c>
      <c r="X692" s="220">
        <f t="shared" si="352"/>
        <v>0</v>
      </c>
      <c r="Y692" s="220">
        <f t="shared" si="352"/>
        <v>0</v>
      </c>
      <c r="Z692" s="220">
        <f t="shared" si="352"/>
        <v>0</v>
      </c>
      <c r="AA692" s="220">
        <f t="shared" si="352"/>
        <v>0</v>
      </c>
      <c r="AB692" s="220">
        <f t="shared" si="352"/>
        <v>0</v>
      </c>
      <c r="AC692" s="220">
        <f t="shared" si="352"/>
        <v>0</v>
      </c>
      <c r="AD692" s="220">
        <f t="shared" si="352"/>
        <v>0</v>
      </c>
      <c r="AE692" s="220">
        <f t="shared" si="352"/>
        <v>0</v>
      </c>
      <c r="AF692" s="220">
        <f t="shared" si="352"/>
        <v>0</v>
      </c>
      <c r="AG692" s="220">
        <f t="shared" si="352"/>
        <v>0</v>
      </c>
      <c r="AH692" s="220">
        <f t="shared" si="352"/>
        <v>0</v>
      </c>
      <c r="AI692" s="220">
        <f t="shared" si="352"/>
        <v>0</v>
      </c>
      <c r="AJ692" s="220">
        <f t="shared" si="352"/>
        <v>0</v>
      </c>
      <c r="AK692" s="220">
        <f t="shared" si="352"/>
        <v>0</v>
      </c>
      <c r="AL692" s="220">
        <f t="shared" si="352"/>
        <v>0</v>
      </c>
      <c r="AM692" s="220">
        <f t="shared" si="352"/>
        <v>0</v>
      </c>
      <c r="AN692" s="220">
        <f t="shared" si="352"/>
        <v>0</v>
      </c>
      <c r="AO692" s="220">
        <f t="shared" si="352"/>
        <v>0</v>
      </c>
      <c r="AP692" s="220">
        <f t="shared" si="352"/>
        <v>0</v>
      </c>
    </row>
    <row r="693" spans="1:42">
      <c r="A693" s="202" t="str">
        <f>'Inputs &amp; Results'!A67</f>
        <v>Utility</v>
      </c>
    </row>
    <row r="694" spans="1:42">
      <c r="A694" s="206" t="s">
        <v>127</v>
      </c>
      <c r="C694" s="270">
        <f t="shared" ref="C694:AP694" si="353">IF(AND(C$2&lt;=PBIUtilityTerm,C$2&lt;=AnalysisPeriod),PBIUtility*(1+PBIUtilityEsc)^B$2,0)</f>
        <v>0</v>
      </c>
      <c r="D694" s="270">
        <f t="shared" si="353"/>
        <v>0</v>
      </c>
      <c r="E694" s="270">
        <f t="shared" si="353"/>
        <v>0</v>
      </c>
      <c r="F694" s="270">
        <f t="shared" si="353"/>
        <v>0</v>
      </c>
      <c r="G694" s="270">
        <f t="shared" si="353"/>
        <v>0</v>
      </c>
      <c r="H694" s="270">
        <f t="shared" si="353"/>
        <v>0</v>
      </c>
      <c r="I694" s="270">
        <f t="shared" si="353"/>
        <v>0</v>
      </c>
      <c r="J694" s="270">
        <f t="shared" si="353"/>
        <v>0</v>
      </c>
      <c r="K694" s="270">
        <f t="shared" si="353"/>
        <v>0</v>
      </c>
      <c r="L694" s="270">
        <f t="shared" si="353"/>
        <v>0</v>
      </c>
      <c r="M694" s="270">
        <f t="shared" si="353"/>
        <v>0</v>
      </c>
      <c r="N694" s="270">
        <f t="shared" si="353"/>
        <v>0</v>
      </c>
      <c r="O694" s="270">
        <f t="shared" si="353"/>
        <v>0</v>
      </c>
      <c r="P694" s="270">
        <f t="shared" si="353"/>
        <v>0</v>
      </c>
      <c r="Q694" s="270">
        <f t="shared" si="353"/>
        <v>0</v>
      </c>
      <c r="R694" s="270">
        <f t="shared" si="353"/>
        <v>0</v>
      </c>
      <c r="S694" s="270">
        <f t="shared" si="353"/>
        <v>0</v>
      </c>
      <c r="T694" s="270">
        <f t="shared" si="353"/>
        <v>0</v>
      </c>
      <c r="U694" s="270">
        <f t="shared" si="353"/>
        <v>0</v>
      </c>
      <c r="V694" s="270">
        <f t="shared" si="353"/>
        <v>0</v>
      </c>
      <c r="W694" s="270">
        <f t="shared" si="353"/>
        <v>0</v>
      </c>
      <c r="X694" s="270">
        <f t="shared" si="353"/>
        <v>0</v>
      </c>
      <c r="Y694" s="270">
        <f t="shared" si="353"/>
        <v>0</v>
      </c>
      <c r="Z694" s="270">
        <f t="shared" si="353"/>
        <v>0</v>
      </c>
      <c r="AA694" s="270">
        <f t="shared" si="353"/>
        <v>0</v>
      </c>
      <c r="AB694" s="270">
        <f t="shared" si="353"/>
        <v>0</v>
      </c>
      <c r="AC694" s="270">
        <f t="shared" si="353"/>
        <v>0</v>
      </c>
      <c r="AD694" s="270">
        <f t="shared" si="353"/>
        <v>0</v>
      </c>
      <c r="AE694" s="270">
        <f t="shared" si="353"/>
        <v>0</v>
      </c>
      <c r="AF694" s="270">
        <f t="shared" si="353"/>
        <v>0</v>
      </c>
      <c r="AG694" s="270">
        <f t="shared" si="353"/>
        <v>0</v>
      </c>
      <c r="AH694" s="270">
        <f t="shared" si="353"/>
        <v>0</v>
      </c>
      <c r="AI694" s="270">
        <f t="shared" si="353"/>
        <v>0</v>
      </c>
      <c r="AJ694" s="270">
        <f t="shared" si="353"/>
        <v>0</v>
      </c>
      <c r="AK694" s="270">
        <f t="shared" si="353"/>
        <v>0</v>
      </c>
      <c r="AL694" s="270">
        <f t="shared" si="353"/>
        <v>0</v>
      </c>
      <c r="AM694" s="270">
        <f t="shared" si="353"/>
        <v>0</v>
      </c>
      <c r="AN694" s="270">
        <f t="shared" si="353"/>
        <v>0</v>
      </c>
      <c r="AO694" s="270">
        <f t="shared" si="353"/>
        <v>0</v>
      </c>
      <c r="AP694" s="270">
        <f t="shared" si="353"/>
        <v>0</v>
      </c>
    </row>
    <row r="695" spans="1:42">
      <c r="A695" s="206" t="s">
        <v>128</v>
      </c>
      <c r="C695" s="225">
        <f>C$5</f>
        <v>17000000</v>
      </c>
      <c r="D695" s="225">
        <f t="shared" ref="D695:AP695" si="354">D$5</f>
        <v>16915000</v>
      </c>
      <c r="E695" s="225">
        <f t="shared" si="354"/>
        <v>16830425</v>
      </c>
      <c r="F695" s="225">
        <f t="shared" si="354"/>
        <v>16746272.875</v>
      </c>
      <c r="G695" s="225">
        <f t="shared" si="354"/>
        <v>16662541.510624999</v>
      </c>
      <c r="H695" s="225">
        <f t="shared" si="354"/>
        <v>16579228.803071873</v>
      </c>
      <c r="I695" s="225">
        <f t="shared" si="354"/>
        <v>16496332.659056515</v>
      </c>
      <c r="J695" s="225">
        <f t="shared" si="354"/>
        <v>16413850.995761232</v>
      </c>
      <c r="K695" s="225">
        <f t="shared" si="354"/>
        <v>16331781.740782427</v>
      </c>
      <c r="L695" s="225">
        <f t="shared" si="354"/>
        <v>16250122.832078515</v>
      </c>
      <c r="M695" s="225">
        <f t="shared" si="354"/>
        <v>16168872.217918122</v>
      </c>
      <c r="N695" s="225">
        <f t="shared" si="354"/>
        <v>16088027.856828531</v>
      </c>
      <c r="O695" s="225">
        <f t="shared" si="354"/>
        <v>16007587.717544388</v>
      </c>
      <c r="P695" s="225">
        <f t="shared" si="354"/>
        <v>15927549.778956667</v>
      </c>
      <c r="Q695" s="225">
        <f t="shared" si="354"/>
        <v>15847912.030061884</v>
      </c>
      <c r="R695" s="225">
        <f t="shared" si="354"/>
        <v>15768672.469911573</v>
      </c>
      <c r="S695" s="225">
        <f t="shared" si="354"/>
        <v>15689829.107562015</v>
      </c>
      <c r="T695" s="225">
        <f t="shared" si="354"/>
        <v>15611379.962024204</v>
      </c>
      <c r="U695" s="225">
        <f t="shared" si="354"/>
        <v>15533323.062214084</v>
      </c>
      <c r="V695" s="225">
        <f t="shared" si="354"/>
        <v>15455656.446903013</v>
      </c>
      <c r="W695" s="225">
        <f t="shared" si="354"/>
        <v>15378378.164668497</v>
      </c>
      <c r="X695" s="225">
        <f t="shared" si="354"/>
        <v>15301486.273845155</v>
      </c>
      <c r="Y695" s="225">
        <f t="shared" si="354"/>
        <v>15224978.842475928</v>
      </c>
      <c r="Z695" s="225">
        <f t="shared" si="354"/>
        <v>15148853.948263548</v>
      </c>
      <c r="AA695" s="225">
        <f t="shared" si="354"/>
        <v>15073109.678522231</v>
      </c>
      <c r="AB695" s="225">
        <f t="shared" si="354"/>
        <v>14997744.13012962</v>
      </c>
      <c r="AC695" s="225">
        <f t="shared" si="354"/>
        <v>14922755.409478972</v>
      </c>
      <c r="AD695" s="225">
        <f t="shared" si="354"/>
        <v>14848141.632431576</v>
      </c>
      <c r="AE695" s="225">
        <f t="shared" si="354"/>
        <v>14773900.924269417</v>
      </c>
      <c r="AF695" s="225">
        <f t="shared" si="354"/>
        <v>14700031.41964807</v>
      </c>
      <c r="AG695" s="225">
        <f t="shared" si="354"/>
        <v>0</v>
      </c>
      <c r="AH695" s="225">
        <f t="shared" si="354"/>
        <v>0</v>
      </c>
      <c r="AI695" s="225">
        <f t="shared" si="354"/>
        <v>0</v>
      </c>
      <c r="AJ695" s="225">
        <f t="shared" si="354"/>
        <v>0</v>
      </c>
      <c r="AK695" s="225">
        <f t="shared" si="354"/>
        <v>0</v>
      </c>
      <c r="AL695" s="225">
        <f t="shared" si="354"/>
        <v>0</v>
      </c>
      <c r="AM695" s="225">
        <f t="shared" si="354"/>
        <v>0</v>
      </c>
      <c r="AN695" s="225">
        <f t="shared" si="354"/>
        <v>0</v>
      </c>
      <c r="AO695" s="225">
        <f t="shared" si="354"/>
        <v>0</v>
      </c>
      <c r="AP695" s="225">
        <f t="shared" si="354"/>
        <v>0</v>
      </c>
    </row>
    <row r="696" spans="1:42">
      <c r="A696" s="206" t="s">
        <v>53</v>
      </c>
      <c r="C696" s="220">
        <f>C694*C695</f>
        <v>0</v>
      </c>
      <c r="D696" s="220">
        <f t="shared" ref="D696:AP696" si="355">D694*D695</f>
        <v>0</v>
      </c>
      <c r="E696" s="220">
        <f t="shared" si="355"/>
        <v>0</v>
      </c>
      <c r="F696" s="220">
        <f t="shared" si="355"/>
        <v>0</v>
      </c>
      <c r="G696" s="220">
        <f t="shared" si="355"/>
        <v>0</v>
      </c>
      <c r="H696" s="220">
        <f t="shared" si="355"/>
        <v>0</v>
      </c>
      <c r="I696" s="220">
        <f t="shared" si="355"/>
        <v>0</v>
      </c>
      <c r="J696" s="220">
        <f t="shared" si="355"/>
        <v>0</v>
      </c>
      <c r="K696" s="220">
        <f t="shared" si="355"/>
        <v>0</v>
      </c>
      <c r="L696" s="220">
        <f t="shared" si="355"/>
        <v>0</v>
      </c>
      <c r="M696" s="220">
        <f t="shared" si="355"/>
        <v>0</v>
      </c>
      <c r="N696" s="220">
        <f t="shared" si="355"/>
        <v>0</v>
      </c>
      <c r="O696" s="220">
        <f t="shared" si="355"/>
        <v>0</v>
      </c>
      <c r="P696" s="220">
        <f t="shared" si="355"/>
        <v>0</v>
      </c>
      <c r="Q696" s="220">
        <f t="shared" si="355"/>
        <v>0</v>
      </c>
      <c r="R696" s="220">
        <f t="shared" si="355"/>
        <v>0</v>
      </c>
      <c r="S696" s="220">
        <f t="shared" si="355"/>
        <v>0</v>
      </c>
      <c r="T696" s="220">
        <f t="shared" si="355"/>
        <v>0</v>
      </c>
      <c r="U696" s="220">
        <f t="shared" si="355"/>
        <v>0</v>
      </c>
      <c r="V696" s="220">
        <f t="shared" si="355"/>
        <v>0</v>
      </c>
      <c r="W696" s="220">
        <f t="shared" si="355"/>
        <v>0</v>
      </c>
      <c r="X696" s="220">
        <f t="shared" si="355"/>
        <v>0</v>
      </c>
      <c r="Y696" s="220">
        <f t="shared" si="355"/>
        <v>0</v>
      </c>
      <c r="Z696" s="220">
        <f t="shared" si="355"/>
        <v>0</v>
      </c>
      <c r="AA696" s="220">
        <f t="shared" si="355"/>
        <v>0</v>
      </c>
      <c r="AB696" s="220">
        <f t="shared" si="355"/>
        <v>0</v>
      </c>
      <c r="AC696" s="220">
        <f t="shared" si="355"/>
        <v>0</v>
      </c>
      <c r="AD696" s="220">
        <f t="shared" si="355"/>
        <v>0</v>
      </c>
      <c r="AE696" s="220">
        <f t="shared" si="355"/>
        <v>0</v>
      </c>
      <c r="AF696" s="220">
        <f t="shared" si="355"/>
        <v>0</v>
      </c>
      <c r="AG696" s="220">
        <f t="shared" si="355"/>
        <v>0</v>
      </c>
      <c r="AH696" s="220">
        <f t="shared" si="355"/>
        <v>0</v>
      </c>
      <c r="AI696" s="220">
        <f t="shared" si="355"/>
        <v>0</v>
      </c>
      <c r="AJ696" s="220">
        <f t="shared" si="355"/>
        <v>0</v>
      </c>
      <c r="AK696" s="220">
        <f t="shared" si="355"/>
        <v>0</v>
      </c>
      <c r="AL696" s="220">
        <f t="shared" si="355"/>
        <v>0</v>
      </c>
      <c r="AM696" s="220">
        <f t="shared" si="355"/>
        <v>0</v>
      </c>
      <c r="AN696" s="220">
        <f t="shared" si="355"/>
        <v>0</v>
      </c>
      <c r="AO696" s="220">
        <f t="shared" si="355"/>
        <v>0</v>
      </c>
      <c r="AP696" s="220">
        <f t="shared" si="355"/>
        <v>0</v>
      </c>
    </row>
    <row r="697" spans="1:42">
      <c r="A697" s="202" t="str">
        <f>'Inputs &amp; Results'!A68</f>
        <v>Other</v>
      </c>
    </row>
    <row r="698" spans="1:42">
      <c r="A698" s="206" t="s">
        <v>127</v>
      </c>
      <c r="C698" s="272">
        <f t="shared" ref="C698:AP698" si="356">IF(AND(C$2&lt;=PBIOtherTerm,C$2&lt;=AnalysisPeriod),PBIOther*(1+PBIOtherEsc)^B$2,0)</f>
        <v>0</v>
      </c>
      <c r="D698" s="272">
        <f t="shared" si="356"/>
        <v>0</v>
      </c>
      <c r="E698" s="272">
        <f t="shared" si="356"/>
        <v>0</v>
      </c>
      <c r="F698" s="272">
        <f t="shared" si="356"/>
        <v>0</v>
      </c>
      <c r="G698" s="272">
        <f t="shared" si="356"/>
        <v>0</v>
      </c>
      <c r="H698" s="272">
        <f t="shared" si="356"/>
        <v>0</v>
      </c>
      <c r="I698" s="272">
        <f t="shared" si="356"/>
        <v>0</v>
      </c>
      <c r="J698" s="272">
        <f t="shared" si="356"/>
        <v>0</v>
      </c>
      <c r="K698" s="272">
        <f t="shared" si="356"/>
        <v>0</v>
      </c>
      <c r="L698" s="272">
        <f t="shared" si="356"/>
        <v>0</v>
      </c>
      <c r="M698" s="272">
        <f t="shared" si="356"/>
        <v>0</v>
      </c>
      <c r="N698" s="272">
        <f t="shared" si="356"/>
        <v>0</v>
      </c>
      <c r="O698" s="272">
        <f t="shared" si="356"/>
        <v>0</v>
      </c>
      <c r="P698" s="272">
        <f t="shared" si="356"/>
        <v>0</v>
      </c>
      <c r="Q698" s="272">
        <f t="shared" si="356"/>
        <v>0</v>
      </c>
      <c r="R698" s="272">
        <f t="shared" si="356"/>
        <v>0</v>
      </c>
      <c r="S698" s="272">
        <f t="shared" si="356"/>
        <v>0</v>
      </c>
      <c r="T698" s="272">
        <f t="shared" si="356"/>
        <v>0</v>
      </c>
      <c r="U698" s="272">
        <f t="shared" si="356"/>
        <v>0</v>
      </c>
      <c r="V698" s="272">
        <f t="shared" si="356"/>
        <v>0</v>
      </c>
      <c r="W698" s="272">
        <f t="shared" si="356"/>
        <v>0</v>
      </c>
      <c r="X698" s="272">
        <f t="shared" si="356"/>
        <v>0</v>
      </c>
      <c r="Y698" s="272">
        <f t="shared" si="356"/>
        <v>0</v>
      </c>
      <c r="Z698" s="272">
        <f t="shared" si="356"/>
        <v>0</v>
      </c>
      <c r="AA698" s="272">
        <f t="shared" si="356"/>
        <v>0</v>
      </c>
      <c r="AB698" s="272">
        <f t="shared" si="356"/>
        <v>0</v>
      </c>
      <c r="AC698" s="272">
        <f t="shared" si="356"/>
        <v>0</v>
      </c>
      <c r="AD698" s="272">
        <f t="shared" si="356"/>
        <v>0</v>
      </c>
      <c r="AE698" s="272">
        <f t="shared" si="356"/>
        <v>0</v>
      </c>
      <c r="AF698" s="272">
        <f t="shared" si="356"/>
        <v>0</v>
      </c>
      <c r="AG698" s="272">
        <f t="shared" si="356"/>
        <v>0</v>
      </c>
      <c r="AH698" s="272">
        <f t="shared" si="356"/>
        <v>0</v>
      </c>
      <c r="AI698" s="272">
        <f t="shared" si="356"/>
        <v>0</v>
      </c>
      <c r="AJ698" s="272">
        <f t="shared" si="356"/>
        <v>0</v>
      </c>
      <c r="AK698" s="272">
        <f t="shared" si="356"/>
        <v>0</v>
      </c>
      <c r="AL698" s="272">
        <f t="shared" si="356"/>
        <v>0</v>
      </c>
      <c r="AM698" s="272">
        <f t="shared" si="356"/>
        <v>0</v>
      </c>
      <c r="AN698" s="272">
        <f t="shared" si="356"/>
        <v>0</v>
      </c>
      <c r="AO698" s="272">
        <f t="shared" si="356"/>
        <v>0</v>
      </c>
      <c r="AP698" s="272">
        <f t="shared" si="356"/>
        <v>0</v>
      </c>
    </row>
    <row r="699" spans="1:42">
      <c r="A699" s="206" t="s">
        <v>128</v>
      </c>
      <c r="C699" s="225">
        <f>C$5</f>
        <v>17000000</v>
      </c>
      <c r="D699" s="225">
        <f t="shared" ref="D699:AP699" si="357">D$5</f>
        <v>16915000</v>
      </c>
      <c r="E699" s="225">
        <f t="shared" si="357"/>
        <v>16830425</v>
      </c>
      <c r="F699" s="225">
        <f t="shared" si="357"/>
        <v>16746272.875</v>
      </c>
      <c r="G699" s="225">
        <f t="shared" si="357"/>
        <v>16662541.510624999</v>
      </c>
      <c r="H699" s="225">
        <f t="shared" si="357"/>
        <v>16579228.803071873</v>
      </c>
      <c r="I699" s="225">
        <f t="shared" si="357"/>
        <v>16496332.659056515</v>
      </c>
      <c r="J699" s="225">
        <f t="shared" si="357"/>
        <v>16413850.995761232</v>
      </c>
      <c r="K699" s="225">
        <f t="shared" si="357"/>
        <v>16331781.740782427</v>
      </c>
      <c r="L699" s="225">
        <f t="shared" si="357"/>
        <v>16250122.832078515</v>
      </c>
      <c r="M699" s="225">
        <f t="shared" si="357"/>
        <v>16168872.217918122</v>
      </c>
      <c r="N699" s="225">
        <f t="shared" si="357"/>
        <v>16088027.856828531</v>
      </c>
      <c r="O699" s="225">
        <f t="shared" si="357"/>
        <v>16007587.717544388</v>
      </c>
      <c r="P699" s="225">
        <f t="shared" si="357"/>
        <v>15927549.778956667</v>
      </c>
      <c r="Q699" s="225">
        <f t="shared" si="357"/>
        <v>15847912.030061884</v>
      </c>
      <c r="R699" s="225">
        <f t="shared" si="357"/>
        <v>15768672.469911573</v>
      </c>
      <c r="S699" s="225">
        <f t="shared" si="357"/>
        <v>15689829.107562015</v>
      </c>
      <c r="T699" s="225">
        <f t="shared" si="357"/>
        <v>15611379.962024204</v>
      </c>
      <c r="U699" s="225">
        <f t="shared" si="357"/>
        <v>15533323.062214084</v>
      </c>
      <c r="V699" s="225">
        <f t="shared" si="357"/>
        <v>15455656.446903013</v>
      </c>
      <c r="W699" s="225">
        <f t="shared" si="357"/>
        <v>15378378.164668497</v>
      </c>
      <c r="X699" s="225">
        <f t="shared" si="357"/>
        <v>15301486.273845155</v>
      </c>
      <c r="Y699" s="225">
        <f t="shared" si="357"/>
        <v>15224978.842475928</v>
      </c>
      <c r="Z699" s="225">
        <f t="shared" si="357"/>
        <v>15148853.948263548</v>
      </c>
      <c r="AA699" s="225">
        <f t="shared" si="357"/>
        <v>15073109.678522231</v>
      </c>
      <c r="AB699" s="225">
        <f t="shared" si="357"/>
        <v>14997744.13012962</v>
      </c>
      <c r="AC699" s="225">
        <f t="shared" si="357"/>
        <v>14922755.409478972</v>
      </c>
      <c r="AD699" s="225">
        <f t="shared" si="357"/>
        <v>14848141.632431576</v>
      </c>
      <c r="AE699" s="225">
        <f t="shared" si="357"/>
        <v>14773900.924269417</v>
      </c>
      <c r="AF699" s="225">
        <f t="shared" si="357"/>
        <v>14700031.41964807</v>
      </c>
      <c r="AG699" s="225">
        <f t="shared" si="357"/>
        <v>0</v>
      </c>
      <c r="AH699" s="225">
        <f t="shared" si="357"/>
        <v>0</v>
      </c>
      <c r="AI699" s="225">
        <f t="shared" si="357"/>
        <v>0</v>
      </c>
      <c r="AJ699" s="225">
        <f t="shared" si="357"/>
        <v>0</v>
      </c>
      <c r="AK699" s="225">
        <f t="shared" si="357"/>
        <v>0</v>
      </c>
      <c r="AL699" s="225">
        <f t="shared" si="357"/>
        <v>0</v>
      </c>
      <c r="AM699" s="225">
        <f t="shared" si="357"/>
        <v>0</v>
      </c>
      <c r="AN699" s="225">
        <f t="shared" si="357"/>
        <v>0</v>
      </c>
      <c r="AO699" s="225">
        <f t="shared" si="357"/>
        <v>0</v>
      </c>
      <c r="AP699" s="225">
        <f t="shared" si="357"/>
        <v>0</v>
      </c>
    </row>
    <row r="700" spans="1:42">
      <c r="A700" s="206" t="s">
        <v>53</v>
      </c>
      <c r="C700" s="220">
        <f>C698*C699</f>
        <v>0</v>
      </c>
      <c r="D700" s="220">
        <f t="shared" ref="D700:AP700" si="358">D698*D699</f>
        <v>0</v>
      </c>
      <c r="E700" s="220">
        <f t="shared" si="358"/>
        <v>0</v>
      </c>
      <c r="F700" s="220">
        <f t="shared" si="358"/>
        <v>0</v>
      </c>
      <c r="G700" s="220">
        <f t="shared" si="358"/>
        <v>0</v>
      </c>
      <c r="H700" s="220">
        <f t="shared" si="358"/>
        <v>0</v>
      </c>
      <c r="I700" s="220">
        <f t="shared" si="358"/>
        <v>0</v>
      </c>
      <c r="J700" s="220">
        <f t="shared" si="358"/>
        <v>0</v>
      </c>
      <c r="K700" s="220">
        <f t="shared" si="358"/>
        <v>0</v>
      </c>
      <c r="L700" s="220">
        <f t="shared" si="358"/>
        <v>0</v>
      </c>
      <c r="M700" s="220">
        <f t="shared" si="358"/>
        <v>0</v>
      </c>
      <c r="N700" s="220">
        <f t="shared" si="358"/>
        <v>0</v>
      </c>
      <c r="O700" s="220">
        <f t="shared" si="358"/>
        <v>0</v>
      </c>
      <c r="P700" s="220">
        <f t="shared" si="358"/>
        <v>0</v>
      </c>
      <c r="Q700" s="220">
        <f t="shared" si="358"/>
        <v>0</v>
      </c>
      <c r="R700" s="220">
        <f t="shared" si="358"/>
        <v>0</v>
      </c>
      <c r="S700" s="220">
        <f t="shared" si="358"/>
        <v>0</v>
      </c>
      <c r="T700" s="220">
        <f t="shared" si="358"/>
        <v>0</v>
      </c>
      <c r="U700" s="220">
        <f t="shared" si="358"/>
        <v>0</v>
      </c>
      <c r="V700" s="220">
        <f t="shared" si="358"/>
        <v>0</v>
      </c>
      <c r="W700" s="220">
        <f t="shared" si="358"/>
        <v>0</v>
      </c>
      <c r="X700" s="220">
        <f t="shared" si="358"/>
        <v>0</v>
      </c>
      <c r="Y700" s="220">
        <f t="shared" si="358"/>
        <v>0</v>
      </c>
      <c r="Z700" s="220">
        <f t="shared" si="358"/>
        <v>0</v>
      </c>
      <c r="AA700" s="220">
        <f t="shared" si="358"/>
        <v>0</v>
      </c>
      <c r="AB700" s="220">
        <f t="shared" si="358"/>
        <v>0</v>
      </c>
      <c r="AC700" s="220">
        <f t="shared" si="358"/>
        <v>0</v>
      </c>
      <c r="AD700" s="220">
        <f t="shared" si="358"/>
        <v>0</v>
      </c>
      <c r="AE700" s="220">
        <f t="shared" si="358"/>
        <v>0</v>
      </c>
      <c r="AF700" s="220">
        <f t="shared" si="358"/>
        <v>0</v>
      </c>
      <c r="AG700" s="220">
        <f t="shared" si="358"/>
        <v>0</v>
      </c>
      <c r="AH700" s="220">
        <f t="shared" si="358"/>
        <v>0</v>
      </c>
      <c r="AI700" s="220">
        <f t="shared" si="358"/>
        <v>0</v>
      </c>
      <c r="AJ700" s="220">
        <f t="shared" si="358"/>
        <v>0</v>
      </c>
      <c r="AK700" s="220">
        <f t="shared" si="358"/>
        <v>0</v>
      </c>
      <c r="AL700" s="220">
        <f t="shared" si="358"/>
        <v>0</v>
      </c>
      <c r="AM700" s="220">
        <f t="shared" si="358"/>
        <v>0</v>
      </c>
      <c r="AN700" s="220">
        <f t="shared" si="358"/>
        <v>0</v>
      </c>
      <c r="AO700" s="220">
        <f t="shared" si="358"/>
        <v>0</v>
      </c>
      <c r="AP700" s="220">
        <f t="shared" si="358"/>
        <v>0</v>
      </c>
    </row>
    <row r="701" spans="1:42">
      <c r="C701" s="208"/>
      <c r="D701" s="208"/>
      <c r="E701" s="208"/>
      <c r="F701" s="208"/>
      <c r="G701" s="208"/>
      <c r="H701" s="208"/>
      <c r="I701" s="208"/>
      <c r="J701" s="208"/>
      <c r="K701" s="208"/>
      <c r="L701" s="208"/>
      <c r="M701" s="208"/>
      <c r="N701" s="208"/>
      <c r="O701" s="208"/>
      <c r="P701" s="208"/>
      <c r="Q701" s="208"/>
      <c r="R701" s="208"/>
      <c r="S701" s="208"/>
      <c r="T701" s="208"/>
      <c r="U701" s="208"/>
      <c r="V701" s="208"/>
      <c r="W701" s="208"/>
      <c r="X701" s="208"/>
      <c r="Y701" s="208"/>
      <c r="Z701" s="208"/>
      <c r="AA701" s="208"/>
      <c r="AB701" s="208"/>
      <c r="AC701" s="208"/>
      <c r="AD701" s="208"/>
      <c r="AE701" s="208"/>
      <c r="AF701" s="208"/>
      <c r="AG701" s="208"/>
      <c r="AH701" s="208"/>
      <c r="AI701" s="208"/>
      <c r="AJ701" s="208"/>
      <c r="AK701" s="208"/>
      <c r="AL701" s="208"/>
      <c r="AM701" s="208"/>
      <c r="AN701" s="208"/>
      <c r="AO701" s="208"/>
      <c r="AP701" s="208"/>
    </row>
    <row r="702" spans="1:42">
      <c r="A702" s="37" t="s">
        <v>53</v>
      </c>
      <c r="C702" s="216">
        <f>C688+C692+C696+C700</f>
        <v>0</v>
      </c>
      <c r="D702" s="216">
        <f t="shared" ref="D702:AP702" si="359">D688+D692+D696+D700</f>
        <v>0</v>
      </c>
      <c r="E702" s="216">
        <f t="shared" si="359"/>
        <v>0</v>
      </c>
      <c r="F702" s="216">
        <f t="shared" si="359"/>
        <v>0</v>
      </c>
      <c r="G702" s="216">
        <f t="shared" si="359"/>
        <v>0</v>
      </c>
      <c r="H702" s="216">
        <f t="shared" si="359"/>
        <v>0</v>
      </c>
      <c r="I702" s="216">
        <f t="shared" si="359"/>
        <v>0</v>
      </c>
      <c r="J702" s="216">
        <f t="shared" si="359"/>
        <v>0</v>
      </c>
      <c r="K702" s="216">
        <f t="shared" si="359"/>
        <v>0</v>
      </c>
      <c r="L702" s="216">
        <f t="shared" si="359"/>
        <v>0</v>
      </c>
      <c r="M702" s="216">
        <f t="shared" si="359"/>
        <v>0</v>
      </c>
      <c r="N702" s="216">
        <f t="shared" si="359"/>
        <v>0</v>
      </c>
      <c r="O702" s="216">
        <f t="shared" si="359"/>
        <v>0</v>
      </c>
      <c r="P702" s="216">
        <f t="shared" si="359"/>
        <v>0</v>
      </c>
      <c r="Q702" s="216">
        <f t="shared" si="359"/>
        <v>0</v>
      </c>
      <c r="R702" s="216">
        <f t="shared" si="359"/>
        <v>0</v>
      </c>
      <c r="S702" s="216">
        <f t="shared" si="359"/>
        <v>0</v>
      </c>
      <c r="T702" s="216">
        <f t="shared" si="359"/>
        <v>0</v>
      </c>
      <c r="U702" s="216">
        <f t="shared" si="359"/>
        <v>0</v>
      </c>
      <c r="V702" s="216">
        <f t="shared" si="359"/>
        <v>0</v>
      </c>
      <c r="W702" s="216">
        <f t="shared" si="359"/>
        <v>0</v>
      </c>
      <c r="X702" s="216">
        <f t="shared" si="359"/>
        <v>0</v>
      </c>
      <c r="Y702" s="216">
        <f t="shared" si="359"/>
        <v>0</v>
      </c>
      <c r="Z702" s="216">
        <f t="shared" si="359"/>
        <v>0</v>
      </c>
      <c r="AA702" s="216">
        <f t="shared" si="359"/>
        <v>0</v>
      </c>
      <c r="AB702" s="216">
        <f t="shared" si="359"/>
        <v>0</v>
      </c>
      <c r="AC702" s="216">
        <f t="shared" si="359"/>
        <v>0</v>
      </c>
      <c r="AD702" s="216">
        <f t="shared" si="359"/>
        <v>0</v>
      </c>
      <c r="AE702" s="216">
        <f t="shared" si="359"/>
        <v>0</v>
      </c>
      <c r="AF702" s="216">
        <f t="shared" si="359"/>
        <v>0</v>
      </c>
      <c r="AG702" s="216">
        <f t="shared" si="359"/>
        <v>0</v>
      </c>
      <c r="AH702" s="216">
        <f t="shared" si="359"/>
        <v>0</v>
      </c>
      <c r="AI702" s="216">
        <f t="shared" si="359"/>
        <v>0</v>
      </c>
      <c r="AJ702" s="216">
        <f t="shared" si="359"/>
        <v>0</v>
      </c>
      <c r="AK702" s="216">
        <f t="shared" si="359"/>
        <v>0</v>
      </c>
      <c r="AL702" s="216">
        <f t="shared" si="359"/>
        <v>0</v>
      </c>
      <c r="AM702" s="216">
        <f t="shared" si="359"/>
        <v>0</v>
      </c>
      <c r="AN702" s="216">
        <f t="shared" si="359"/>
        <v>0</v>
      </c>
      <c r="AO702" s="216">
        <f t="shared" si="359"/>
        <v>0</v>
      </c>
      <c r="AP702" s="216">
        <f t="shared" si="359"/>
        <v>0</v>
      </c>
    </row>
    <row r="704" spans="1:42">
      <c r="A704" s="201" t="s">
        <v>201</v>
      </c>
      <c r="B704" s="164"/>
      <c r="C704" s="164"/>
      <c r="D704" s="164"/>
      <c r="E704" s="164"/>
      <c r="F704" s="164"/>
      <c r="G704" s="208"/>
      <c r="H704" s="208"/>
      <c r="I704" s="208"/>
      <c r="J704" s="208"/>
      <c r="K704" s="208"/>
      <c r="L704" s="208"/>
      <c r="M704" s="208"/>
      <c r="N704" s="208"/>
      <c r="O704" s="208"/>
      <c r="P704" s="208"/>
      <c r="Q704" s="208"/>
      <c r="R704" s="208"/>
      <c r="S704" s="208"/>
      <c r="T704" s="208"/>
      <c r="U704" s="208"/>
      <c r="V704" s="208"/>
      <c r="W704" s="208"/>
      <c r="X704" s="208"/>
      <c r="Y704" s="208"/>
      <c r="Z704" s="208"/>
      <c r="AA704" s="208"/>
      <c r="AB704" s="208"/>
      <c r="AC704" s="208"/>
      <c r="AD704" s="208"/>
      <c r="AE704" s="208"/>
      <c r="AF704" s="208"/>
      <c r="AG704" s="208"/>
      <c r="AH704" s="208"/>
      <c r="AI704" s="208"/>
      <c r="AJ704" s="208"/>
      <c r="AK704" s="208"/>
      <c r="AL704" s="208"/>
      <c r="AM704" s="208"/>
      <c r="AN704" s="208"/>
      <c r="AO704" s="208"/>
      <c r="AP704" s="208"/>
    </row>
    <row r="705" spans="1:42" s="119" customFormat="1">
      <c r="A705" s="328" t="str">
        <f>'Inputs &amp; Results'!A147</f>
        <v>O&amp;M/Working Capital Reserve</v>
      </c>
      <c r="C705" s="220"/>
      <c r="D705" s="220"/>
      <c r="E705" s="220"/>
      <c r="F705" s="220"/>
      <c r="G705" s="220"/>
      <c r="H705" s="220"/>
      <c r="I705" s="220"/>
      <c r="J705" s="220"/>
      <c r="K705" s="220"/>
      <c r="L705" s="220"/>
      <c r="M705" s="220"/>
      <c r="N705" s="220"/>
      <c r="O705" s="220"/>
      <c r="P705" s="220"/>
      <c r="Q705" s="220"/>
      <c r="R705" s="220"/>
      <c r="S705" s="220"/>
      <c r="T705" s="220"/>
      <c r="U705" s="220"/>
      <c r="V705" s="220"/>
      <c r="W705" s="220"/>
      <c r="X705" s="220"/>
      <c r="Y705" s="220"/>
      <c r="Z705" s="220"/>
      <c r="AA705" s="220"/>
      <c r="AB705" s="220"/>
      <c r="AC705" s="220"/>
      <c r="AD705" s="220"/>
      <c r="AE705" s="220"/>
      <c r="AF705" s="220"/>
      <c r="AG705" s="220"/>
      <c r="AH705" s="220"/>
      <c r="AI705" s="220"/>
      <c r="AJ705" s="220"/>
      <c r="AK705" s="220"/>
      <c r="AL705" s="220"/>
      <c r="AM705" s="220"/>
      <c r="AN705" s="220"/>
      <c r="AO705" s="220"/>
      <c r="AP705" s="220"/>
    </row>
    <row r="706" spans="1:42" s="119" customFormat="1">
      <c r="A706" s="119" t="s">
        <v>100</v>
      </c>
      <c r="B706" s="220">
        <v>0</v>
      </c>
      <c r="C706" s="220">
        <f>B709</f>
        <v>150000</v>
      </c>
      <c r="D706" s="220">
        <f t="shared" ref="D706:AP706" si="360">C709</f>
        <v>150000</v>
      </c>
      <c r="E706" s="220">
        <f t="shared" si="360"/>
        <v>150000</v>
      </c>
      <c r="F706" s="220">
        <f t="shared" si="360"/>
        <v>150000</v>
      </c>
      <c r="G706" s="220">
        <f t="shared" si="360"/>
        <v>150000</v>
      </c>
      <c r="H706" s="220">
        <f t="shared" si="360"/>
        <v>150000</v>
      </c>
      <c r="I706" s="220">
        <f t="shared" si="360"/>
        <v>150000</v>
      </c>
      <c r="J706" s="220">
        <f t="shared" si="360"/>
        <v>150000</v>
      </c>
      <c r="K706" s="220">
        <f t="shared" si="360"/>
        <v>150000</v>
      </c>
      <c r="L706" s="220">
        <f t="shared" si="360"/>
        <v>150000</v>
      </c>
      <c r="M706" s="220">
        <f t="shared" si="360"/>
        <v>150000</v>
      </c>
      <c r="N706" s="220">
        <f t="shared" si="360"/>
        <v>150000</v>
      </c>
      <c r="O706" s="220">
        <f t="shared" si="360"/>
        <v>150000</v>
      </c>
      <c r="P706" s="220">
        <f t="shared" si="360"/>
        <v>150000</v>
      </c>
      <c r="Q706" s="220">
        <f t="shared" si="360"/>
        <v>150000</v>
      </c>
      <c r="R706" s="220">
        <f t="shared" si="360"/>
        <v>150000</v>
      </c>
      <c r="S706" s="220">
        <f t="shared" si="360"/>
        <v>150000</v>
      </c>
      <c r="T706" s="220">
        <f t="shared" si="360"/>
        <v>150000</v>
      </c>
      <c r="U706" s="220">
        <f t="shared" si="360"/>
        <v>150000</v>
      </c>
      <c r="V706" s="220">
        <f t="shared" si="360"/>
        <v>150000</v>
      </c>
      <c r="W706" s="220">
        <f t="shared" si="360"/>
        <v>150000</v>
      </c>
      <c r="X706" s="220">
        <f t="shared" si="360"/>
        <v>150000</v>
      </c>
      <c r="Y706" s="220">
        <f t="shared" si="360"/>
        <v>150000</v>
      </c>
      <c r="Z706" s="220">
        <f t="shared" si="360"/>
        <v>150000</v>
      </c>
      <c r="AA706" s="220">
        <f t="shared" si="360"/>
        <v>150000</v>
      </c>
      <c r="AB706" s="220">
        <f t="shared" si="360"/>
        <v>150000</v>
      </c>
      <c r="AC706" s="220">
        <f t="shared" si="360"/>
        <v>150000</v>
      </c>
      <c r="AD706" s="220">
        <f t="shared" si="360"/>
        <v>150000</v>
      </c>
      <c r="AE706" s="220">
        <f t="shared" si="360"/>
        <v>150000</v>
      </c>
      <c r="AF706" s="220">
        <f t="shared" si="360"/>
        <v>150000</v>
      </c>
      <c r="AG706" s="220">
        <f t="shared" si="360"/>
        <v>0</v>
      </c>
      <c r="AH706" s="220">
        <f t="shared" si="360"/>
        <v>0</v>
      </c>
      <c r="AI706" s="220">
        <f t="shared" si="360"/>
        <v>0</v>
      </c>
      <c r="AJ706" s="220">
        <f t="shared" si="360"/>
        <v>0</v>
      </c>
      <c r="AK706" s="220">
        <f t="shared" si="360"/>
        <v>0</v>
      </c>
      <c r="AL706" s="220">
        <f t="shared" si="360"/>
        <v>0</v>
      </c>
      <c r="AM706" s="220">
        <f t="shared" si="360"/>
        <v>0</v>
      </c>
      <c r="AN706" s="220">
        <f t="shared" si="360"/>
        <v>0</v>
      </c>
      <c r="AO706" s="220">
        <f t="shared" si="360"/>
        <v>0</v>
      </c>
      <c r="AP706" s="220">
        <f t="shared" si="360"/>
        <v>0</v>
      </c>
    </row>
    <row r="707" spans="1:42" s="119" customFormat="1">
      <c r="A707" s="119" t="s">
        <v>101</v>
      </c>
      <c r="B707" s="220">
        <f>'Inputs &amp; Results'!$D$147</f>
        <v>150000</v>
      </c>
      <c r="C707" s="220"/>
      <c r="D707" s="220"/>
      <c r="E707" s="220"/>
      <c r="F707" s="220"/>
      <c r="G707" s="220"/>
      <c r="H707" s="220"/>
      <c r="I707" s="220"/>
      <c r="J707" s="220"/>
      <c r="K707" s="220"/>
      <c r="L707" s="220"/>
      <c r="M707" s="220"/>
      <c r="N707" s="220"/>
      <c r="O707" s="220"/>
      <c r="P707" s="220"/>
      <c r="Q707" s="220"/>
      <c r="R707" s="220"/>
      <c r="S707" s="220"/>
      <c r="T707" s="220"/>
      <c r="U707" s="220"/>
      <c r="V707" s="220"/>
      <c r="W707" s="220"/>
      <c r="X707" s="220"/>
      <c r="Y707" s="220"/>
      <c r="Z707" s="220"/>
      <c r="AA707" s="220"/>
      <c r="AB707" s="220"/>
      <c r="AC707" s="220"/>
      <c r="AD707" s="220"/>
      <c r="AE707" s="220"/>
      <c r="AF707" s="220"/>
      <c r="AG707" s="220"/>
      <c r="AH707" s="220"/>
      <c r="AI707" s="220"/>
      <c r="AJ707" s="220"/>
      <c r="AK707" s="220"/>
      <c r="AL707" s="220"/>
      <c r="AM707" s="220"/>
      <c r="AN707" s="220"/>
      <c r="AO707" s="220"/>
      <c r="AP707" s="220"/>
    </row>
    <row r="708" spans="1:42" s="119" customFormat="1">
      <c r="A708" s="119" t="s">
        <v>107</v>
      </c>
      <c r="B708" s="225">
        <v>0</v>
      </c>
      <c r="C708" s="225">
        <f t="shared" ref="C708:AP708" si="361">IF(C$2=AnalysisPeriod,-C706,0)</f>
        <v>0</v>
      </c>
      <c r="D708" s="225">
        <f t="shared" si="361"/>
        <v>0</v>
      </c>
      <c r="E708" s="225">
        <f t="shared" si="361"/>
        <v>0</v>
      </c>
      <c r="F708" s="225">
        <f t="shared" si="361"/>
        <v>0</v>
      </c>
      <c r="G708" s="225">
        <f t="shared" si="361"/>
        <v>0</v>
      </c>
      <c r="H708" s="225">
        <f t="shared" si="361"/>
        <v>0</v>
      </c>
      <c r="I708" s="225">
        <f t="shared" si="361"/>
        <v>0</v>
      </c>
      <c r="J708" s="225">
        <f t="shared" si="361"/>
        <v>0</v>
      </c>
      <c r="K708" s="225">
        <f t="shared" si="361"/>
        <v>0</v>
      </c>
      <c r="L708" s="225">
        <f t="shared" si="361"/>
        <v>0</v>
      </c>
      <c r="M708" s="225">
        <f t="shared" si="361"/>
        <v>0</v>
      </c>
      <c r="N708" s="225">
        <f t="shared" si="361"/>
        <v>0</v>
      </c>
      <c r="O708" s="225">
        <f t="shared" si="361"/>
        <v>0</v>
      </c>
      <c r="P708" s="225">
        <f t="shared" si="361"/>
        <v>0</v>
      </c>
      <c r="Q708" s="225">
        <f t="shared" si="361"/>
        <v>0</v>
      </c>
      <c r="R708" s="225">
        <f t="shared" si="361"/>
        <v>0</v>
      </c>
      <c r="S708" s="225">
        <f t="shared" si="361"/>
        <v>0</v>
      </c>
      <c r="T708" s="225">
        <f t="shared" si="361"/>
        <v>0</v>
      </c>
      <c r="U708" s="225">
        <f t="shared" si="361"/>
        <v>0</v>
      </c>
      <c r="V708" s="225">
        <f t="shared" si="361"/>
        <v>0</v>
      </c>
      <c r="W708" s="225">
        <f t="shared" si="361"/>
        <v>0</v>
      </c>
      <c r="X708" s="225">
        <f t="shared" si="361"/>
        <v>0</v>
      </c>
      <c r="Y708" s="225">
        <f t="shared" si="361"/>
        <v>0</v>
      </c>
      <c r="Z708" s="225">
        <f t="shared" si="361"/>
        <v>0</v>
      </c>
      <c r="AA708" s="225">
        <f t="shared" si="361"/>
        <v>0</v>
      </c>
      <c r="AB708" s="225">
        <f t="shared" si="361"/>
        <v>0</v>
      </c>
      <c r="AC708" s="225">
        <f t="shared" si="361"/>
        <v>0</v>
      </c>
      <c r="AD708" s="225">
        <f t="shared" si="361"/>
        <v>0</v>
      </c>
      <c r="AE708" s="225">
        <f t="shared" si="361"/>
        <v>0</v>
      </c>
      <c r="AF708" s="225">
        <f t="shared" si="361"/>
        <v>-150000</v>
      </c>
      <c r="AG708" s="225">
        <f t="shared" si="361"/>
        <v>0</v>
      </c>
      <c r="AH708" s="225">
        <f t="shared" si="361"/>
        <v>0</v>
      </c>
      <c r="AI708" s="225">
        <f t="shared" si="361"/>
        <v>0</v>
      </c>
      <c r="AJ708" s="225">
        <f t="shared" si="361"/>
        <v>0</v>
      </c>
      <c r="AK708" s="225">
        <f t="shared" si="361"/>
        <v>0</v>
      </c>
      <c r="AL708" s="225">
        <f t="shared" si="361"/>
        <v>0</v>
      </c>
      <c r="AM708" s="225">
        <f t="shared" si="361"/>
        <v>0</v>
      </c>
      <c r="AN708" s="225">
        <f t="shared" si="361"/>
        <v>0</v>
      </c>
      <c r="AO708" s="225">
        <f t="shared" si="361"/>
        <v>0</v>
      </c>
      <c r="AP708" s="225">
        <f t="shared" si="361"/>
        <v>0</v>
      </c>
    </row>
    <row r="709" spans="1:42" s="119" customFormat="1">
      <c r="A709" s="119" t="s">
        <v>103</v>
      </c>
      <c r="B709" s="220">
        <f>SUM(B706:B708)</f>
        <v>150000</v>
      </c>
      <c r="C709" s="220">
        <f>SUM(C706:C708)</f>
        <v>150000</v>
      </c>
      <c r="D709" s="220">
        <f t="shared" ref="D709:AP709" si="362">SUM(D706:D708)</f>
        <v>150000</v>
      </c>
      <c r="E709" s="220">
        <f t="shared" si="362"/>
        <v>150000</v>
      </c>
      <c r="F709" s="220">
        <f t="shared" si="362"/>
        <v>150000</v>
      </c>
      <c r="G709" s="220">
        <f t="shared" si="362"/>
        <v>150000</v>
      </c>
      <c r="H709" s="220">
        <f t="shared" si="362"/>
        <v>150000</v>
      </c>
      <c r="I709" s="220">
        <f t="shared" si="362"/>
        <v>150000</v>
      </c>
      <c r="J709" s="220">
        <f t="shared" si="362"/>
        <v>150000</v>
      </c>
      <c r="K709" s="220">
        <f t="shared" si="362"/>
        <v>150000</v>
      </c>
      <c r="L709" s="220">
        <f t="shared" si="362"/>
        <v>150000</v>
      </c>
      <c r="M709" s="220">
        <f t="shared" si="362"/>
        <v>150000</v>
      </c>
      <c r="N709" s="220">
        <f t="shared" si="362"/>
        <v>150000</v>
      </c>
      <c r="O709" s="220">
        <f t="shared" si="362"/>
        <v>150000</v>
      </c>
      <c r="P709" s="220">
        <f t="shared" si="362"/>
        <v>150000</v>
      </c>
      <c r="Q709" s="220">
        <f t="shared" si="362"/>
        <v>150000</v>
      </c>
      <c r="R709" s="220">
        <f t="shared" si="362"/>
        <v>150000</v>
      </c>
      <c r="S709" s="220">
        <f t="shared" si="362"/>
        <v>150000</v>
      </c>
      <c r="T709" s="220">
        <f t="shared" si="362"/>
        <v>150000</v>
      </c>
      <c r="U709" s="220">
        <f t="shared" si="362"/>
        <v>150000</v>
      </c>
      <c r="V709" s="220">
        <f t="shared" si="362"/>
        <v>150000</v>
      </c>
      <c r="W709" s="220">
        <f t="shared" si="362"/>
        <v>150000</v>
      </c>
      <c r="X709" s="220">
        <f t="shared" si="362"/>
        <v>150000</v>
      </c>
      <c r="Y709" s="220">
        <f t="shared" si="362"/>
        <v>150000</v>
      </c>
      <c r="Z709" s="220">
        <f t="shared" si="362"/>
        <v>150000</v>
      </c>
      <c r="AA709" s="220">
        <f t="shared" si="362"/>
        <v>150000</v>
      </c>
      <c r="AB709" s="220">
        <f t="shared" si="362"/>
        <v>150000</v>
      </c>
      <c r="AC709" s="220">
        <f t="shared" si="362"/>
        <v>150000</v>
      </c>
      <c r="AD709" s="220">
        <f t="shared" si="362"/>
        <v>150000</v>
      </c>
      <c r="AE709" s="220">
        <f t="shared" si="362"/>
        <v>150000</v>
      </c>
      <c r="AF709" s="220">
        <f t="shared" si="362"/>
        <v>0</v>
      </c>
      <c r="AG709" s="220">
        <f t="shared" si="362"/>
        <v>0</v>
      </c>
      <c r="AH709" s="220">
        <f t="shared" si="362"/>
        <v>0</v>
      </c>
      <c r="AI709" s="220">
        <f t="shared" si="362"/>
        <v>0</v>
      </c>
      <c r="AJ709" s="220">
        <f t="shared" si="362"/>
        <v>0</v>
      </c>
      <c r="AK709" s="220">
        <f t="shared" si="362"/>
        <v>0</v>
      </c>
      <c r="AL709" s="220">
        <f t="shared" si="362"/>
        <v>0</v>
      </c>
      <c r="AM709" s="220">
        <f t="shared" si="362"/>
        <v>0</v>
      </c>
      <c r="AN709" s="220">
        <f t="shared" si="362"/>
        <v>0</v>
      </c>
      <c r="AO709" s="220">
        <f t="shared" si="362"/>
        <v>0</v>
      </c>
      <c r="AP709" s="220">
        <f t="shared" si="362"/>
        <v>0</v>
      </c>
    </row>
    <row r="710" spans="1:42" s="119" customFormat="1">
      <c r="B710" s="220"/>
      <c r="C710" s="220"/>
      <c r="D710" s="220"/>
      <c r="E710" s="220"/>
      <c r="F710" s="220"/>
      <c r="G710" s="146"/>
      <c r="H710" s="146"/>
      <c r="I710" s="146"/>
      <c r="J710" s="146"/>
      <c r="K710" s="146"/>
      <c r="L710" s="146"/>
      <c r="M710" s="146"/>
      <c r="N710" s="146"/>
      <c r="O710" s="146"/>
      <c r="P710" s="146"/>
      <c r="Q710" s="146"/>
      <c r="R710" s="146"/>
      <c r="S710" s="146"/>
      <c r="T710" s="146"/>
      <c r="U710" s="146"/>
      <c r="V710" s="146"/>
      <c r="W710" s="146"/>
      <c r="X710" s="146"/>
      <c r="Y710" s="146"/>
      <c r="Z710" s="146"/>
      <c r="AA710" s="146"/>
      <c r="AB710" s="146"/>
      <c r="AC710" s="146"/>
      <c r="AD710" s="146"/>
      <c r="AE710" s="146"/>
      <c r="AF710" s="146"/>
      <c r="AG710" s="146"/>
      <c r="AH710" s="146"/>
      <c r="AI710" s="146"/>
      <c r="AJ710" s="146"/>
      <c r="AK710" s="146"/>
      <c r="AL710" s="146"/>
      <c r="AM710" s="146"/>
      <c r="AN710" s="146"/>
      <c r="AO710" s="146"/>
      <c r="AP710" s="146"/>
    </row>
    <row r="711" spans="1:42" s="119" customFormat="1">
      <c r="A711" s="328" t="str">
        <f>'Inputs &amp; Results'!A145</f>
        <v>Lease Payment Reserve</v>
      </c>
      <c r="C711" s="220"/>
      <c r="D711" s="220"/>
      <c r="E711" s="220"/>
      <c r="F711" s="220"/>
      <c r="G711" s="220"/>
      <c r="H711" s="220"/>
      <c r="I711" s="220"/>
      <c r="J711" s="220"/>
      <c r="K711" s="220"/>
      <c r="L711" s="220"/>
      <c r="M711" s="220"/>
      <c r="N711" s="220"/>
      <c r="O711" s="220"/>
      <c r="P711" s="220"/>
      <c r="Q711" s="220"/>
      <c r="R711" s="220"/>
      <c r="S711" s="220"/>
      <c r="T711" s="220"/>
      <c r="U711" s="220"/>
      <c r="V711" s="220"/>
      <c r="W711" s="220"/>
      <c r="X711" s="220"/>
      <c r="Y711" s="220"/>
      <c r="Z711" s="220"/>
      <c r="AA711" s="220"/>
      <c r="AB711" s="220"/>
      <c r="AC711" s="220"/>
      <c r="AD711" s="220"/>
      <c r="AE711" s="220"/>
      <c r="AF711" s="220"/>
      <c r="AG711" s="220"/>
      <c r="AH711" s="220"/>
      <c r="AI711" s="220"/>
      <c r="AJ711" s="220"/>
      <c r="AK711" s="220"/>
      <c r="AL711" s="220"/>
      <c r="AM711" s="220"/>
      <c r="AN711" s="220"/>
      <c r="AO711" s="220"/>
      <c r="AP711" s="220"/>
    </row>
    <row r="712" spans="1:42" s="119" customFormat="1">
      <c r="A712" s="119" t="s">
        <v>100</v>
      </c>
      <c r="B712" s="220">
        <v>0</v>
      </c>
      <c r="C712" s="220">
        <f>B715</f>
        <v>3490604.7462151214</v>
      </c>
      <c r="D712" s="220">
        <f t="shared" ref="D712" si="363">C715</f>
        <v>3490604.7462151214</v>
      </c>
      <c r="E712" s="220">
        <f t="shared" ref="E712" si="364">D715</f>
        <v>3490604.7462151214</v>
      </c>
      <c r="F712" s="220">
        <f t="shared" ref="F712" si="365">E715</f>
        <v>3490604.7462151214</v>
      </c>
      <c r="G712" s="220">
        <f t="shared" ref="G712" si="366">F715</f>
        <v>3490604.7462151214</v>
      </c>
      <c r="H712" s="220">
        <f t="shared" ref="H712" si="367">G715</f>
        <v>3490604.7462151214</v>
      </c>
      <c r="I712" s="220">
        <f t="shared" ref="I712" si="368">H715</f>
        <v>3490604.7462151214</v>
      </c>
      <c r="J712" s="220">
        <f t="shared" ref="J712" si="369">I715</f>
        <v>3490604.7462151214</v>
      </c>
      <c r="K712" s="220">
        <f t="shared" ref="K712" si="370">J715</f>
        <v>3490604.7462151214</v>
      </c>
      <c r="L712" s="220">
        <f t="shared" ref="L712" si="371">K715</f>
        <v>3490604.7462151214</v>
      </c>
      <c r="M712" s="220">
        <f t="shared" ref="M712" si="372">L715</f>
        <v>3490604.7462151214</v>
      </c>
      <c r="N712" s="220">
        <f t="shared" ref="N712" si="373">M715</f>
        <v>3490604.7462151214</v>
      </c>
      <c r="O712" s="220">
        <f t="shared" ref="O712" si="374">N715</f>
        <v>3490604.7462151214</v>
      </c>
      <c r="P712" s="220">
        <f t="shared" ref="P712" si="375">O715</f>
        <v>3490604.7462151214</v>
      </c>
      <c r="Q712" s="220">
        <f t="shared" ref="Q712" si="376">P715</f>
        <v>3490604.7462151214</v>
      </c>
      <c r="R712" s="220">
        <f t="shared" ref="R712" si="377">Q715</f>
        <v>3490604.7462151214</v>
      </c>
      <c r="S712" s="220">
        <f t="shared" ref="S712" si="378">R715</f>
        <v>3490604.7462151214</v>
      </c>
      <c r="T712" s="220">
        <f t="shared" ref="T712" si="379">S715</f>
        <v>3490604.7462151214</v>
      </c>
      <c r="U712" s="220">
        <f t="shared" ref="U712" si="380">T715</f>
        <v>3490604.7462151214</v>
      </c>
      <c r="V712" s="220">
        <f t="shared" ref="V712" si="381">U715</f>
        <v>3490604.7462151214</v>
      </c>
      <c r="W712" s="220">
        <f t="shared" ref="W712" si="382">V715</f>
        <v>3490604.7462151214</v>
      </c>
      <c r="X712" s="220">
        <f t="shared" ref="X712" si="383">W715</f>
        <v>3490604.7462151214</v>
      </c>
      <c r="Y712" s="220">
        <f t="shared" ref="Y712" si="384">X715</f>
        <v>3490604.7462151214</v>
      </c>
      <c r="Z712" s="220">
        <f t="shared" ref="Z712" si="385">Y715</f>
        <v>3490604.7462151214</v>
      </c>
      <c r="AA712" s="220">
        <f t="shared" ref="AA712" si="386">Z715</f>
        <v>3490604.7462151214</v>
      </c>
      <c r="AB712" s="220">
        <f t="shared" ref="AB712" si="387">AA715</f>
        <v>3490604.7462151214</v>
      </c>
      <c r="AC712" s="220">
        <f t="shared" ref="AC712" si="388">AB715</f>
        <v>3490604.7462151214</v>
      </c>
      <c r="AD712" s="220">
        <f t="shared" ref="AD712" si="389">AC715</f>
        <v>3490604.7462151214</v>
      </c>
      <c r="AE712" s="220">
        <f t="shared" ref="AE712" si="390">AD715</f>
        <v>3490604.7462151214</v>
      </c>
      <c r="AF712" s="220">
        <f t="shared" ref="AF712" si="391">AE715</f>
        <v>3490604.7462151214</v>
      </c>
      <c r="AG712" s="220">
        <f t="shared" ref="AG712" si="392">AF715</f>
        <v>0</v>
      </c>
      <c r="AH712" s="220">
        <f t="shared" ref="AH712" si="393">AG715</f>
        <v>0</v>
      </c>
      <c r="AI712" s="220">
        <f t="shared" ref="AI712" si="394">AH715</f>
        <v>0</v>
      </c>
      <c r="AJ712" s="220">
        <f t="shared" ref="AJ712" si="395">AI715</f>
        <v>0</v>
      </c>
      <c r="AK712" s="220">
        <f t="shared" ref="AK712" si="396">AJ715</f>
        <v>0</v>
      </c>
      <c r="AL712" s="220">
        <f t="shared" ref="AL712" si="397">AK715</f>
        <v>0</v>
      </c>
      <c r="AM712" s="220">
        <f t="shared" ref="AM712" si="398">AL715</f>
        <v>0</v>
      </c>
      <c r="AN712" s="220">
        <f t="shared" ref="AN712" si="399">AM715</f>
        <v>0</v>
      </c>
      <c r="AO712" s="220">
        <f t="shared" ref="AO712" si="400">AN715</f>
        <v>0</v>
      </c>
      <c r="AP712" s="220">
        <f t="shared" ref="AP712" si="401">AO715</f>
        <v>0</v>
      </c>
    </row>
    <row r="713" spans="1:42" s="119" customFormat="1">
      <c r="A713" s="119" t="s">
        <v>101</v>
      </c>
      <c r="B713" s="220">
        <f>(LeaseReserveMonths/12)*C76</f>
        <v>3490604.7462151214</v>
      </c>
      <c r="C713" s="220">
        <v>0</v>
      </c>
      <c r="D713" s="220">
        <v>0</v>
      </c>
      <c r="E713" s="220">
        <v>0</v>
      </c>
      <c r="F713" s="220">
        <v>0</v>
      </c>
      <c r="G713" s="220">
        <v>0</v>
      </c>
      <c r="H713" s="220">
        <v>0</v>
      </c>
      <c r="I713" s="220">
        <v>0</v>
      </c>
      <c r="J713" s="220">
        <v>0</v>
      </c>
      <c r="K713" s="220">
        <v>0</v>
      </c>
      <c r="L713" s="220">
        <v>0</v>
      </c>
      <c r="M713" s="220">
        <v>0</v>
      </c>
      <c r="N713" s="220">
        <v>0</v>
      </c>
      <c r="O713" s="220">
        <v>0</v>
      </c>
      <c r="P713" s="220">
        <v>0</v>
      </c>
      <c r="Q713" s="220">
        <v>0</v>
      </c>
      <c r="R713" s="220">
        <v>0</v>
      </c>
      <c r="S713" s="220">
        <v>0</v>
      </c>
      <c r="T713" s="220">
        <v>0</v>
      </c>
      <c r="U713" s="220">
        <v>0</v>
      </c>
      <c r="V713" s="220">
        <v>0</v>
      </c>
      <c r="W713" s="220">
        <v>0</v>
      </c>
      <c r="X713" s="220">
        <v>0</v>
      </c>
      <c r="Y713" s="220">
        <v>0</v>
      </c>
      <c r="Z713" s="220">
        <v>0</v>
      </c>
      <c r="AA713" s="220">
        <v>0</v>
      </c>
      <c r="AB713" s="220">
        <v>0</v>
      </c>
      <c r="AC713" s="220">
        <v>0</v>
      </c>
      <c r="AD713" s="220">
        <v>0</v>
      </c>
      <c r="AE713" s="220">
        <v>0</v>
      </c>
      <c r="AF713" s="220">
        <v>0</v>
      </c>
      <c r="AG713" s="220">
        <v>0</v>
      </c>
      <c r="AH713" s="220">
        <v>0</v>
      </c>
      <c r="AI713" s="220">
        <v>0</v>
      </c>
      <c r="AJ713" s="220">
        <v>0</v>
      </c>
      <c r="AK713" s="220">
        <v>0</v>
      </c>
      <c r="AL713" s="220">
        <v>0</v>
      </c>
      <c r="AM713" s="220">
        <v>0</v>
      </c>
      <c r="AN713" s="220">
        <v>0</v>
      </c>
      <c r="AO713" s="220">
        <v>0</v>
      </c>
      <c r="AP713" s="220">
        <v>0</v>
      </c>
    </row>
    <row r="714" spans="1:42" s="119" customFormat="1">
      <c r="A714" s="119" t="s">
        <v>107</v>
      </c>
      <c r="B714" s="225">
        <v>0</v>
      </c>
      <c r="C714" s="225">
        <f t="shared" ref="C714:AP714" si="402">IF(C$2=AnalysisPeriod,-C712,0)</f>
        <v>0</v>
      </c>
      <c r="D714" s="225">
        <f t="shared" si="402"/>
        <v>0</v>
      </c>
      <c r="E714" s="225">
        <f t="shared" si="402"/>
        <v>0</v>
      </c>
      <c r="F714" s="225">
        <f t="shared" si="402"/>
        <v>0</v>
      </c>
      <c r="G714" s="225">
        <f t="shared" si="402"/>
        <v>0</v>
      </c>
      <c r="H714" s="225">
        <f t="shared" si="402"/>
        <v>0</v>
      </c>
      <c r="I714" s="225">
        <f t="shared" si="402"/>
        <v>0</v>
      </c>
      <c r="J714" s="225">
        <f t="shared" si="402"/>
        <v>0</v>
      </c>
      <c r="K714" s="225">
        <f t="shared" si="402"/>
        <v>0</v>
      </c>
      <c r="L714" s="225">
        <f t="shared" si="402"/>
        <v>0</v>
      </c>
      <c r="M714" s="225">
        <f t="shared" si="402"/>
        <v>0</v>
      </c>
      <c r="N714" s="225">
        <f t="shared" si="402"/>
        <v>0</v>
      </c>
      <c r="O714" s="225">
        <f t="shared" si="402"/>
        <v>0</v>
      </c>
      <c r="P714" s="225">
        <f t="shared" si="402"/>
        <v>0</v>
      </c>
      <c r="Q714" s="225">
        <f t="shared" si="402"/>
        <v>0</v>
      </c>
      <c r="R714" s="225">
        <f t="shared" si="402"/>
        <v>0</v>
      </c>
      <c r="S714" s="225">
        <f t="shared" si="402"/>
        <v>0</v>
      </c>
      <c r="T714" s="225">
        <f t="shared" si="402"/>
        <v>0</v>
      </c>
      <c r="U714" s="225">
        <f t="shared" si="402"/>
        <v>0</v>
      </c>
      <c r="V714" s="225">
        <f t="shared" si="402"/>
        <v>0</v>
      </c>
      <c r="W714" s="225">
        <f t="shared" si="402"/>
        <v>0</v>
      </c>
      <c r="X714" s="225">
        <f t="shared" si="402"/>
        <v>0</v>
      </c>
      <c r="Y714" s="225">
        <f t="shared" si="402"/>
        <v>0</v>
      </c>
      <c r="Z714" s="225">
        <f t="shared" si="402"/>
        <v>0</v>
      </c>
      <c r="AA714" s="225">
        <f t="shared" si="402"/>
        <v>0</v>
      </c>
      <c r="AB714" s="225">
        <f t="shared" si="402"/>
        <v>0</v>
      </c>
      <c r="AC714" s="225">
        <f t="shared" si="402"/>
        <v>0</v>
      </c>
      <c r="AD714" s="225">
        <f t="shared" si="402"/>
        <v>0</v>
      </c>
      <c r="AE714" s="225">
        <f t="shared" si="402"/>
        <v>0</v>
      </c>
      <c r="AF714" s="225">
        <f t="shared" si="402"/>
        <v>-3490604.7462151214</v>
      </c>
      <c r="AG714" s="225">
        <f t="shared" si="402"/>
        <v>0</v>
      </c>
      <c r="AH714" s="225">
        <f t="shared" si="402"/>
        <v>0</v>
      </c>
      <c r="AI714" s="225">
        <f t="shared" si="402"/>
        <v>0</v>
      </c>
      <c r="AJ714" s="225">
        <f t="shared" si="402"/>
        <v>0</v>
      </c>
      <c r="AK714" s="225">
        <f t="shared" si="402"/>
        <v>0</v>
      </c>
      <c r="AL714" s="225">
        <f t="shared" si="402"/>
        <v>0</v>
      </c>
      <c r="AM714" s="225">
        <f t="shared" si="402"/>
        <v>0</v>
      </c>
      <c r="AN714" s="225">
        <f t="shared" si="402"/>
        <v>0</v>
      </c>
      <c r="AO714" s="225">
        <f t="shared" si="402"/>
        <v>0</v>
      </c>
      <c r="AP714" s="225">
        <f t="shared" si="402"/>
        <v>0</v>
      </c>
    </row>
    <row r="715" spans="1:42" s="119" customFormat="1">
      <c r="A715" s="119" t="s">
        <v>103</v>
      </c>
      <c r="B715" s="220">
        <f>SUM(B712:B714)</f>
        <v>3490604.7462151214</v>
      </c>
      <c r="C715" s="220">
        <f t="shared" ref="C715:AP715" si="403">SUM(C712:C714)</f>
        <v>3490604.7462151214</v>
      </c>
      <c r="D715" s="220">
        <f t="shared" si="403"/>
        <v>3490604.7462151214</v>
      </c>
      <c r="E715" s="220">
        <f t="shared" si="403"/>
        <v>3490604.7462151214</v>
      </c>
      <c r="F715" s="220">
        <f t="shared" si="403"/>
        <v>3490604.7462151214</v>
      </c>
      <c r="G715" s="220">
        <f t="shared" si="403"/>
        <v>3490604.7462151214</v>
      </c>
      <c r="H715" s="220">
        <f t="shared" si="403"/>
        <v>3490604.7462151214</v>
      </c>
      <c r="I715" s="220">
        <f t="shared" si="403"/>
        <v>3490604.7462151214</v>
      </c>
      <c r="J715" s="220">
        <f t="shared" si="403"/>
        <v>3490604.7462151214</v>
      </c>
      <c r="K715" s="220">
        <f t="shared" si="403"/>
        <v>3490604.7462151214</v>
      </c>
      <c r="L715" s="220">
        <f t="shared" si="403"/>
        <v>3490604.7462151214</v>
      </c>
      <c r="M715" s="220">
        <f t="shared" si="403"/>
        <v>3490604.7462151214</v>
      </c>
      <c r="N715" s="220">
        <f t="shared" si="403"/>
        <v>3490604.7462151214</v>
      </c>
      <c r="O715" s="220">
        <f t="shared" si="403"/>
        <v>3490604.7462151214</v>
      </c>
      <c r="P715" s="220">
        <f t="shared" si="403"/>
        <v>3490604.7462151214</v>
      </c>
      <c r="Q715" s="220">
        <f t="shared" si="403"/>
        <v>3490604.7462151214</v>
      </c>
      <c r="R715" s="220">
        <f t="shared" si="403"/>
        <v>3490604.7462151214</v>
      </c>
      <c r="S715" s="220">
        <f t="shared" si="403"/>
        <v>3490604.7462151214</v>
      </c>
      <c r="T715" s="220">
        <f t="shared" si="403"/>
        <v>3490604.7462151214</v>
      </c>
      <c r="U715" s="220">
        <f t="shared" si="403"/>
        <v>3490604.7462151214</v>
      </c>
      <c r="V715" s="220">
        <f t="shared" si="403"/>
        <v>3490604.7462151214</v>
      </c>
      <c r="W715" s="220">
        <f t="shared" si="403"/>
        <v>3490604.7462151214</v>
      </c>
      <c r="X715" s="220">
        <f t="shared" si="403"/>
        <v>3490604.7462151214</v>
      </c>
      <c r="Y715" s="220">
        <f t="shared" si="403"/>
        <v>3490604.7462151214</v>
      </c>
      <c r="Z715" s="220">
        <f t="shared" si="403"/>
        <v>3490604.7462151214</v>
      </c>
      <c r="AA715" s="220">
        <f t="shared" si="403"/>
        <v>3490604.7462151214</v>
      </c>
      <c r="AB715" s="220">
        <f t="shared" si="403"/>
        <v>3490604.7462151214</v>
      </c>
      <c r="AC715" s="220">
        <f t="shared" si="403"/>
        <v>3490604.7462151214</v>
      </c>
      <c r="AD715" s="220">
        <f t="shared" si="403"/>
        <v>3490604.7462151214</v>
      </c>
      <c r="AE715" s="220">
        <f t="shared" si="403"/>
        <v>3490604.7462151214</v>
      </c>
      <c r="AF715" s="220">
        <f t="shared" si="403"/>
        <v>0</v>
      </c>
      <c r="AG715" s="220">
        <f t="shared" si="403"/>
        <v>0</v>
      </c>
      <c r="AH715" s="220">
        <f t="shared" si="403"/>
        <v>0</v>
      </c>
      <c r="AI715" s="220">
        <f t="shared" si="403"/>
        <v>0</v>
      </c>
      <c r="AJ715" s="220">
        <f t="shared" si="403"/>
        <v>0</v>
      </c>
      <c r="AK715" s="220">
        <f t="shared" si="403"/>
        <v>0</v>
      </c>
      <c r="AL715" s="220">
        <f t="shared" si="403"/>
        <v>0</v>
      </c>
      <c r="AM715" s="220">
        <f t="shared" si="403"/>
        <v>0</v>
      </c>
      <c r="AN715" s="220">
        <f t="shared" si="403"/>
        <v>0</v>
      </c>
      <c r="AO715" s="220">
        <f t="shared" si="403"/>
        <v>0</v>
      </c>
      <c r="AP715" s="220">
        <f t="shared" si="403"/>
        <v>0</v>
      </c>
    </row>
    <row r="716" spans="1:42" s="119" customFormat="1">
      <c r="B716" s="220"/>
      <c r="C716" s="220"/>
      <c r="D716" s="220"/>
      <c r="E716" s="220"/>
      <c r="F716" s="220"/>
      <c r="G716" s="146"/>
      <c r="H716" s="146"/>
      <c r="I716" s="146"/>
      <c r="J716" s="146"/>
      <c r="K716" s="146"/>
      <c r="L716" s="146"/>
      <c r="M716" s="146"/>
      <c r="N716" s="146"/>
      <c r="O716" s="146"/>
      <c r="P716" s="146"/>
      <c r="Q716" s="146"/>
      <c r="R716" s="146"/>
      <c r="S716" s="146"/>
      <c r="T716" s="146"/>
      <c r="U716" s="146"/>
      <c r="V716" s="146"/>
      <c r="W716" s="146"/>
      <c r="X716" s="146"/>
      <c r="Y716" s="146"/>
      <c r="Z716" s="146"/>
      <c r="AA716" s="146"/>
      <c r="AB716" s="146"/>
      <c r="AC716" s="146"/>
      <c r="AD716" s="146"/>
      <c r="AE716" s="146"/>
      <c r="AF716" s="146"/>
      <c r="AG716" s="146"/>
      <c r="AH716" s="146"/>
      <c r="AI716" s="146"/>
      <c r="AJ716" s="146"/>
      <c r="AK716" s="146"/>
      <c r="AL716" s="146"/>
      <c r="AM716" s="146"/>
      <c r="AN716" s="146"/>
      <c r="AO716" s="146"/>
      <c r="AP716" s="146"/>
    </row>
    <row r="717" spans="1:42">
      <c r="A717" s="204" t="s">
        <v>375</v>
      </c>
      <c r="C717" s="164"/>
      <c r="D717" s="164"/>
      <c r="E717" s="164"/>
      <c r="F717" s="164"/>
      <c r="G717" s="164"/>
      <c r="H717" s="164"/>
      <c r="I717" s="164"/>
      <c r="J717" s="164"/>
      <c r="K717" s="164"/>
      <c r="L717" s="164"/>
      <c r="M717" s="164"/>
      <c r="N717" s="164"/>
      <c r="O717" s="164"/>
      <c r="P717" s="164"/>
      <c r="Q717" s="164"/>
      <c r="R717" s="164"/>
      <c r="S717" s="164"/>
      <c r="T717" s="164"/>
      <c r="U717" s="164"/>
      <c r="V717" s="164"/>
      <c r="W717" s="164"/>
      <c r="X717" s="164"/>
      <c r="Y717" s="164"/>
      <c r="Z717" s="164"/>
      <c r="AA717" s="164"/>
      <c r="AB717" s="164"/>
      <c r="AC717" s="164"/>
      <c r="AD717" s="164"/>
      <c r="AE717" s="164"/>
      <c r="AF717" s="164"/>
      <c r="AG717" s="164"/>
      <c r="AH717" s="164"/>
      <c r="AI717" s="164"/>
      <c r="AJ717" s="164"/>
      <c r="AK717" s="164"/>
      <c r="AL717" s="164"/>
      <c r="AM717" s="164"/>
      <c r="AN717" s="164"/>
      <c r="AO717" s="164"/>
      <c r="AP717" s="164"/>
    </row>
    <row r="718" spans="1:42">
      <c r="A718" s="37" t="s">
        <v>100</v>
      </c>
      <c r="B718" s="164">
        <v>0</v>
      </c>
      <c r="C718" s="164">
        <f>B721</f>
        <v>0</v>
      </c>
      <c r="D718" s="164">
        <f t="shared" ref="D718:AP718" si="404">C721</f>
        <v>245406.02862510949</v>
      </c>
      <c r="E718" s="164">
        <f t="shared" si="404"/>
        <v>490812.05725021899</v>
      </c>
      <c r="F718" s="164">
        <f t="shared" si="404"/>
        <v>736218.08587532851</v>
      </c>
      <c r="G718" s="164">
        <f t="shared" si="404"/>
        <v>981624.11450043798</v>
      </c>
      <c r="H718" s="164">
        <f t="shared" si="404"/>
        <v>1227030.1431255476</v>
      </c>
      <c r="I718" s="164">
        <f t="shared" si="404"/>
        <v>1472436.171750657</v>
      </c>
      <c r="J718" s="164">
        <f t="shared" si="404"/>
        <v>1717842.2003757665</v>
      </c>
      <c r="K718" s="164">
        <f t="shared" si="404"/>
        <v>1963248.229000876</v>
      </c>
      <c r="L718" s="164">
        <f t="shared" si="404"/>
        <v>2208654.2576259854</v>
      </c>
      <c r="M718" s="164">
        <f t="shared" si="404"/>
        <v>2454060.2862510951</v>
      </c>
      <c r="N718" s="164">
        <f t="shared" si="404"/>
        <v>2699466.3148762048</v>
      </c>
      <c r="O718" s="164">
        <f t="shared" si="404"/>
        <v>0</v>
      </c>
      <c r="P718" s="164">
        <f t="shared" si="404"/>
        <v>293411.90721039008</v>
      </c>
      <c r="Q718" s="164">
        <f t="shared" si="404"/>
        <v>586823.81442078017</v>
      </c>
      <c r="R718" s="164">
        <f t="shared" si="404"/>
        <v>880235.72163117025</v>
      </c>
      <c r="S718" s="164">
        <f t="shared" si="404"/>
        <v>1173647.6288415603</v>
      </c>
      <c r="T718" s="164">
        <f t="shared" si="404"/>
        <v>1467059.5360519504</v>
      </c>
      <c r="U718" s="164">
        <f t="shared" si="404"/>
        <v>1760471.4432623405</v>
      </c>
      <c r="V718" s="164">
        <f t="shared" si="404"/>
        <v>2053883.3504727306</v>
      </c>
      <c r="W718" s="164">
        <f t="shared" si="404"/>
        <v>2347295.2576831207</v>
      </c>
      <c r="X718" s="164">
        <f t="shared" si="404"/>
        <v>2640707.1648935108</v>
      </c>
      <c r="Y718" s="164">
        <f t="shared" si="404"/>
        <v>2934119.0721039008</v>
      </c>
      <c r="Z718" s="164">
        <f t="shared" si="404"/>
        <v>3227530.9793142909</v>
      </c>
      <c r="AA718" s="164">
        <f t="shared" si="404"/>
        <v>0</v>
      </c>
      <c r="AB718" s="164">
        <f t="shared" si="404"/>
        <v>0</v>
      </c>
      <c r="AC718" s="164">
        <f t="shared" si="404"/>
        <v>0</v>
      </c>
      <c r="AD718" s="164">
        <f t="shared" si="404"/>
        <v>0</v>
      </c>
      <c r="AE718" s="164">
        <f t="shared" si="404"/>
        <v>0</v>
      </c>
      <c r="AF718" s="164">
        <f t="shared" si="404"/>
        <v>0</v>
      </c>
      <c r="AG718" s="164">
        <f t="shared" si="404"/>
        <v>0</v>
      </c>
      <c r="AH718" s="164">
        <f t="shared" si="404"/>
        <v>0</v>
      </c>
      <c r="AI718" s="164">
        <f t="shared" si="404"/>
        <v>0</v>
      </c>
      <c r="AJ718" s="164">
        <f t="shared" si="404"/>
        <v>0</v>
      </c>
      <c r="AK718" s="164">
        <f t="shared" si="404"/>
        <v>0</v>
      </c>
      <c r="AL718" s="164">
        <f t="shared" si="404"/>
        <v>0</v>
      </c>
      <c r="AM718" s="164">
        <f t="shared" si="404"/>
        <v>0</v>
      </c>
      <c r="AN718" s="164">
        <f t="shared" si="404"/>
        <v>0</v>
      </c>
      <c r="AO718" s="164">
        <f t="shared" si="404"/>
        <v>0</v>
      </c>
      <c r="AP718" s="164">
        <f t="shared" si="404"/>
        <v>0</v>
      </c>
    </row>
    <row r="719" spans="1:42">
      <c r="A719" s="37" t="s">
        <v>208</v>
      </c>
      <c r="B719" s="164">
        <v>0</v>
      </c>
      <c r="C719" s="164">
        <f>C747</f>
        <v>245406.02862510949</v>
      </c>
      <c r="D719" s="164">
        <f t="shared" ref="D719:AP719" si="405">D747</f>
        <v>245406.02862510949</v>
      </c>
      <c r="E719" s="164">
        <f t="shared" si="405"/>
        <v>245406.02862510949</v>
      </c>
      <c r="F719" s="164">
        <f t="shared" si="405"/>
        <v>245406.02862510949</v>
      </c>
      <c r="G719" s="164">
        <f t="shared" si="405"/>
        <v>245406.02862510949</v>
      </c>
      <c r="H719" s="164">
        <f t="shared" si="405"/>
        <v>245406.02862510949</v>
      </c>
      <c r="I719" s="164">
        <f t="shared" si="405"/>
        <v>245406.02862510949</v>
      </c>
      <c r="J719" s="164">
        <f t="shared" si="405"/>
        <v>245406.02862510949</v>
      </c>
      <c r="K719" s="164">
        <f t="shared" si="405"/>
        <v>245406.02862510949</v>
      </c>
      <c r="L719" s="164">
        <f t="shared" si="405"/>
        <v>245406.02862510949</v>
      </c>
      <c r="M719" s="164">
        <f t="shared" si="405"/>
        <v>245406.02862510949</v>
      </c>
      <c r="N719" s="164">
        <f t="shared" si="405"/>
        <v>245406.02862510949</v>
      </c>
      <c r="O719" s="164">
        <f t="shared" si="405"/>
        <v>293411.90721039008</v>
      </c>
      <c r="P719" s="164">
        <f t="shared" si="405"/>
        <v>293411.90721039008</v>
      </c>
      <c r="Q719" s="164">
        <f t="shared" si="405"/>
        <v>293411.90721039008</v>
      </c>
      <c r="R719" s="164">
        <f t="shared" si="405"/>
        <v>293411.90721039008</v>
      </c>
      <c r="S719" s="164">
        <f t="shared" si="405"/>
        <v>293411.90721039008</v>
      </c>
      <c r="T719" s="164">
        <f t="shared" si="405"/>
        <v>293411.90721039008</v>
      </c>
      <c r="U719" s="164">
        <f t="shared" si="405"/>
        <v>293411.90721039008</v>
      </c>
      <c r="V719" s="164">
        <f t="shared" si="405"/>
        <v>293411.90721039008</v>
      </c>
      <c r="W719" s="164">
        <f t="shared" si="405"/>
        <v>293411.90721039008</v>
      </c>
      <c r="X719" s="164">
        <f t="shared" si="405"/>
        <v>293411.90721039008</v>
      </c>
      <c r="Y719" s="164">
        <f t="shared" si="405"/>
        <v>293411.90721039008</v>
      </c>
      <c r="Z719" s="164">
        <f t="shared" si="405"/>
        <v>293411.90721039008</v>
      </c>
      <c r="AA719" s="164">
        <f t="shared" si="405"/>
        <v>0</v>
      </c>
      <c r="AB719" s="164">
        <f t="shared" si="405"/>
        <v>0</v>
      </c>
      <c r="AC719" s="164">
        <f t="shared" si="405"/>
        <v>0</v>
      </c>
      <c r="AD719" s="164">
        <f t="shared" si="405"/>
        <v>0</v>
      </c>
      <c r="AE719" s="164">
        <f t="shared" si="405"/>
        <v>0</v>
      </c>
      <c r="AF719" s="164">
        <f t="shared" si="405"/>
        <v>0</v>
      </c>
      <c r="AG719" s="164">
        <f t="shared" si="405"/>
        <v>0</v>
      </c>
      <c r="AH719" s="164">
        <f t="shared" si="405"/>
        <v>0</v>
      </c>
      <c r="AI719" s="164">
        <f t="shared" si="405"/>
        <v>0</v>
      </c>
      <c r="AJ719" s="164">
        <f t="shared" si="405"/>
        <v>0</v>
      </c>
      <c r="AK719" s="164">
        <f t="shared" si="405"/>
        <v>0</v>
      </c>
      <c r="AL719" s="164">
        <f t="shared" si="405"/>
        <v>0</v>
      </c>
      <c r="AM719" s="164">
        <f t="shared" si="405"/>
        <v>0</v>
      </c>
      <c r="AN719" s="164">
        <f t="shared" si="405"/>
        <v>0</v>
      </c>
      <c r="AO719" s="164">
        <f t="shared" si="405"/>
        <v>0</v>
      </c>
      <c r="AP719" s="164">
        <f t="shared" si="405"/>
        <v>0</v>
      </c>
    </row>
    <row r="720" spans="1:42">
      <c r="A720" s="37" t="s">
        <v>107</v>
      </c>
      <c r="B720" s="209">
        <v>0</v>
      </c>
      <c r="C720" s="209">
        <f>-C735</f>
        <v>0</v>
      </c>
      <c r="D720" s="209">
        <f t="shared" ref="D720:AP720" si="406">-D735</f>
        <v>0</v>
      </c>
      <c r="E720" s="209">
        <f t="shared" si="406"/>
        <v>0</v>
      </c>
      <c r="F720" s="209">
        <f t="shared" si="406"/>
        <v>0</v>
      </c>
      <c r="G720" s="209">
        <f t="shared" si="406"/>
        <v>0</v>
      </c>
      <c r="H720" s="209">
        <f t="shared" si="406"/>
        <v>0</v>
      </c>
      <c r="I720" s="209">
        <f t="shared" si="406"/>
        <v>0</v>
      </c>
      <c r="J720" s="209">
        <f t="shared" si="406"/>
        <v>0</v>
      </c>
      <c r="K720" s="209">
        <f t="shared" si="406"/>
        <v>0</v>
      </c>
      <c r="L720" s="209">
        <f t="shared" si="406"/>
        <v>0</v>
      </c>
      <c r="M720" s="209">
        <f t="shared" si="406"/>
        <v>0</v>
      </c>
      <c r="N720" s="209">
        <f t="shared" si="406"/>
        <v>-2944872.3435013141</v>
      </c>
      <c r="O720" s="209">
        <f t="shared" si="406"/>
        <v>0</v>
      </c>
      <c r="P720" s="209">
        <f t="shared" si="406"/>
        <v>0</v>
      </c>
      <c r="Q720" s="209">
        <f t="shared" si="406"/>
        <v>0</v>
      </c>
      <c r="R720" s="209">
        <f t="shared" si="406"/>
        <v>0</v>
      </c>
      <c r="S720" s="209">
        <f t="shared" si="406"/>
        <v>0</v>
      </c>
      <c r="T720" s="209">
        <f t="shared" si="406"/>
        <v>0</v>
      </c>
      <c r="U720" s="209">
        <f t="shared" si="406"/>
        <v>0</v>
      </c>
      <c r="V720" s="209">
        <f t="shared" si="406"/>
        <v>0</v>
      </c>
      <c r="W720" s="209">
        <f t="shared" si="406"/>
        <v>0</v>
      </c>
      <c r="X720" s="209">
        <f t="shared" si="406"/>
        <v>0</v>
      </c>
      <c r="Y720" s="209">
        <f t="shared" si="406"/>
        <v>0</v>
      </c>
      <c r="Z720" s="209">
        <f t="shared" si="406"/>
        <v>-3520942.886524681</v>
      </c>
      <c r="AA720" s="209">
        <f t="shared" si="406"/>
        <v>0</v>
      </c>
      <c r="AB720" s="209">
        <f t="shared" si="406"/>
        <v>0</v>
      </c>
      <c r="AC720" s="209">
        <f t="shared" si="406"/>
        <v>0</v>
      </c>
      <c r="AD720" s="209">
        <f t="shared" si="406"/>
        <v>0</v>
      </c>
      <c r="AE720" s="209">
        <f t="shared" si="406"/>
        <v>0</v>
      </c>
      <c r="AF720" s="209">
        <f t="shared" si="406"/>
        <v>0</v>
      </c>
      <c r="AG720" s="209">
        <f t="shared" si="406"/>
        <v>0</v>
      </c>
      <c r="AH720" s="209">
        <f t="shared" si="406"/>
        <v>0</v>
      </c>
      <c r="AI720" s="209">
        <f t="shared" si="406"/>
        <v>0</v>
      </c>
      <c r="AJ720" s="209">
        <f t="shared" si="406"/>
        <v>0</v>
      </c>
      <c r="AK720" s="209">
        <f t="shared" si="406"/>
        <v>0</v>
      </c>
      <c r="AL720" s="209">
        <f t="shared" si="406"/>
        <v>0</v>
      </c>
      <c r="AM720" s="209">
        <f t="shared" si="406"/>
        <v>0</v>
      </c>
      <c r="AN720" s="209">
        <f t="shared" si="406"/>
        <v>0</v>
      </c>
      <c r="AO720" s="209">
        <f t="shared" si="406"/>
        <v>0</v>
      </c>
      <c r="AP720" s="209">
        <f t="shared" si="406"/>
        <v>0</v>
      </c>
    </row>
    <row r="721" spans="1:42">
      <c r="A721" s="37" t="s">
        <v>103</v>
      </c>
      <c r="B721" s="164">
        <f>SUM(B718:B720)</f>
        <v>0</v>
      </c>
      <c r="C721" s="164">
        <f>SUM(C718:C720)</f>
        <v>245406.02862510949</v>
      </c>
      <c r="D721" s="164">
        <f t="shared" ref="D721:AP721" si="407">SUM(D718:D720)</f>
        <v>490812.05725021899</v>
      </c>
      <c r="E721" s="164">
        <f t="shared" si="407"/>
        <v>736218.08587532851</v>
      </c>
      <c r="F721" s="164">
        <f t="shared" si="407"/>
        <v>981624.11450043798</v>
      </c>
      <c r="G721" s="164">
        <f t="shared" si="407"/>
        <v>1227030.1431255476</v>
      </c>
      <c r="H721" s="164">
        <f t="shared" si="407"/>
        <v>1472436.171750657</v>
      </c>
      <c r="I721" s="164">
        <f t="shared" si="407"/>
        <v>1717842.2003757665</v>
      </c>
      <c r="J721" s="164">
        <f t="shared" si="407"/>
        <v>1963248.229000876</v>
      </c>
      <c r="K721" s="164">
        <f t="shared" si="407"/>
        <v>2208654.2576259854</v>
      </c>
      <c r="L721" s="164">
        <f t="shared" si="407"/>
        <v>2454060.2862510951</v>
      </c>
      <c r="M721" s="164">
        <f t="shared" si="407"/>
        <v>2699466.3148762048</v>
      </c>
      <c r="N721" s="164">
        <f t="shared" si="407"/>
        <v>0</v>
      </c>
      <c r="O721" s="164">
        <f t="shared" si="407"/>
        <v>293411.90721039008</v>
      </c>
      <c r="P721" s="164">
        <f t="shared" si="407"/>
        <v>586823.81442078017</v>
      </c>
      <c r="Q721" s="164">
        <f t="shared" si="407"/>
        <v>880235.72163117025</v>
      </c>
      <c r="R721" s="164">
        <f t="shared" si="407"/>
        <v>1173647.6288415603</v>
      </c>
      <c r="S721" s="164">
        <f t="shared" si="407"/>
        <v>1467059.5360519504</v>
      </c>
      <c r="T721" s="164">
        <f t="shared" si="407"/>
        <v>1760471.4432623405</v>
      </c>
      <c r="U721" s="164">
        <f t="shared" si="407"/>
        <v>2053883.3504727306</v>
      </c>
      <c r="V721" s="164">
        <f t="shared" si="407"/>
        <v>2347295.2576831207</v>
      </c>
      <c r="W721" s="164">
        <f t="shared" si="407"/>
        <v>2640707.1648935108</v>
      </c>
      <c r="X721" s="164">
        <f t="shared" si="407"/>
        <v>2934119.0721039008</v>
      </c>
      <c r="Y721" s="164">
        <f t="shared" si="407"/>
        <v>3227530.9793142909</v>
      </c>
      <c r="Z721" s="164">
        <f t="shared" si="407"/>
        <v>0</v>
      </c>
      <c r="AA721" s="164">
        <f t="shared" si="407"/>
        <v>0</v>
      </c>
      <c r="AB721" s="164">
        <f t="shared" si="407"/>
        <v>0</v>
      </c>
      <c r="AC721" s="164">
        <f t="shared" si="407"/>
        <v>0</v>
      </c>
      <c r="AD721" s="164">
        <f t="shared" si="407"/>
        <v>0</v>
      </c>
      <c r="AE721" s="164">
        <f t="shared" si="407"/>
        <v>0</v>
      </c>
      <c r="AF721" s="164">
        <f t="shared" si="407"/>
        <v>0</v>
      </c>
      <c r="AG721" s="164">
        <f t="shared" si="407"/>
        <v>0</v>
      </c>
      <c r="AH721" s="164">
        <f t="shared" si="407"/>
        <v>0</v>
      </c>
      <c r="AI721" s="164">
        <f t="shared" si="407"/>
        <v>0</v>
      </c>
      <c r="AJ721" s="164">
        <f t="shared" si="407"/>
        <v>0</v>
      </c>
      <c r="AK721" s="164">
        <f t="shared" si="407"/>
        <v>0</v>
      </c>
      <c r="AL721" s="164">
        <f t="shared" si="407"/>
        <v>0</v>
      </c>
      <c r="AM721" s="164">
        <f t="shared" si="407"/>
        <v>0</v>
      </c>
      <c r="AN721" s="164">
        <f t="shared" si="407"/>
        <v>0</v>
      </c>
      <c r="AO721" s="164">
        <f t="shared" si="407"/>
        <v>0</v>
      </c>
      <c r="AP721" s="164">
        <f t="shared" si="407"/>
        <v>0</v>
      </c>
    </row>
    <row r="722" spans="1:42">
      <c r="B722" s="164"/>
      <c r="C722" s="164"/>
      <c r="D722" s="164"/>
      <c r="E722" s="164"/>
      <c r="F722" s="164"/>
      <c r="G722" s="208"/>
      <c r="H722" s="208"/>
      <c r="I722" s="208"/>
      <c r="J722" s="208"/>
      <c r="K722" s="208"/>
      <c r="L722" s="208"/>
      <c r="M722" s="208"/>
      <c r="N722" s="208"/>
      <c r="O722" s="208"/>
      <c r="P722" s="208"/>
      <c r="Q722" s="208"/>
      <c r="R722" s="208"/>
      <c r="S722" s="208"/>
      <c r="T722" s="208"/>
      <c r="U722" s="208"/>
      <c r="V722" s="208"/>
      <c r="W722" s="208"/>
      <c r="X722" s="208"/>
      <c r="Y722" s="208"/>
      <c r="Z722" s="208"/>
      <c r="AA722" s="208"/>
      <c r="AB722" s="208"/>
      <c r="AC722" s="208"/>
      <c r="AD722" s="208"/>
      <c r="AE722" s="208"/>
      <c r="AF722" s="208"/>
      <c r="AG722" s="208"/>
      <c r="AH722" s="208"/>
      <c r="AI722" s="208"/>
      <c r="AJ722" s="208"/>
      <c r="AK722" s="208"/>
      <c r="AL722" s="208"/>
      <c r="AM722" s="208"/>
      <c r="AN722" s="208"/>
      <c r="AO722" s="208"/>
      <c r="AP722" s="208"/>
    </row>
    <row r="723" spans="1:42">
      <c r="A723" s="37" t="s">
        <v>206</v>
      </c>
      <c r="B723" s="164"/>
      <c r="C723" s="164"/>
      <c r="D723" s="164"/>
      <c r="E723" s="164"/>
      <c r="F723" s="164"/>
      <c r="G723" s="208"/>
      <c r="H723" s="208"/>
      <c r="I723" s="208"/>
      <c r="J723" s="208"/>
      <c r="K723" s="208"/>
      <c r="L723" s="208"/>
      <c r="M723" s="208"/>
      <c r="N723" s="208"/>
      <c r="O723" s="208"/>
      <c r="P723" s="208"/>
      <c r="Q723" s="208"/>
      <c r="R723" s="208"/>
      <c r="S723" s="208"/>
      <c r="T723" s="208"/>
      <c r="U723" s="208"/>
      <c r="V723" s="208"/>
      <c r="W723" s="208"/>
      <c r="X723" s="208"/>
      <c r="Y723" s="208"/>
      <c r="Z723" s="208"/>
      <c r="AA723" s="208"/>
      <c r="AB723" s="208"/>
      <c r="AC723" s="208"/>
      <c r="AD723" s="208"/>
      <c r="AE723" s="208"/>
      <c r="AF723" s="208"/>
      <c r="AG723" s="208"/>
      <c r="AH723" s="208"/>
      <c r="AI723" s="208"/>
      <c r="AJ723" s="208"/>
      <c r="AK723" s="208"/>
      <c r="AL723" s="208"/>
      <c r="AM723" s="208"/>
      <c r="AN723" s="208"/>
      <c r="AO723" s="208"/>
      <c r="AP723" s="208"/>
    </row>
    <row r="724" spans="1:42">
      <c r="A724" s="37" t="s">
        <v>207</v>
      </c>
      <c r="B724" s="164"/>
      <c r="C724" s="164"/>
      <c r="D724" s="164"/>
      <c r="E724" s="164"/>
      <c r="F724" s="164"/>
      <c r="G724" s="208"/>
      <c r="H724" s="208"/>
      <c r="I724" s="208"/>
      <c r="J724" s="208"/>
      <c r="K724" s="208"/>
      <c r="L724" s="208"/>
      <c r="M724" s="208"/>
      <c r="N724" s="208"/>
      <c r="O724" s="208"/>
      <c r="P724" s="208"/>
      <c r="Q724" s="208"/>
      <c r="R724" s="208"/>
      <c r="S724" s="208"/>
      <c r="T724" s="208"/>
      <c r="U724" s="208"/>
      <c r="V724" s="208"/>
      <c r="W724" s="208"/>
      <c r="X724" s="208"/>
      <c r="Y724" s="208"/>
      <c r="Z724" s="208"/>
      <c r="AA724" s="208"/>
      <c r="AB724" s="208"/>
      <c r="AC724" s="208"/>
      <c r="AD724" s="208"/>
      <c r="AE724" s="208"/>
      <c r="AF724" s="208"/>
      <c r="AG724" s="208"/>
      <c r="AH724" s="208"/>
      <c r="AI724" s="208"/>
      <c r="AJ724" s="208"/>
      <c r="AK724" s="208"/>
      <c r="AL724" s="208"/>
      <c r="AM724" s="208"/>
      <c r="AN724" s="208"/>
      <c r="AO724" s="208"/>
      <c r="AP724" s="208"/>
    </row>
    <row r="725" spans="1:42">
      <c r="A725" s="37">
        <v>1</v>
      </c>
      <c r="B725" s="218">
        <f t="shared" ref="B725:B734" si="408">SUM(C725:AP725)</f>
        <v>2944872.3435013141</v>
      </c>
      <c r="C725" s="208">
        <f t="shared" ref="C725:R734" si="409">IF(C$2&gt;AnalysisPeriod,0,IF(C$2=MMFrequency*$A725,MMCost*CapacityDC*1000*(1+Inflation)^B$2,0))</f>
        <v>0</v>
      </c>
      <c r="D725" s="208">
        <f t="shared" si="409"/>
        <v>0</v>
      </c>
      <c r="E725" s="208">
        <f t="shared" si="409"/>
        <v>0</v>
      </c>
      <c r="F725" s="208">
        <f t="shared" si="409"/>
        <v>0</v>
      </c>
      <c r="G725" s="208">
        <f t="shared" si="409"/>
        <v>0</v>
      </c>
      <c r="H725" s="208">
        <f t="shared" si="409"/>
        <v>0</v>
      </c>
      <c r="I725" s="208">
        <f t="shared" si="409"/>
        <v>0</v>
      </c>
      <c r="J725" s="208">
        <f t="shared" si="409"/>
        <v>0</v>
      </c>
      <c r="K725" s="208">
        <f t="shared" si="409"/>
        <v>0</v>
      </c>
      <c r="L725" s="208">
        <f t="shared" si="409"/>
        <v>0</v>
      </c>
      <c r="M725" s="208">
        <f t="shared" si="409"/>
        <v>0</v>
      </c>
      <c r="N725" s="208">
        <f t="shared" si="409"/>
        <v>2944872.3435013141</v>
      </c>
      <c r="O725" s="208">
        <f t="shared" si="409"/>
        <v>0</v>
      </c>
      <c r="P725" s="208">
        <f t="shared" si="409"/>
        <v>0</v>
      </c>
      <c r="Q725" s="208">
        <f t="shared" si="409"/>
        <v>0</v>
      </c>
      <c r="R725" s="208">
        <f t="shared" si="409"/>
        <v>0</v>
      </c>
      <c r="S725" s="208">
        <f t="shared" ref="S725:AH734" si="410">IF(S$2&gt;AnalysisPeriod,0,IF(S$2=MMFrequency*$A725,MMCost*CapacityDC*1000*(1+Inflation)^R$2,0))</f>
        <v>0</v>
      </c>
      <c r="T725" s="208">
        <f t="shared" si="410"/>
        <v>0</v>
      </c>
      <c r="U725" s="208">
        <f t="shared" si="410"/>
        <v>0</v>
      </c>
      <c r="V725" s="208">
        <f t="shared" si="410"/>
        <v>0</v>
      </c>
      <c r="W725" s="208">
        <f t="shared" si="410"/>
        <v>0</v>
      </c>
      <c r="X725" s="208">
        <f t="shared" si="410"/>
        <v>0</v>
      </c>
      <c r="Y725" s="208">
        <f t="shared" si="410"/>
        <v>0</v>
      </c>
      <c r="Z725" s="208">
        <f t="shared" si="410"/>
        <v>0</v>
      </c>
      <c r="AA725" s="208">
        <f t="shared" si="410"/>
        <v>0</v>
      </c>
      <c r="AB725" s="208">
        <f t="shared" si="410"/>
        <v>0</v>
      </c>
      <c r="AC725" s="208">
        <f t="shared" si="410"/>
        <v>0</v>
      </c>
      <c r="AD725" s="208">
        <f t="shared" si="410"/>
        <v>0</v>
      </c>
      <c r="AE725" s="208">
        <f t="shared" si="410"/>
        <v>0</v>
      </c>
      <c r="AF725" s="208">
        <f t="shared" si="410"/>
        <v>0</v>
      </c>
      <c r="AG725" s="208">
        <f t="shared" si="410"/>
        <v>0</v>
      </c>
      <c r="AH725" s="208">
        <f t="shared" si="410"/>
        <v>0</v>
      </c>
      <c r="AI725" s="208">
        <f t="shared" ref="AI725:AP734" si="411">IF(AI$2&gt;AnalysisPeriod,0,IF(AI$2=MMFrequency*$A725,MMCost*CapacityDC*1000*(1+Inflation)^AH$2,0))</f>
        <v>0</v>
      </c>
      <c r="AJ725" s="208">
        <f t="shared" si="411"/>
        <v>0</v>
      </c>
      <c r="AK725" s="208">
        <f t="shared" si="411"/>
        <v>0</v>
      </c>
      <c r="AL725" s="208">
        <f t="shared" si="411"/>
        <v>0</v>
      </c>
      <c r="AM725" s="208">
        <f t="shared" si="411"/>
        <v>0</v>
      </c>
      <c r="AN725" s="208">
        <f t="shared" si="411"/>
        <v>0</v>
      </c>
      <c r="AO725" s="208">
        <f t="shared" si="411"/>
        <v>0</v>
      </c>
      <c r="AP725" s="208">
        <f t="shared" si="411"/>
        <v>0</v>
      </c>
    </row>
    <row r="726" spans="1:42">
      <c r="A726" s="37">
        <f>A725+1</f>
        <v>2</v>
      </c>
      <c r="B726" s="218">
        <f t="shared" si="408"/>
        <v>3520942.886524681</v>
      </c>
      <c r="C726" s="208">
        <f t="shared" si="409"/>
        <v>0</v>
      </c>
      <c r="D726" s="208">
        <f t="shared" si="409"/>
        <v>0</v>
      </c>
      <c r="E726" s="208">
        <f t="shared" si="409"/>
        <v>0</v>
      </c>
      <c r="F726" s="208">
        <f t="shared" si="409"/>
        <v>0</v>
      </c>
      <c r="G726" s="208">
        <f t="shared" si="409"/>
        <v>0</v>
      </c>
      <c r="H726" s="208">
        <f t="shared" si="409"/>
        <v>0</v>
      </c>
      <c r="I726" s="208">
        <f t="shared" si="409"/>
        <v>0</v>
      </c>
      <c r="J726" s="208">
        <f t="shared" si="409"/>
        <v>0</v>
      </c>
      <c r="K726" s="208">
        <f t="shared" si="409"/>
        <v>0</v>
      </c>
      <c r="L726" s="208">
        <f t="shared" si="409"/>
        <v>0</v>
      </c>
      <c r="M726" s="208">
        <f t="shared" si="409"/>
        <v>0</v>
      </c>
      <c r="N726" s="208">
        <f t="shared" si="409"/>
        <v>0</v>
      </c>
      <c r="O726" s="208">
        <f t="shared" si="409"/>
        <v>0</v>
      </c>
      <c r="P726" s="208">
        <f t="shared" si="409"/>
        <v>0</v>
      </c>
      <c r="Q726" s="208">
        <f t="shared" si="409"/>
        <v>0</v>
      </c>
      <c r="R726" s="208">
        <f t="shared" si="409"/>
        <v>0</v>
      </c>
      <c r="S726" s="208">
        <f t="shared" si="410"/>
        <v>0</v>
      </c>
      <c r="T726" s="208">
        <f t="shared" si="410"/>
        <v>0</v>
      </c>
      <c r="U726" s="208">
        <f t="shared" si="410"/>
        <v>0</v>
      </c>
      <c r="V726" s="208">
        <f t="shared" si="410"/>
        <v>0</v>
      </c>
      <c r="W726" s="208">
        <f t="shared" si="410"/>
        <v>0</v>
      </c>
      <c r="X726" s="208">
        <f t="shared" si="410"/>
        <v>0</v>
      </c>
      <c r="Y726" s="208">
        <f t="shared" si="410"/>
        <v>0</v>
      </c>
      <c r="Z726" s="208">
        <f t="shared" si="410"/>
        <v>3520942.886524681</v>
      </c>
      <c r="AA726" s="208">
        <f t="shared" si="410"/>
        <v>0</v>
      </c>
      <c r="AB726" s="208">
        <f t="shared" si="410"/>
        <v>0</v>
      </c>
      <c r="AC726" s="208">
        <f t="shared" si="410"/>
        <v>0</v>
      </c>
      <c r="AD726" s="208">
        <f t="shared" si="410"/>
        <v>0</v>
      </c>
      <c r="AE726" s="208">
        <f t="shared" si="410"/>
        <v>0</v>
      </c>
      <c r="AF726" s="208">
        <f t="shared" si="410"/>
        <v>0</v>
      </c>
      <c r="AG726" s="208">
        <f t="shared" si="410"/>
        <v>0</v>
      </c>
      <c r="AH726" s="208">
        <f t="shared" si="410"/>
        <v>0</v>
      </c>
      <c r="AI726" s="208">
        <f t="shared" si="411"/>
        <v>0</v>
      </c>
      <c r="AJ726" s="208">
        <f t="shared" si="411"/>
        <v>0</v>
      </c>
      <c r="AK726" s="208">
        <f t="shared" si="411"/>
        <v>0</v>
      </c>
      <c r="AL726" s="208">
        <f t="shared" si="411"/>
        <v>0</v>
      </c>
      <c r="AM726" s="208">
        <f t="shared" si="411"/>
        <v>0</v>
      </c>
      <c r="AN726" s="208">
        <f t="shared" si="411"/>
        <v>0</v>
      </c>
      <c r="AO726" s="208">
        <f t="shared" si="411"/>
        <v>0</v>
      </c>
      <c r="AP726" s="208">
        <f t="shared" si="411"/>
        <v>0</v>
      </c>
    </row>
    <row r="727" spans="1:42">
      <c r="A727" s="37">
        <f t="shared" ref="A727:A734" si="412">A726+1</f>
        <v>3</v>
      </c>
      <c r="B727" s="218">
        <f t="shared" si="408"/>
        <v>0</v>
      </c>
      <c r="C727" s="208">
        <f t="shared" si="409"/>
        <v>0</v>
      </c>
      <c r="D727" s="208">
        <f t="shared" si="409"/>
        <v>0</v>
      </c>
      <c r="E727" s="208">
        <f t="shared" si="409"/>
        <v>0</v>
      </c>
      <c r="F727" s="208">
        <f t="shared" si="409"/>
        <v>0</v>
      </c>
      <c r="G727" s="208">
        <f t="shared" si="409"/>
        <v>0</v>
      </c>
      <c r="H727" s="208">
        <f t="shared" si="409"/>
        <v>0</v>
      </c>
      <c r="I727" s="208">
        <f t="shared" si="409"/>
        <v>0</v>
      </c>
      <c r="J727" s="208">
        <f t="shared" si="409"/>
        <v>0</v>
      </c>
      <c r="K727" s="208">
        <f t="shared" si="409"/>
        <v>0</v>
      </c>
      <c r="L727" s="208">
        <f t="shared" si="409"/>
        <v>0</v>
      </c>
      <c r="M727" s="208">
        <f t="shared" si="409"/>
        <v>0</v>
      </c>
      <c r="N727" s="208">
        <f t="shared" si="409"/>
        <v>0</v>
      </c>
      <c r="O727" s="208">
        <f t="shared" si="409"/>
        <v>0</v>
      </c>
      <c r="P727" s="208">
        <f t="shared" si="409"/>
        <v>0</v>
      </c>
      <c r="Q727" s="208">
        <f t="shared" si="409"/>
        <v>0</v>
      </c>
      <c r="R727" s="208">
        <f t="shared" si="409"/>
        <v>0</v>
      </c>
      <c r="S727" s="208">
        <f t="shared" si="410"/>
        <v>0</v>
      </c>
      <c r="T727" s="208">
        <f t="shared" si="410"/>
        <v>0</v>
      </c>
      <c r="U727" s="208">
        <f t="shared" si="410"/>
        <v>0</v>
      </c>
      <c r="V727" s="208">
        <f t="shared" si="410"/>
        <v>0</v>
      </c>
      <c r="W727" s="208">
        <f t="shared" si="410"/>
        <v>0</v>
      </c>
      <c r="X727" s="208">
        <f t="shared" si="410"/>
        <v>0</v>
      </c>
      <c r="Y727" s="208">
        <f t="shared" si="410"/>
        <v>0</v>
      </c>
      <c r="Z727" s="208">
        <f t="shared" si="410"/>
        <v>0</v>
      </c>
      <c r="AA727" s="208">
        <f t="shared" si="410"/>
        <v>0</v>
      </c>
      <c r="AB727" s="208">
        <f t="shared" si="410"/>
        <v>0</v>
      </c>
      <c r="AC727" s="208">
        <f t="shared" si="410"/>
        <v>0</v>
      </c>
      <c r="AD727" s="208">
        <f t="shared" si="410"/>
        <v>0</v>
      </c>
      <c r="AE727" s="208">
        <f t="shared" si="410"/>
        <v>0</v>
      </c>
      <c r="AF727" s="208">
        <f t="shared" si="410"/>
        <v>0</v>
      </c>
      <c r="AG727" s="208">
        <f t="shared" si="410"/>
        <v>0</v>
      </c>
      <c r="AH727" s="208">
        <f t="shared" si="410"/>
        <v>0</v>
      </c>
      <c r="AI727" s="208">
        <f t="shared" si="411"/>
        <v>0</v>
      </c>
      <c r="AJ727" s="208">
        <f t="shared" si="411"/>
        <v>0</v>
      </c>
      <c r="AK727" s="208">
        <f t="shared" si="411"/>
        <v>0</v>
      </c>
      <c r="AL727" s="208">
        <f t="shared" si="411"/>
        <v>0</v>
      </c>
      <c r="AM727" s="208">
        <f t="shared" si="411"/>
        <v>0</v>
      </c>
      <c r="AN727" s="208">
        <f t="shared" si="411"/>
        <v>0</v>
      </c>
      <c r="AO727" s="208">
        <f t="shared" si="411"/>
        <v>0</v>
      </c>
      <c r="AP727" s="208">
        <f t="shared" si="411"/>
        <v>0</v>
      </c>
    </row>
    <row r="728" spans="1:42">
      <c r="A728" s="37">
        <f t="shared" si="412"/>
        <v>4</v>
      </c>
      <c r="B728" s="218">
        <f t="shared" si="408"/>
        <v>0</v>
      </c>
      <c r="C728" s="208">
        <f t="shared" si="409"/>
        <v>0</v>
      </c>
      <c r="D728" s="208">
        <f t="shared" si="409"/>
        <v>0</v>
      </c>
      <c r="E728" s="208">
        <f t="shared" si="409"/>
        <v>0</v>
      </c>
      <c r="F728" s="208">
        <f t="shared" si="409"/>
        <v>0</v>
      </c>
      <c r="G728" s="208">
        <f t="shared" si="409"/>
        <v>0</v>
      </c>
      <c r="H728" s="208">
        <f t="shared" si="409"/>
        <v>0</v>
      </c>
      <c r="I728" s="208">
        <f t="shared" si="409"/>
        <v>0</v>
      </c>
      <c r="J728" s="208">
        <f t="shared" si="409"/>
        <v>0</v>
      </c>
      <c r="K728" s="208">
        <f t="shared" si="409"/>
        <v>0</v>
      </c>
      <c r="L728" s="208">
        <f t="shared" si="409"/>
        <v>0</v>
      </c>
      <c r="M728" s="208">
        <f t="shared" si="409"/>
        <v>0</v>
      </c>
      <c r="N728" s="208">
        <f t="shared" si="409"/>
        <v>0</v>
      </c>
      <c r="O728" s="208">
        <f t="shared" si="409"/>
        <v>0</v>
      </c>
      <c r="P728" s="208">
        <f t="shared" si="409"/>
        <v>0</v>
      </c>
      <c r="Q728" s="208">
        <f t="shared" si="409"/>
        <v>0</v>
      </c>
      <c r="R728" s="208">
        <f t="shared" si="409"/>
        <v>0</v>
      </c>
      <c r="S728" s="208">
        <f t="shared" si="410"/>
        <v>0</v>
      </c>
      <c r="T728" s="208">
        <f t="shared" si="410"/>
        <v>0</v>
      </c>
      <c r="U728" s="208">
        <f t="shared" si="410"/>
        <v>0</v>
      </c>
      <c r="V728" s="208">
        <f t="shared" si="410"/>
        <v>0</v>
      </c>
      <c r="W728" s="208">
        <f t="shared" si="410"/>
        <v>0</v>
      </c>
      <c r="X728" s="208">
        <f t="shared" si="410"/>
        <v>0</v>
      </c>
      <c r="Y728" s="208">
        <f t="shared" si="410"/>
        <v>0</v>
      </c>
      <c r="Z728" s="208">
        <f t="shared" si="410"/>
        <v>0</v>
      </c>
      <c r="AA728" s="208">
        <f t="shared" si="410"/>
        <v>0</v>
      </c>
      <c r="AB728" s="208">
        <f t="shared" si="410"/>
        <v>0</v>
      </c>
      <c r="AC728" s="208">
        <f t="shared" si="410"/>
        <v>0</v>
      </c>
      <c r="AD728" s="208">
        <f t="shared" si="410"/>
        <v>0</v>
      </c>
      <c r="AE728" s="208">
        <f t="shared" si="410"/>
        <v>0</v>
      </c>
      <c r="AF728" s="208">
        <f t="shared" si="410"/>
        <v>0</v>
      </c>
      <c r="AG728" s="208">
        <f t="shared" si="410"/>
        <v>0</v>
      </c>
      <c r="AH728" s="208">
        <f t="shared" si="410"/>
        <v>0</v>
      </c>
      <c r="AI728" s="208">
        <f t="shared" si="411"/>
        <v>0</v>
      </c>
      <c r="AJ728" s="208">
        <f t="shared" si="411"/>
        <v>0</v>
      </c>
      <c r="AK728" s="208">
        <f t="shared" si="411"/>
        <v>0</v>
      </c>
      <c r="AL728" s="208">
        <f t="shared" si="411"/>
        <v>0</v>
      </c>
      <c r="AM728" s="208">
        <f t="shared" si="411"/>
        <v>0</v>
      </c>
      <c r="AN728" s="208">
        <f t="shared" si="411"/>
        <v>0</v>
      </c>
      <c r="AO728" s="208">
        <f t="shared" si="411"/>
        <v>0</v>
      </c>
      <c r="AP728" s="208">
        <f t="shared" si="411"/>
        <v>0</v>
      </c>
    </row>
    <row r="729" spans="1:42">
      <c r="A729" s="37">
        <f t="shared" si="412"/>
        <v>5</v>
      </c>
      <c r="B729" s="218">
        <f t="shared" si="408"/>
        <v>0</v>
      </c>
      <c r="C729" s="208">
        <f t="shared" si="409"/>
        <v>0</v>
      </c>
      <c r="D729" s="208">
        <f t="shared" si="409"/>
        <v>0</v>
      </c>
      <c r="E729" s="208">
        <f t="shared" si="409"/>
        <v>0</v>
      </c>
      <c r="F729" s="208">
        <f t="shared" si="409"/>
        <v>0</v>
      </c>
      <c r="G729" s="208">
        <f t="shared" si="409"/>
        <v>0</v>
      </c>
      <c r="H729" s="208">
        <f t="shared" si="409"/>
        <v>0</v>
      </c>
      <c r="I729" s="208">
        <f t="shared" si="409"/>
        <v>0</v>
      </c>
      <c r="J729" s="208">
        <f t="shared" si="409"/>
        <v>0</v>
      </c>
      <c r="K729" s="208">
        <f t="shared" si="409"/>
        <v>0</v>
      </c>
      <c r="L729" s="208">
        <f t="shared" si="409"/>
        <v>0</v>
      </c>
      <c r="M729" s="208">
        <f t="shared" si="409"/>
        <v>0</v>
      </c>
      <c r="N729" s="208">
        <f t="shared" si="409"/>
        <v>0</v>
      </c>
      <c r="O729" s="208">
        <f t="shared" si="409"/>
        <v>0</v>
      </c>
      <c r="P729" s="208">
        <f t="shared" si="409"/>
        <v>0</v>
      </c>
      <c r="Q729" s="208">
        <f t="shared" si="409"/>
        <v>0</v>
      </c>
      <c r="R729" s="208">
        <f t="shared" si="409"/>
        <v>0</v>
      </c>
      <c r="S729" s="208">
        <f t="shared" si="410"/>
        <v>0</v>
      </c>
      <c r="T729" s="208">
        <f t="shared" si="410"/>
        <v>0</v>
      </c>
      <c r="U729" s="208">
        <f t="shared" si="410"/>
        <v>0</v>
      </c>
      <c r="V729" s="208">
        <f t="shared" si="410"/>
        <v>0</v>
      </c>
      <c r="W729" s="208">
        <f t="shared" si="410"/>
        <v>0</v>
      </c>
      <c r="X729" s="208">
        <f t="shared" si="410"/>
        <v>0</v>
      </c>
      <c r="Y729" s="208">
        <f t="shared" si="410"/>
        <v>0</v>
      </c>
      <c r="Z729" s="208">
        <f t="shared" si="410"/>
        <v>0</v>
      </c>
      <c r="AA729" s="208">
        <f t="shared" si="410"/>
        <v>0</v>
      </c>
      <c r="AB729" s="208">
        <f t="shared" si="410"/>
        <v>0</v>
      </c>
      <c r="AC729" s="208">
        <f t="shared" si="410"/>
        <v>0</v>
      </c>
      <c r="AD729" s="208">
        <f t="shared" si="410"/>
        <v>0</v>
      </c>
      <c r="AE729" s="208">
        <f t="shared" si="410"/>
        <v>0</v>
      </c>
      <c r="AF729" s="208">
        <f t="shared" si="410"/>
        <v>0</v>
      </c>
      <c r="AG729" s="208">
        <f t="shared" si="410"/>
        <v>0</v>
      </c>
      <c r="AH729" s="208">
        <f t="shared" si="410"/>
        <v>0</v>
      </c>
      <c r="AI729" s="208">
        <f t="shared" si="411"/>
        <v>0</v>
      </c>
      <c r="AJ729" s="208">
        <f t="shared" si="411"/>
        <v>0</v>
      </c>
      <c r="AK729" s="208">
        <f t="shared" si="411"/>
        <v>0</v>
      </c>
      <c r="AL729" s="208">
        <f t="shared" si="411"/>
        <v>0</v>
      </c>
      <c r="AM729" s="208">
        <f t="shared" si="411"/>
        <v>0</v>
      </c>
      <c r="AN729" s="208">
        <f t="shared" si="411"/>
        <v>0</v>
      </c>
      <c r="AO729" s="208">
        <f t="shared" si="411"/>
        <v>0</v>
      </c>
      <c r="AP729" s="208">
        <f t="shared" si="411"/>
        <v>0</v>
      </c>
    </row>
    <row r="730" spans="1:42">
      <c r="A730" s="37">
        <f t="shared" si="412"/>
        <v>6</v>
      </c>
      <c r="B730" s="218">
        <f t="shared" si="408"/>
        <v>0</v>
      </c>
      <c r="C730" s="208">
        <f t="shared" si="409"/>
        <v>0</v>
      </c>
      <c r="D730" s="208">
        <f t="shared" si="409"/>
        <v>0</v>
      </c>
      <c r="E730" s="208">
        <f t="shared" si="409"/>
        <v>0</v>
      </c>
      <c r="F730" s="208">
        <f t="shared" si="409"/>
        <v>0</v>
      </c>
      <c r="G730" s="208">
        <f t="shared" si="409"/>
        <v>0</v>
      </c>
      <c r="H730" s="208">
        <f t="shared" si="409"/>
        <v>0</v>
      </c>
      <c r="I730" s="208">
        <f t="shared" si="409"/>
        <v>0</v>
      </c>
      <c r="J730" s="208">
        <f t="shared" si="409"/>
        <v>0</v>
      </c>
      <c r="K730" s="208">
        <f t="shared" si="409"/>
        <v>0</v>
      </c>
      <c r="L730" s="208">
        <f t="shared" si="409"/>
        <v>0</v>
      </c>
      <c r="M730" s="208">
        <f t="shared" si="409"/>
        <v>0</v>
      </c>
      <c r="N730" s="208">
        <f t="shared" si="409"/>
        <v>0</v>
      </c>
      <c r="O730" s="208">
        <f t="shared" si="409"/>
        <v>0</v>
      </c>
      <c r="P730" s="208">
        <f t="shared" si="409"/>
        <v>0</v>
      </c>
      <c r="Q730" s="208">
        <f t="shared" si="409"/>
        <v>0</v>
      </c>
      <c r="R730" s="208">
        <f t="shared" si="409"/>
        <v>0</v>
      </c>
      <c r="S730" s="208">
        <f t="shared" si="410"/>
        <v>0</v>
      </c>
      <c r="T730" s="208">
        <f t="shared" si="410"/>
        <v>0</v>
      </c>
      <c r="U730" s="208">
        <f t="shared" si="410"/>
        <v>0</v>
      </c>
      <c r="V730" s="208">
        <f t="shared" si="410"/>
        <v>0</v>
      </c>
      <c r="W730" s="208">
        <f t="shared" si="410"/>
        <v>0</v>
      </c>
      <c r="X730" s="208">
        <f t="shared" si="410"/>
        <v>0</v>
      </c>
      <c r="Y730" s="208">
        <f t="shared" si="410"/>
        <v>0</v>
      </c>
      <c r="Z730" s="208">
        <f t="shared" si="410"/>
        <v>0</v>
      </c>
      <c r="AA730" s="208">
        <f t="shared" si="410"/>
        <v>0</v>
      </c>
      <c r="AB730" s="208">
        <f t="shared" si="410"/>
        <v>0</v>
      </c>
      <c r="AC730" s="208">
        <f t="shared" si="410"/>
        <v>0</v>
      </c>
      <c r="AD730" s="208">
        <f t="shared" si="410"/>
        <v>0</v>
      </c>
      <c r="AE730" s="208">
        <f t="shared" si="410"/>
        <v>0</v>
      </c>
      <c r="AF730" s="208">
        <f t="shared" si="410"/>
        <v>0</v>
      </c>
      <c r="AG730" s="208">
        <f t="shared" si="410"/>
        <v>0</v>
      </c>
      <c r="AH730" s="208">
        <f t="shared" si="410"/>
        <v>0</v>
      </c>
      <c r="AI730" s="208">
        <f t="shared" si="411"/>
        <v>0</v>
      </c>
      <c r="AJ730" s="208">
        <f t="shared" si="411"/>
        <v>0</v>
      </c>
      <c r="AK730" s="208">
        <f t="shared" si="411"/>
        <v>0</v>
      </c>
      <c r="AL730" s="208">
        <f t="shared" si="411"/>
        <v>0</v>
      </c>
      <c r="AM730" s="208">
        <f t="shared" si="411"/>
        <v>0</v>
      </c>
      <c r="AN730" s="208">
        <f t="shared" si="411"/>
        <v>0</v>
      </c>
      <c r="AO730" s="208">
        <f t="shared" si="411"/>
        <v>0</v>
      </c>
      <c r="AP730" s="208">
        <f t="shared" si="411"/>
        <v>0</v>
      </c>
    </row>
    <row r="731" spans="1:42">
      <c r="A731" s="37">
        <f t="shared" si="412"/>
        <v>7</v>
      </c>
      <c r="B731" s="218">
        <f t="shared" si="408"/>
        <v>0</v>
      </c>
      <c r="C731" s="208">
        <f t="shared" si="409"/>
        <v>0</v>
      </c>
      <c r="D731" s="208">
        <f t="shared" si="409"/>
        <v>0</v>
      </c>
      <c r="E731" s="208">
        <f t="shared" si="409"/>
        <v>0</v>
      </c>
      <c r="F731" s="208">
        <f t="shared" si="409"/>
        <v>0</v>
      </c>
      <c r="G731" s="208">
        <f t="shared" si="409"/>
        <v>0</v>
      </c>
      <c r="H731" s="208">
        <f t="shared" si="409"/>
        <v>0</v>
      </c>
      <c r="I731" s="208">
        <f t="shared" si="409"/>
        <v>0</v>
      </c>
      <c r="J731" s="208">
        <f t="shared" si="409"/>
        <v>0</v>
      </c>
      <c r="K731" s="208">
        <f t="shared" si="409"/>
        <v>0</v>
      </c>
      <c r="L731" s="208">
        <f t="shared" si="409"/>
        <v>0</v>
      </c>
      <c r="M731" s="208">
        <f t="shared" si="409"/>
        <v>0</v>
      </c>
      <c r="N731" s="208">
        <f t="shared" si="409"/>
        <v>0</v>
      </c>
      <c r="O731" s="208">
        <f t="shared" si="409"/>
        <v>0</v>
      </c>
      <c r="P731" s="208">
        <f t="shared" si="409"/>
        <v>0</v>
      </c>
      <c r="Q731" s="208">
        <f t="shared" si="409"/>
        <v>0</v>
      </c>
      <c r="R731" s="208">
        <f t="shared" si="409"/>
        <v>0</v>
      </c>
      <c r="S731" s="208">
        <f t="shared" si="410"/>
        <v>0</v>
      </c>
      <c r="T731" s="208">
        <f t="shared" si="410"/>
        <v>0</v>
      </c>
      <c r="U731" s="208">
        <f t="shared" si="410"/>
        <v>0</v>
      </c>
      <c r="V731" s="208">
        <f t="shared" si="410"/>
        <v>0</v>
      </c>
      <c r="W731" s="208">
        <f t="shared" si="410"/>
        <v>0</v>
      </c>
      <c r="X731" s="208">
        <f t="shared" si="410"/>
        <v>0</v>
      </c>
      <c r="Y731" s="208">
        <f t="shared" si="410"/>
        <v>0</v>
      </c>
      <c r="Z731" s="208">
        <f t="shared" si="410"/>
        <v>0</v>
      </c>
      <c r="AA731" s="208">
        <f t="shared" si="410"/>
        <v>0</v>
      </c>
      <c r="AB731" s="208">
        <f t="shared" si="410"/>
        <v>0</v>
      </c>
      <c r="AC731" s="208">
        <f t="shared" si="410"/>
        <v>0</v>
      </c>
      <c r="AD731" s="208">
        <f t="shared" si="410"/>
        <v>0</v>
      </c>
      <c r="AE731" s="208">
        <f t="shared" si="410"/>
        <v>0</v>
      </c>
      <c r="AF731" s="208">
        <f t="shared" si="410"/>
        <v>0</v>
      </c>
      <c r="AG731" s="208">
        <f t="shared" si="410"/>
        <v>0</v>
      </c>
      <c r="AH731" s="208">
        <f t="shared" si="410"/>
        <v>0</v>
      </c>
      <c r="AI731" s="208">
        <f t="shared" si="411"/>
        <v>0</v>
      </c>
      <c r="AJ731" s="208">
        <f t="shared" si="411"/>
        <v>0</v>
      </c>
      <c r="AK731" s="208">
        <f t="shared" si="411"/>
        <v>0</v>
      </c>
      <c r="AL731" s="208">
        <f t="shared" si="411"/>
        <v>0</v>
      </c>
      <c r="AM731" s="208">
        <f t="shared" si="411"/>
        <v>0</v>
      </c>
      <c r="AN731" s="208">
        <f t="shared" si="411"/>
        <v>0</v>
      </c>
      <c r="AO731" s="208">
        <f t="shared" si="411"/>
        <v>0</v>
      </c>
      <c r="AP731" s="208">
        <f t="shared" si="411"/>
        <v>0</v>
      </c>
    </row>
    <row r="732" spans="1:42">
      <c r="A732" s="37">
        <f t="shared" si="412"/>
        <v>8</v>
      </c>
      <c r="B732" s="218">
        <f t="shared" si="408"/>
        <v>0</v>
      </c>
      <c r="C732" s="208">
        <f t="shared" si="409"/>
        <v>0</v>
      </c>
      <c r="D732" s="208">
        <f t="shared" si="409"/>
        <v>0</v>
      </c>
      <c r="E732" s="208">
        <f t="shared" si="409"/>
        <v>0</v>
      </c>
      <c r="F732" s="208">
        <f t="shared" si="409"/>
        <v>0</v>
      </c>
      <c r="G732" s="208">
        <f t="shared" si="409"/>
        <v>0</v>
      </c>
      <c r="H732" s="208">
        <f t="shared" si="409"/>
        <v>0</v>
      </c>
      <c r="I732" s="208">
        <f t="shared" si="409"/>
        <v>0</v>
      </c>
      <c r="J732" s="208">
        <f t="shared" si="409"/>
        <v>0</v>
      </c>
      <c r="K732" s="208">
        <f t="shared" si="409"/>
        <v>0</v>
      </c>
      <c r="L732" s="208">
        <f t="shared" si="409"/>
        <v>0</v>
      </c>
      <c r="M732" s="208">
        <f t="shared" si="409"/>
        <v>0</v>
      </c>
      <c r="N732" s="208">
        <f t="shared" si="409"/>
        <v>0</v>
      </c>
      <c r="O732" s="208">
        <f t="shared" si="409"/>
        <v>0</v>
      </c>
      <c r="P732" s="208">
        <f t="shared" si="409"/>
        <v>0</v>
      </c>
      <c r="Q732" s="208">
        <f t="shared" si="409"/>
        <v>0</v>
      </c>
      <c r="R732" s="208">
        <f t="shared" si="409"/>
        <v>0</v>
      </c>
      <c r="S732" s="208">
        <f t="shared" si="410"/>
        <v>0</v>
      </c>
      <c r="T732" s="208">
        <f t="shared" si="410"/>
        <v>0</v>
      </c>
      <c r="U732" s="208">
        <f t="shared" si="410"/>
        <v>0</v>
      </c>
      <c r="V732" s="208">
        <f t="shared" si="410"/>
        <v>0</v>
      </c>
      <c r="W732" s="208">
        <f t="shared" si="410"/>
        <v>0</v>
      </c>
      <c r="X732" s="208">
        <f t="shared" si="410"/>
        <v>0</v>
      </c>
      <c r="Y732" s="208">
        <f t="shared" si="410"/>
        <v>0</v>
      </c>
      <c r="Z732" s="208">
        <f t="shared" si="410"/>
        <v>0</v>
      </c>
      <c r="AA732" s="208">
        <f t="shared" si="410"/>
        <v>0</v>
      </c>
      <c r="AB732" s="208">
        <f t="shared" si="410"/>
        <v>0</v>
      </c>
      <c r="AC732" s="208">
        <f t="shared" si="410"/>
        <v>0</v>
      </c>
      <c r="AD732" s="208">
        <f t="shared" si="410"/>
        <v>0</v>
      </c>
      <c r="AE732" s="208">
        <f t="shared" si="410"/>
        <v>0</v>
      </c>
      <c r="AF732" s="208">
        <f t="shared" si="410"/>
        <v>0</v>
      </c>
      <c r="AG732" s="208">
        <f t="shared" si="410"/>
        <v>0</v>
      </c>
      <c r="AH732" s="208">
        <f t="shared" si="410"/>
        <v>0</v>
      </c>
      <c r="AI732" s="208">
        <f t="shared" si="411"/>
        <v>0</v>
      </c>
      <c r="AJ732" s="208">
        <f t="shared" si="411"/>
        <v>0</v>
      </c>
      <c r="AK732" s="208">
        <f t="shared" si="411"/>
        <v>0</v>
      </c>
      <c r="AL732" s="208">
        <f t="shared" si="411"/>
        <v>0</v>
      </c>
      <c r="AM732" s="208">
        <f t="shared" si="411"/>
        <v>0</v>
      </c>
      <c r="AN732" s="208">
        <f t="shared" si="411"/>
        <v>0</v>
      </c>
      <c r="AO732" s="208">
        <f t="shared" si="411"/>
        <v>0</v>
      </c>
      <c r="AP732" s="208">
        <f t="shared" si="411"/>
        <v>0</v>
      </c>
    </row>
    <row r="733" spans="1:42">
      <c r="A733" s="37">
        <f>A732+1</f>
        <v>9</v>
      </c>
      <c r="B733" s="218">
        <f t="shared" si="408"/>
        <v>0</v>
      </c>
      <c r="C733" s="208">
        <f t="shared" si="409"/>
        <v>0</v>
      </c>
      <c r="D733" s="208">
        <f t="shared" si="409"/>
        <v>0</v>
      </c>
      <c r="E733" s="208">
        <f t="shared" si="409"/>
        <v>0</v>
      </c>
      <c r="F733" s="208">
        <f t="shared" si="409"/>
        <v>0</v>
      </c>
      <c r="G733" s="208">
        <f t="shared" si="409"/>
        <v>0</v>
      </c>
      <c r="H733" s="208">
        <f t="shared" si="409"/>
        <v>0</v>
      </c>
      <c r="I733" s="208">
        <f t="shared" si="409"/>
        <v>0</v>
      </c>
      <c r="J733" s="208">
        <f t="shared" si="409"/>
        <v>0</v>
      </c>
      <c r="K733" s="208">
        <f t="shared" si="409"/>
        <v>0</v>
      </c>
      <c r="L733" s="208">
        <f t="shared" si="409"/>
        <v>0</v>
      </c>
      <c r="M733" s="208">
        <f t="shared" si="409"/>
        <v>0</v>
      </c>
      <c r="N733" s="208">
        <f t="shared" si="409"/>
        <v>0</v>
      </c>
      <c r="O733" s="208">
        <f t="shared" si="409"/>
        <v>0</v>
      </c>
      <c r="P733" s="208">
        <f t="shared" si="409"/>
        <v>0</v>
      </c>
      <c r="Q733" s="208">
        <f t="shared" si="409"/>
        <v>0</v>
      </c>
      <c r="R733" s="208">
        <f t="shared" si="409"/>
        <v>0</v>
      </c>
      <c r="S733" s="208">
        <f t="shared" si="410"/>
        <v>0</v>
      </c>
      <c r="T733" s="208">
        <f t="shared" si="410"/>
        <v>0</v>
      </c>
      <c r="U733" s="208">
        <f t="shared" si="410"/>
        <v>0</v>
      </c>
      <c r="V733" s="208">
        <f t="shared" si="410"/>
        <v>0</v>
      </c>
      <c r="W733" s="208">
        <f t="shared" si="410"/>
        <v>0</v>
      </c>
      <c r="X733" s="208">
        <f t="shared" si="410"/>
        <v>0</v>
      </c>
      <c r="Y733" s="208">
        <f t="shared" si="410"/>
        <v>0</v>
      </c>
      <c r="Z733" s="208">
        <f t="shared" si="410"/>
        <v>0</v>
      </c>
      <c r="AA733" s="208">
        <f t="shared" si="410"/>
        <v>0</v>
      </c>
      <c r="AB733" s="208">
        <f t="shared" si="410"/>
        <v>0</v>
      </c>
      <c r="AC733" s="208">
        <f t="shared" si="410"/>
        <v>0</v>
      </c>
      <c r="AD733" s="208">
        <f t="shared" si="410"/>
        <v>0</v>
      </c>
      <c r="AE733" s="208">
        <f t="shared" si="410"/>
        <v>0</v>
      </c>
      <c r="AF733" s="208">
        <f t="shared" si="410"/>
        <v>0</v>
      </c>
      <c r="AG733" s="208">
        <f t="shared" si="410"/>
        <v>0</v>
      </c>
      <c r="AH733" s="208">
        <f t="shared" si="410"/>
        <v>0</v>
      </c>
      <c r="AI733" s="208">
        <f t="shared" si="411"/>
        <v>0</v>
      </c>
      <c r="AJ733" s="208">
        <f t="shared" si="411"/>
        <v>0</v>
      </c>
      <c r="AK733" s="208">
        <f t="shared" si="411"/>
        <v>0</v>
      </c>
      <c r="AL733" s="208">
        <f t="shared" si="411"/>
        <v>0</v>
      </c>
      <c r="AM733" s="208">
        <f t="shared" si="411"/>
        <v>0</v>
      </c>
      <c r="AN733" s="208">
        <f t="shared" si="411"/>
        <v>0</v>
      </c>
      <c r="AO733" s="208">
        <f t="shared" si="411"/>
        <v>0</v>
      </c>
      <c r="AP733" s="208">
        <f t="shared" si="411"/>
        <v>0</v>
      </c>
    </row>
    <row r="734" spans="1:42">
      <c r="A734" s="37">
        <f t="shared" si="412"/>
        <v>10</v>
      </c>
      <c r="B734" s="218">
        <f t="shared" si="408"/>
        <v>0</v>
      </c>
      <c r="C734" s="209">
        <f t="shared" si="409"/>
        <v>0</v>
      </c>
      <c r="D734" s="209">
        <f t="shared" si="409"/>
        <v>0</v>
      </c>
      <c r="E734" s="209">
        <f t="shared" si="409"/>
        <v>0</v>
      </c>
      <c r="F734" s="209">
        <f t="shared" si="409"/>
        <v>0</v>
      </c>
      <c r="G734" s="209">
        <f t="shared" si="409"/>
        <v>0</v>
      </c>
      <c r="H734" s="209">
        <f t="shared" si="409"/>
        <v>0</v>
      </c>
      <c r="I734" s="209">
        <f t="shared" si="409"/>
        <v>0</v>
      </c>
      <c r="J734" s="209">
        <f t="shared" si="409"/>
        <v>0</v>
      </c>
      <c r="K734" s="209">
        <f t="shared" si="409"/>
        <v>0</v>
      </c>
      <c r="L734" s="209">
        <f t="shared" si="409"/>
        <v>0</v>
      </c>
      <c r="M734" s="209">
        <f t="shared" si="409"/>
        <v>0</v>
      </c>
      <c r="N734" s="209">
        <f t="shared" si="409"/>
        <v>0</v>
      </c>
      <c r="O734" s="209">
        <f t="shared" si="409"/>
        <v>0</v>
      </c>
      <c r="P734" s="209">
        <f t="shared" si="409"/>
        <v>0</v>
      </c>
      <c r="Q734" s="209">
        <f t="shared" si="409"/>
        <v>0</v>
      </c>
      <c r="R734" s="209">
        <f t="shared" si="409"/>
        <v>0</v>
      </c>
      <c r="S734" s="209">
        <f t="shared" si="410"/>
        <v>0</v>
      </c>
      <c r="T734" s="209">
        <f t="shared" si="410"/>
        <v>0</v>
      </c>
      <c r="U734" s="209">
        <f t="shared" si="410"/>
        <v>0</v>
      </c>
      <c r="V734" s="209">
        <f t="shared" si="410"/>
        <v>0</v>
      </c>
      <c r="W734" s="209">
        <f t="shared" si="410"/>
        <v>0</v>
      </c>
      <c r="X734" s="209">
        <f t="shared" si="410"/>
        <v>0</v>
      </c>
      <c r="Y734" s="209">
        <f t="shared" si="410"/>
        <v>0</v>
      </c>
      <c r="Z734" s="209">
        <f t="shared" si="410"/>
        <v>0</v>
      </c>
      <c r="AA734" s="209">
        <f t="shared" si="410"/>
        <v>0</v>
      </c>
      <c r="AB734" s="209">
        <f t="shared" si="410"/>
        <v>0</v>
      </c>
      <c r="AC734" s="209">
        <f t="shared" si="410"/>
        <v>0</v>
      </c>
      <c r="AD734" s="209">
        <f t="shared" si="410"/>
        <v>0</v>
      </c>
      <c r="AE734" s="209">
        <f t="shared" si="410"/>
        <v>0</v>
      </c>
      <c r="AF734" s="209">
        <f t="shared" si="410"/>
        <v>0</v>
      </c>
      <c r="AG734" s="209">
        <f t="shared" si="410"/>
        <v>0</v>
      </c>
      <c r="AH734" s="209">
        <f t="shared" si="410"/>
        <v>0</v>
      </c>
      <c r="AI734" s="209">
        <f t="shared" si="411"/>
        <v>0</v>
      </c>
      <c r="AJ734" s="209">
        <f t="shared" si="411"/>
        <v>0</v>
      </c>
      <c r="AK734" s="209">
        <f t="shared" si="411"/>
        <v>0</v>
      </c>
      <c r="AL734" s="209">
        <f t="shared" si="411"/>
        <v>0</v>
      </c>
      <c r="AM734" s="209">
        <f t="shared" si="411"/>
        <v>0</v>
      </c>
      <c r="AN734" s="209">
        <f t="shared" si="411"/>
        <v>0</v>
      </c>
      <c r="AO734" s="209">
        <f t="shared" si="411"/>
        <v>0</v>
      </c>
      <c r="AP734" s="209">
        <f t="shared" si="411"/>
        <v>0</v>
      </c>
    </row>
    <row r="735" spans="1:42">
      <c r="A735" s="244" t="s">
        <v>53</v>
      </c>
      <c r="B735" s="208"/>
      <c r="C735" s="164">
        <f>SUM(C725:C734)</f>
        <v>0</v>
      </c>
      <c r="D735" s="164">
        <f t="shared" ref="D735:AP735" si="413">SUM(D725:D734)</f>
        <v>0</v>
      </c>
      <c r="E735" s="164">
        <f t="shared" si="413"/>
        <v>0</v>
      </c>
      <c r="F735" s="164">
        <f t="shared" si="413"/>
        <v>0</v>
      </c>
      <c r="G735" s="164">
        <f t="shared" si="413"/>
        <v>0</v>
      </c>
      <c r="H735" s="164">
        <f t="shared" si="413"/>
        <v>0</v>
      </c>
      <c r="I735" s="164">
        <f t="shared" si="413"/>
        <v>0</v>
      </c>
      <c r="J735" s="164">
        <f t="shared" si="413"/>
        <v>0</v>
      </c>
      <c r="K735" s="164">
        <f t="shared" si="413"/>
        <v>0</v>
      </c>
      <c r="L735" s="164">
        <f t="shared" si="413"/>
        <v>0</v>
      </c>
      <c r="M735" s="164">
        <f t="shared" si="413"/>
        <v>0</v>
      </c>
      <c r="N735" s="164">
        <f t="shared" si="413"/>
        <v>2944872.3435013141</v>
      </c>
      <c r="O735" s="164">
        <f t="shared" si="413"/>
        <v>0</v>
      </c>
      <c r="P735" s="164">
        <f t="shared" si="413"/>
        <v>0</v>
      </c>
      <c r="Q735" s="164">
        <f t="shared" si="413"/>
        <v>0</v>
      </c>
      <c r="R735" s="164">
        <f t="shared" si="413"/>
        <v>0</v>
      </c>
      <c r="S735" s="164">
        <f t="shared" si="413"/>
        <v>0</v>
      </c>
      <c r="T735" s="164">
        <f t="shared" si="413"/>
        <v>0</v>
      </c>
      <c r="U735" s="164">
        <f t="shared" si="413"/>
        <v>0</v>
      </c>
      <c r="V735" s="164">
        <f t="shared" si="413"/>
        <v>0</v>
      </c>
      <c r="W735" s="164">
        <f t="shared" si="413"/>
        <v>0</v>
      </c>
      <c r="X735" s="164">
        <f t="shared" si="413"/>
        <v>0</v>
      </c>
      <c r="Y735" s="164">
        <f t="shared" si="413"/>
        <v>0</v>
      </c>
      <c r="Z735" s="164">
        <f t="shared" si="413"/>
        <v>3520942.886524681</v>
      </c>
      <c r="AA735" s="164">
        <f t="shared" si="413"/>
        <v>0</v>
      </c>
      <c r="AB735" s="164">
        <f t="shared" si="413"/>
        <v>0</v>
      </c>
      <c r="AC735" s="164">
        <f t="shared" si="413"/>
        <v>0</v>
      </c>
      <c r="AD735" s="164">
        <f t="shared" si="413"/>
        <v>0</v>
      </c>
      <c r="AE735" s="164">
        <f t="shared" si="413"/>
        <v>0</v>
      </c>
      <c r="AF735" s="164">
        <f t="shared" si="413"/>
        <v>0</v>
      </c>
      <c r="AG735" s="164">
        <f t="shared" si="413"/>
        <v>0</v>
      </c>
      <c r="AH735" s="164">
        <f t="shared" si="413"/>
        <v>0</v>
      </c>
      <c r="AI735" s="164">
        <f t="shared" si="413"/>
        <v>0</v>
      </c>
      <c r="AJ735" s="164">
        <f t="shared" si="413"/>
        <v>0</v>
      </c>
      <c r="AK735" s="164">
        <f t="shared" si="413"/>
        <v>0</v>
      </c>
      <c r="AL735" s="164">
        <f t="shared" si="413"/>
        <v>0</v>
      </c>
      <c r="AM735" s="164">
        <f t="shared" si="413"/>
        <v>0</v>
      </c>
      <c r="AN735" s="164">
        <f t="shared" si="413"/>
        <v>0</v>
      </c>
      <c r="AO735" s="164">
        <f t="shared" si="413"/>
        <v>0</v>
      </c>
      <c r="AP735" s="164">
        <f t="shared" si="413"/>
        <v>0</v>
      </c>
    </row>
    <row r="736" spans="1:42">
      <c r="A736" s="37" t="s">
        <v>209</v>
      </c>
      <c r="B736" s="164"/>
      <c r="C736" s="164"/>
      <c r="D736" s="164"/>
      <c r="E736" s="164"/>
      <c r="F736" s="164"/>
      <c r="G736" s="208"/>
      <c r="H736" s="208"/>
      <c r="I736" s="208"/>
      <c r="J736" s="208"/>
      <c r="K736" s="208"/>
      <c r="L736" s="208"/>
      <c r="M736" s="208"/>
      <c r="N736" s="208"/>
      <c r="O736" s="208"/>
      <c r="P736" s="208"/>
      <c r="Q736" s="208"/>
      <c r="R736" s="208"/>
      <c r="S736" s="208"/>
      <c r="T736" s="208"/>
      <c r="U736" s="208"/>
      <c r="V736" s="208"/>
      <c r="W736" s="208"/>
      <c r="X736" s="208"/>
      <c r="Y736" s="208"/>
      <c r="Z736" s="208"/>
      <c r="AA736" s="208"/>
      <c r="AB736" s="208"/>
      <c r="AC736" s="208"/>
      <c r="AD736" s="208"/>
      <c r="AE736" s="208"/>
      <c r="AF736" s="208"/>
      <c r="AG736" s="208"/>
      <c r="AH736" s="208"/>
      <c r="AI736" s="208"/>
      <c r="AJ736" s="208"/>
      <c r="AK736" s="208"/>
      <c r="AL736" s="208"/>
      <c r="AM736" s="208"/>
      <c r="AN736" s="208"/>
      <c r="AO736" s="208"/>
      <c r="AP736" s="208"/>
    </row>
    <row r="737" spans="1:42">
      <c r="A737" s="37">
        <v>1</v>
      </c>
      <c r="B737" s="218">
        <f t="shared" ref="B737:B746" si="414">SUM(C737:AP737)</f>
        <v>2944872.3435013145</v>
      </c>
      <c r="C737" s="164">
        <f t="shared" ref="C737:AP737" si="415">IF(C$2&lt;=MMFrequency*$A$725,$B$725/(MMFrequency),0)</f>
        <v>245406.02862510949</v>
      </c>
      <c r="D737" s="164">
        <f t="shared" si="415"/>
        <v>245406.02862510949</v>
      </c>
      <c r="E737" s="164">
        <f t="shared" si="415"/>
        <v>245406.02862510949</v>
      </c>
      <c r="F737" s="164">
        <f t="shared" si="415"/>
        <v>245406.02862510949</v>
      </c>
      <c r="G737" s="164">
        <f t="shared" si="415"/>
        <v>245406.02862510949</v>
      </c>
      <c r="H737" s="164">
        <f t="shared" si="415"/>
        <v>245406.02862510949</v>
      </c>
      <c r="I737" s="164">
        <f t="shared" si="415"/>
        <v>245406.02862510949</v>
      </c>
      <c r="J737" s="164">
        <f t="shared" si="415"/>
        <v>245406.02862510949</v>
      </c>
      <c r="K737" s="164">
        <f t="shared" si="415"/>
        <v>245406.02862510949</v>
      </c>
      <c r="L737" s="164">
        <f t="shared" si="415"/>
        <v>245406.02862510949</v>
      </c>
      <c r="M737" s="164">
        <f t="shared" si="415"/>
        <v>245406.02862510949</v>
      </c>
      <c r="N737" s="164">
        <f t="shared" si="415"/>
        <v>245406.02862510949</v>
      </c>
      <c r="O737" s="164">
        <f t="shared" si="415"/>
        <v>0</v>
      </c>
      <c r="P737" s="164">
        <f t="shared" si="415"/>
        <v>0</v>
      </c>
      <c r="Q737" s="164">
        <f t="shared" si="415"/>
        <v>0</v>
      </c>
      <c r="R737" s="164">
        <f t="shared" si="415"/>
        <v>0</v>
      </c>
      <c r="S737" s="164">
        <f t="shared" si="415"/>
        <v>0</v>
      </c>
      <c r="T737" s="164">
        <f t="shared" si="415"/>
        <v>0</v>
      </c>
      <c r="U737" s="164">
        <f t="shared" si="415"/>
        <v>0</v>
      </c>
      <c r="V737" s="164">
        <f t="shared" si="415"/>
        <v>0</v>
      </c>
      <c r="W737" s="164">
        <f t="shared" si="415"/>
        <v>0</v>
      </c>
      <c r="X737" s="164">
        <f t="shared" si="415"/>
        <v>0</v>
      </c>
      <c r="Y737" s="164">
        <f t="shared" si="415"/>
        <v>0</v>
      </c>
      <c r="Z737" s="164">
        <f t="shared" si="415"/>
        <v>0</v>
      </c>
      <c r="AA737" s="164">
        <f t="shared" si="415"/>
        <v>0</v>
      </c>
      <c r="AB737" s="164">
        <f t="shared" si="415"/>
        <v>0</v>
      </c>
      <c r="AC737" s="164">
        <f t="shared" si="415"/>
        <v>0</v>
      </c>
      <c r="AD737" s="164">
        <f t="shared" si="415"/>
        <v>0</v>
      </c>
      <c r="AE737" s="164">
        <f t="shared" si="415"/>
        <v>0</v>
      </c>
      <c r="AF737" s="164">
        <f t="shared" si="415"/>
        <v>0</v>
      </c>
      <c r="AG737" s="164">
        <f t="shared" si="415"/>
        <v>0</v>
      </c>
      <c r="AH737" s="164">
        <f t="shared" si="415"/>
        <v>0</v>
      </c>
      <c r="AI737" s="164">
        <f t="shared" si="415"/>
        <v>0</v>
      </c>
      <c r="AJ737" s="164">
        <f t="shared" si="415"/>
        <v>0</v>
      </c>
      <c r="AK737" s="164">
        <f t="shared" si="415"/>
        <v>0</v>
      </c>
      <c r="AL737" s="164">
        <f t="shared" si="415"/>
        <v>0</v>
      </c>
      <c r="AM737" s="164">
        <f t="shared" si="415"/>
        <v>0</v>
      </c>
      <c r="AN737" s="164">
        <f t="shared" si="415"/>
        <v>0</v>
      </c>
      <c r="AO737" s="164">
        <f t="shared" si="415"/>
        <v>0</v>
      </c>
      <c r="AP737" s="164">
        <f t="shared" si="415"/>
        <v>0</v>
      </c>
    </row>
    <row r="738" spans="1:42">
      <c r="A738" s="37">
        <f>A737+1</f>
        <v>2</v>
      </c>
      <c r="B738" s="218">
        <f t="shared" si="414"/>
        <v>3520942.886524681</v>
      </c>
      <c r="C738" s="250">
        <f t="shared" ref="C738:AP744" si="416">IF(AND(C$2&gt;MMFrequency*$A725,C$2&lt;=MMFrequency*$A726),$B726/(MMFrequency),0)</f>
        <v>0</v>
      </c>
      <c r="D738" s="208">
        <f t="shared" si="416"/>
        <v>0</v>
      </c>
      <c r="E738" s="208">
        <f t="shared" si="416"/>
        <v>0</v>
      </c>
      <c r="F738" s="208">
        <f t="shared" si="416"/>
        <v>0</v>
      </c>
      <c r="G738" s="208">
        <f t="shared" si="416"/>
        <v>0</v>
      </c>
      <c r="H738" s="208">
        <f t="shared" si="416"/>
        <v>0</v>
      </c>
      <c r="I738" s="208">
        <f t="shared" si="416"/>
        <v>0</v>
      </c>
      <c r="J738" s="208">
        <f t="shared" si="416"/>
        <v>0</v>
      </c>
      <c r="K738" s="208">
        <f t="shared" si="416"/>
        <v>0</v>
      </c>
      <c r="L738" s="208">
        <f t="shared" si="416"/>
        <v>0</v>
      </c>
      <c r="M738" s="208">
        <f t="shared" si="416"/>
        <v>0</v>
      </c>
      <c r="N738" s="208">
        <f t="shared" si="416"/>
        <v>0</v>
      </c>
      <c r="O738" s="208">
        <f t="shared" si="416"/>
        <v>293411.90721039008</v>
      </c>
      <c r="P738" s="208">
        <f t="shared" si="416"/>
        <v>293411.90721039008</v>
      </c>
      <c r="Q738" s="208">
        <f t="shared" si="416"/>
        <v>293411.90721039008</v>
      </c>
      <c r="R738" s="208">
        <f t="shared" si="416"/>
        <v>293411.90721039008</v>
      </c>
      <c r="S738" s="208">
        <f t="shared" si="416"/>
        <v>293411.90721039008</v>
      </c>
      <c r="T738" s="208">
        <f t="shared" si="416"/>
        <v>293411.90721039008</v>
      </c>
      <c r="U738" s="208">
        <f t="shared" si="416"/>
        <v>293411.90721039008</v>
      </c>
      <c r="V738" s="208">
        <f t="shared" si="416"/>
        <v>293411.90721039008</v>
      </c>
      <c r="W738" s="208">
        <f t="shared" si="416"/>
        <v>293411.90721039008</v>
      </c>
      <c r="X738" s="208">
        <f t="shared" si="416"/>
        <v>293411.90721039008</v>
      </c>
      <c r="Y738" s="208">
        <f t="shared" si="416"/>
        <v>293411.90721039008</v>
      </c>
      <c r="Z738" s="208">
        <f t="shared" si="416"/>
        <v>293411.90721039008</v>
      </c>
      <c r="AA738" s="208">
        <f t="shared" si="416"/>
        <v>0</v>
      </c>
      <c r="AB738" s="208">
        <f t="shared" si="416"/>
        <v>0</v>
      </c>
      <c r="AC738" s="208">
        <f t="shared" si="416"/>
        <v>0</v>
      </c>
      <c r="AD738" s="208">
        <f t="shared" si="416"/>
        <v>0</v>
      </c>
      <c r="AE738" s="208">
        <f t="shared" si="416"/>
        <v>0</v>
      </c>
      <c r="AF738" s="208">
        <f t="shared" si="416"/>
        <v>0</v>
      </c>
      <c r="AG738" s="208">
        <f t="shared" si="416"/>
        <v>0</v>
      </c>
      <c r="AH738" s="208">
        <f t="shared" si="416"/>
        <v>0</v>
      </c>
      <c r="AI738" s="208">
        <f t="shared" si="416"/>
        <v>0</v>
      </c>
      <c r="AJ738" s="208">
        <f t="shared" si="416"/>
        <v>0</v>
      </c>
      <c r="AK738" s="208">
        <f t="shared" si="416"/>
        <v>0</v>
      </c>
      <c r="AL738" s="208">
        <f t="shared" si="416"/>
        <v>0</v>
      </c>
      <c r="AM738" s="208">
        <f t="shared" si="416"/>
        <v>0</v>
      </c>
      <c r="AN738" s="208">
        <f t="shared" si="416"/>
        <v>0</v>
      </c>
      <c r="AO738" s="208">
        <f t="shared" si="416"/>
        <v>0</v>
      </c>
      <c r="AP738" s="208">
        <f t="shared" si="416"/>
        <v>0</v>
      </c>
    </row>
    <row r="739" spans="1:42">
      <c r="A739" s="37">
        <f t="shared" ref="A739:A744" si="417">A738+1</f>
        <v>3</v>
      </c>
      <c r="B739" s="218">
        <f t="shared" si="414"/>
        <v>0</v>
      </c>
      <c r="C739" s="250">
        <f t="shared" si="416"/>
        <v>0</v>
      </c>
      <c r="D739" s="208">
        <f t="shared" si="416"/>
        <v>0</v>
      </c>
      <c r="E739" s="208">
        <f t="shared" si="416"/>
        <v>0</v>
      </c>
      <c r="F739" s="208">
        <f t="shared" si="416"/>
        <v>0</v>
      </c>
      <c r="G739" s="208">
        <f t="shared" si="416"/>
        <v>0</v>
      </c>
      <c r="H739" s="208">
        <f t="shared" si="416"/>
        <v>0</v>
      </c>
      <c r="I739" s="208">
        <f t="shared" si="416"/>
        <v>0</v>
      </c>
      <c r="J739" s="208">
        <f t="shared" si="416"/>
        <v>0</v>
      </c>
      <c r="K739" s="208">
        <f t="shared" si="416"/>
        <v>0</v>
      </c>
      <c r="L739" s="208">
        <f t="shared" si="416"/>
        <v>0</v>
      </c>
      <c r="M739" s="208">
        <f t="shared" si="416"/>
        <v>0</v>
      </c>
      <c r="N739" s="208">
        <f t="shared" si="416"/>
        <v>0</v>
      </c>
      <c r="O739" s="208">
        <f t="shared" si="416"/>
        <v>0</v>
      </c>
      <c r="P739" s="208">
        <f t="shared" si="416"/>
        <v>0</v>
      </c>
      <c r="Q739" s="208">
        <f t="shared" si="416"/>
        <v>0</v>
      </c>
      <c r="R739" s="208">
        <f t="shared" si="416"/>
        <v>0</v>
      </c>
      <c r="S739" s="208">
        <f t="shared" si="416"/>
        <v>0</v>
      </c>
      <c r="T739" s="208">
        <f t="shared" si="416"/>
        <v>0</v>
      </c>
      <c r="U739" s="208">
        <f t="shared" si="416"/>
        <v>0</v>
      </c>
      <c r="V739" s="208">
        <f t="shared" si="416"/>
        <v>0</v>
      </c>
      <c r="W739" s="208">
        <f t="shared" si="416"/>
        <v>0</v>
      </c>
      <c r="X739" s="208">
        <f t="shared" si="416"/>
        <v>0</v>
      </c>
      <c r="Y739" s="208">
        <f t="shared" si="416"/>
        <v>0</v>
      </c>
      <c r="Z739" s="208">
        <f t="shared" si="416"/>
        <v>0</v>
      </c>
      <c r="AA739" s="208">
        <f t="shared" si="416"/>
        <v>0</v>
      </c>
      <c r="AB739" s="208">
        <f t="shared" si="416"/>
        <v>0</v>
      </c>
      <c r="AC739" s="208">
        <f t="shared" si="416"/>
        <v>0</v>
      </c>
      <c r="AD739" s="208">
        <f t="shared" si="416"/>
        <v>0</v>
      </c>
      <c r="AE739" s="208">
        <f t="shared" si="416"/>
        <v>0</v>
      </c>
      <c r="AF739" s="208">
        <f t="shared" si="416"/>
        <v>0</v>
      </c>
      <c r="AG739" s="208">
        <f t="shared" si="416"/>
        <v>0</v>
      </c>
      <c r="AH739" s="208">
        <f t="shared" si="416"/>
        <v>0</v>
      </c>
      <c r="AI739" s="208">
        <f t="shared" si="416"/>
        <v>0</v>
      </c>
      <c r="AJ739" s="208">
        <f t="shared" si="416"/>
        <v>0</v>
      </c>
      <c r="AK739" s="208">
        <f t="shared" si="416"/>
        <v>0</v>
      </c>
      <c r="AL739" s="208">
        <f t="shared" si="416"/>
        <v>0</v>
      </c>
      <c r="AM739" s="208">
        <f t="shared" si="416"/>
        <v>0</v>
      </c>
      <c r="AN739" s="208">
        <f t="shared" si="416"/>
        <v>0</v>
      </c>
      <c r="AO739" s="208">
        <f t="shared" si="416"/>
        <v>0</v>
      </c>
      <c r="AP739" s="208">
        <f t="shared" si="416"/>
        <v>0</v>
      </c>
    </row>
    <row r="740" spans="1:42">
      <c r="A740" s="37">
        <f t="shared" si="417"/>
        <v>4</v>
      </c>
      <c r="B740" s="218">
        <f t="shared" si="414"/>
        <v>0</v>
      </c>
      <c r="C740" s="250">
        <f t="shared" si="416"/>
        <v>0</v>
      </c>
      <c r="D740" s="208">
        <f t="shared" si="416"/>
        <v>0</v>
      </c>
      <c r="E740" s="208">
        <f t="shared" si="416"/>
        <v>0</v>
      </c>
      <c r="F740" s="208">
        <f t="shared" si="416"/>
        <v>0</v>
      </c>
      <c r="G740" s="208">
        <f t="shared" si="416"/>
        <v>0</v>
      </c>
      <c r="H740" s="208">
        <f t="shared" si="416"/>
        <v>0</v>
      </c>
      <c r="I740" s="208">
        <f t="shared" si="416"/>
        <v>0</v>
      </c>
      <c r="J740" s="208">
        <f t="shared" si="416"/>
        <v>0</v>
      </c>
      <c r="K740" s="208">
        <f t="shared" si="416"/>
        <v>0</v>
      </c>
      <c r="L740" s="208">
        <f t="shared" si="416"/>
        <v>0</v>
      </c>
      <c r="M740" s="208">
        <f t="shared" si="416"/>
        <v>0</v>
      </c>
      <c r="N740" s="208">
        <f t="shared" si="416"/>
        <v>0</v>
      </c>
      <c r="O740" s="208">
        <f t="shared" si="416"/>
        <v>0</v>
      </c>
      <c r="P740" s="208">
        <f t="shared" si="416"/>
        <v>0</v>
      </c>
      <c r="Q740" s="208">
        <f t="shared" si="416"/>
        <v>0</v>
      </c>
      <c r="R740" s="208">
        <f t="shared" si="416"/>
        <v>0</v>
      </c>
      <c r="S740" s="208">
        <f t="shared" si="416"/>
        <v>0</v>
      </c>
      <c r="T740" s="208">
        <f t="shared" si="416"/>
        <v>0</v>
      </c>
      <c r="U740" s="208">
        <f t="shared" si="416"/>
        <v>0</v>
      </c>
      <c r="V740" s="208">
        <f t="shared" si="416"/>
        <v>0</v>
      </c>
      <c r="W740" s="208">
        <f t="shared" si="416"/>
        <v>0</v>
      </c>
      <c r="X740" s="208">
        <f t="shared" si="416"/>
        <v>0</v>
      </c>
      <c r="Y740" s="208">
        <f t="shared" si="416"/>
        <v>0</v>
      </c>
      <c r="Z740" s="208">
        <f t="shared" si="416"/>
        <v>0</v>
      </c>
      <c r="AA740" s="208">
        <f t="shared" si="416"/>
        <v>0</v>
      </c>
      <c r="AB740" s="208">
        <f t="shared" si="416"/>
        <v>0</v>
      </c>
      <c r="AC740" s="208">
        <f t="shared" si="416"/>
        <v>0</v>
      </c>
      <c r="AD740" s="208">
        <f t="shared" si="416"/>
        <v>0</v>
      </c>
      <c r="AE740" s="208">
        <f t="shared" si="416"/>
        <v>0</v>
      </c>
      <c r="AF740" s="208">
        <f t="shared" si="416"/>
        <v>0</v>
      </c>
      <c r="AG740" s="208">
        <f t="shared" si="416"/>
        <v>0</v>
      </c>
      <c r="AH740" s="208">
        <f t="shared" si="416"/>
        <v>0</v>
      </c>
      <c r="AI740" s="208">
        <f t="shared" si="416"/>
        <v>0</v>
      </c>
      <c r="AJ740" s="208">
        <f t="shared" si="416"/>
        <v>0</v>
      </c>
      <c r="AK740" s="208">
        <f t="shared" si="416"/>
        <v>0</v>
      </c>
      <c r="AL740" s="208">
        <f t="shared" si="416"/>
        <v>0</v>
      </c>
      <c r="AM740" s="208">
        <f t="shared" si="416"/>
        <v>0</v>
      </c>
      <c r="AN740" s="208">
        <f t="shared" si="416"/>
        <v>0</v>
      </c>
      <c r="AO740" s="208">
        <f t="shared" si="416"/>
        <v>0</v>
      </c>
      <c r="AP740" s="208">
        <f t="shared" si="416"/>
        <v>0</v>
      </c>
    </row>
    <row r="741" spans="1:42">
      <c r="A741" s="37">
        <f t="shared" si="417"/>
        <v>5</v>
      </c>
      <c r="B741" s="218">
        <f t="shared" si="414"/>
        <v>0</v>
      </c>
      <c r="C741" s="250">
        <f t="shared" si="416"/>
        <v>0</v>
      </c>
      <c r="D741" s="208">
        <f t="shared" si="416"/>
        <v>0</v>
      </c>
      <c r="E741" s="208">
        <f t="shared" si="416"/>
        <v>0</v>
      </c>
      <c r="F741" s="208">
        <f t="shared" si="416"/>
        <v>0</v>
      </c>
      <c r="G741" s="208">
        <f t="shared" si="416"/>
        <v>0</v>
      </c>
      <c r="H741" s="208">
        <f t="shared" si="416"/>
        <v>0</v>
      </c>
      <c r="I741" s="208">
        <f t="shared" si="416"/>
        <v>0</v>
      </c>
      <c r="J741" s="208">
        <f t="shared" si="416"/>
        <v>0</v>
      </c>
      <c r="K741" s="208">
        <f t="shared" si="416"/>
        <v>0</v>
      </c>
      <c r="L741" s="208">
        <f t="shared" si="416"/>
        <v>0</v>
      </c>
      <c r="M741" s="208">
        <f t="shared" si="416"/>
        <v>0</v>
      </c>
      <c r="N741" s="208">
        <f t="shared" si="416"/>
        <v>0</v>
      </c>
      <c r="O741" s="208">
        <f t="shared" si="416"/>
        <v>0</v>
      </c>
      <c r="P741" s="208">
        <f t="shared" si="416"/>
        <v>0</v>
      </c>
      <c r="Q741" s="208">
        <f t="shared" si="416"/>
        <v>0</v>
      </c>
      <c r="R741" s="208">
        <f t="shared" si="416"/>
        <v>0</v>
      </c>
      <c r="S741" s="208">
        <f t="shared" si="416"/>
        <v>0</v>
      </c>
      <c r="T741" s="208">
        <f t="shared" si="416"/>
        <v>0</v>
      </c>
      <c r="U741" s="208">
        <f t="shared" si="416"/>
        <v>0</v>
      </c>
      <c r="V741" s="208">
        <f t="shared" si="416"/>
        <v>0</v>
      </c>
      <c r="W741" s="208">
        <f t="shared" si="416"/>
        <v>0</v>
      </c>
      <c r="X741" s="208">
        <f t="shared" si="416"/>
        <v>0</v>
      </c>
      <c r="Y741" s="208">
        <f t="shared" si="416"/>
        <v>0</v>
      </c>
      <c r="Z741" s="208">
        <f t="shared" si="416"/>
        <v>0</v>
      </c>
      <c r="AA741" s="208">
        <f t="shared" si="416"/>
        <v>0</v>
      </c>
      <c r="AB741" s="208">
        <f t="shared" si="416"/>
        <v>0</v>
      </c>
      <c r="AC741" s="208">
        <f t="shared" si="416"/>
        <v>0</v>
      </c>
      <c r="AD741" s="208">
        <f t="shared" si="416"/>
        <v>0</v>
      </c>
      <c r="AE741" s="208">
        <f t="shared" si="416"/>
        <v>0</v>
      </c>
      <c r="AF741" s="208">
        <f t="shared" si="416"/>
        <v>0</v>
      </c>
      <c r="AG741" s="208">
        <f t="shared" si="416"/>
        <v>0</v>
      </c>
      <c r="AH741" s="208">
        <f t="shared" si="416"/>
        <v>0</v>
      </c>
      <c r="AI741" s="208">
        <f t="shared" si="416"/>
        <v>0</v>
      </c>
      <c r="AJ741" s="208">
        <f t="shared" si="416"/>
        <v>0</v>
      </c>
      <c r="AK741" s="208">
        <f t="shared" si="416"/>
        <v>0</v>
      </c>
      <c r="AL741" s="208">
        <f t="shared" si="416"/>
        <v>0</v>
      </c>
      <c r="AM741" s="208">
        <f t="shared" si="416"/>
        <v>0</v>
      </c>
      <c r="AN741" s="208">
        <f t="shared" si="416"/>
        <v>0</v>
      </c>
      <c r="AO741" s="208">
        <f t="shared" si="416"/>
        <v>0</v>
      </c>
      <c r="AP741" s="208">
        <f t="shared" si="416"/>
        <v>0</v>
      </c>
    </row>
    <row r="742" spans="1:42">
      <c r="A742" s="37">
        <f t="shared" si="417"/>
        <v>6</v>
      </c>
      <c r="B742" s="218">
        <f t="shared" si="414"/>
        <v>0</v>
      </c>
      <c r="C742" s="250">
        <f t="shared" si="416"/>
        <v>0</v>
      </c>
      <c r="D742" s="208">
        <f t="shared" si="416"/>
        <v>0</v>
      </c>
      <c r="E742" s="208">
        <f t="shared" si="416"/>
        <v>0</v>
      </c>
      <c r="F742" s="208">
        <f t="shared" si="416"/>
        <v>0</v>
      </c>
      <c r="G742" s="208">
        <f t="shared" si="416"/>
        <v>0</v>
      </c>
      <c r="H742" s="208">
        <f t="shared" si="416"/>
        <v>0</v>
      </c>
      <c r="I742" s="208">
        <f t="shared" si="416"/>
        <v>0</v>
      </c>
      <c r="J742" s="208">
        <f t="shared" si="416"/>
        <v>0</v>
      </c>
      <c r="K742" s="208">
        <f t="shared" si="416"/>
        <v>0</v>
      </c>
      <c r="L742" s="208">
        <f t="shared" si="416"/>
        <v>0</v>
      </c>
      <c r="M742" s="208">
        <f t="shared" si="416"/>
        <v>0</v>
      </c>
      <c r="N742" s="208">
        <f t="shared" si="416"/>
        <v>0</v>
      </c>
      <c r="O742" s="208">
        <f t="shared" si="416"/>
        <v>0</v>
      </c>
      <c r="P742" s="208">
        <f t="shared" si="416"/>
        <v>0</v>
      </c>
      <c r="Q742" s="208">
        <f t="shared" si="416"/>
        <v>0</v>
      </c>
      <c r="R742" s="208">
        <f t="shared" si="416"/>
        <v>0</v>
      </c>
      <c r="S742" s="208">
        <f t="shared" si="416"/>
        <v>0</v>
      </c>
      <c r="T742" s="208">
        <f t="shared" si="416"/>
        <v>0</v>
      </c>
      <c r="U742" s="208">
        <f t="shared" si="416"/>
        <v>0</v>
      </c>
      <c r="V742" s="208">
        <f t="shared" si="416"/>
        <v>0</v>
      </c>
      <c r="W742" s="208">
        <f t="shared" si="416"/>
        <v>0</v>
      </c>
      <c r="X742" s="208">
        <f t="shared" si="416"/>
        <v>0</v>
      </c>
      <c r="Y742" s="208">
        <f t="shared" si="416"/>
        <v>0</v>
      </c>
      <c r="Z742" s="208">
        <f t="shared" si="416"/>
        <v>0</v>
      </c>
      <c r="AA742" s="208">
        <f t="shared" si="416"/>
        <v>0</v>
      </c>
      <c r="AB742" s="208">
        <f t="shared" si="416"/>
        <v>0</v>
      </c>
      <c r="AC742" s="208">
        <f t="shared" si="416"/>
        <v>0</v>
      </c>
      <c r="AD742" s="208">
        <f t="shared" si="416"/>
        <v>0</v>
      </c>
      <c r="AE742" s="208">
        <f t="shared" si="416"/>
        <v>0</v>
      </c>
      <c r="AF742" s="208">
        <f t="shared" si="416"/>
        <v>0</v>
      </c>
      <c r="AG742" s="208">
        <f t="shared" si="416"/>
        <v>0</v>
      </c>
      <c r="AH742" s="208">
        <f t="shared" si="416"/>
        <v>0</v>
      </c>
      <c r="AI742" s="208">
        <f t="shared" si="416"/>
        <v>0</v>
      </c>
      <c r="AJ742" s="208">
        <f t="shared" si="416"/>
        <v>0</v>
      </c>
      <c r="AK742" s="208">
        <f t="shared" si="416"/>
        <v>0</v>
      </c>
      <c r="AL742" s="208">
        <f t="shared" si="416"/>
        <v>0</v>
      </c>
      <c r="AM742" s="208">
        <f t="shared" si="416"/>
        <v>0</v>
      </c>
      <c r="AN742" s="208">
        <f t="shared" si="416"/>
        <v>0</v>
      </c>
      <c r="AO742" s="208">
        <f t="shared" si="416"/>
        <v>0</v>
      </c>
      <c r="AP742" s="208">
        <f t="shared" si="416"/>
        <v>0</v>
      </c>
    </row>
    <row r="743" spans="1:42">
      <c r="A743" s="37">
        <f t="shared" si="417"/>
        <v>7</v>
      </c>
      <c r="B743" s="218">
        <f t="shared" si="414"/>
        <v>0</v>
      </c>
      <c r="C743" s="250">
        <f t="shared" si="416"/>
        <v>0</v>
      </c>
      <c r="D743" s="208">
        <f t="shared" si="416"/>
        <v>0</v>
      </c>
      <c r="E743" s="208">
        <f t="shared" si="416"/>
        <v>0</v>
      </c>
      <c r="F743" s="208">
        <f t="shared" si="416"/>
        <v>0</v>
      </c>
      <c r="G743" s="208">
        <f t="shared" si="416"/>
        <v>0</v>
      </c>
      <c r="H743" s="208">
        <f t="shared" si="416"/>
        <v>0</v>
      </c>
      <c r="I743" s="208">
        <f t="shared" si="416"/>
        <v>0</v>
      </c>
      <c r="J743" s="208">
        <f t="shared" si="416"/>
        <v>0</v>
      </c>
      <c r="K743" s="208">
        <f t="shared" si="416"/>
        <v>0</v>
      </c>
      <c r="L743" s="208">
        <f t="shared" si="416"/>
        <v>0</v>
      </c>
      <c r="M743" s="208">
        <f t="shared" si="416"/>
        <v>0</v>
      </c>
      <c r="N743" s="208">
        <f t="shared" si="416"/>
        <v>0</v>
      </c>
      <c r="O743" s="208">
        <f t="shared" si="416"/>
        <v>0</v>
      </c>
      <c r="P743" s="208">
        <f t="shared" si="416"/>
        <v>0</v>
      </c>
      <c r="Q743" s="208">
        <f t="shared" si="416"/>
        <v>0</v>
      </c>
      <c r="R743" s="208">
        <f t="shared" si="416"/>
        <v>0</v>
      </c>
      <c r="S743" s="208">
        <f t="shared" si="416"/>
        <v>0</v>
      </c>
      <c r="T743" s="208">
        <f t="shared" si="416"/>
        <v>0</v>
      </c>
      <c r="U743" s="208">
        <f t="shared" si="416"/>
        <v>0</v>
      </c>
      <c r="V743" s="208">
        <f t="shared" si="416"/>
        <v>0</v>
      </c>
      <c r="W743" s="208">
        <f t="shared" si="416"/>
        <v>0</v>
      </c>
      <c r="X743" s="208">
        <f t="shared" si="416"/>
        <v>0</v>
      </c>
      <c r="Y743" s="208">
        <f t="shared" si="416"/>
        <v>0</v>
      </c>
      <c r="Z743" s="208">
        <f t="shared" si="416"/>
        <v>0</v>
      </c>
      <c r="AA743" s="208">
        <f t="shared" si="416"/>
        <v>0</v>
      </c>
      <c r="AB743" s="208">
        <f t="shared" si="416"/>
        <v>0</v>
      </c>
      <c r="AC743" s="208">
        <f t="shared" si="416"/>
        <v>0</v>
      </c>
      <c r="AD743" s="208">
        <f t="shared" si="416"/>
        <v>0</v>
      </c>
      <c r="AE743" s="208">
        <f t="shared" si="416"/>
        <v>0</v>
      </c>
      <c r="AF743" s="208">
        <f t="shared" si="416"/>
        <v>0</v>
      </c>
      <c r="AG743" s="208">
        <f t="shared" si="416"/>
        <v>0</v>
      </c>
      <c r="AH743" s="208">
        <f t="shared" si="416"/>
        <v>0</v>
      </c>
      <c r="AI743" s="208">
        <f t="shared" si="416"/>
        <v>0</v>
      </c>
      <c r="AJ743" s="208">
        <f t="shared" si="416"/>
        <v>0</v>
      </c>
      <c r="AK743" s="208">
        <f t="shared" si="416"/>
        <v>0</v>
      </c>
      <c r="AL743" s="208">
        <f t="shared" si="416"/>
        <v>0</v>
      </c>
      <c r="AM743" s="208">
        <f t="shared" si="416"/>
        <v>0</v>
      </c>
      <c r="AN743" s="208">
        <f t="shared" si="416"/>
        <v>0</v>
      </c>
      <c r="AO743" s="208">
        <f t="shared" si="416"/>
        <v>0</v>
      </c>
      <c r="AP743" s="208">
        <f t="shared" si="416"/>
        <v>0</v>
      </c>
    </row>
    <row r="744" spans="1:42">
      <c r="A744" s="37">
        <f t="shared" si="417"/>
        <v>8</v>
      </c>
      <c r="B744" s="218">
        <f t="shared" si="414"/>
        <v>0</v>
      </c>
      <c r="C744" s="250">
        <f t="shared" si="416"/>
        <v>0</v>
      </c>
      <c r="D744" s="208">
        <f t="shared" si="416"/>
        <v>0</v>
      </c>
      <c r="E744" s="208">
        <f t="shared" si="416"/>
        <v>0</v>
      </c>
      <c r="F744" s="208">
        <f t="shared" si="416"/>
        <v>0</v>
      </c>
      <c r="G744" s="208">
        <f t="shared" si="416"/>
        <v>0</v>
      </c>
      <c r="H744" s="208">
        <f t="shared" si="416"/>
        <v>0</v>
      </c>
      <c r="I744" s="208">
        <f t="shared" si="416"/>
        <v>0</v>
      </c>
      <c r="J744" s="208">
        <f t="shared" si="416"/>
        <v>0</v>
      </c>
      <c r="K744" s="208">
        <f t="shared" si="416"/>
        <v>0</v>
      </c>
      <c r="L744" s="208">
        <f t="shared" si="416"/>
        <v>0</v>
      </c>
      <c r="M744" s="208">
        <f t="shared" si="416"/>
        <v>0</v>
      </c>
      <c r="N744" s="208">
        <f t="shared" si="416"/>
        <v>0</v>
      </c>
      <c r="O744" s="208">
        <f t="shared" si="416"/>
        <v>0</v>
      </c>
      <c r="P744" s="208">
        <f t="shared" si="416"/>
        <v>0</v>
      </c>
      <c r="Q744" s="208">
        <f t="shared" si="416"/>
        <v>0</v>
      </c>
      <c r="R744" s="208">
        <f t="shared" ref="R744:AP744" si="418">IF(AND(R$2&gt;MMFrequency*$A731,R$2&lt;=MMFrequency*$A732),$B732/(MMFrequency),0)</f>
        <v>0</v>
      </c>
      <c r="S744" s="208">
        <f t="shared" si="418"/>
        <v>0</v>
      </c>
      <c r="T744" s="208">
        <f t="shared" si="418"/>
        <v>0</v>
      </c>
      <c r="U744" s="208">
        <f t="shared" si="418"/>
        <v>0</v>
      </c>
      <c r="V744" s="208">
        <f t="shared" si="418"/>
        <v>0</v>
      </c>
      <c r="W744" s="208">
        <f t="shared" si="418"/>
        <v>0</v>
      </c>
      <c r="X744" s="208">
        <f t="shared" si="418"/>
        <v>0</v>
      </c>
      <c r="Y744" s="208">
        <f t="shared" si="418"/>
        <v>0</v>
      </c>
      <c r="Z744" s="208">
        <f t="shared" si="418"/>
        <v>0</v>
      </c>
      <c r="AA744" s="208">
        <f t="shared" si="418"/>
        <v>0</v>
      </c>
      <c r="AB744" s="208">
        <f t="shared" si="418"/>
        <v>0</v>
      </c>
      <c r="AC744" s="208">
        <f t="shared" si="418"/>
        <v>0</v>
      </c>
      <c r="AD744" s="208">
        <f t="shared" si="418"/>
        <v>0</v>
      </c>
      <c r="AE744" s="208">
        <f t="shared" si="418"/>
        <v>0</v>
      </c>
      <c r="AF744" s="208">
        <f t="shared" si="418"/>
        <v>0</v>
      </c>
      <c r="AG744" s="208">
        <f t="shared" si="418"/>
        <v>0</v>
      </c>
      <c r="AH744" s="208">
        <f t="shared" si="418"/>
        <v>0</v>
      </c>
      <c r="AI744" s="208">
        <f t="shared" si="418"/>
        <v>0</v>
      </c>
      <c r="AJ744" s="208">
        <f t="shared" si="418"/>
        <v>0</v>
      </c>
      <c r="AK744" s="208">
        <f t="shared" si="418"/>
        <v>0</v>
      </c>
      <c r="AL744" s="208">
        <f t="shared" si="418"/>
        <v>0</v>
      </c>
      <c r="AM744" s="208">
        <f t="shared" si="418"/>
        <v>0</v>
      </c>
      <c r="AN744" s="208">
        <f t="shared" si="418"/>
        <v>0</v>
      </c>
      <c r="AO744" s="208">
        <f t="shared" si="418"/>
        <v>0</v>
      </c>
      <c r="AP744" s="208">
        <f t="shared" si="418"/>
        <v>0</v>
      </c>
    </row>
    <row r="745" spans="1:42">
      <c r="A745" s="37">
        <f>A744+1</f>
        <v>9</v>
      </c>
      <c r="B745" s="218">
        <f t="shared" si="414"/>
        <v>0</v>
      </c>
      <c r="C745" s="250">
        <f t="shared" ref="C745:AP746" si="419">IF(AND(C$2&gt;MMFrequency*$A732,C$2&lt;=MMFrequency*$A733),$B733/(MMFrequency),0)</f>
        <v>0</v>
      </c>
      <c r="D745" s="208">
        <f t="shared" si="419"/>
        <v>0</v>
      </c>
      <c r="E745" s="208">
        <f t="shared" si="419"/>
        <v>0</v>
      </c>
      <c r="F745" s="208">
        <f t="shared" si="419"/>
        <v>0</v>
      </c>
      <c r="G745" s="208">
        <f t="shared" si="419"/>
        <v>0</v>
      </c>
      <c r="H745" s="208">
        <f t="shared" si="419"/>
        <v>0</v>
      </c>
      <c r="I745" s="208">
        <f t="shared" si="419"/>
        <v>0</v>
      </c>
      <c r="J745" s="208">
        <f t="shared" si="419"/>
        <v>0</v>
      </c>
      <c r="K745" s="208">
        <f t="shared" si="419"/>
        <v>0</v>
      </c>
      <c r="L745" s="208">
        <f t="shared" si="419"/>
        <v>0</v>
      </c>
      <c r="M745" s="208">
        <f t="shared" si="419"/>
        <v>0</v>
      </c>
      <c r="N745" s="208">
        <f t="shared" si="419"/>
        <v>0</v>
      </c>
      <c r="O745" s="208">
        <f t="shared" si="419"/>
        <v>0</v>
      </c>
      <c r="P745" s="208">
        <f t="shared" si="419"/>
        <v>0</v>
      </c>
      <c r="Q745" s="208">
        <f t="shared" si="419"/>
        <v>0</v>
      </c>
      <c r="R745" s="208">
        <f t="shared" si="419"/>
        <v>0</v>
      </c>
      <c r="S745" s="208">
        <f t="shared" si="419"/>
        <v>0</v>
      </c>
      <c r="T745" s="208">
        <f t="shared" si="419"/>
        <v>0</v>
      </c>
      <c r="U745" s="208">
        <f t="shared" si="419"/>
        <v>0</v>
      </c>
      <c r="V745" s="208">
        <f t="shared" si="419"/>
        <v>0</v>
      </c>
      <c r="W745" s="208">
        <f t="shared" si="419"/>
        <v>0</v>
      </c>
      <c r="X745" s="208">
        <f t="shared" si="419"/>
        <v>0</v>
      </c>
      <c r="Y745" s="208">
        <f t="shared" si="419"/>
        <v>0</v>
      </c>
      <c r="Z745" s="208">
        <f t="shared" si="419"/>
        <v>0</v>
      </c>
      <c r="AA745" s="208">
        <f t="shared" si="419"/>
        <v>0</v>
      </c>
      <c r="AB745" s="208">
        <f t="shared" si="419"/>
        <v>0</v>
      </c>
      <c r="AC745" s="208">
        <f t="shared" si="419"/>
        <v>0</v>
      </c>
      <c r="AD745" s="208">
        <f t="shared" si="419"/>
        <v>0</v>
      </c>
      <c r="AE745" s="208">
        <f t="shared" si="419"/>
        <v>0</v>
      </c>
      <c r="AF745" s="208">
        <f t="shared" si="419"/>
        <v>0</v>
      </c>
      <c r="AG745" s="208">
        <f t="shared" si="419"/>
        <v>0</v>
      </c>
      <c r="AH745" s="208">
        <f t="shared" si="419"/>
        <v>0</v>
      </c>
      <c r="AI745" s="208">
        <f t="shared" si="419"/>
        <v>0</v>
      </c>
      <c r="AJ745" s="208">
        <f t="shared" si="419"/>
        <v>0</v>
      </c>
      <c r="AK745" s="208">
        <f t="shared" si="419"/>
        <v>0</v>
      </c>
      <c r="AL745" s="208">
        <f t="shared" si="419"/>
        <v>0</v>
      </c>
      <c r="AM745" s="208">
        <f t="shared" si="419"/>
        <v>0</v>
      </c>
      <c r="AN745" s="208">
        <f t="shared" si="419"/>
        <v>0</v>
      </c>
      <c r="AO745" s="208">
        <f t="shared" si="419"/>
        <v>0</v>
      </c>
      <c r="AP745" s="208">
        <f t="shared" si="419"/>
        <v>0</v>
      </c>
    </row>
    <row r="746" spans="1:42">
      <c r="A746" s="37">
        <f t="shared" ref="A746" si="420">A745+1</f>
        <v>10</v>
      </c>
      <c r="B746" s="218">
        <f t="shared" si="414"/>
        <v>0</v>
      </c>
      <c r="C746" s="246">
        <f t="shared" si="419"/>
        <v>0</v>
      </c>
      <c r="D746" s="209">
        <f t="shared" si="419"/>
        <v>0</v>
      </c>
      <c r="E746" s="209">
        <f t="shared" si="419"/>
        <v>0</v>
      </c>
      <c r="F746" s="209">
        <f t="shared" si="419"/>
        <v>0</v>
      </c>
      <c r="G746" s="209">
        <f t="shared" si="419"/>
        <v>0</v>
      </c>
      <c r="H746" s="209">
        <f t="shared" si="419"/>
        <v>0</v>
      </c>
      <c r="I746" s="209">
        <f t="shared" si="419"/>
        <v>0</v>
      </c>
      <c r="J746" s="209">
        <f t="shared" si="419"/>
        <v>0</v>
      </c>
      <c r="K746" s="209">
        <f t="shared" si="419"/>
        <v>0</v>
      </c>
      <c r="L746" s="209">
        <f t="shared" si="419"/>
        <v>0</v>
      </c>
      <c r="M746" s="209">
        <f t="shared" si="419"/>
        <v>0</v>
      </c>
      <c r="N746" s="209">
        <f t="shared" si="419"/>
        <v>0</v>
      </c>
      <c r="O746" s="209">
        <f t="shared" si="419"/>
        <v>0</v>
      </c>
      <c r="P746" s="209">
        <f t="shared" si="419"/>
        <v>0</v>
      </c>
      <c r="Q746" s="209">
        <f t="shared" si="419"/>
        <v>0</v>
      </c>
      <c r="R746" s="209">
        <f t="shared" si="419"/>
        <v>0</v>
      </c>
      <c r="S746" s="209">
        <f t="shared" si="419"/>
        <v>0</v>
      </c>
      <c r="T746" s="209">
        <f t="shared" si="419"/>
        <v>0</v>
      </c>
      <c r="U746" s="209">
        <f t="shared" si="419"/>
        <v>0</v>
      </c>
      <c r="V746" s="209">
        <f t="shared" si="419"/>
        <v>0</v>
      </c>
      <c r="W746" s="209">
        <f t="shared" si="419"/>
        <v>0</v>
      </c>
      <c r="X746" s="209">
        <f t="shared" si="419"/>
        <v>0</v>
      </c>
      <c r="Y746" s="209">
        <f t="shared" si="419"/>
        <v>0</v>
      </c>
      <c r="Z746" s="209">
        <f t="shared" si="419"/>
        <v>0</v>
      </c>
      <c r="AA746" s="209">
        <f t="shared" si="419"/>
        <v>0</v>
      </c>
      <c r="AB746" s="209">
        <f t="shared" si="419"/>
        <v>0</v>
      </c>
      <c r="AC746" s="209">
        <f t="shared" si="419"/>
        <v>0</v>
      </c>
      <c r="AD746" s="209">
        <f t="shared" si="419"/>
        <v>0</v>
      </c>
      <c r="AE746" s="209">
        <f t="shared" si="419"/>
        <v>0</v>
      </c>
      <c r="AF746" s="209">
        <f t="shared" si="419"/>
        <v>0</v>
      </c>
      <c r="AG746" s="209">
        <f t="shared" si="419"/>
        <v>0</v>
      </c>
      <c r="AH746" s="209">
        <f t="shared" si="419"/>
        <v>0</v>
      </c>
      <c r="AI746" s="209">
        <f t="shared" si="419"/>
        <v>0</v>
      </c>
      <c r="AJ746" s="209">
        <f t="shared" si="419"/>
        <v>0</v>
      </c>
      <c r="AK746" s="209">
        <f t="shared" si="419"/>
        <v>0</v>
      </c>
      <c r="AL746" s="209">
        <f t="shared" si="419"/>
        <v>0</v>
      </c>
      <c r="AM746" s="209">
        <f t="shared" si="419"/>
        <v>0</v>
      </c>
      <c r="AN746" s="209">
        <f t="shared" si="419"/>
        <v>0</v>
      </c>
      <c r="AO746" s="209">
        <f t="shared" si="419"/>
        <v>0</v>
      </c>
      <c r="AP746" s="209">
        <f t="shared" si="419"/>
        <v>0</v>
      </c>
    </row>
    <row r="747" spans="1:42">
      <c r="A747" s="244" t="s">
        <v>53</v>
      </c>
      <c r="B747" s="208"/>
      <c r="C747" s="164">
        <f>SUM(C737:C746)</f>
        <v>245406.02862510949</v>
      </c>
      <c r="D747" s="164">
        <f t="shared" ref="D747:AP747" si="421">SUM(D737:D746)</f>
        <v>245406.02862510949</v>
      </c>
      <c r="E747" s="164">
        <f t="shared" si="421"/>
        <v>245406.02862510949</v>
      </c>
      <c r="F747" s="164">
        <f t="shared" si="421"/>
        <v>245406.02862510949</v>
      </c>
      <c r="G747" s="164">
        <f t="shared" si="421"/>
        <v>245406.02862510949</v>
      </c>
      <c r="H747" s="164">
        <f t="shared" si="421"/>
        <v>245406.02862510949</v>
      </c>
      <c r="I747" s="164">
        <f t="shared" si="421"/>
        <v>245406.02862510949</v>
      </c>
      <c r="J747" s="164">
        <f t="shared" si="421"/>
        <v>245406.02862510949</v>
      </c>
      <c r="K747" s="164">
        <f t="shared" si="421"/>
        <v>245406.02862510949</v>
      </c>
      <c r="L747" s="164">
        <f t="shared" si="421"/>
        <v>245406.02862510949</v>
      </c>
      <c r="M747" s="164">
        <f t="shared" si="421"/>
        <v>245406.02862510949</v>
      </c>
      <c r="N747" s="164">
        <f t="shared" si="421"/>
        <v>245406.02862510949</v>
      </c>
      <c r="O747" s="164">
        <f t="shared" si="421"/>
        <v>293411.90721039008</v>
      </c>
      <c r="P747" s="164">
        <f t="shared" si="421"/>
        <v>293411.90721039008</v>
      </c>
      <c r="Q747" s="164">
        <f t="shared" si="421"/>
        <v>293411.90721039008</v>
      </c>
      <c r="R747" s="164">
        <f t="shared" si="421"/>
        <v>293411.90721039008</v>
      </c>
      <c r="S747" s="164">
        <f t="shared" si="421"/>
        <v>293411.90721039008</v>
      </c>
      <c r="T747" s="164">
        <f t="shared" si="421"/>
        <v>293411.90721039008</v>
      </c>
      <c r="U747" s="164">
        <f t="shared" si="421"/>
        <v>293411.90721039008</v>
      </c>
      <c r="V747" s="164">
        <f t="shared" si="421"/>
        <v>293411.90721039008</v>
      </c>
      <c r="W747" s="164">
        <f t="shared" si="421"/>
        <v>293411.90721039008</v>
      </c>
      <c r="X747" s="164">
        <f t="shared" si="421"/>
        <v>293411.90721039008</v>
      </c>
      <c r="Y747" s="164">
        <f t="shared" si="421"/>
        <v>293411.90721039008</v>
      </c>
      <c r="Z747" s="164">
        <f t="shared" si="421"/>
        <v>293411.90721039008</v>
      </c>
      <c r="AA747" s="164">
        <f t="shared" si="421"/>
        <v>0</v>
      </c>
      <c r="AB747" s="164">
        <f t="shared" si="421"/>
        <v>0</v>
      </c>
      <c r="AC747" s="164">
        <f t="shared" si="421"/>
        <v>0</v>
      </c>
      <c r="AD747" s="164">
        <f t="shared" si="421"/>
        <v>0</v>
      </c>
      <c r="AE747" s="164">
        <f t="shared" si="421"/>
        <v>0</v>
      </c>
      <c r="AF747" s="164">
        <f t="shared" si="421"/>
        <v>0</v>
      </c>
      <c r="AG747" s="164">
        <f t="shared" si="421"/>
        <v>0</v>
      </c>
      <c r="AH747" s="164">
        <f t="shared" si="421"/>
        <v>0</v>
      </c>
      <c r="AI747" s="164">
        <f t="shared" si="421"/>
        <v>0</v>
      </c>
      <c r="AJ747" s="164">
        <f t="shared" si="421"/>
        <v>0</v>
      </c>
      <c r="AK747" s="164">
        <f t="shared" si="421"/>
        <v>0</v>
      </c>
      <c r="AL747" s="164">
        <f t="shared" si="421"/>
        <v>0</v>
      </c>
      <c r="AM747" s="164">
        <f t="shared" si="421"/>
        <v>0</v>
      </c>
      <c r="AN747" s="164">
        <f t="shared" si="421"/>
        <v>0</v>
      </c>
      <c r="AO747" s="164">
        <f t="shared" si="421"/>
        <v>0</v>
      </c>
      <c r="AP747" s="164">
        <f t="shared" si="421"/>
        <v>0</v>
      </c>
    </row>
    <row r="748" spans="1:42">
      <c r="B748" s="208"/>
      <c r="C748" s="164"/>
      <c r="D748" s="164"/>
      <c r="E748" s="164"/>
      <c r="F748" s="164"/>
      <c r="G748" s="164"/>
      <c r="H748" s="164"/>
      <c r="I748" s="164"/>
      <c r="J748" s="164"/>
      <c r="K748" s="164"/>
      <c r="L748" s="164"/>
      <c r="M748" s="164"/>
      <c r="N748" s="164"/>
      <c r="O748" s="164"/>
      <c r="P748" s="164"/>
      <c r="Q748" s="164"/>
      <c r="R748" s="164"/>
      <c r="S748" s="164"/>
      <c r="T748" s="164"/>
      <c r="U748" s="164"/>
      <c r="V748" s="164"/>
      <c r="W748" s="164"/>
      <c r="X748" s="164"/>
      <c r="Y748" s="164"/>
      <c r="Z748" s="164"/>
      <c r="AA748" s="164"/>
      <c r="AB748" s="164"/>
      <c r="AC748" s="164"/>
      <c r="AD748" s="164"/>
      <c r="AE748" s="164"/>
      <c r="AF748" s="164"/>
      <c r="AG748" s="164"/>
      <c r="AH748" s="164"/>
      <c r="AI748" s="164"/>
      <c r="AJ748" s="164"/>
      <c r="AK748" s="164"/>
      <c r="AL748" s="164"/>
      <c r="AM748" s="164"/>
      <c r="AN748" s="164"/>
      <c r="AO748" s="164"/>
      <c r="AP748" s="164"/>
    </row>
    <row r="749" spans="1:42">
      <c r="A749" s="204" t="s">
        <v>376</v>
      </c>
      <c r="C749" s="164"/>
      <c r="D749" s="164"/>
      <c r="E749" s="164"/>
      <c r="F749" s="164"/>
      <c r="G749" s="164"/>
      <c r="H749" s="164"/>
      <c r="I749" s="164"/>
      <c r="J749" s="164"/>
      <c r="K749" s="164"/>
      <c r="L749" s="164"/>
      <c r="M749" s="164"/>
      <c r="N749" s="164"/>
      <c r="O749" s="164"/>
      <c r="P749" s="164"/>
      <c r="Q749" s="164"/>
      <c r="R749" s="164"/>
      <c r="S749" s="164"/>
      <c r="T749" s="164"/>
      <c r="U749" s="164"/>
      <c r="V749" s="164"/>
      <c r="W749" s="164"/>
      <c r="X749" s="164"/>
      <c r="Y749" s="164"/>
      <c r="Z749" s="164"/>
      <c r="AA749" s="164"/>
      <c r="AB749" s="164"/>
      <c r="AC749" s="164"/>
      <c r="AD749" s="164"/>
      <c r="AE749" s="164"/>
      <c r="AF749" s="164"/>
      <c r="AG749" s="164"/>
      <c r="AH749" s="164"/>
      <c r="AI749" s="164"/>
      <c r="AJ749" s="164"/>
      <c r="AK749" s="164"/>
      <c r="AL749" s="164"/>
      <c r="AM749" s="164"/>
      <c r="AN749" s="164"/>
      <c r="AO749" s="164"/>
      <c r="AP749" s="164"/>
    </row>
    <row r="750" spans="1:42">
      <c r="A750" s="37" t="s">
        <v>100</v>
      </c>
      <c r="B750" s="164">
        <v>0</v>
      </c>
      <c r="C750" s="164">
        <f>B753</f>
        <v>0</v>
      </c>
      <c r="D750" s="164">
        <f t="shared" ref="D750:AP750" si="422">C753</f>
        <v>410585.24356465257</v>
      </c>
      <c r="E750" s="164">
        <f t="shared" si="422"/>
        <v>821170.48712930514</v>
      </c>
      <c r="F750" s="164">
        <f t="shared" si="422"/>
        <v>1231755.7306939578</v>
      </c>
      <c r="G750" s="164">
        <f t="shared" si="422"/>
        <v>1642340.9742586103</v>
      </c>
      <c r="H750" s="164">
        <f t="shared" si="422"/>
        <v>2052926.2178232628</v>
      </c>
      <c r="I750" s="164">
        <f t="shared" si="422"/>
        <v>2463511.4613879155</v>
      </c>
      <c r="J750" s="164">
        <f t="shared" si="422"/>
        <v>2874096.7049525683</v>
      </c>
      <c r="K750" s="164">
        <f t="shared" si="422"/>
        <v>3284681.948517221</v>
      </c>
      <c r="L750" s="164">
        <f t="shared" si="422"/>
        <v>3695267.1920818738</v>
      </c>
      <c r="M750" s="164">
        <f t="shared" si="422"/>
        <v>4105852.4356465265</v>
      </c>
      <c r="N750" s="164">
        <f t="shared" si="422"/>
        <v>4516437.6792111788</v>
      </c>
      <c r="O750" s="164">
        <f t="shared" si="422"/>
        <v>4927022.9227758311</v>
      </c>
      <c r="P750" s="164">
        <f t="shared" si="422"/>
        <v>5337608.1663404834</v>
      </c>
      <c r="Q750" s="164">
        <f t="shared" si="422"/>
        <v>5748193.4099051356</v>
      </c>
      <c r="R750" s="164">
        <f t="shared" si="422"/>
        <v>0</v>
      </c>
      <c r="S750" s="164">
        <f t="shared" si="422"/>
        <v>513326.83759962226</v>
      </c>
      <c r="T750" s="164">
        <f t="shared" si="422"/>
        <v>1026653.6751992445</v>
      </c>
      <c r="U750" s="164">
        <f t="shared" si="422"/>
        <v>1539980.5127988667</v>
      </c>
      <c r="V750" s="164">
        <f t="shared" si="422"/>
        <v>2053307.350398489</v>
      </c>
      <c r="W750" s="164">
        <f t="shared" si="422"/>
        <v>2566634.1879981114</v>
      </c>
      <c r="X750" s="164">
        <f t="shared" si="422"/>
        <v>3079961.0255977334</v>
      </c>
      <c r="Y750" s="164">
        <f t="shared" si="422"/>
        <v>3593287.8631973555</v>
      </c>
      <c r="Z750" s="164">
        <f t="shared" si="422"/>
        <v>4106614.7007969776</v>
      </c>
      <c r="AA750" s="164">
        <f t="shared" si="422"/>
        <v>4619941.5383965997</v>
      </c>
      <c r="AB750" s="164">
        <f t="shared" si="422"/>
        <v>5133268.3759962218</v>
      </c>
      <c r="AC750" s="164">
        <f t="shared" si="422"/>
        <v>5646595.2135958439</v>
      </c>
      <c r="AD750" s="164">
        <f t="shared" si="422"/>
        <v>6159922.051195466</v>
      </c>
      <c r="AE750" s="164">
        <f t="shared" si="422"/>
        <v>6673248.888795088</v>
      </c>
      <c r="AF750" s="164">
        <f t="shared" si="422"/>
        <v>7186575.7263947101</v>
      </c>
      <c r="AG750" s="164">
        <f t="shared" si="422"/>
        <v>0</v>
      </c>
      <c r="AH750" s="164">
        <f t="shared" si="422"/>
        <v>0</v>
      </c>
      <c r="AI750" s="164">
        <f t="shared" si="422"/>
        <v>0</v>
      </c>
      <c r="AJ750" s="164">
        <f t="shared" si="422"/>
        <v>0</v>
      </c>
      <c r="AK750" s="164">
        <f t="shared" si="422"/>
        <v>0</v>
      </c>
      <c r="AL750" s="164">
        <f t="shared" si="422"/>
        <v>0</v>
      </c>
      <c r="AM750" s="164">
        <f t="shared" si="422"/>
        <v>0</v>
      </c>
      <c r="AN750" s="164">
        <f t="shared" si="422"/>
        <v>0</v>
      </c>
      <c r="AO750" s="164">
        <f t="shared" si="422"/>
        <v>0</v>
      </c>
      <c r="AP750" s="164">
        <f t="shared" si="422"/>
        <v>0</v>
      </c>
    </row>
    <row r="751" spans="1:42">
      <c r="A751" s="37" t="s">
        <v>208</v>
      </c>
      <c r="B751" s="164">
        <v>0</v>
      </c>
      <c r="C751" s="164">
        <f>C779</f>
        <v>410585.24356465257</v>
      </c>
      <c r="D751" s="164">
        <f t="shared" ref="D751:AP751" si="423">D779</f>
        <v>410585.24356465257</v>
      </c>
      <c r="E751" s="164">
        <f t="shared" si="423"/>
        <v>410585.24356465257</v>
      </c>
      <c r="F751" s="164">
        <f t="shared" si="423"/>
        <v>410585.24356465257</v>
      </c>
      <c r="G751" s="164">
        <f t="shared" si="423"/>
        <v>410585.24356465257</v>
      </c>
      <c r="H751" s="164">
        <f t="shared" si="423"/>
        <v>410585.24356465257</v>
      </c>
      <c r="I751" s="164">
        <f t="shared" si="423"/>
        <v>410585.24356465257</v>
      </c>
      <c r="J751" s="164">
        <f t="shared" si="423"/>
        <v>410585.24356465257</v>
      </c>
      <c r="K751" s="164">
        <f t="shared" si="423"/>
        <v>410585.24356465257</v>
      </c>
      <c r="L751" s="164">
        <f t="shared" si="423"/>
        <v>410585.24356465257</v>
      </c>
      <c r="M751" s="164">
        <f t="shared" si="423"/>
        <v>410585.24356465257</v>
      </c>
      <c r="N751" s="164">
        <f t="shared" si="423"/>
        <v>410585.24356465257</v>
      </c>
      <c r="O751" s="164">
        <f t="shared" si="423"/>
        <v>410585.24356465257</v>
      </c>
      <c r="P751" s="164">
        <f t="shared" si="423"/>
        <v>410585.24356465257</v>
      </c>
      <c r="Q751" s="164">
        <f t="shared" si="423"/>
        <v>410585.24356465257</v>
      </c>
      <c r="R751" s="164">
        <f t="shared" si="423"/>
        <v>513326.83759962226</v>
      </c>
      <c r="S751" s="164">
        <f t="shared" si="423"/>
        <v>513326.83759962226</v>
      </c>
      <c r="T751" s="164">
        <f t="shared" si="423"/>
        <v>513326.83759962226</v>
      </c>
      <c r="U751" s="164">
        <f t="shared" si="423"/>
        <v>513326.83759962226</v>
      </c>
      <c r="V751" s="164">
        <f t="shared" si="423"/>
        <v>513326.83759962226</v>
      </c>
      <c r="W751" s="164">
        <f t="shared" si="423"/>
        <v>513326.83759962226</v>
      </c>
      <c r="X751" s="164">
        <f t="shared" si="423"/>
        <v>513326.83759962226</v>
      </c>
      <c r="Y751" s="164">
        <f t="shared" si="423"/>
        <v>513326.83759962226</v>
      </c>
      <c r="Z751" s="164">
        <f t="shared" si="423"/>
        <v>513326.83759962226</v>
      </c>
      <c r="AA751" s="164">
        <f t="shared" si="423"/>
        <v>513326.83759962226</v>
      </c>
      <c r="AB751" s="164">
        <f t="shared" si="423"/>
        <v>513326.83759962226</v>
      </c>
      <c r="AC751" s="164">
        <f t="shared" si="423"/>
        <v>513326.83759962226</v>
      </c>
      <c r="AD751" s="164">
        <f t="shared" si="423"/>
        <v>513326.83759962226</v>
      </c>
      <c r="AE751" s="164">
        <f t="shared" si="423"/>
        <v>513326.83759962226</v>
      </c>
      <c r="AF751" s="164">
        <f t="shared" si="423"/>
        <v>513326.83759962226</v>
      </c>
      <c r="AG751" s="164">
        <f t="shared" si="423"/>
        <v>0</v>
      </c>
      <c r="AH751" s="164">
        <f t="shared" si="423"/>
        <v>0</v>
      </c>
      <c r="AI751" s="164">
        <f t="shared" si="423"/>
        <v>0</v>
      </c>
      <c r="AJ751" s="164">
        <f t="shared" si="423"/>
        <v>0</v>
      </c>
      <c r="AK751" s="164">
        <f t="shared" si="423"/>
        <v>0</v>
      </c>
      <c r="AL751" s="164">
        <f t="shared" si="423"/>
        <v>0</v>
      </c>
      <c r="AM751" s="164">
        <f t="shared" si="423"/>
        <v>0</v>
      </c>
      <c r="AN751" s="164">
        <f t="shared" si="423"/>
        <v>0</v>
      </c>
      <c r="AO751" s="164">
        <f t="shared" si="423"/>
        <v>0</v>
      </c>
      <c r="AP751" s="164">
        <f t="shared" si="423"/>
        <v>0</v>
      </c>
    </row>
    <row r="752" spans="1:42">
      <c r="A752" s="37" t="s">
        <v>107</v>
      </c>
      <c r="B752" s="209">
        <v>0</v>
      </c>
      <c r="C752" s="209">
        <f>-C767</f>
        <v>0</v>
      </c>
      <c r="D752" s="209">
        <f t="shared" ref="D752:AP752" si="424">-D767</f>
        <v>0</v>
      </c>
      <c r="E752" s="209">
        <f t="shared" si="424"/>
        <v>0</v>
      </c>
      <c r="F752" s="209">
        <f t="shared" si="424"/>
        <v>0</v>
      </c>
      <c r="G752" s="209">
        <f t="shared" si="424"/>
        <v>0</v>
      </c>
      <c r="H752" s="209">
        <f t="shared" si="424"/>
        <v>0</v>
      </c>
      <c r="I752" s="209">
        <f t="shared" si="424"/>
        <v>0</v>
      </c>
      <c r="J752" s="209">
        <f t="shared" si="424"/>
        <v>0</v>
      </c>
      <c r="K752" s="209">
        <f t="shared" si="424"/>
        <v>0</v>
      </c>
      <c r="L752" s="209">
        <f t="shared" si="424"/>
        <v>0</v>
      </c>
      <c r="M752" s="209">
        <f t="shared" si="424"/>
        <v>0</v>
      </c>
      <c r="N752" s="209">
        <f t="shared" si="424"/>
        <v>0</v>
      </c>
      <c r="O752" s="209">
        <f t="shared" si="424"/>
        <v>0</v>
      </c>
      <c r="P752" s="209">
        <f t="shared" si="424"/>
        <v>0</v>
      </c>
      <c r="Q752" s="209">
        <f t="shared" si="424"/>
        <v>-6158778.6534697888</v>
      </c>
      <c r="R752" s="209">
        <f t="shared" si="424"/>
        <v>0</v>
      </c>
      <c r="S752" s="209">
        <f t="shared" si="424"/>
        <v>0</v>
      </c>
      <c r="T752" s="209">
        <f t="shared" si="424"/>
        <v>0</v>
      </c>
      <c r="U752" s="209">
        <f t="shared" si="424"/>
        <v>0</v>
      </c>
      <c r="V752" s="209">
        <f t="shared" si="424"/>
        <v>0</v>
      </c>
      <c r="W752" s="209">
        <f t="shared" si="424"/>
        <v>0</v>
      </c>
      <c r="X752" s="209">
        <f t="shared" si="424"/>
        <v>0</v>
      </c>
      <c r="Y752" s="209">
        <f t="shared" si="424"/>
        <v>0</v>
      </c>
      <c r="Z752" s="209">
        <f t="shared" si="424"/>
        <v>0</v>
      </c>
      <c r="AA752" s="209">
        <f t="shared" si="424"/>
        <v>0</v>
      </c>
      <c r="AB752" s="209">
        <f t="shared" si="424"/>
        <v>0</v>
      </c>
      <c r="AC752" s="209">
        <f t="shared" si="424"/>
        <v>0</v>
      </c>
      <c r="AD752" s="209">
        <f t="shared" si="424"/>
        <v>0</v>
      </c>
      <c r="AE752" s="209">
        <f t="shared" si="424"/>
        <v>0</v>
      </c>
      <c r="AF752" s="209">
        <f t="shared" si="424"/>
        <v>-7699902.5639943341</v>
      </c>
      <c r="AG752" s="209">
        <f t="shared" si="424"/>
        <v>0</v>
      </c>
      <c r="AH752" s="209">
        <f t="shared" si="424"/>
        <v>0</v>
      </c>
      <c r="AI752" s="209">
        <f t="shared" si="424"/>
        <v>0</v>
      </c>
      <c r="AJ752" s="209">
        <f t="shared" si="424"/>
        <v>0</v>
      </c>
      <c r="AK752" s="209">
        <f t="shared" si="424"/>
        <v>0</v>
      </c>
      <c r="AL752" s="209">
        <f t="shared" si="424"/>
        <v>0</v>
      </c>
      <c r="AM752" s="209">
        <f t="shared" si="424"/>
        <v>0</v>
      </c>
      <c r="AN752" s="209">
        <f t="shared" si="424"/>
        <v>0</v>
      </c>
      <c r="AO752" s="209">
        <f t="shared" si="424"/>
        <v>0</v>
      </c>
      <c r="AP752" s="209">
        <f t="shared" si="424"/>
        <v>0</v>
      </c>
    </row>
    <row r="753" spans="1:42">
      <c r="A753" s="37" t="s">
        <v>103</v>
      </c>
      <c r="B753" s="164">
        <f>SUM(B750:B752)</f>
        <v>0</v>
      </c>
      <c r="C753" s="164">
        <f>SUM(C750:C752)</f>
        <v>410585.24356465257</v>
      </c>
      <c r="D753" s="164">
        <f t="shared" ref="D753:AP753" si="425">SUM(D750:D752)</f>
        <v>821170.48712930514</v>
      </c>
      <c r="E753" s="164">
        <f t="shared" si="425"/>
        <v>1231755.7306939578</v>
      </c>
      <c r="F753" s="164">
        <f t="shared" si="425"/>
        <v>1642340.9742586103</v>
      </c>
      <c r="G753" s="164">
        <f t="shared" si="425"/>
        <v>2052926.2178232628</v>
      </c>
      <c r="H753" s="164">
        <f t="shared" si="425"/>
        <v>2463511.4613879155</v>
      </c>
      <c r="I753" s="164">
        <f t="shared" si="425"/>
        <v>2874096.7049525683</v>
      </c>
      <c r="J753" s="164">
        <f t="shared" si="425"/>
        <v>3284681.948517221</v>
      </c>
      <c r="K753" s="164">
        <f t="shared" si="425"/>
        <v>3695267.1920818738</v>
      </c>
      <c r="L753" s="164">
        <f t="shared" si="425"/>
        <v>4105852.4356465265</v>
      </c>
      <c r="M753" s="164">
        <f t="shared" si="425"/>
        <v>4516437.6792111788</v>
      </c>
      <c r="N753" s="164">
        <f t="shared" si="425"/>
        <v>4927022.9227758311</v>
      </c>
      <c r="O753" s="164">
        <f t="shared" si="425"/>
        <v>5337608.1663404834</v>
      </c>
      <c r="P753" s="164">
        <f t="shared" si="425"/>
        <v>5748193.4099051356</v>
      </c>
      <c r="Q753" s="164">
        <f t="shared" si="425"/>
        <v>0</v>
      </c>
      <c r="R753" s="164">
        <f t="shared" si="425"/>
        <v>513326.83759962226</v>
      </c>
      <c r="S753" s="164">
        <f t="shared" si="425"/>
        <v>1026653.6751992445</v>
      </c>
      <c r="T753" s="164">
        <f t="shared" si="425"/>
        <v>1539980.5127988667</v>
      </c>
      <c r="U753" s="164">
        <f t="shared" si="425"/>
        <v>2053307.350398489</v>
      </c>
      <c r="V753" s="164">
        <f t="shared" si="425"/>
        <v>2566634.1879981114</v>
      </c>
      <c r="W753" s="164">
        <f t="shared" si="425"/>
        <v>3079961.0255977334</v>
      </c>
      <c r="X753" s="164">
        <f t="shared" si="425"/>
        <v>3593287.8631973555</v>
      </c>
      <c r="Y753" s="164">
        <f t="shared" si="425"/>
        <v>4106614.7007969776</v>
      </c>
      <c r="Z753" s="164">
        <f t="shared" si="425"/>
        <v>4619941.5383965997</v>
      </c>
      <c r="AA753" s="164">
        <f t="shared" si="425"/>
        <v>5133268.3759962218</v>
      </c>
      <c r="AB753" s="164">
        <f t="shared" si="425"/>
        <v>5646595.2135958439</v>
      </c>
      <c r="AC753" s="164">
        <f t="shared" si="425"/>
        <v>6159922.051195466</v>
      </c>
      <c r="AD753" s="164">
        <f t="shared" si="425"/>
        <v>6673248.888795088</v>
      </c>
      <c r="AE753" s="164">
        <f t="shared" si="425"/>
        <v>7186575.7263947101</v>
      </c>
      <c r="AF753" s="164">
        <f t="shared" si="425"/>
        <v>0</v>
      </c>
      <c r="AG753" s="164">
        <f t="shared" si="425"/>
        <v>0</v>
      </c>
      <c r="AH753" s="164">
        <f t="shared" si="425"/>
        <v>0</v>
      </c>
      <c r="AI753" s="164">
        <f t="shared" si="425"/>
        <v>0</v>
      </c>
      <c r="AJ753" s="164">
        <f t="shared" si="425"/>
        <v>0</v>
      </c>
      <c r="AK753" s="164">
        <f t="shared" si="425"/>
        <v>0</v>
      </c>
      <c r="AL753" s="164">
        <f t="shared" si="425"/>
        <v>0</v>
      </c>
      <c r="AM753" s="164">
        <f t="shared" si="425"/>
        <v>0</v>
      </c>
      <c r="AN753" s="164">
        <f t="shared" si="425"/>
        <v>0</v>
      </c>
      <c r="AO753" s="164">
        <f t="shared" si="425"/>
        <v>0</v>
      </c>
      <c r="AP753" s="164">
        <f t="shared" si="425"/>
        <v>0</v>
      </c>
    </row>
    <row r="754" spans="1:42">
      <c r="B754" s="164"/>
      <c r="C754" s="164"/>
      <c r="D754" s="164"/>
      <c r="E754" s="164"/>
      <c r="F754" s="164"/>
      <c r="G754" s="208"/>
      <c r="H754" s="208"/>
      <c r="I754" s="208"/>
      <c r="J754" s="208"/>
      <c r="K754" s="208"/>
      <c r="L754" s="208"/>
      <c r="M754" s="208"/>
      <c r="N754" s="208"/>
      <c r="O754" s="208"/>
      <c r="P754" s="208"/>
      <c r="Q754" s="208"/>
      <c r="R754" s="208"/>
      <c r="S754" s="208"/>
      <c r="T754" s="208"/>
      <c r="U754" s="208"/>
      <c r="V754" s="208"/>
      <c r="W754" s="208"/>
      <c r="X754" s="208"/>
      <c r="Y754" s="208"/>
      <c r="Z754" s="208"/>
      <c r="AA754" s="208"/>
      <c r="AB754" s="208"/>
      <c r="AC754" s="208"/>
      <c r="AD754" s="208"/>
      <c r="AE754" s="208"/>
      <c r="AF754" s="208"/>
      <c r="AG754" s="208"/>
      <c r="AH754" s="208"/>
      <c r="AI754" s="208"/>
      <c r="AJ754" s="208"/>
      <c r="AK754" s="208"/>
      <c r="AL754" s="208"/>
      <c r="AM754" s="208"/>
      <c r="AN754" s="208"/>
      <c r="AO754" s="208"/>
      <c r="AP754" s="208"/>
    </row>
    <row r="755" spans="1:42">
      <c r="A755" s="37" t="s">
        <v>206</v>
      </c>
      <c r="B755" s="164"/>
      <c r="C755" s="164"/>
      <c r="D755" s="164"/>
      <c r="E755" s="164"/>
      <c r="F755" s="164"/>
      <c r="G755" s="208"/>
      <c r="H755" s="208"/>
      <c r="I755" s="208"/>
      <c r="J755" s="208"/>
      <c r="K755" s="208"/>
      <c r="L755" s="208"/>
      <c r="M755" s="208"/>
      <c r="N755" s="208"/>
      <c r="O755" s="208"/>
      <c r="P755" s="208"/>
      <c r="Q755" s="208"/>
      <c r="R755" s="208"/>
      <c r="S755" s="208"/>
      <c r="T755" s="208"/>
      <c r="U755" s="208"/>
      <c r="V755" s="208"/>
      <c r="W755" s="208"/>
      <c r="X755" s="208"/>
      <c r="Y755" s="208"/>
      <c r="Z755" s="208"/>
      <c r="AA755" s="208"/>
      <c r="AB755" s="208"/>
      <c r="AC755" s="208"/>
      <c r="AD755" s="208"/>
      <c r="AE755" s="208"/>
      <c r="AF755" s="208"/>
      <c r="AG755" s="208"/>
      <c r="AH755" s="208"/>
      <c r="AI755" s="208"/>
      <c r="AJ755" s="208"/>
      <c r="AK755" s="208"/>
      <c r="AL755" s="208"/>
      <c r="AM755" s="208"/>
      <c r="AN755" s="208"/>
      <c r="AO755" s="208"/>
      <c r="AP755" s="208"/>
    </row>
    <row r="756" spans="1:42">
      <c r="A756" s="37" t="s">
        <v>207</v>
      </c>
      <c r="B756" s="164"/>
      <c r="C756" s="164"/>
      <c r="D756" s="164"/>
      <c r="E756" s="164"/>
      <c r="F756" s="164"/>
      <c r="G756" s="208"/>
      <c r="H756" s="208"/>
      <c r="I756" s="208"/>
      <c r="J756" s="208"/>
      <c r="K756" s="208"/>
      <c r="L756" s="208"/>
      <c r="M756" s="208"/>
      <c r="N756" s="208"/>
      <c r="O756" s="208"/>
      <c r="P756" s="208"/>
      <c r="Q756" s="208"/>
      <c r="R756" s="208"/>
      <c r="S756" s="208"/>
      <c r="T756" s="208"/>
      <c r="U756" s="208"/>
      <c r="V756" s="208"/>
      <c r="W756" s="208"/>
      <c r="X756" s="208"/>
      <c r="Y756" s="208"/>
      <c r="Z756" s="208"/>
      <c r="AA756" s="208"/>
      <c r="AB756" s="208"/>
      <c r="AC756" s="208"/>
      <c r="AD756" s="208"/>
      <c r="AE756" s="208"/>
      <c r="AF756" s="208"/>
      <c r="AG756" s="208"/>
      <c r="AH756" s="208"/>
      <c r="AI756" s="208"/>
      <c r="AJ756" s="208"/>
      <c r="AK756" s="208"/>
      <c r="AL756" s="208"/>
      <c r="AM756" s="208"/>
      <c r="AN756" s="208"/>
      <c r="AO756" s="208"/>
      <c r="AP756" s="208"/>
    </row>
    <row r="757" spans="1:42">
      <c r="A757" s="37">
        <v>1</v>
      </c>
      <c r="B757" s="218">
        <f t="shared" ref="B757:B766" si="426">SUM(C757:AP757)</f>
        <v>6158778.6534697888</v>
      </c>
      <c r="C757" s="208">
        <f t="shared" ref="C757:R766" si="427">IF(C$2&gt;AnalysisPeriod,0,IF(C$2=MMFrequency2*$A757,MMCost2*CapacityDC*1000*(1+Inflation)^B$2,0))</f>
        <v>0</v>
      </c>
      <c r="D757" s="208">
        <f t="shared" si="427"/>
        <v>0</v>
      </c>
      <c r="E757" s="208">
        <f t="shared" si="427"/>
        <v>0</v>
      </c>
      <c r="F757" s="208">
        <f t="shared" si="427"/>
        <v>0</v>
      </c>
      <c r="G757" s="208">
        <f t="shared" si="427"/>
        <v>0</v>
      </c>
      <c r="H757" s="208">
        <f t="shared" si="427"/>
        <v>0</v>
      </c>
      <c r="I757" s="208">
        <f t="shared" si="427"/>
        <v>0</v>
      </c>
      <c r="J757" s="208">
        <f t="shared" si="427"/>
        <v>0</v>
      </c>
      <c r="K757" s="208">
        <f t="shared" si="427"/>
        <v>0</v>
      </c>
      <c r="L757" s="208">
        <f t="shared" si="427"/>
        <v>0</v>
      </c>
      <c r="M757" s="208">
        <f t="shared" si="427"/>
        <v>0</v>
      </c>
      <c r="N757" s="208">
        <f t="shared" si="427"/>
        <v>0</v>
      </c>
      <c r="O757" s="208">
        <f t="shared" si="427"/>
        <v>0</v>
      </c>
      <c r="P757" s="208">
        <f t="shared" si="427"/>
        <v>0</v>
      </c>
      <c r="Q757" s="208">
        <f t="shared" si="427"/>
        <v>6158778.6534697888</v>
      </c>
      <c r="R757" s="208">
        <f t="shared" si="427"/>
        <v>0</v>
      </c>
      <c r="S757" s="208">
        <f t="shared" ref="S757:AH766" si="428">IF(S$2&gt;AnalysisPeriod,0,IF(S$2=MMFrequency2*$A757,MMCost2*CapacityDC*1000*(1+Inflation)^R$2,0))</f>
        <v>0</v>
      </c>
      <c r="T757" s="208">
        <f t="shared" si="428"/>
        <v>0</v>
      </c>
      <c r="U757" s="208">
        <f t="shared" si="428"/>
        <v>0</v>
      </c>
      <c r="V757" s="208">
        <f t="shared" si="428"/>
        <v>0</v>
      </c>
      <c r="W757" s="208">
        <f t="shared" si="428"/>
        <v>0</v>
      </c>
      <c r="X757" s="208">
        <f t="shared" si="428"/>
        <v>0</v>
      </c>
      <c r="Y757" s="208">
        <f t="shared" si="428"/>
        <v>0</v>
      </c>
      <c r="Z757" s="208">
        <f t="shared" si="428"/>
        <v>0</v>
      </c>
      <c r="AA757" s="208">
        <f t="shared" si="428"/>
        <v>0</v>
      </c>
      <c r="AB757" s="208">
        <f t="shared" si="428"/>
        <v>0</v>
      </c>
      <c r="AC757" s="208">
        <f t="shared" si="428"/>
        <v>0</v>
      </c>
      <c r="AD757" s="208">
        <f t="shared" si="428"/>
        <v>0</v>
      </c>
      <c r="AE757" s="208">
        <f t="shared" si="428"/>
        <v>0</v>
      </c>
      <c r="AF757" s="208">
        <f t="shared" si="428"/>
        <v>0</v>
      </c>
      <c r="AG757" s="208">
        <f t="shared" si="428"/>
        <v>0</v>
      </c>
      <c r="AH757" s="208">
        <f t="shared" si="428"/>
        <v>0</v>
      </c>
      <c r="AI757" s="208">
        <f t="shared" ref="AI757:AP766" si="429">IF(AI$2&gt;AnalysisPeriod,0,IF(AI$2=MMFrequency2*$A757,MMCost2*CapacityDC*1000*(1+Inflation)^AH$2,0))</f>
        <v>0</v>
      </c>
      <c r="AJ757" s="208">
        <f t="shared" si="429"/>
        <v>0</v>
      </c>
      <c r="AK757" s="208">
        <f t="shared" si="429"/>
        <v>0</v>
      </c>
      <c r="AL757" s="208">
        <f t="shared" si="429"/>
        <v>0</v>
      </c>
      <c r="AM757" s="208">
        <f t="shared" si="429"/>
        <v>0</v>
      </c>
      <c r="AN757" s="208">
        <f t="shared" si="429"/>
        <v>0</v>
      </c>
      <c r="AO757" s="208">
        <f t="shared" si="429"/>
        <v>0</v>
      </c>
      <c r="AP757" s="208">
        <f t="shared" si="429"/>
        <v>0</v>
      </c>
    </row>
    <row r="758" spans="1:42">
      <c r="A758" s="37">
        <f>A757+1</f>
        <v>2</v>
      </c>
      <c r="B758" s="218">
        <f t="shared" si="426"/>
        <v>7699902.5639943341</v>
      </c>
      <c r="C758" s="208">
        <f t="shared" si="427"/>
        <v>0</v>
      </c>
      <c r="D758" s="208">
        <f t="shared" si="427"/>
        <v>0</v>
      </c>
      <c r="E758" s="208">
        <f t="shared" si="427"/>
        <v>0</v>
      </c>
      <c r="F758" s="208">
        <f t="shared" si="427"/>
        <v>0</v>
      </c>
      <c r="G758" s="208">
        <f t="shared" si="427"/>
        <v>0</v>
      </c>
      <c r="H758" s="208">
        <f t="shared" si="427"/>
        <v>0</v>
      </c>
      <c r="I758" s="208">
        <f t="shared" si="427"/>
        <v>0</v>
      </c>
      <c r="J758" s="208">
        <f t="shared" si="427"/>
        <v>0</v>
      </c>
      <c r="K758" s="208">
        <f t="shared" si="427"/>
        <v>0</v>
      </c>
      <c r="L758" s="208">
        <f t="shared" si="427"/>
        <v>0</v>
      </c>
      <c r="M758" s="208">
        <f t="shared" si="427"/>
        <v>0</v>
      </c>
      <c r="N758" s="208">
        <f t="shared" si="427"/>
        <v>0</v>
      </c>
      <c r="O758" s="208">
        <f t="shared" si="427"/>
        <v>0</v>
      </c>
      <c r="P758" s="208">
        <f t="shared" si="427"/>
        <v>0</v>
      </c>
      <c r="Q758" s="208">
        <f t="shared" si="427"/>
        <v>0</v>
      </c>
      <c r="R758" s="208">
        <f t="shared" si="427"/>
        <v>0</v>
      </c>
      <c r="S758" s="208">
        <f t="shared" si="428"/>
        <v>0</v>
      </c>
      <c r="T758" s="208">
        <f t="shared" si="428"/>
        <v>0</v>
      </c>
      <c r="U758" s="208">
        <f t="shared" si="428"/>
        <v>0</v>
      </c>
      <c r="V758" s="208">
        <f t="shared" si="428"/>
        <v>0</v>
      </c>
      <c r="W758" s="208">
        <f t="shared" si="428"/>
        <v>0</v>
      </c>
      <c r="X758" s="208">
        <f t="shared" si="428"/>
        <v>0</v>
      </c>
      <c r="Y758" s="208">
        <f t="shared" si="428"/>
        <v>0</v>
      </c>
      <c r="Z758" s="208">
        <f t="shared" si="428"/>
        <v>0</v>
      </c>
      <c r="AA758" s="208">
        <f t="shared" si="428"/>
        <v>0</v>
      </c>
      <c r="AB758" s="208">
        <f t="shared" si="428"/>
        <v>0</v>
      </c>
      <c r="AC758" s="208">
        <f t="shared" si="428"/>
        <v>0</v>
      </c>
      <c r="AD758" s="208">
        <f t="shared" si="428"/>
        <v>0</v>
      </c>
      <c r="AE758" s="208">
        <f t="shared" si="428"/>
        <v>0</v>
      </c>
      <c r="AF758" s="208">
        <f t="shared" si="428"/>
        <v>7699902.5639943341</v>
      </c>
      <c r="AG758" s="208">
        <f t="shared" si="428"/>
        <v>0</v>
      </c>
      <c r="AH758" s="208">
        <f t="shared" si="428"/>
        <v>0</v>
      </c>
      <c r="AI758" s="208">
        <f t="shared" si="429"/>
        <v>0</v>
      </c>
      <c r="AJ758" s="208">
        <f t="shared" si="429"/>
        <v>0</v>
      </c>
      <c r="AK758" s="208">
        <f t="shared" si="429"/>
        <v>0</v>
      </c>
      <c r="AL758" s="208">
        <f t="shared" si="429"/>
        <v>0</v>
      </c>
      <c r="AM758" s="208">
        <f t="shared" si="429"/>
        <v>0</v>
      </c>
      <c r="AN758" s="208">
        <f t="shared" si="429"/>
        <v>0</v>
      </c>
      <c r="AO758" s="208">
        <f t="shared" si="429"/>
        <v>0</v>
      </c>
      <c r="AP758" s="208">
        <f t="shared" si="429"/>
        <v>0</v>
      </c>
    </row>
    <row r="759" spans="1:42">
      <c r="A759" s="37">
        <f t="shared" ref="A759:A766" si="430">A758+1</f>
        <v>3</v>
      </c>
      <c r="B759" s="218">
        <f t="shared" si="426"/>
        <v>0</v>
      </c>
      <c r="C759" s="208">
        <f t="shared" si="427"/>
        <v>0</v>
      </c>
      <c r="D759" s="208">
        <f t="shared" si="427"/>
        <v>0</v>
      </c>
      <c r="E759" s="208">
        <f t="shared" si="427"/>
        <v>0</v>
      </c>
      <c r="F759" s="208">
        <f t="shared" si="427"/>
        <v>0</v>
      </c>
      <c r="G759" s="208">
        <f t="shared" si="427"/>
        <v>0</v>
      </c>
      <c r="H759" s="208">
        <f t="shared" si="427"/>
        <v>0</v>
      </c>
      <c r="I759" s="208">
        <f t="shared" si="427"/>
        <v>0</v>
      </c>
      <c r="J759" s="208">
        <f t="shared" si="427"/>
        <v>0</v>
      </c>
      <c r="K759" s="208">
        <f t="shared" si="427"/>
        <v>0</v>
      </c>
      <c r="L759" s="208">
        <f t="shared" si="427"/>
        <v>0</v>
      </c>
      <c r="M759" s="208">
        <f t="shared" si="427"/>
        <v>0</v>
      </c>
      <c r="N759" s="208">
        <f t="shared" si="427"/>
        <v>0</v>
      </c>
      <c r="O759" s="208">
        <f t="shared" si="427"/>
        <v>0</v>
      </c>
      <c r="P759" s="208">
        <f t="shared" si="427"/>
        <v>0</v>
      </c>
      <c r="Q759" s="208">
        <f t="shared" si="427"/>
        <v>0</v>
      </c>
      <c r="R759" s="208">
        <f t="shared" si="427"/>
        <v>0</v>
      </c>
      <c r="S759" s="208">
        <f t="shared" si="428"/>
        <v>0</v>
      </c>
      <c r="T759" s="208">
        <f t="shared" si="428"/>
        <v>0</v>
      </c>
      <c r="U759" s="208">
        <f t="shared" si="428"/>
        <v>0</v>
      </c>
      <c r="V759" s="208">
        <f t="shared" si="428"/>
        <v>0</v>
      </c>
      <c r="W759" s="208">
        <f t="shared" si="428"/>
        <v>0</v>
      </c>
      <c r="X759" s="208">
        <f t="shared" si="428"/>
        <v>0</v>
      </c>
      <c r="Y759" s="208">
        <f t="shared" si="428"/>
        <v>0</v>
      </c>
      <c r="Z759" s="208">
        <f t="shared" si="428"/>
        <v>0</v>
      </c>
      <c r="AA759" s="208">
        <f t="shared" si="428"/>
        <v>0</v>
      </c>
      <c r="AB759" s="208">
        <f t="shared" si="428"/>
        <v>0</v>
      </c>
      <c r="AC759" s="208">
        <f t="shared" si="428"/>
        <v>0</v>
      </c>
      <c r="AD759" s="208">
        <f t="shared" si="428"/>
        <v>0</v>
      </c>
      <c r="AE759" s="208">
        <f t="shared" si="428"/>
        <v>0</v>
      </c>
      <c r="AF759" s="208">
        <f t="shared" si="428"/>
        <v>0</v>
      </c>
      <c r="AG759" s="208">
        <f t="shared" si="428"/>
        <v>0</v>
      </c>
      <c r="AH759" s="208">
        <f t="shared" si="428"/>
        <v>0</v>
      </c>
      <c r="AI759" s="208">
        <f t="shared" si="429"/>
        <v>0</v>
      </c>
      <c r="AJ759" s="208">
        <f t="shared" si="429"/>
        <v>0</v>
      </c>
      <c r="AK759" s="208">
        <f t="shared" si="429"/>
        <v>0</v>
      </c>
      <c r="AL759" s="208">
        <f t="shared" si="429"/>
        <v>0</v>
      </c>
      <c r="AM759" s="208">
        <f t="shared" si="429"/>
        <v>0</v>
      </c>
      <c r="AN759" s="208">
        <f t="shared" si="429"/>
        <v>0</v>
      </c>
      <c r="AO759" s="208">
        <f t="shared" si="429"/>
        <v>0</v>
      </c>
      <c r="AP759" s="208">
        <f t="shared" si="429"/>
        <v>0</v>
      </c>
    </row>
    <row r="760" spans="1:42">
      <c r="A760" s="37">
        <f t="shared" si="430"/>
        <v>4</v>
      </c>
      <c r="B760" s="218">
        <f t="shared" si="426"/>
        <v>0</v>
      </c>
      <c r="C760" s="208">
        <f t="shared" si="427"/>
        <v>0</v>
      </c>
      <c r="D760" s="208">
        <f t="shared" si="427"/>
        <v>0</v>
      </c>
      <c r="E760" s="208">
        <f t="shared" si="427"/>
        <v>0</v>
      </c>
      <c r="F760" s="208">
        <f t="shared" si="427"/>
        <v>0</v>
      </c>
      <c r="G760" s="208">
        <f t="shared" si="427"/>
        <v>0</v>
      </c>
      <c r="H760" s="208">
        <f t="shared" si="427"/>
        <v>0</v>
      </c>
      <c r="I760" s="208">
        <f t="shared" si="427"/>
        <v>0</v>
      </c>
      <c r="J760" s="208">
        <f t="shared" si="427"/>
        <v>0</v>
      </c>
      <c r="K760" s="208">
        <f t="shared" si="427"/>
        <v>0</v>
      </c>
      <c r="L760" s="208">
        <f t="shared" si="427"/>
        <v>0</v>
      </c>
      <c r="M760" s="208">
        <f t="shared" si="427"/>
        <v>0</v>
      </c>
      <c r="N760" s="208">
        <f t="shared" si="427"/>
        <v>0</v>
      </c>
      <c r="O760" s="208">
        <f t="shared" si="427"/>
        <v>0</v>
      </c>
      <c r="P760" s="208">
        <f t="shared" si="427"/>
        <v>0</v>
      </c>
      <c r="Q760" s="208">
        <f t="shared" si="427"/>
        <v>0</v>
      </c>
      <c r="R760" s="208">
        <f t="shared" si="427"/>
        <v>0</v>
      </c>
      <c r="S760" s="208">
        <f t="shared" si="428"/>
        <v>0</v>
      </c>
      <c r="T760" s="208">
        <f t="shared" si="428"/>
        <v>0</v>
      </c>
      <c r="U760" s="208">
        <f t="shared" si="428"/>
        <v>0</v>
      </c>
      <c r="V760" s="208">
        <f t="shared" si="428"/>
        <v>0</v>
      </c>
      <c r="W760" s="208">
        <f t="shared" si="428"/>
        <v>0</v>
      </c>
      <c r="X760" s="208">
        <f t="shared" si="428"/>
        <v>0</v>
      </c>
      <c r="Y760" s="208">
        <f t="shared" si="428"/>
        <v>0</v>
      </c>
      <c r="Z760" s="208">
        <f t="shared" si="428"/>
        <v>0</v>
      </c>
      <c r="AA760" s="208">
        <f t="shared" si="428"/>
        <v>0</v>
      </c>
      <c r="AB760" s="208">
        <f t="shared" si="428"/>
        <v>0</v>
      </c>
      <c r="AC760" s="208">
        <f t="shared" si="428"/>
        <v>0</v>
      </c>
      <c r="AD760" s="208">
        <f t="shared" si="428"/>
        <v>0</v>
      </c>
      <c r="AE760" s="208">
        <f t="shared" si="428"/>
        <v>0</v>
      </c>
      <c r="AF760" s="208">
        <f t="shared" si="428"/>
        <v>0</v>
      </c>
      <c r="AG760" s="208">
        <f t="shared" si="428"/>
        <v>0</v>
      </c>
      <c r="AH760" s="208">
        <f t="shared" si="428"/>
        <v>0</v>
      </c>
      <c r="AI760" s="208">
        <f t="shared" si="429"/>
        <v>0</v>
      </c>
      <c r="AJ760" s="208">
        <f t="shared" si="429"/>
        <v>0</v>
      </c>
      <c r="AK760" s="208">
        <f t="shared" si="429"/>
        <v>0</v>
      </c>
      <c r="AL760" s="208">
        <f t="shared" si="429"/>
        <v>0</v>
      </c>
      <c r="AM760" s="208">
        <f t="shared" si="429"/>
        <v>0</v>
      </c>
      <c r="AN760" s="208">
        <f t="shared" si="429"/>
        <v>0</v>
      </c>
      <c r="AO760" s="208">
        <f t="shared" si="429"/>
        <v>0</v>
      </c>
      <c r="AP760" s="208">
        <f t="shared" si="429"/>
        <v>0</v>
      </c>
    </row>
    <row r="761" spans="1:42">
      <c r="A761" s="37">
        <f t="shared" si="430"/>
        <v>5</v>
      </c>
      <c r="B761" s="218">
        <f t="shared" si="426"/>
        <v>0</v>
      </c>
      <c r="C761" s="208">
        <f t="shared" si="427"/>
        <v>0</v>
      </c>
      <c r="D761" s="208">
        <f t="shared" si="427"/>
        <v>0</v>
      </c>
      <c r="E761" s="208">
        <f t="shared" si="427"/>
        <v>0</v>
      </c>
      <c r="F761" s="208">
        <f t="shared" si="427"/>
        <v>0</v>
      </c>
      <c r="G761" s="208">
        <f t="shared" si="427"/>
        <v>0</v>
      </c>
      <c r="H761" s="208">
        <f t="shared" si="427"/>
        <v>0</v>
      </c>
      <c r="I761" s="208">
        <f t="shared" si="427"/>
        <v>0</v>
      </c>
      <c r="J761" s="208">
        <f t="shared" si="427"/>
        <v>0</v>
      </c>
      <c r="K761" s="208">
        <f t="shared" si="427"/>
        <v>0</v>
      </c>
      <c r="L761" s="208">
        <f t="shared" si="427"/>
        <v>0</v>
      </c>
      <c r="M761" s="208">
        <f t="shared" si="427"/>
        <v>0</v>
      </c>
      <c r="N761" s="208">
        <f t="shared" si="427"/>
        <v>0</v>
      </c>
      <c r="O761" s="208">
        <f t="shared" si="427"/>
        <v>0</v>
      </c>
      <c r="P761" s="208">
        <f t="shared" si="427"/>
        <v>0</v>
      </c>
      <c r="Q761" s="208">
        <f t="shared" si="427"/>
        <v>0</v>
      </c>
      <c r="R761" s="208">
        <f t="shared" si="427"/>
        <v>0</v>
      </c>
      <c r="S761" s="208">
        <f t="shared" si="428"/>
        <v>0</v>
      </c>
      <c r="T761" s="208">
        <f t="shared" si="428"/>
        <v>0</v>
      </c>
      <c r="U761" s="208">
        <f t="shared" si="428"/>
        <v>0</v>
      </c>
      <c r="V761" s="208">
        <f t="shared" si="428"/>
        <v>0</v>
      </c>
      <c r="W761" s="208">
        <f t="shared" si="428"/>
        <v>0</v>
      </c>
      <c r="X761" s="208">
        <f t="shared" si="428"/>
        <v>0</v>
      </c>
      <c r="Y761" s="208">
        <f t="shared" si="428"/>
        <v>0</v>
      </c>
      <c r="Z761" s="208">
        <f t="shared" si="428"/>
        <v>0</v>
      </c>
      <c r="AA761" s="208">
        <f t="shared" si="428"/>
        <v>0</v>
      </c>
      <c r="AB761" s="208">
        <f t="shared" si="428"/>
        <v>0</v>
      </c>
      <c r="AC761" s="208">
        <f t="shared" si="428"/>
        <v>0</v>
      </c>
      <c r="AD761" s="208">
        <f t="shared" si="428"/>
        <v>0</v>
      </c>
      <c r="AE761" s="208">
        <f t="shared" si="428"/>
        <v>0</v>
      </c>
      <c r="AF761" s="208">
        <f t="shared" si="428"/>
        <v>0</v>
      </c>
      <c r="AG761" s="208">
        <f t="shared" si="428"/>
        <v>0</v>
      </c>
      <c r="AH761" s="208">
        <f t="shared" si="428"/>
        <v>0</v>
      </c>
      <c r="AI761" s="208">
        <f t="shared" si="429"/>
        <v>0</v>
      </c>
      <c r="AJ761" s="208">
        <f t="shared" si="429"/>
        <v>0</v>
      </c>
      <c r="AK761" s="208">
        <f t="shared" si="429"/>
        <v>0</v>
      </c>
      <c r="AL761" s="208">
        <f t="shared" si="429"/>
        <v>0</v>
      </c>
      <c r="AM761" s="208">
        <f t="shared" si="429"/>
        <v>0</v>
      </c>
      <c r="AN761" s="208">
        <f t="shared" si="429"/>
        <v>0</v>
      </c>
      <c r="AO761" s="208">
        <f t="shared" si="429"/>
        <v>0</v>
      </c>
      <c r="AP761" s="208">
        <f t="shared" si="429"/>
        <v>0</v>
      </c>
    </row>
    <row r="762" spans="1:42">
      <c r="A762" s="37">
        <f t="shared" si="430"/>
        <v>6</v>
      </c>
      <c r="B762" s="218">
        <f t="shared" si="426"/>
        <v>0</v>
      </c>
      <c r="C762" s="208">
        <f t="shared" si="427"/>
        <v>0</v>
      </c>
      <c r="D762" s="208">
        <f t="shared" si="427"/>
        <v>0</v>
      </c>
      <c r="E762" s="208">
        <f t="shared" si="427"/>
        <v>0</v>
      </c>
      <c r="F762" s="208">
        <f t="shared" si="427"/>
        <v>0</v>
      </c>
      <c r="G762" s="208">
        <f t="shared" si="427"/>
        <v>0</v>
      </c>
      <c r="H762" s="208">
        <f t="shared" si="427"/>
        <v>0</v>
      </c>
      <c r="I762" s="208">
        <f t="shared" si="427"/>
        <v>0</v>
      </c>
      <c r="J762" s="208">
        <f t="shared" si="427"/>
        <v>0</v>
      </c>
      <c r="K762" s="208">
        <f t="shared" si="427"/>
        <v>0</v>
      </c>
      <c r="L762" s="208">
        <f t="shared" si="427"/>
        <v>0</v>
      </c>
      <c r="M762" s="208">
        <f t="shared" si="427"/>
        <v>0</v>
      </c>
      <c r="N762" s="208">
        <f t="shared" si="427"/>
        <v>0</v>
      </c>
      <c r="O762" s="208">
        <f t="shared" si="427"/>
        <v>0</v>
      </c>
      <c r="P762" s="208">
        <f t="shared" si="427"/>
        <v>0</v>
      </c>
      <c r="Q762" s="208">
        <f t="shared" si="427"/>
        <v>0</v>
      </c>
      <c r="R762" s="208">
        <f t="shared" si="427"/>
        <v>0</v>
      </c>
      <c r="S762" s="208">
        <f t="shared" si="428"/>
        <v>0</v>
      </c>
      <c r="T762" s="208">
        <f t="shared" si="428"/>
        <v>0</v>
      </c>
      <c r="U762" s="208">
        <f t="shared" si="428"/>
        <v>0</v>
      </c>
      <c r="V762" s="208">
        <f t="shared" si="428"/>
        <v>0</v>
      </c>
      <c r="W762" s="208">
        <f t="shared" si="428"/>
        <v>0</v>
      </c>
      <c r="X762" s="208">
        <f t="shared" si="428"/>
        <v>0</v>
      </c>
      <c r="Y762" s="208">
        <f t="shared" si="428"/>
        <v>0</v>
      </c>
      <c r="Z762" s="208">
        <f t="shared" si="428"/>
        <v>0</v>
      </c>
      <c r="AA762" s="208">
        <f t="shared" si="428"/>
        <v>0</v>
      </c>
      <c r="AB762" s="208">
        <f t="shared" si="428"/>
        <v>0</v>
      </c>
      <c r="AC762" s="208">
        <f t="shared" si="428"/>
        <v>0</v>
      </c>
      <c r="AD762" s="208">
        <f t="shared" si="428"/>
        <v>0</v>
      </c>
      <c r="AE762" s="208">
        <f t="shared" si="428"/>
        <v>0</v>
      </c>
      <c r="AF762" s="208">
        <f t="shared" si="428"/>
        <v>0</v>
      </c>
      <c r="AG762" s="208">
        <f t="shared" si="428"/>
        <v>0</v>
      </c>
      <c r="AH762" s="208">
        <f t="shared" si="428"/>
        <v>0</v>
      </c>
      <c r="AI762" s="208">
        <f t="shared" si="429"/>
        <v>0</v>
      </c>
      <c r="AJ762" s="208">
        <f t="shared" si="429"/>
        <v>0</v>
      </c>
      <c r="AK762" s="208">
        <f t="shared" si="429"/>
        <v>0</v>
      </c>
      <c r="AL762" s="208">
        <f t="shared" si="429"/>
        <v>0</v>
      </c>
      <c r="AM762" s="208">
        <f t="shared" si="429"/>
        <v>0</v>
      </c>
      <c r="AN762" s="208">
        <f t="shared" si="429"/>
        <v>0</v>
      </c>
      <c r="AO762" s="208">
        <f t="shared" si="429"/>
        <v>0</v>
      </c>
      <c r="AP762" s="208">
        <f t="shared" si="429"/>
        <v>0</v>
      </c>
    </row>
    <row r="763" spans="1:42">
      <c r="A763" s="37">
        <f t="shared" si="430"/>
        <v>7</v>
      </c>
      <c r="B763" s="218">
        <f t="shared" si="426"/>
        <v>0</v>
      </c>
      <c r="C763" s="208">
        <f t="shared" si="427"/>
        <v>0</v>
      </c>
      <c r="D763" s="208">
        <f t="shared" si="427"/>
        <v>0</v>
      </c>
      <c r="E763" s="208">
        <f t="shared" si="427"/>
        <v>0</v>
      </c>
      <c r="F763" s="208">
        <f t="shared" si="427"/>
        <v>0</v>
      </c>
      <c r="G763" s="208">
        <f t="shared" si="427"/>
        <v>0</v>
      </c>
      <c r="H763" s="208">
        <f t="shared" si="427"/>
        <v>0</v>
      </c>
      <c r="I763" s="208">
        <f t="shared" si="427"/>
        <v>0</v>
      </c>
      <c r="J763" s="208">
        <f t="shared" si="427"/>
        <v>0</v>
      </c>
      <c r="K763" s="208">
        <f t="shared" si="427"/>
        <v>0</v>
      </c>
      <c r="L763" s="208">
        <f t="shared" si="427"/>
        <v>0</v>
      </c>
      <c r="M763" s="208">
        <f t="shared" si="427"/>
        <v>0</v>
      </c>
      <c r="N763" s="208">
        <f t="shared" si="427"/>
        <v>0</v>
      </c>
      <c r="O763" s="208">
        <f t="shared" si="427"/>
        <v>0</v>
      </c>
      <c r="P763" s="208">
        <f t="shared" si="427"/>
        <v>0</v>
      </c>
      <c r="Q763" s="208">
        <f t="shared" si="427"/>
        <v>0</v>
      </c>
      <c r="R763" s="208">
        <f t="shared" si="427"/>
        <v>0</v>
      </c>
      <c r="S763" s="208">
        <f t="shared" si="428"/>
        <v>0</v>
      </c>
      <c r="T763" s="208">
        <f t="shared" si="428"/>
        <v>0</v>
      </c>
      <c r="U763" s="208">
        <f t="shared" si="428"/>
        <v>0</v>
      </c>
      <c r="V763" s="208">
        <f t="shared" si="428"/>
        <v>0</v>
      </c>
      <c r="W763" s="208">
        <f t="shared" si="428"/>
        <v>0</v>
      </c>
      <c r="X763" s="208">
        <f t="shared" si="428"/>
        <v>0</v>
      </c>
      <c r="Y763" s="208">
        <f t="shared" si="428"/>
        <v>0</v>
      </c>
      <c r="Z763" s="208">
        <f t="shared" si="428"/>
        <v>0</v>
      </c>
      <c r="AA763" s="208">
        <f t="shared" si="428"/>
        <v>0</v>
      </c>
      <c r="AB763" s="208">
        <f t="shared" si="428"/>
        <v>0</v>
      </c>
      <c r="AC763" s="208">
        <f t="shared" si="428"/>
        <v>0</v>
      </c>
      <c r="AD763" s="208">
        <f t="shared" si="428"/>
        <v>0</v>
      </c>
      <c r="AE763" s="208">
        <f t="shared" si="428"/>
        <v>0</v>
      </c>
      <c r="AF763" s="208">
        <f t="shared" si="428"/>
        <v>0</v>
      </c>
      <c r="AG763" s="208">
        <f t="shared" si="428"/>
        <v>0</v>
      </c>
      <c r="AH763" s="208">
        <f t="shared" si="428"/>
        <v>0</v>
      </c>
      <c r="AI763" s="208">
        <f t="shared" si="429"/>
        <v>0</v>
      </c>
      <c r="AJ763" s="208">
        <f t="shared" si="429"/>
        <v>0</v>
      </c>
      <c r="AK763" s="208">
        <f t="shared" si="429"/>
        <v>0</v>
      </c>
      <c r="AL763" s="208">
        <f t="shared" si="429"/>
        <v>0</v>
      </c>
      <c r="AM763" s="208">
        <f t="shared" si="429"/>
        <v>0</v>
      </c>
      <c r="AN763" s="208">
        <f t="shared" si="429"/>
        <v>0</v>
      </c>
      <c r="AO763" s="208">
        <f t="shared" si="429"/>
        <v>0</v>
      </c>
      <c r="AP763" s="208">
        <f t="shared" si="429"/>
        <v>0</v>
      </c>
    </row>
    <row r="764" spans="1:42">
      <c r="A764" s="37">
        <f t="shared" si="430"/>
        <v>8</v>
      </c>
      <c r="B764" s="218">
        <f t="shared" si="426"/>
        <v>0</v>
      </c>
      <c r="C764" s="208">
        <f t="shared" si="427"/>
        <v>0</v>
      </c>
      <c r="D764" s="208">
        <f t="shared" si="427"/>
        <v>0</v>
      </c>
      <c r="E764" s="208">
        <f t="shared" si="427"/>
        <v>0</v>
      </c>
      <c r="F764" s="208">
        <f t="shared" si="427"/>
        <v>0</v>
      </c>
      <c r="G764" s="208">
        <f t="shared" si="427"/>
        <v>0</v>
      </c>
      <c r="H764" s="208">
        <f t="shared" si="427"/>
        <v>0</v>
      </c>
      <c r="I764" s="208">
        <f t="shared" si="427"/>
        <v>0</v>
      </c>
      <c r="J764" s="208">
        <f t="shared" si="427"/>
        <v>0</v>
      </c>
      <c r="K764" s="208">
        <f t="shared" si="427"/>
        <v>0</v>
      </c>
      <c r="L764" s="208">
        <f t="shared" si="427"/>
        <v>0</v>
      </c>
      <c r="M764" s="208">
        <f t="shared" si="427"/>
        <v>0</v>
      </c>
      <c r="N764" s="208">
        <f t="shared" si="427"/>
        <v>0</v>
      </c>
      <c r="O764" s="208">
        <f t="shared" si="427"/>
        <v>0</v>
      </c>
      <c r="P764" s="208">
        <f t="shared" si="427"/>
        <v>0</v>
      </c>
      <c r="Q764" s="208">
        <f t="shared" si="427"/>
        <v>0</v>
      </c>
      <c r="R764" s="208">
        <f t="shared" si="427"/>
        <v>0</v>
      </c>
      <c r="S764" s="208">
        <f t="shared" si="428"/>
        <v>0</v>
      </c>
      <c r="T764" s="208">
        <f t="shared" si="428"/>
        <v>0</v>
      </c>
      <c r="U764" s="208">
        <f t="shared" si="428"/>
        <v>0</v>
      </c>
      <c r="V764" s="208">
        <f t="shared" si="428"/>
        <v>0</v>
      </c>
      <c r="W764" s="208">
        <f t="shared" si="428"/>
        <v>0</v>
      </c>
      <c r="X764" s="208">
        <f t="shared" si="428"/>
        <v>0</v>
      </c>
      <c r="Y764" s="208">
        <f t="shared" si="428"/>
        <v>0</v>
      </c>
      <c r="Z764" s="208">
        <f t="shared" si="428"/>
        <v>0</v>
      </c>
      <c r="AA764" s="208">
        <f t="shared" si="428"/>
        <v>0</v>
      </c>
      <c r="AB764" s="208">
        <f t="shared" si="428"/>
        <v>0</v>
      </c>
      <c r="AC764" s="208">
        <f t="shared" si="428"/>
        <v>0</v>
      </c>
      <c r="AD764" s="208">
        <f t="shared" si="428"/>
        <v>0</v>
      </c>
      <c r="AE764" s="208">
        <f t="shared" si="428"/>
        <v>0</v>
      </c>
      <c r="AF764" s="208">
        <f t="shared" si="428"/>
        <v>0</v>
      </c>
      <c r="AG764" s="208">
        <f t="shared" si="428"/>
        <v>0</v>
      </c>
      <c r="AH764" s="208">
        <f t="shared" si="428"/>
        <v>0</v>
      </c>
      <c r="AI764" s="208">
        <f t="shared" si="429"/>
        <v>0</v>
      </c>
      <c r="AJ764" s="208">
        <f t="shared" si="429"/>
        <v>0</v>
      </c>
      <c r="AK764" s="208">
        <f t="shared" si="429"/>
        <v>0</v>
      </c>
      <c r="AL764" s="208">
        <f t="shared" si="429"/>
        <v>0</v>
      </c>
      <c r="AM764" s="208">
        <f t="shared" si="429"/>
        <v>0</v>
      </c>
      <c r="AN764" s="208">
        <f t="shared" si="429"/>
        <v>0</v>
      </c>
      <c r="AO764" s="208">
        <f t="shared" si="429"/>
        <v>0</v>
      </c>
      <c r="AP764" s="208">
        <f t="shared" si="429"/>
        <v>0</v>
      </c>
    </row>
    <row r="765" spans="1:42">
      <c r="A765" s="37">
        <f>A764+1</f>
        <v>9</v>
      </c>
      <c r="B765" s="218">
        <f t="shared" si="426"/>
        <v>0</v>
      </c>
      <c r="C765" s="208">
        <f t="shared" si="427"/>
        <v>0</v>
      </c>
      <c r="D765" s="208">
        <f t="shared" si="427"/>
        <v>0</v>
      </c>
      <c r="E765" s="208">
        <f t="shared" si="427"/>
        <v>0</v>
      </c>
      <c r="F765" s="208">
        <f t="shared" si="427"/>
        <v>0</v>
      </c>
      <c r="G765" s="208">
        <f t="shared" si="427"/>
        <v>0</v>
      </c>
      <c r="H765" s="208">
        <f t="shared" si="427"/>
        <v>0</v>
      </c>
      <c r="I765" s="208">
        <f t="shared" si="427"/>
        <v>0</v>
      </c>
      <c r="J765" s="208">
        <f t="shared" si="427"/>
        <v>0</v>
      </c>
      <c r="K765" s="208">
        <f t="shared" si="427"/>
        <v>0</v>
      </c>
      <c r="L765" s="208">
        <f t="shared" si="427"/>
        <v>0</v>
      </c>
      <c r="M765" s="208">
        <f t="shared" si="427"/>
        <v>0</v>
      </c>
      <c r="N765" s="208">
        <f t="shared" si="427"/>
        <v>0</v>
      </c>
      <c r="O765" s="208">
        <f t="shared" si="427"/>
        <v>0</v>
      </c>
      <c r="P765" s="208">
        <f t="shared" si="427"/>
        <v>0</v>
      </c>
      <c r="Q765" s="208">
        <f t="shared" si="427"/>
        <v>0</v>
      </c>
      <c r="R765" s="208">
        <f t="shared" si="427"/>
        <v>0</v>
      </c>
      <c r="S765" s="208">
        <f t="shared" si="428"/>
        <v>0</v>
      </c>
      <c r="T765" s="208">
        <f t="shared" si="428"/>
        <v>0</v>
      </c>
      <c r="U765" s="208">
        <f t="shared" si="428"/>
        <v>0</v>
      </c>
      <c r="V765" s="208">
        <f t="shared" si="428"/>
        <v>0</v>
      </c>
      <c r="W765" s="208">
        <f t="shared" si="428"/>
        <v>0</v>
      </c>
      <c r="X765" s="208">
        <f t="shared" si="428"/>
        <v>0</v>
      </c>
      <c r="Y765" s="208">
        <f t="shared" si="428"/>
        <v>0</v>
      </c>
      <c r="Z765" s="208">
        <f t="shared" si="428"/>
        <v>0</v>
      </c>
      <c r="AA765" s="208">
        <f t="shared" si="428"/>
        <v>0</v>
      </c>
      <c r="AB765" s="208">
        <f t="shared" si="428"/>
        <v>0</v>
      </c>
      <c r="AC765" s="208">
        <f t="shared" si="428"/>
        <v>0</v>
      </c>
      <c r="AD765" s="208">
        <f t="shared" si="428"/>
        <v>0</v>
      </c>
      <c r="AE765" s="208">
        <f t="shared" si="428"/>
        <v>0</v>
      </c>
      <c r="AF765" s="208">
        <f t="shared" si="428"/>
        <v>0</v>
      </c>
      <c r="AG765" s="208">
        <f t="shared" si="428"/>
        <v>0</v>
      </c>
      <c r="AH765" s="208">
        <f t="shared" si="428"/>
        <v>0</v>
      </c>
      <c r="AI765" s="208">
        <f t="shared" si="429"/>
        <v>0</v>
      </c>
      <c r="AJ765" s="208">
        <f t="shared" si="429"/>
        <v>0</v>
      </c>
      <c r="AK765" s="208">
        <f t="shared" si="429"/>
        <v>0</v>
      </c>
      <c r="AL765" s="208">
        <f t="shared" si="429"/>
        <v>0</v>
      </c>
      <c r="AM765" s="208">
        <f t="shared" si="429"/>
        <v>0</v>
      </c>
      <c r="AN765" s="208">
        <f t="shared" si="429"/>
        <v>0</v>
      </c>
      <c r="AO765" s="208">
        <f t="shared" si="429"/>
        <v>0</v>
      </c>
      <c r="AP765" s="208">
        <f t="shared" si="429"/>
        <v>0</v>
      </c>
    </row>
    <row r="766" spans="1:42">
      <c r="A766" s="37">
        <f t="shared" si="430"/>
        <v>10</v>
      </c>
      <c r="B766" s="218">
        <f t="shared" si="426"/>
        <v>0</v>
      </c>
      <c r="C766" s="209">
        <f t="shared" si="427"/>
        <v>0</v>
      </c>
      <c r="D766" s="209">
        <f t="shared" si="427"/>
        <v>0</v>
      </c>
      <c r="E766" s="209">
        <f t="shared" si="427"/>
        <v>0</v>
      </c>
      <c r="F766" s="209">
        <f t="shared" si="427"/>
        <v>0</v>
      </c>
      <c r="G766" s="209">
        <f t="shared" si="427"/>
        <v>0</v>
      </c>
      <c r="H766" s="209">
        <f t="shared" si="427"/>
        <v>0</v>
      </c>
      <c r="I766" s="209">
        <f t="shared" si="427"/>
        <v>0</v>
      </c>
      <c r="J766" s="209">
        <f t="shared" si="427"/>
        <v>0</v>
      </c>
      <c r="K766" s="209">
        <f t="shared" si="427"/>
        <v>0</v>
      </c>
      <c r="L766" s="209">
        <f t="shared" si="427"/>
        <v>0</v>
      </c>
      <c r="M766" s="209">
        <f t="shared" si="427"/>
        <v>0</v>
      </c>
      <c r="N766" s="209">
        <f t="shared" si="427"/>
        <v>0</v>
      </c>
      <c r="O766" s="209">
        <f t="shared" si="427"/>
        <v>0</v>
      </c>
      <c r="P766" s="209">
        <f t="shared" si="427"/>
        <v>0</v>
      </c>
      <c r="Q766" s="209">
        <f t="shared" si="427"/>
        <v>0</v>
      </c>
      <c r="R766" s="209">
        <f t="shared" si="427"/>
        <v>0</v>
      </c>
      <c r="S766" s="209">
        <f t="shared" si="428"/>
        <v>0</v>
      </c>
      <c r="T766" s="209">
        <f t="shared" si="428"/>
        <v>0</v>
      </c>
      <c r="U766" s="209">
        <f t="shared" si="428"/>
        <v>0</v>
      </c>
      <c r="V766" s="209">
        <f t="shared" si="428"/>
        <v>0</v>
      </c>
      <c r="W766" s="209">
        <f t="shared" si="428"/>
        <v>0</v>
      </c>
      <c r="X766" s="209">
        <f t="shared" si="428"/>
        <v>0</v>
      </c>
      <c r="Y766" s="209">
        <f t="shared" si="428"/>
        <v>0</v>
      </c>
      <c r="Z766" s="209">
        <f t="shared" si="428"/>
        <v>0</v>
      </c>
      <c r="AA766" s="209">
        <f t="shared" si="428"/>
        <v>0</v>
      </c>
      <c r="AB766" s="209">
        <f t="shared" si="428"/>
        <v>0</v>
      </c>
      <c r="AC766" s="209">
        <f t="shared" si="428"/>
        <v>0</v>
      </c>
      <c r="AD766" s="209">
        <f t="shared" si="428"/>
        <v>0</v>
      </c>
      <c r="AE766" s="209">
        <f t="shared" si="428"/>
        <v>0</v>
      </c>
      <c r="AF766" s="209">
        <f t="shared" si="428"/>
        <v>0</v>
      </c>
      <c r="AG766" s="209">
        <f t="shared" si="428"/>
        <v>0</v>
      </c>
      <c r="AH766" s="209">
        <f t="shared" si="428"/>
        <v>0</v>
      </c>
      <c r="AI766" s="209">
        <f t="shared" si="429"/>
        <v>0</v>
      </c>
      <c r="AJ766" s="209">
        <f t="shared" si="429"/>
        <v>0</v>
      </c>
      <c r="AK766" s="209">
        <f t="shared" si="429"/>
        <v>0</v>
      </c>
      <c r="AL766" s="209">
        <f t="shared" si="429"/>
        <v>0</v>
      </c>
      <c r="AM766" s="209">
        <f t="shared" si="429"/>
        <v>0</v>
      </c>
      <c r="AN766" s="209">
        <f t="shared" si="429"/>
        <v>0</v>
      </c>
      <c r="AO766" s="209">
        <f t="shared" si="429"/>
        <v>0</v>
      </c>
      <c r="AP766" s="209">
        <f t="shared" si="429"/>
        <v>0</v>
      </c>
    </row>
    <row r="767" spans="1:42">
      <c r="A767" s="244" t="s">
        <v>53</v>
      </c>
      <c r="B767" s="208"/>
      <c r="C767" s="164">
        <f>SUM(C757:C766)</f>
        <v>0</v>
      </c>
      <c r="D767" s="164">
        <f t="shared" ref="D767:AP767" si="431">SUM(D757:D766)</f>
        <v>0</v>
      </c>
      <c r="E767" s="164">
        <f t="shared" si="431"/>
        <v>0</v>
      </c>
      <c r="F767" s="164">
        <f t="shared" si="431"/>
        <v>0</v>
      </c>
      <c r="G767" s="164">
        <f t="shared" si="431"/>
        <v>0</v>
      </c>
      <c r="H767" s="164">
        <f t="shared" si="431"/>
        <v>0</v>
      </c>
      <c r="I767" s="164">
        <f t="shared" si="431"/>
        <v>0</v>
      </c>
      <c r="J767" s="164">
        <f t="shared" si="431"/>
        <v>0</v>
      </c>
      <c r="K767" s="164">
        <f t="shared" si="431"/>
        <v>0</v>
      </c>
      <c r="L767" s="164">
        <f t="shared" si="431"/>
        <v>0</v>
      </c>
      <c r="M767" s="164">
        <f t="shared" si="431"/>
        <v>0</v>
      </c>
      <c r="N767" s="164">
        <f t="shared" si="431"/>
        <v>0</v>
      </c>
      <c r="O767" s="164">
        <f t="shared" si="431"/>
        <v>0</v>
      </c>
      <c r="P767" s="164">
        <f t="shared" si="431"/>
        <v>0</v>
      </c>
      <c r="Q767" s="164">
        <f t="shared" si="431"/>
        <v>6158778.6534697888</v>
      </c>
      <c r="R767" s="164">
        <f t="shared" si="431"/>
        <v>0</v>
      </c>
      <c r="S767" s="164">
        <f t="shared" si="431"/>
        <v>0</v>
      </c>
      <c r="T767" s="164">
        <f t="shared" si="431"/>
        <v>0</v>
      </c>
      <c r="U767" s="164">
        <f t="shared" si="431"/>
        <v>0</v>
      </c>
      <c r="V767" s="164">
        <f t="shared" si="431"/>
        <v>0</v>
      </c>
      <c r="W767" s="164">
        <f t="shared" si="431"/>
        <v>0</v>
      </c>
      <c r="X767" s="164">
        <f t="shared" si="431"/>
        <v>0</v>
      </c>
      <c r="Y767" s="164">
        <f t="shared" si="431"/>
        <v>0</v>
      </c>
      <c r="Z767" s="164">
        <f t="shared" si="431"/>
        <v>0</v>
      </c>
      <c r="AA767" s="164">
        <f t="shared" si="431"/>
        <v>0</v>
      </c>
      <c r="AB767" s="164">
        <f t="shared" si="431"/>
        <v>0</v>
      </c>
      <c r="AC767" s="164">
        <f t="shared" si="431"/>
        <v>0</v>
      </c>
      <c r="AD767" s="164">
        <f t="shared" si="431"/>
        <v>0</v>
      </c>
      <c r="AE767" s="164">
        <f t="shared" si="431"/>
        <v>0</v>
      </c>
      <c r="AF767" s="164">
        <f t="shared" si="431"/>
        <v>7699902.5639943341</v>
      </c>
      <c r="AG767" s="164">
        <f t="shared" si="431"/>
        <v>0</v>
      </c>
      <c r="AH767" s="164">
        <f t="shared" si="431"/>
        <v>0</v>
      </c>
      <c r="AI767" s="164">
        <f t="shared" si="431"/>
        <v>0</v>
      </c>
      <c r="AJ767" s="164">
        <f t="shared" si="431"/>
        <v>0</v>
      </c>
      <c r="AK767" s="164">
        <f t="shared" si="431"/>
        <v>0</v>
      </c>
      <c r="AL767" s="164">
        <f t="shared" si="431"/>
        <v>0</v>
      </c>
      <c r="AM767" s="164">
        <f t="shared" si="431"/>
        <v>0</v>
      </c>
      <c r="AN767" s="164">
        <f t="shared" si="431"/>
        <v>0</v>
      </c>
      <c r="AO767" s="164">
        <f t="shared" si="431"/>
        <v>0</v>
      </c>
      <c r="AP767" s="164">
        <f t="shared" si="431"/>
        <v>0</v>
      </c>
    </row>
    <row r="768" spans="1:42">
      <c r="A768" s="37" t="s">
        <v>209</v>
      </c>
      <c r="B768" s="164"/>
      <c r="C768" s="164"/>
      <c r="D768" s="164"/>
      <c r="E768" s="164"/>
      <c r="F768" s="164"/>
      <c r="G768" s="208"/>
      <c r="H768" s="208"/>
      <c r="I768" s="208"/>
      <c r="J768" s="208"/>
      <c r="K768" s="208"/>
      <c r="L768" s="208"/>
      <c r="M768" s="208"/>
      <c r="N768" s="208"/>
      <c r="O768" s="208"/>
      <c r="P768" s="208"/>
      <c r="Q768" s="208"/>
      <c r="R768" s="208"/>
      <c r="S768" s="208"/>
      <c r="T768" s="208"/>
      <c r="U768" s="208"/>
      <c r="V768" s="208"/>
      <c r="W768" s="208"/>
      <c r="X768" s="208"/>
      <c r="Y768" s="208"/>
      <c r="Z768" s="208"/>
      <c r="AA768" s="208"/>
      <c r="AB768" s="208"/>
      <c r="AC768" s="208"/>
      <c r="AD768" s="208"/>
      <c r="AE768" s="208"/>
      <c r="AF768" s="208"/>
      <c r="AG768" s="208"/>
      <c r="AH768" s="208"/>
      <c r="AI768" s="208"/>
      <c r="AJ768" s="208"/>
      <c r="AK768" s="208"/>
      <c r="AL768" s="208"/>
      <c r="AM768" s="208"/>
      <c r="AN768" s="208"/>
      <c r="AO768" s="208"/>
      <c r="AP768" s="208"/>
    </row>
    <row r="769" spans="1:42">
      <c r="A769" s="37">
        <v>1</v>
      </c>
      <c r="B769" s="295">
        <f t="shared" ref="B769:B778" si="432">SUM(C769:AP769)</f>
        <v>6158778.6534697879</v>
      </c>
      <c r="C769" s="208">
        <f t="shared" ref="C769:AP769" si="433">IF(C$2&lt;=MMFrequency2*$A$757,$B$757/(MMFrequency2),0)</f>
        <v>410585.24356465257</v>
      </c>
      <c r="D769" s="208">
        <f t="shared" si="433"/>
        <v>410585.24356465257</v>
      </c>
      <c r="E769" s="208">
        <f t="shared" si="433"/>
        <v>410585.24356465257</v>
      </c>
      <c r="F769" s="208">
        <f t="shared" si="433"/>
        <v>410585.24356465257</v>
      </c>
      <c r="G769" s="208">
        <f t="shared" si="433"/>
        <v>410585.24356465257</v>
      </c>
      <c r="H769" s="208">
        <f t="shared" si="433"/>
        <v>410585.24356465257</v>
      </c>
      <c r="I769" s="208">
        <f t="shared" si="433"/>
        <v>410585.24356465257</v>
      </c>
      <c r="J769" s="208">
        <f t="shared" si="433"/>
        <v>410585.24356465257</v>
      </c>
      <c r="K769" s="208">
        <f t="shared" si="433"/>
        <v>410585.24356465257</v>
      </c>
      <c r="L769" s="208">
        <f t="shared" si="433"/>
        <v>410585.24356465257</v>
      </c>
      <c r="M769" s="208">
        <f t="shared" si="433"/>
        <v>410585.24356465257</v>
      </c>
      <c r="N769" s="208">
        <f t="shared" si="433"/>
        <v>410585.24356465257</v>
      </c>
      <c r="O769" s="208">
        <f t="shared" si="433"/>
        <v>410585.24356465257</v>
      </c>
      <c r="P769" s="208">
        <f t="shared" si="433"/>
        <v>410585.24356465257</v>
      </c>
      <c r="Q769" s="208">
        <f t="shared" si="433"/>
        <v>410585.24356465257</v>
      </c>
      <c r="R769" s="208">
        <f t="shared" si="433"/>
        <v>0</v>
      </c>
      <c r="S769" s="208">
        <f t="shared" si="433"/>
        <v>0</v>
      </c>
      <c r="T769" s="208">
        <f t="shared" si="433"/>
        <v>0</v>
      </c>
      <c r="U769" s="208">
        <f t="shared" si="433"/>
        <v>0</v>
      </c>
      <c r="V769" s="208">
        <f t="shared" si="433"/>
        <v>0</v>
      </c>
      <c r="W769" s="208">
        <f t="shared" si="433"/>
        <v>0</v>
      </c>
      <c r="X769" s="208">
        <f t="shared" si="433"/>
        <v>0</v>
      </c>
      <c r="Y769" s="208">
        <f t="shared" si="433"/>
        <v>0</v>
      </c>
      <c r="Z769" s="208">
        <f t="shared" si="433"/>
        <v>0</v>
      </c>
      <c r="AA769" s="208">
        <f t="shared" si="433"/>
        <v>0</v>
      </c>
      <c r="AB769" s="208">
        <f t="shared" si="433"/>
        <v>0</v>
      </c>
      <c r="AC769" s="208">
        <f t="shared" si="433"/>
        <v>0</v>
      </c>
      <c r="AD769" s="208">
        <f t="shared" si="433"/>
        <v>0</v>
      </c>
      <c r="AE769" s="208">
        <f t="shared" si="433"/>
        <v>0</v>
      </c>
      <c r="AF769" s="208">
        <f t="shared" si="433"/>
        <v>0</v>
      </c>
      <c r="AG769" s="208">
        <f t="shared" si="433"/>
        <v>0</v>
      </c>
      <c r="AH769" s="208">
        <f t="shared" si="433"/>
        <v>0</v>
      </c>
      <c r="AI769" s="208">
        <f t="shared" si="433"/>
        <v>0</v>
      </c>
      <c r="AJ769" s="208">
        <f t="shared" si="433"/>
        <v>0</v>
      </c>
      <c r="AK769" s="208">
        <f t="shared" si="433"/>
        <v>0</v>
      </c>
      <c r="AL769" s="208">
        <f t="shared" si="433"/>
        <v>0</v>
      </c>
      <c r="AM769" s="208">
        <f t="shared" si="433"/>
        <v>0</v>
      </c>
      <c r="AN769" s="208">
        <f t="shared" si="433"/>
        <v>0</v>
      </c>
      <c r="AO769" s="208">
        <f t="shared" si="433"/>
        <v>0</v>
      </c>
      <c r="AP769" s="208">
        <f t="shared" si="433"/>
        <v>0</v>
      </c>
    </row>
    <row r="770" spans="1:42">
      <c r="A770" s="37">
        <f>A769+1</f>
        <v>2</v>
      </c>
      <c r="B770" s="295">
        <f t="shared" si="432"/>
        <v>7699902.5639943322</v>
      </c>
      <c r="C770" s="208">
        <f t="shared" ref="C770:AP776" si="434">IF(AND(C$2&gt;MMFrequency2*$A757,C$2&lt;=MMFrequency2*$A758),$B758/(MMFrequency2),0)</f>
        <v>0</v>
      </c>
      <c r="D770" s="208">
        <f t="shared" si="434"/>
        <v>0</v>
      </c>
      <c r="E770" s="208">
        <f t="shared" si="434"/>
        <v>0</v>
      </c>
      <c r="F770" s="208">
        <f t="shared" si="434"/>
        <v>0</v>
      </c>
      <c r="G770" s="208">
        <f t="shared" si="434"/>
        <v>0</v>
      </c>
      <c r="H770" s="208">
        <f t="shared" si="434"/>
        <v>0</v>
      </c>
      <c r="I770" s="208">
        <f t="shared" si="434"/>
        <v>0</v>
      </c>
      <c r="J770" s="208">
        <f t="shared" si="434"/>
        <v>0</v>
      </c>
      <c r="K770" s="208">
        <f t="shared" si="434"/>
        <v>0</v>
      </c>
      <c r="L770" s="208">
        <f t="shared" si="434"/>
        <v>0</v>
      </c>
      <c r="M770" s="208">
        <f t="shared" si="434"/>
        <v>0</v>
      </c>
      <c r="N770" s="208">
        <f t="shared" si="434"/>
        <v>0</v>
      </c>
      <c r="O770" s="208">
        <f t="shared" si="434"/>
        <v>0</v>
      </c>
      <c r="P770" s="208">
        <f t="shared" si="434"/>
        <v>0</v>
      </c>
      <c r="Q770" s="208">
        <f t="shared" si="434"/>
        <v>0</v>
      </c>
      <c r="R770" s="208">
        <f t="shared" si="434"/>
        <v>513326.83759962226</v>
      </c>
      <c r="S770" s="208">
        <f t="shared" si="434"/>
        <v>513326.83759962226</v>
      </c>
      <c r="T770" s="208">
        <f t="shared" si="434"/>
        <v>513326.83759962226</v>
      </c>
      <c r="U770" s="208">
        <f t="shared" si="434"/>
        <v>513326.83759962226</v>
      </c>
      <c r="V770" s="208">
        <f t="shared" si="434"/>
        <v>513326.83759962226</v>
      </c>
      <c r="W770" s="208">
        <f t="shared" si="434"/>
        <v>513326.83759962226</v>
      </c>
      <c r="X770" s="208">
        <f t="shared" si="434"/>
        <v>513326.83759962226</v>
      </c>
      <c r="Y770" s="208">
        <f t="shared" si="434"/>
        <v>513326.83759962226</v>
      </c>
      <c r="Z770" s="208">
        <f t="shared" si="434"/>
        <v>513326.83759962226</v>
      </c>
      <c r="AA770" s="208">
        <f t="shared" si="434"/>
        <v>513326.83759962226</v>
      </c>
      <c r="AB770" s="208">
        <f t="shared" si="434"/>
        <v>513326.83759962226</v>
      </c>
      <c r="AC770" s="208">
        <f t="shared" si="434"/>
        <v>513326.83759962226</v>
      </c>
      <c r="AD770" s="208">
        <f t="shared" si="434"/>
        <v>513326.83759962226</v>
      </c>
      <c r="AE770" s="208">
        <f t="shared" si="434"/>
        <v>513326.83759962226</v>
      </c>
      <c r="AF770" s="208">
        <f t="shared" si="434"/>
        <v>513326.83759962226</v>
      </c>
      <c r="AG770" s="208">
        <f t="shared" si="434"/>
        <v>0</v>
      </c>
      <c r="AH770" s="208">
        <f t="shared" si="434"/>
        <v>0</v>
      </c>
      <c r="AI770" s="208">
        <f t="shared" si="434"/>
        <v>0</v>
      </c>
      <c r="AJ770" s="208">
        <f t="shared" si="434"/>
        <v>0</v>
      </c>
      <c r="AK770" s="208">
        <f t="shared" si="434"/>
        <v>0</v>
      </c>
      <c r="AL770" s="208">
        <f t="shared" si="434"/>
        <v>0</v>
      </c>
      <c r="AM770" s="208">
        <f t="shared" si="434"/>
        <v>0</v>
      </c>
      <c r="AN770" s="208">
        <f t="shared" si="434"/>
        <v>0</v>
      </c>
      <c r="AO770" s="208">
        <f t="shared" si="434"/>
        <v>0</v>
      </c>
      <c r="AP770" s="208">
        <f t="shared" si="434"/>
        <v>0</v>
      </c>
    </row>
    <row r="771" spans="1:42">
      <c r="A771" s="37">
        <f t="shared" ref="A771:A776" si="435">A770+1</f>
        <v>3</v>
      </c>
      <c r="B771" s="295">
        <f t="shared" si="432"/>
        <v>0</v>
      </c>
      <c r="C771" s="208">
        <f t="shared" si="434"/>
        <v>0</v>
      </c>
      <c r="D771" s="208">
        <f t="shared" si="434"/>
        <v>0</v>
      </c>
      <c r="E771" s="208">
        <f t="shared" si="434"/>
        <v>0</v>
      </c>
      <c r="F771" s="208">
        <f t="shared" si="434"/>
        <v>0</v>
      </c>
      <c r="G771" s="208">
        <f t="shared" si="434"/>
        <v>0</v>
      </c>
      <c r="H771" s="208">
        <f t="shared" si="434"/>
        <v>0</v>
      </c>
      <c r="I771" s="208">
        <f t="shared" si="434"/>
        <v>0</v>
      </c>
      <c r="J771" s="208">
        <f t="shared" si="434"/>
        <v>0</v>
      </c>
      <c r="K771" s="208">
        <f t="shared" si="434"/>
        <v>0</v>
      </c>
      <c r="L771" s="208">
        <f t="shared" si="434"/>
        <v>0</v>
      </c>
      <c r="M771" s="208">
        <f t="shared" si="434"/>
        <v>0</v>
      </c>
      <c r="N771" s="208">
        <f t="shared" si="434"/>
        <v>0</v>
      </c>
      <c r="O771" s="208">
        <f t="shared" si="434"/>
        <v>0</v>
      </c>
      <c r="P771" s="208">
        <f t="shared" si="434"/>
        <v>0</v>
      </c>
      <c r="Q771" s="208">
        <f t="shared" si="434"/>
        <v>0</v>
      </c>
      <c r="R771" s="208">
        <f t="shared" si="434"/>
        <v>0</v>
      </c>
      <c r="S771" s="208">
        <f t="shared" si="434"/>
        <v>0</v>
      </c>
      <c r="T771" s="208">
        <f t="shared" si="434"/>
        <v>0</v>
      </c>
      <c r="U771" s="208">
        <f t="shared" si="434"/>
        <v>0</v>
      </c>
      <c r="V771" s="208">
        <f t="shared" si="434"/>
        <v>0</v>
      </c>
      <c r="W771" s="208">
        <f t="shared" si="434"/>
        <v>0</v>
      </c>
      <c r="X771" s="208">
        <f t="shared" si="434"/>
        <v>0</v>
      </c>
      <c r="Y771" s="208">
        <f t="shared" si="434"/>
        <v>0</v>
      </c>
      <c r="Z771" s="208">
        <f t="shared" si="434"/>
        <v>0</v>
      </c>
      <c r="AA771" s="208">
        <f t="shared" si="434"/>
        <v>0</v>
      </c>
      <c r="AB771" s="208">
        <f t="shared" si="434"/>
        <v>0</v>
      </c>
      <c r="AC771" s="208">
        <f t="shared" si="434"/>
        <v>0</v>
      </c>
      <c r="AD771" s="208">
        <f t="shared" si="434"/>
        <v>0</v>
      </c>
      <c r="AE771" s="208">
        <f t="shared" si="434"/>
        <v>0</v>
      </c>
      <c r="AF771" s="208">
        <f t="shared" si="434"/>
        <v>0</v>
      </c>
      <c r="AG771" s="208">
        <f t="shared" si="434"/>
        <v>0</v>
      </c>
      <c r="AH771" s="208">
        <f t="shared" si="434"/>
        <v>0</v>
      </c>
      <c r="AI771" s="208">
        <f t="shared" si="434"/>
        <v>0</v>
      </c>
      <c r="AJ771" s="208">
        <f t="shared" si="434"/>
        <v>0</v>
      </c>
      <c r="AK771" s="208">
        <f t="shared" si="434"/>
        <v>0</v>
      </c>
      <c r="AL771" s="208">
        <f t="shared" si="434"/>
        <v>0</v>
      </c>
      <c r="AM771" s="208">
        <f t="shared" si="434"/>
        <v>0</v>
      </c>
      <c r="AN771" s="208">
        <f t="shared" si="434"/>
        <v>0</v>
      </c>
      <c r="AO771" s="208">
        <f t="shared" si="434"/>
        <v>0</v>
      </c>
      <c r="AP771" s="208">
        <f t="shared" si="434"/>
        <v>0</v>
      </c>
    </row>
    <row r="772" spans="1:42">
      <c r="A772" s="37">
        <f t="shared" si="435"/>
        <v>4</v>
      </c>
      <c r="B772" s="295">
        <f t="shared" si="432"/>
        <v>0</v>
      </c>
      <c r="C772" s="208">
        <f t="shared" si="434"/>
        <v>0</v>
      </c>
      <c r="D772" s="208">
        <f t="shared" si="434"/>
        <v>0</v>
      </c>
      <c r="E772" s="208">
        <f t="shared" si="434"/>
        <v>0</v>
      </c>
      <c r="F772" s="208">
        <f t="shared" si="434"/>
        <v>0</v>
      </c>
      <c r="G772" s="208">
        <f t="shared" si="434"/>
        <v>0</v>
      </c>
      <c r="H772" s="208">
        <f t="shared" si="434"/>
        <v>0</v>
      </c>
      <c r="I772" s="208">
        <f t="shared" si="434"/>
        <v>0</v>
      </c>
      <c r="J772" s="208">
        <f t="shared" si="434"/>
        <v>0</v>
      </c>
      <c r="K772" s="208">
        <f t="shared" si="434"/>
        <v>0</v>
      </c>
      <c r="L772" s="208">
        <f t="shared" si="434"/>
        <v>0</v>
      </c>
      <c r="M772" s="208">
        <f t="shared" si="434"/>
        <v>0</v>
      </c>
      <c r="N772" s="208">
        <f t="shared" si="434"/>
        <v>0</v>
      </c>
      <c r="O772" s="208">
        <f t="shared" si="434"/>
        <v>0</v>
      </c>
      <c r="P772" s="208">
        <f t="shared" si="434"/>
        <v>0</v>
      </c>
      <c r="Q772" s="208">
        <f t="shared" si="434"/>
        <v>0</v>
      </c>
      <c r="R772" s="208">
        <f t="shared" si="434"/>
        <v>0</v>
      </c>
      <c r="S772" s="208">
        <f t="shared" si="434"/>
        <v>0</v>
      </c>
      <c r="T772" s="208">
        <f t="shared" si="434"/>
        <v>0</v>
      </c>
      <c r="U772" s="208">
        <f t="shared" si="434"/>
        <v>0</v>
      </c>
      <c r="V772" s="208">
        <f t="shared" si="434"/>
        <v>0</v>
      </c>
      <c r="W772" s="208">
        <f t="shared" si="434"/>
        <v>0</v>
      </c>
      <c r="X772" s="208">
        <f t="shared" si="434"/>
        <v>0</v>
      </c>
      <c r="Y772" s="208">
        <f t="shared" si="434"/>
        <v>0</v>
      </c>
      <c r="Z772" s="208">
        <f t="shared" si="434"/>
        <v>0</v>
      </c>
      <c r="AA772" s="208">
        <f t="shared" si="434"/>
        <v>0</v>
      </c>
      <c r="AB772" s="208">
        <f t="shared" si="434"/>
        <v>0</v>
      </c>
      <c r="AC772" s="208">
        <f t="shared" si="434"/>
        <v>0</v>
      </c>
      <c r="AD772" s="208">
        <f t="shared" si="434"/>
        <v>0</v>
      </c>
      <c r="AE772" s="208">
        <f t="shared" si="434"/>
        <v>0</v>
      </c>
      <c r="AF772" s="208">
        <f t="shared" si="434"/>
        <v>0</v>
      </c>
      <c r="AG772" s="208">
        <f t="shared" si="434"/>
        <v>0</v>
      </c>
      <c r="AH772" s="208">
        <f t="shared" si="434"/>
        <v>0</v>
      </c>
      <c r="AI772" s="208">
        <f t="shared" si="434"/>
        <v>0</v>
      </c>
      <c r="AJ772" s="208">
        <f t="shared" si="434"/>
        <v>0</v>
      </c>
      <c r="AK772" s="208">
        <f t="shared" si="434"/>
        <v>0</v>
      </c>
      <c r="AL772" s="208">
        <f t="shared" si="434"/>
        <v>0</v>
      </c>
      <c r="AM772" s="208">
        <f t="shared" si="434"/>
        <v>0</v>
      </c>
      <c r="AN772" s="208">
        <f t="shared" si="434"/>
        <v>0</v>
      </c>
      <c r="AO772" s="208">
        <f t="shared" si="434"/>
        <v>0</v>
      </c>
      <c r="AP772" s="208">
        <f t="shared" si="434"/>
        <v>0</v>
      </c>
    </row>
    <row r="773" spans="1:42">
      <c r="A773" s="37">
        <f t="shared" si="435"/>
        <v>5</v>
      </c>
      <c r="B773" s="295">
        <f t="shared" si="432"/>
        <v>0</v>
      </c>
      <c r="C773" s="208">
        <f t="shared" si="434"/>
        <v>0</v>
      </c>
      <c r="D773" s="208">
        <f t="shared" si="434"/>
        <v>0</v>
      </c>
      <c r="E773" s="208">
        <f t="shared" si="434"/>
        <v>0</v>
      </c>
      <c r="F773" s="208">
        <f t="shared" si="434"/>
        <v>0</v>
      </c>
      <c r="G773" s="208">
        <f t="shared" si="434"/>
        <v>0</v>
      </c>
      <c r="H773" s="208">
        <f t="shared" si="434"/>
        <v>0</v>
      </c>
      <c r="I773" s="208">
        <f t="shared" si="434"/>
        <v>0</v>
      </c>
      <c r="J773" s="208">
        <f t="shared" si="434"/>
        <v>0</v>
      </c>
      <c r="K773" s="208">
        <f t="shared" si="434"/>
        <v>0</v>
      </c>
      <c r="L773" s="208">
        <f t="shared" si="434"/>
        <v>0</v>
      </c>
      <c r="M773" s="208">
        <f t="shared" si="434"/>
        <v>0</v>
      </c>
      <c r="N773" s="208">
        <f t="shared" si="434"/>
        <v>0</v>
      </c>
      <c r="O773" s="208">
        <f t="shared" si="434"/>
        <v>0</v>
      </c>
      <c r="P773" s="208">
        <f t="shared" si="434"/>
        <v>0</v>
      </c>
      <c r="Q773" s="208">
        <f t="shared" si="434"/>
        <v>0</v>
      </c>
      <c r="R773" s="208">
        <f t="shared" si="434"/>
        <v>0</v>
      </c>
      <c r="S773" s="208">
        <f t="shared" si="434"/>
        <v>0</v>
      </c>
      <c r="T773" s="208">
        <f t="shared" si="434"/>
        <v>0</v>
      </c>
      <c r="U773" s="208">
        <f t="shared" si="434"/>
        <v>0</v>
      </c>
      <c r="V773" s="208">
        <f t="shared" si="434"/>
        <v>0</v>
      </c>
      <c r="W773" s="208">
        <f t="shared" si="434"/>
        <v>0</v>
      </c>
      <c r="X773" s="208">
        <f t="shared" si="434"/>
        <v>0</v>
      </c>
      <c r="Y773" s="208">
        <f t="shared" si="434"/>
        <v>0</v>
      </c>
      <c r="Z773" s="208">
        <f t="shared" si="434"/>
        <v>0</v>
      </c>
      <c r="AA773" s="208">
        <f t="shared" si="434"/>
        <v>0</v>
      </c>
      <c r="AB773" s="208">
        <f t="shared" si="434"/>
        <v>0</v>
      </c>
      <c r="AC773" s="208">
        <f t="shared" si="434"/>
        <v>0</v>
      </c>
      <c r="AD773" s="208">
        <f t="shared" si="434"/>
        <v>0</v>
      </c>
      <c r="AE773" s="208">
        <f t="shared" si="434"/>
        <v>0</v>
      </c>
      <c r="AF773" s="208">
        <f t="shared" si="434"/>
        <v>0</v>
      </c>
      <c r="AG773" s="208">
        <f t="shared" si="434"/>
        <v>0</v>
      </c>
      <c r="AH773" s="208">
        <f t="shared" si="434"/>
        <v>0</v>
      </c>
      <c r="AI773" s="208">
        <f t="shared" si="434"/>
        <v>0</v>
      </c>
      <c r="AJ773" s="208">
        <f t="shared" si="434"/>
        <v>0</v>
      </c>
      <c r="AK773" s="208">
        <f t="shared" si="434"/>
        <v>0</v>
      </c>
      <c r="AL773" s="208">
        <f t="shared" si="434"/>
        <v>0</v>
      </c>
      <c r="AM773" s="208">
        <f t="shared" si="434"/>
        <v>0</v>
      </c>
      <c r="AN773" s="208">
        <f t="shared" si="434"/>
        <v>0</v>
      </c>
      <c r="AO773" s="208">
        <f t="shared" si="434"/>
        <v>0</v>
      </c>
      <c r="AP773" s="208">
        <f t="shared" si="434"/>
        <v>0</v>
      </c>
    </row>
    <row r="774" spans="1:42">
      <c r="A774" s="37">
        <f t="shared" si="435"/>
        <v>6</v>
      </c>
      <c r="B774" s="295">
        <f t="shared" si="432"/>
        <v>0</v>
      </c>
      <c r="C774" s="208">
        <f t="shared" si="434"/>
        <v>0</v>
      </c>
      <c r="D774" s="208">
        <f t="shared" si="434"/>
        <v>0</v>
      </c>
      <c r="E774" s="208">
        <f t="shared" si="434"/>
        <v>0</v>
      </c>
      <c r="F774" s="208">
        <f t="shared" si="434"/>
        <v>0</v>
      </c>
      <c r="G774" s="208">
        <f t="shared" si="434"/>
        <v>0</v>
      </c>
      <c r="H774" s="208">
        <f t="shared" si="434"/>
        <v>0</v>
      </c>
      <c r="I774" s="208">
        <f t="shared" si="434"/>
        <v>0</v>
      </c>
      <c r="J774" s="208">
        <f t="shared" si="434"/>
        <v>0</v>
      </c>
      <c r="K774" s="208">
        <f t="shared" si="434"/>
        <v>0</v>
      </c>
      <c r="L774" s="208">
        <f t="shared" si="434"/>
        <v>0</v>
      </c>
      <c r="M774" s="208">
        <f t="shared" si="434"/>
        <v>0</v>
      </c>
      <c r="N774" s="208">
        <f t="shared" si="434"/>
        <v>0</v>
      </c>
      <c r="O774" s="208">
        <f t="shared" si="434"/>
        <v>0</v>
      </c>
      <c r="P774" s="208">
        <f t="shared" si="434"/>
        <v>0</v>
      </c>
      <c r="Q774" s="208">
        <f t="shared" si="434"/>
        <v>0</v>
      </c>
      <c r="R774" s="208">
        <f t="shared" si="434"/>
        <v>0</v>
      </c>
      <c r="S774" s="208">
        <f t="shared" si="434"/>
        <v>0</v>
      </c>
      <c r="T774" s="208">
        <f t="shared" si="434"/>
        <v>0</v>
      </c>
      <c r="U774" s="208">
        <f t="shared" si="434"/>
        <v>0</v>
      </c>
      <c r="V774" s="208">
        <f t="shared" si="434"/>
        <v>0</v>
      </c>
      <c r="W774" s="208">
        <f t="shared" si="434"/>
        <v>0</v>
      </c>
      <c r="X774" s="208">
        <f t="shared" si="434"/>
        <v>0</v>
      </c>
      <c r="Y774" s="208">
        <f t="shared" si="434"/>
        <v>0</v>
      </c>
      <c r="Z774" s="208">
        <f t="shared" si="434"/>
        <v>0</v>
      </c>
      <c r="AA774" s="208">
        <f t="shared" si="434"/>
        <v>0</v>
      </c>
      <c r="AB774" s="208">
        <f t="shared" si="434"/>
        <v>0</v>
      </c>
      <c r="AC774" s="208">
        <f t="shared" si="434"/>
        <v>0</v>
      </c>
      <c r="AD774" s="208">
        <f t="shared" si="434"/>
        <v>0</v>
      </c>
      <c r="AE774" s="208">
        <f t="shared" si="434"/>
        <v>0</v>
      </c>
      <c r="AF774" s="208">
        <f t="shared" si="434"/>
        <v>0</v>
      </c>
      <c r="AG774" s="208">
        <f t="shared" si="434"/>
        <v>0</v>
      </c>
      <c r="AH774" s="208">
        <f t="shared" si="434"/>
        <v>0</v>
      </c>
      <c r="AI774" s="208">
        <f t="shared" si="434"/>
        <v>0</v>
      </c>
      <c r="AJ774" s="208">
        <f t="shared" si="434"/>
        <v>0</v>
      </c>
      <c r="AK774" s="208">
        <f t="shared" si="434"/>
        <v>0</v>
      </c>
      <c r="AL774" s="208">
        <f t="shared" si="434"/>
        <v>0</v>
      </c>
      <c r="AM774" s="208">
        <f t="shared" si="434"/>
        <v>0</v>
      </c>
      <c r="AN774" s="208">
        <f t="shared" si="434"/>
        <v>0</v>
      </c>
      <c r="AO774" s="208">
        <f t="shared" si="434"/>
        <v>0</v>
      </c>
      <c r="AP774" s="208">
        <f t="shared" si="434"/>
        <v>0</v>
      </c>
    </row>
    <row r="775" spans="1:42">
      <c r="A775" s="37">
        <f t="shared" si="435"/>
        <v>7</v>
      </c>
      <c r="B775" s="295">
        <f t="shared" si="432"/>
        <v>0</v>
      </c>
      <c r="C775" s="208">
        <f t="shared" si="434"/>
        <v>0</v>
      </c>
      <c r="D775" s="208">
        <f t="shared" si="434"/>
        <v>0</v>
      </c>
      <c r="E775" s="208">
        <f t="shared" si="434"/>
        <v>0</v>
      </c>
      <c r="F775" s="208">
        <f t="shared" si="434"/>
        <v>0</v>
      </c>
      <c r="G775" s="208">
        <f t="shared" si="434"/>
        <v>0</v>
      </c>
      <c r="H775" s="208">
        <f t="shared" si="434"/>
        <v>0</v>
      </c>
      <c r="I775" s="208">
        <f t="shared" si="434"/>
        <v>0</v>
      </c>
      <c r="J775" s="208">
        <f t="shared" si="434"/>
        <v>0</v>
      </c>
      <c r="K775" s="208">
        <f t="shared" si="434"/>
        <v>0</v>
      </c>
      <c r="L775" s="208">
        <f t="shared" si="434"/>
        <v>0</v>
      </c>
      <c r="M775" s="208">
        <f t="shared" si="434"/>
        <v>0</v>
      </c>
      <c r="N775" s="208">
        <f t="shared" si="434"/>
        <v>0</v>
      </c>
      <c r="O775" s="208">
        <f t="shared" si="434"/>
        <v>0</v>
      </c>
      <c r="P775" s="208">
        <f t="shared" si="434"/>
        <v>0</v>
      </c>
      <c r="Q775" s="208">
        <f t="shared" si="434"/>
        <v>0</v>
      </c>
      <c r="R775" s="208">
        <f t="shared" si="434"/>
        <v>0</v>
      </c>
      <c r="S775" s="208">
        <f t="shared" si="434"/>
        <v>0</v>
      </c>
      <c r="T775" s="208">
        <f t="shared" si="434"/>
        <v>0</v>
      </c>
      <c r="U775" s="208">
        <f t="shared" si="434"/>
        <v>0</v>
      </c>
      <c r="V775" s="208">
        <f t="shared" si="434"/>
        <v>0</v>
      </c>
      <c r="W775" s="208">
        <f t="shared" si="434"/>
        <v>0</v>
      </c>
      <c r="X775" s="208">
        <f t="shared" si="434"/>
        <v>0</v>
      </c>
      <c r="Y775" s="208">
        <f t="shared" si="434"/>
        <v>0</v>
      </c>
      <c r="Z775" s="208">
        <f t="shared" si="434"/>
        <v>0</v>
      </c>
      <c r="AA775" s="208">
        <f t="shared" si="434"/>
        <v>0</v>
      </c>
      <c r="AB775" s="208">
        <f t="shared" si="434"/>
        <v>0</v>
      </c>
      <c r="AC775" s="208">
        <f t="shared" si="434"/>
        <v>0</v>
      </c>
      <c r="AD775" s="208">
        <f t="shared" si="434"/>
        <v>0</v>
      </c>
      <c r="AE775" s="208">
        <f t="shared" si="434"/>
        <v>0</v>
      </c>
      <c r="AF775" s="208">
        <f t="shared" si="434"/>
        <v>0</v>
      </c>
      <c r="AG775" s="208">
        <f t="shared" si="434"/>
        <v>0</v>
      </c>
      <c r="AH775" s="208">
        <f t="shared" si="434"/>
        <v>0</v>
      </c>
      <c r="AI775" s="208">
        <f t="shared" si="434"/>
        <v>0</v>
      </c>
      <c r="AJ775" s="208">
        <f t="shared" si="434"/>
        <v>0</v>
      </c>
      <c r="AK775" s="208">
        <f t="shared" si="434"/>
        <v>0</v>
      </c>
      <c r="AL775" s="208">
        <f t="shared" si="434"/>
        <v>0</v>
      </c>
      <c r="AM775" s="208">
        <f t="shared" si="434"/>
        <v>0</v>
      </c>
      <c r="AN775" s="208">
        <f t="shared" si="434"/>
        <v>0</v>
      </c>
      <c r="AO775" s="208">
        <f t="shared" si="434"/>
        <v>0</v>
      </c>
      <c r="AP775" s="208">
        <f t="shared" si="434"/>
        <v>0</v>
      </c>
    </row>
    <row r="776" spans="1:42">
      <c r="A776" s="37">
        <f t="shared" si="435"/>
        <v>8</v>
      </c>
      <c r="B776" s="295">
        <f t="shared" si="432"/>
        <v>0</v>
      </c>
      <c r="C776" s="208">
        <f t="shared" si="434"/>
        <v>0</v>
      </c>
      <c r="D776" s="208">
        <f t="shared" si="434"/>
        <v>0</v>
      </c>
      <c r="E776" s="208">
        <f t="shared" si="434"/>
        <v>0</v>
      </c>
      <c r="F776" s="208">
        <f t="shared" si="434"/>
        <v>0</v>
      </c>
      <c r="G776" s="208">
        <f t="shared" si="434"/>
        <v>0</v>
      </c>
      <c r="H776" s="208">
        <f t="shared" si="434"/>
        <v>0</v>
      </c>
      <c r="I776" s="208">
        <f t="shared" si="434"/>
        <v>0</v>
      </c>
      <c r="J776" s="208">
        <f t="shared" si="434"/>
        <v>0</v>
      </c>
      <c r="K776" s="208">
        <f t="shared" si="434"/>
        <v>0</v>
      </c>
      <c r="L776" s="208">
        <f t="shared" si="434"/>
        <v>0</v>
      </c>
      <c r="M776" s="208">
        <f t="shared" si="434"/>
        <v>0</v>
      </c>
      <c r="N776" s="208">
        <f t="shared" si="434"/>
        <v>0</v>
      </c>
      <c r="O776" s="208">
        <f t="shared" si="434"/>
        <v>0</v>
      </c>
      <c r="P776" s="208">
        <f t="shared" si="434"/>
        <v>0</v>
      </c>
      <c r="Q776" s="208">
        <f t="shared" si="434"/>
        <v>0</v>
      </c>
      <c r="R776" s="208">
        <f t="shared" ref="R776:AP776" si="436">IF(AND(R$2&gt;MMFrequency2*$A763,R$2&lt;=MMFrequency2*$A764),$B764/(MMFrequency2),0)</f>
        <v>0</v>
      </c>
      <c r="S776" s="208">
        <f t="shared" si="436"/>
        <v>0</v>
      </c>
      <c r="T776" s="208">
        <f t="shared" si="436"/>
        <v>0</v>
      </c>
      <c r="U776" s="208">
        <f t="shared" si="436"/>
        <v>0</v>
      </c>
      <c r="V776" s="208">
        <f t="shared" si="436"/>
        <v>0</v>
      </c>
      <c r="W776" s="208">
        <f t="shared" si="436"/>
        <v>0</v>
      </c>
      <c r="X776" s="208">
        <f t="shared" si="436"/>
        <v>0</v>
      </c>
      <c r="Y776" s="208">
        <f t="shared" si="436"/>
        <v>0</v>
      </c>
      <c r="Z776" s="208">
        <f t="shared" si="436"/>
        <v>0</v>
      </c>
      <c r="AA776" s="208">
        <f t="shared" si="436"/>
        <v>0</v>
      </c>
      <c r="AB776" s="208">
        <f t="shared" si="436"/>
        <v>0</v>
      </c>
      <c r="AC776" s="208">
        <f t="shared" si="436"/>
        <v>0</v>
      </c>
      <c r="AD776" s="208">
        <f t="shared" si="436"/>
        <v>0</v>
      </c>
      <c r="AE776" s="208">
        <f t="shared" si="436"/>
        <v>0</v>
      </c>
      <c r="AF776" s="208">
        <f t="shared" si="436"/>
        <v>0</v>
      </c>
      <c r="AG776" s="208">
        <f t="shared" si="436"/>
        <v>0</v>
      </c>
      <c r="AH776" s="208">
        <f t="shared" si="436"/>
        <v>0</v>
      </c>
      <c r="AI776" s="208">
        <f t="shared" si="436"/>
        <v>0</v>
      </c>
      <c r="AJ776" s="208">
        <f t="shared" si="436"/>
        <v>0</v>
      </c>
      <c r="AK776" s="208">
        <f t="shared" si="436"/>
        <v>0</v>
      </c>
      <c r="AL776" s="208">
        <f t="shared" si="436"/>
        <v>0</v>
      </c>
      <c r="AM776" s="208">
        <f t="shared" si="436"/>
        <v>0</v>
      </c>
      <c r="AN776" s="208">
        <f t="shared" si="436"/>
        <v>0</v>
      </c>
      <c r="AO776" s="208">
        <f t="shared" si="436"/>
        <v>0</v>
      </c>
      <c r="AP776" s="208">
        <f t="shared" si="436"/>
        <v>0</v>
      </c>
    </row>
    <row r="777" spans="1:42">
      <c r="A777" s="37">
        <f>A776+1</f>
        <v>9</v>
      </c>
      <c r="B777" s="295">
        <f t="shared" si="432"/>
        <v>0</v>
      </c>
      <c r="C777" s="208">
        <f t="shared" ref="C777:AP778" si="437">IF(AND(C$2&gt;MMFrequency2*$A764,C$2&lt;=MMFrequency2*$A765),$B765/(MMFrequency2),0)</f>
        <v>0</v>
      </c>
      <c r="D777" s="208">
        <f t="shared" si="437"/>
        <v>0</v>
      </c>
      <c r="E777" s="208">
        <f t="shared" si="437"/>
        <v>0</v>
      </c>
      <c r="F777" s="208">
        <f t="shared" si="437"/>
        <v>0</v>
      </c>
      <c r="G777" s="208">
        <f t="shared" si="437"/>
        <v>0</v>
      </c>
      <c r="H777" s="208">
        <f t="shared" si="437"/>
        <v>0</v>
      </c>
      <c r="I777" s="208">
        <f t="shared" si="437"/>
        <v>0</v>
      </c>
      <c r="J777" s="208">
        <f t="shared" si="437"/>
        <v>0</v>
      </c>
      <c r="K777" s="208">
        <f t="shared" si="437"/>
        <v>0</v>
      </c>
      <c r="L777" s="208">
        <f t="shared" si="437"/>
        <v>0</v>
      </c>
      <c r="M777" s="208">
        <f t="shared" si="437"/>
        <v>0</v>
      </c>
      <c r="N777" s="208">
        <f t="shared" si="437"/>
        <v>0</v>
      </c>
      <c r="O777" s="208">
        <f t="shared" si="437"/>
        <v>0</v>
      </c>
      <c r="P777" s="208">
        <f t="shared" si="437"/>
        <v>0</v>
      </c>
      <c r="Q777" s="208">
        <f t="shared" si="437"/>
        <v>0</v>
      </c>
      <c r="R777" s="208">
        <f t="shared" si="437"/>
        <v>0</v>
      </c>
      <c r="S777" s="208">
        <f t="shared" si="437"/>
        <v>0</v>
      </c>
      <c r="T777" s="208">
        <f t="shared" si="437"/>
        <v>0</v>
      </c>
      <c r="U777" s="208">
        <f t="shared" si="437"/>
        <v>0</v>
      </c>
      <c r="V777" s="208">
        <f t="shared" si="437"/>
        <v>0</v>
      </c>
      <c r="W777" s="208">
        <f t="shared" si="437"/>
        <v>0</v>
      </c>
      <c r="X777" s="208">
        <f t="shared" si="437"/>
        <v>0</v>
      </c>
      <c r="Y777" s="208">
        <f t="shared" si="437"/>
        <v>0</v>
      </c>
      <c r="Z777" s="208">
        <f t="shared" si="437"/>
        <v>0</v>
      </c>
      <c r="AA777" s="208">
        <f t="shared" si="437"/>
        <v>0</v>
      </c>
      <c r="AB777" s="208">
        <f t="shared" si="437"/>
        <v>0</v>
      </c>
      <c r="AC777" s="208">
        <f t="shared" si="437"/>
        <v>0</v>
      </c>
      <c r="AD777" s="208">
        <f t="shared" si="437"/>
        <v>0</v>
      </c>
      <c r="AE777" s="208">
        <f t="shared" si="437"/>
        <v>0</v>
      </c>
      <c r="AF777" s="208">
        <f t="shared" si="437"/>
        <v>0</v>
      </c>
      <c r="AG777" s="208">
        <f t="shared" si="437"/>
        <v>0</v>
      </c>
      <c r="AH777" s="208">
        <f t="shared" si="437"/>
        <v>0</v>
      </c>
      <c r="AI777" s="208">
        <f t="shared" si="437"/>
        <v>0</v>
      </c>
      <c r="AJ777" s="208">
        <f t="shared" si="437"/>
        <v>0</v>
      </c>
      <c r="AK777" s="208">
        <f t="shared" si="437"/>
        <v>0</v>
      </c>
      <c r="AL777" s="208">
        <f t="shared" si="437"/>
        <v>0</v>
      </c>
      <c r="AM777" s="208">
        <f t="shared" si="437"/>
        <v>0</v>
      </c>
      <c r="AN777" s="208">
        <f t="shared" si="437"/>
        <v>0</v>
      </c>
      <c r="AO777" s="208">
        <f t="shared" si="437"/>
        <v>0</v>
      </c>
      <c r="AP777" s="208">
        <f t="shared" si="437"/>
        <v>0</v>
      </c>
    </row>
    <row r="778" spans="1:42">
      <c r="A778" s="37">
        <f t="shared" ref="A778" si="438">A777+1</f>
        <v>10</v>
      </c>
      <c r="B778" s="295">
        <f t="shared" si="432"/>
        <v>0</v>
      </c>
      <c r="C778" s="209">
        <f t="shared" si="437"/>
        <v>0</v>
      </c>
      <c r="D778" s="209">
        <f t="shared" si="437"/>
        <v>0</v>
      </c>
      <c r="E778" s="209">
        <f t="shared" si="437"/>
        <v>0</v>
      </c>
      <c r="F778" s="209">
        <f t="shared" si="437"/>
        <v>0</v>
      </c>
      <c r="G778" s="209">
        <f t="shared" si="437"/>
        <v>0</v>
      </c>
      <c r="H778" s="209">
        <f t="shared" si="437"/>
        <v>0</v>
      </c>
      <c r="I778" s="209">
        <f t="shared" si="437"/>
        <v>0</v>
      </c>
      <c r="J778" s="209">
        <f t="shared" si="437"/>
        <v>0</v>
      </c>
      <c r="K778" s="209">
        <f t="shared" si="437"/>
        <v>0</v>
      </c>
      <c r="L778" s="209">
        <f t="shared" si="437"/>
        <v>0</v>
      </c>
      <c r="M778" s="209">
        <f t="shared" si="437"/>
        <v>0</v>
      </c>
      <c r="N778" s="209">
        <f t="shared" si="437"/>
        <v>0</v>
      </c>
      <c r="O778" s="209">
        <f t="shared" si="437"/>
        <v>0</v>
      </c>
      <c r="P778" s="209">
        <f t="shared" si="437"/>
        <v>0</v>
      </c>
      <c r="Q778" s="209">
        <f t="shared" si="437"/>
        <v>0</v>
      </c>
      <c r="R778" s="209">
        <f t="shared" si="437"/>
        <v>0</v>
      </c>
      <c r="S778" s="209">
        <f t="shared" si="437"/>
        <v>0</v>
      </c>
      <c r="T778" s="209">
        <f t="shared" si="437"/>
        <v>0</v>
      </c>
      <c r="U778" s="209">
        <f t="shared" si="437"/>
        <v>0</v>
      </c>
      <c r="V778" s="209">
        <f t="shared" si="437"/>
        <v>0</v>
      </c>
      <c r="W778" s="209">
        <f t="shared" si="437"/>
        <v>0</v>
      </c>
      <c r="X778" s="209">
        <f t="shared" si="437"/>
        <v>0</v>
      </c>
      <c r="Y778" s="209">
        <f t="shared" si="437"/>
        <v>0</v>
      </c>
      <c r="Z778" s="209">
        <f t="shared" si="437"/>
        <v>0</v>
      </c>
      <c r="AA778" s="209">
        <f t="shared" si="437"/>
        <v>0</v>
      </c>
      <c r="AB778" s="209">
        <f t="shared" si="437"/>
        <v>0</v>
      </c>
      <c r="AC778" s="209">
        <f t="shared" si="437"/>
        <v>0</v>
      </c>
      <c r="AD778" s="209">
        <f t="shared" si="437"/>
        <v>0</v>
      </c>
      <c r="AE778" s="209">
        <f t="shared" si="437"/>
        <v>0</v>
      </c>
      <c r="AF778" s="209">
        <f t="shared" si="437"/>
        <v>0</v>
      </c>
      <c r="AG778" s="209">
        <f t="shared" si="437"/>
        <v>0</v>
      </c>
      <c r="AH778" s="209">
        <f t="shared" si="437"/>
        <v>0</v>
      </c>
      <c r="AI778" s="209">
        <f t="shared" si="437"/>
        <v>0</v>
      </c>
      <c r="AJ778" s="209">
        <f t="shared" si="437"/>
        <v>0</v>
      </c>
      <c r="AK778" s="209">
        <f t="shared" si="437"/>
        <v>0</v>
      </c>
      <c r="AL778" s="209">
        <f t="shared" si="437"/>
        <v>0</v>
      </c>
      <c r="AM778" s="209">
        <f t="shared" si="437"/>
        <v>0</v>
      </c>
      <c r="AN778" s="209">
        <f t="shared" si="437"/>
        <v>0</v>
      </c>
      <c r="AO778" s="209">
        <f t="shared" si="437"/>
        <v>0</v>
      </c>
      <c r="AP778" s="209">
        <f t="shared" si="437"/>
        <v>0</v>
      </c>
    </row>
    <row r="779" spans="1:42">
      <c r="A779" s="244" t="s">
        <v>53</v>
      </c>
      <c r="B779" s="208"/>
      <c r="C779" s="164">
        <f>SUM(C769:C778)</f>
        <v>410585.24356465257</v>
      </c>
      <c r="D779" s="164">
        <f t="shared" ref="D779:AP779" si="439">SUM(D769:D778)</f>
        <v>410585.24356465257</v>
      </c>
      <c r="E779" s="164">
        <f t="shared" si="439"/>
        <v>410585.24356465257</v>
      </c>
      <c r="F779" s="164">
        <f t="shared" si="439"/>
        <v>410585.24356465257</v>
      </c>
      <c r="G779" s="164">
        <f t="shared" si="439"/>
        <v>410585.24356465257</v>
      </c>
      <c r="H779" s="164">
        <f t="shared" si="439"/>
        <v>410585.24356465257</v>
      </c>
      <c r="I779" s="164">
        <f t="shared" si="439"/>
        <v>410585.24356465257</v>
      </c>
      <c r="J779" s="164">
        <f t="shared" si="439"/>
        <v>410585.24356465257</v>
      </c>
      <c r="K779" s="164">
        <f t="shared" si="439"/>
        <v>410585.24356465257</v>
      </c>
      <c r="L779" s="164">
        <f t="shared" si="439"/>
        <v>410585.24356465257</v>
      </c>
      <c r="M779" s="164">
        <f t="shared" si="439"/>
        <v>410585.24356465257</v>
      </c>
      <c r="N779" s="164">
        <f t="shared" si="439"/>
        <v>410585.24356465257</v>
      </c>
      <c r="O779" s="164">
        <f t="shared" si="439"/>
        <v>410585.24356465257</v>
      </c>
      <c r="P779" s="164">
        <f t="shared" si="439"/>
        <v>410585.24356465257</v>
      </c>
      <c r="Q779" s="164">
        <f t="shared" si="439"/>
        <v>410585.24356465257</v>
      </c>
      <c r="R779" s="164">
        <f t="shared" si="439"/>
        <v>513326.83759962226</v>
      </c>
      <c r="S779" s="164">
        <f t="shared" si="439"/>
        <v>513326.83759962226</v>
      </c>
      <c r="T779" s="164">
        <f t="shared" si="439"/>
        <v>513326.83759962226</v>
      </c>
      <c r="U779" s="164">
        <f t="shared" si="439"/>
        <v>513326.83759962226</v>
      </c>
      <c r="V779" s="164">
        <f t="shared" si="439"/>
        <v>513326.83759962226</v>
      </c>
      <c r="W779" s="164">
        <f t="shared" si="439"/>
        <v>513326.83759962226</v>
      </c>
      <c r="X779" s="164">
        <f t="shared" si="439"/>
        <v>513326.83759962226</v>
      </c>
      <c r="Y779" s="164">
        <f t="shared" si="439"/>
        <v>513326.83759962226</v>
      </c>
      <c r="Z779" s="164">
        <f t="shared" si="439"/>
        <v>513326.83759962226</v>
      </c>
      <c r="AA779" s="164">
        <f t="shared" si="439"/>
        <v>513326.83759962226</v>
      </c>
      <c r="AB779" s="164">
        <f t="shared" si="439"/>
        <v>513326.83759962226</v>
      </c>
      <c r="AC779" s="164">
        <f t="shared" si="439"/>
        <v>513326.83759962226</v>
      </c>
      <c r="AD779" s="164">
        <f t="shared" si="439"/>
        <v>513326.83759962226</v>
      </c>
      <c r="AE779" s="164">
        <f t="shared" si="439"/>
        <v>513326.83759962226</v>
      </c>
      <c r="AF779" s="164">
        <f t="shared" si="439"/>
        <v>513326.83759962226</v>
      </c>
      <c r="AG779" s="164">
        <f t="shared" si="439"/>
        <v>0</v>
      </c>
      <c r="AH779" s="164">
        <f t="shared" si="439"/>
        <v>0</v>
      </c>
      <c r="AI779" s="164">
        <f t="shared" si="439"/>
        <v>0</v>
      </c>
      <c r="AJ779" s="164">
        <f t="shared" si="439"/>
        <v>0</v>
      </c>
      <c r="AK779" s="164">
        <f t="shared" si="439"/>
        <v>0</v>
      </c>
      <c r="AL779" s="164">
        <f t="shared" si="439"/>
        <v>0</v>
      </c>
      <c r="AM779" s="164">
        <f t="shared" si="439"/>
        <v>0</v>
      </c>
      <c r="AN779" s="164">
        <f t="shared" si="439"/>
        <v>0</v>
      </c>
      <c r="AO779" s="164">
        <f t="shared" si="439"/>
        <v>0</v>
      </c>
      <c r="AP779" s="164">
        <f t="shared" si="439"/>
        <v>0</v>
      </c>
    </row>
    <row r="780" spans="1:42">
      <c r="B780" s="208"/>
      <c r="C780" s="164"/>
      <c r="D780" s="164"/>
      <c r="E780" s="164"/>
      <c r="F780" s="164"/>
      <c r="G780" s="164"/>
      <c r="H780" s="164"/>
      <c r="I780" s="164"/>
      <c r="J780" s="164"/>
      <c r="K780" s="164"/>
      <c r="L780" s="164"/>
      <c r="M780" s="164"/>
      <c r="N780" s="164"/>
      <c r="O780" s="164"/>
      <c r="P780" s="164"/>
      <c r="Q780" s="164"/>
      <c r="R780" s="164"/>
      <c r="S780" s="164"/>
      <c r="T780" s="164"/>
      <c r="U780" s="164"/>
      <c r="V780" s="164"/>
      <c r="W780" s="164"/>
      <c r="X780" s="164"/>
      <c r="Y780" s="164"/>
      <c r="Z780" s="164"/>
      <c r="AA780" s="164"/>
      <c r="AB780" s="164"/>
      <c r="AC780" s="164"/>
      <c r="AD780" s="164"/>
      <c r="AE780" s="164"/>
      <c r="AF780" s="164"/>
      <c r="AG780" s="164"/>
      <c r="AH780" s="164"/>
      <c r="AI780" s="164"/>
      <c r="AJ780" s="164"/>
      <c r="AK780" s="164"/>
      <c r="AL780" s="164"/>
      <c r="AM780" s="164"/>
      <c r="AN780" s="164"/>
      <c r="AO780" s="164"/>
      <c r="AP780" s="164"/>
    </row>
    <row r="781" spans="1:42">
      <c r="A781" s="204" t="s">
        <v>379</v>
      </c>
      <c r="C781" s="164"/>
      <c r="D781" s="164"/>
      <c r="E781" s="164"/>
      <c r="F781" s="164"/>
      <c r="G781" s="164"/>
      <c r="H781" s="164"/>
      <c r="I781" s="164"/>
      <c r="J781" s="164"/>
      <c r="K781" s="164"/>
      <c r="L781" s="164"/>
      <c r="M781" s="164"/>
      <c r="N781" s="164"/>
      <c r="O781" s="164"/>
      <c r="P781" s="164"/>
      <c r="Q781" s="164"/>
      <c r="R781" s="164"/>
      <c r="S781" s="164"/>
      <c r="T781" s="164"/>
      <c r="U781" s="164"/>
      <c r="V781" s="164"/>
      <c r="W781" s="164"/>
      <c r="X781" s="164"/>
      <c r="Y781" s="164"/>
      <c r="Z781" s="164"/>
      <c r="AA781" s="164"/>
      <c r="AB781" s="164"/>
      <c r="AC781" s="164"/>
      <c r="AD781" s="164"/>
      <c r="AE781" s="164"/>
      <c r="AF781" s="164"/>
      <c r="AG781" s="164"/>
      <c r="AH781" s="164"/>
      <c r="AI781" s="164"/>
      <c r="AJ781" s="164"/>
      <c r="AK781" s="164"/>
      <c r="AL781" s="164"/>
      <c r="AM781" s="164"/>
      <c r="AN781" s="164"/>
      <c r="AO781" s="164"/>
      <c r="AP781" s="164"/>
    </row>
    <row r="782" spans="1:42">
      <c r="A782" s="37" t="s">
        <v>100</v>
      </c>
      <c r="B782" s="164">
        <v>0</v>
      </c>
      <c r="C782" s="164">
        <f>B785</f>
        <v>0</v>
      </c>
      <c r="D782" s="164">
        <f t="shared" ref="D782:AP782" si="440">C785</f>
        <v>34340.833333333321</v>
      </c>
      <c r="E782" s="164">
        <f t="shared" si="440"/>
        <v>68681.666666666642</v>
      </c>
      <c r="F782" s="164">
        <f t="shared" si="440"/>
        <v>0</v>
      </c>
      <c r="G782" s="164">
        <f t="shared" si="440"/>
        <v>35909.466796145811</v>
      </c>
      <c r="H782" s="164">
        <f t="shared" si="440"/>
        <v>71818.933592291622</v>
      </c>
      <c r="I782" s="164">
        <f t="shared" si="440"/>
        <v>0</v>
      </c>
      <c r="J782" s="164">
        <f t="shared" si="440"/>
        <v>37549.752886510192</v>
      </c>
      <c r="K782" s="164">
        <f t="shared" si="440"/>
        <v>75099.505773020384</v>
      </c>
      <c r="L782" s="164">
        <f t="shared" si="440"/>
        <v>0</v>
      </c>
      <c r="M782" s="164">
        <f t="shared" si="440"/>
        <v>39264.96458001752</v>
      </c>
      <c r="N782" s="164">
        <f t="shared" si="440"/>
        <v>78529.929160035041</v>
      </c>
      <c r="O782" s="164">
        <f t="shared" si="440"/>
        <v>0</v>
      </c>
      <c r="P782" s="164">
        <f t="shared" si="440"/>
        <v>41058.524356465256</v>
      </c>
      <c r="Q782" s="164">
        <f t="shared" si="440"/>
        <v>82117.048712930511</v>
      </c>
      <c r="R782" s="164">
        <f t="shared" si="440"/>
        <v>0</v>
      </c>
      <c r="S782" s="164">
        <f t="shared" si="440"/>
        <v>42934.011028966495</v>
      </c>
      <c r="T782" s="164">
        <f t="shared" si="440"/>
        <v>85868.022057932991</v>
      </c>
      <c r="U782" s="164">
        <f t="shared" si="440"/>
        <v>0</v>
      </c>
      <c r="V782" s="164">
        <f t="shared" si="440"/>
        <v>44895.166885001738</v>
      </c>
      <c r="W782" s="164">
        <f t="shared" si="440"/>
        <v>89790.333770003475</v>
      </c>
      <c r="X782" s="164">
        <f t="shared" si="440"/>
        <v>0</v>
      </c>
      <c r="Y782" s="164">
        <f t="shared" si="440"/>
        <v>46945.90515366241</v>
      </c>
      <c r="Z782" s="164">
        <f t="shared" si="440"/>
        <v>93891.81030732482</v>
      </c>
      <c r="AA782" s="164">
        <f t="shared" si="440"/>
        <v>0</v>
      </c>
      <c r="AB782" s="164">
        <f t="shared" si="440"/>
        <v>49090.317813985828</v>
      </c>
      <c r="AC782" s="164">
        <f t="shared" si="440"/>
        <v>98180.635627971657</v>
      </c>
      <c r="AD782" s="164">
        <f t="shared" si="440"/>
        <v>0</v>
      </c>
      <c r="AE782" s="164">
        <f t="shared" si="440"/>
        <v>51332.68375996223</v>
      </c>
      <c r="AF782" s="164">
        <f t="shared" si="440"/>
        <v>102665.36751992446</v>
      </c>
      <c r="AG782" s="164">
        <f t="shared" si="440"/>
        <v>0</v>
      </c>
      <c r="AH782" s="164">
        <f t="shared" si="440"/>
        <v>0</v>
      </c>
      <c r="AI782" s="164">
        <f t="shared" si="440"/>
        <v>0</v>
      </c>
      <c r="AJ782" s="164">
        <f t="shared" si="440"/>
        <v>0</v>
      </c>
      <c r="AK782" s="164">
        <f t="shared" si="440"/>
        <v>0</v>
      </c>
      <c r="AL782" s="164">
        <f t="shared" si="440"/>
        <v>0</v>
      </c>
      <c r="AM782" s="164">
        <f t="shared" si="440"/>
        <v>0</v>
      </c>
      <c r="AN782" s="164">
        <f t="shared" si="440"/>
        <v>0</v>
      </c>
      <c r="AO782" s="164">
        <f t="shared" si="440"/>
        <v>0</v>
      </c>
      <c r="AP782" s="164">
        <f t="shared" si="440"/>
        <v>0</v>
      </c>
    </row>
    <row r="783" spans="1:42">
      <c r="A783" s="37" t="s">
        <v>208</v>
      </c>
      <c r="B783" s="164">
        <v>0</v>
      </c>
      <c r="C783" s="164">
        <f>C811</f>
        <v>34340.833333333321</v>
      </c>
      <c r="D783" s="164">
        <f t="shared" ref="D783:AP783" si="441">D811</f>
        <v>34340.833333333321</v>
      </c>
      <c r="E783" s="164">
        <f t="shared" si="441"/>
        <v>34340.833333333321</v>
      </c>
      <c r="F783" s="164">
        <f t="shared" si="441"/>
        <v>35909.466796145811</v>
      </c>
      <c r="G783" s="164">
        <f t="shared" si="441"/>
        <v>35909.466796145811</v>
      </c>
      <c r="H783" s="164">
        <f t="shared" si="441"/>
        <v>35909.466796145811</v>
      </c>
      <c r="I783" s="164">
        <f t="shared" si="441"/>
        <v>37549.752886510192</v>
      </c>
      <c r="J783" s="164">
        <f t="shared" si="441"/>
        <v>37549.752886510192</v>
      </c>
      <c r="K783" s="164">
        <f t="shared" si="441"/>
        <v>37549.752886510192</v>
      </c>
      <c r="L783" s="164">
        <f t="shared" si="441"/>
        <v>39264.96458001752</v>
      </c>
      <c r="M783" s="164">
        <f t="shared" si="441"/>
        <v>39264.96458001752</v>
      </c>
      <c r="N783" s="164">
        <f t="shared" si="441"/>
        <v>39264.96458001752</v>
      </c>
      <c r="O783" s="164">
        <f t="shared" si="441"/>
        <v>41058.524356465256</v>
      </c>
      <c r="P783" s="164">
        <f t="shared" si="441"/>
        <v>41058.524356465256</v>
      </c>
      <c r="Q783" s="164">
        <f t="shared" si="441"/>
        <v>41058.524356465256</v>
      </c>
      <c r="R783" s="164">
        <f t="shared" si="441"/>
        <v>42934.011028966495</v>
      </c>
      <c r="S783" s="164">
        <f t="shared" si="441"/>
        <v>42934.011028966495</v>
      </c>
      <c r="T783" s="164">
        <f t="shared" si="441"/>
        <v>42934.011028966495</v>
      </c>
      <c r="U783" s="164">
        <f t="shared" si="441"/>
        <v>44895.166885001738</v>
      </c>
      <c r="V783" s="164">
        <f t="shared" si="441"/>
        <v>44895.166885001738</v>
      </c>
      <c r="W783" s="164">
        <f t="shared" si="441"/>
        <v>44895.166885001738</v>
      </c>
      <c r="X783" s="164">
        <f t="shared" si="441"/>
        <v>46945.90515366241</v>
      </c>
      <c r="Y783" s="164">
        <f t="shared" si="441"/>
        <v>46945.90515366241</v>
      </c>
      <c r="Z783" s="164">
        <f t="shared" si="441"/>
        <v>46945.90515366241</v>
      </c>
      <c r="AA783" s="164">
        <f t="shared" si="441"/>
        <v>49090.317813985828</v>
      </c>
      <c r="AB783" s="164">
        <f t="shared" si="441"/>
        <v>49090.317813985828</v>
      </c>
      <c r="AC783" s="164">
        <f t="shared" si="441"/>
        <v>49090.317813985828</v>
      </c>
      <c r="AD783" s="164">
        <f t="shared" si="441"/>
        <v>51332.68375996223</v>
      </c>
      <c r="AE783" s="164">
        <f t="shared" si="441"/>
        <v>51332.68375996223</v>
      </c>
      <c r="AF783" s="164">
        <f t="shared" si="441"/>
        <v>51332.68375996223</v>
      </c>
      <c r="AG783" s="164">
        <f t="shared" si="441"/>
        <v>0</v>
      </c>
      <c r="AH783" s="164">
        <f t="shared" si="441"/>
        <v>0</v>
      </c>
      <c r="AI783" s="164">
        <f t="shared" si="441"/>
        <v>0</v>
      </c>
      <c r="AJ783" s="164">
        <f t="shared" si="441"/>
        <v>0</v>
      </c>
      <c r="AK783" s="164">
        <f t="shared" si="441"/>
        <v>0</v>
      </c>
      <c r="AL783" s="164">
        <f t="shared" si="441"/>
        <v>0</v>
      </c>
      <c r="AM783" s="164">
        <f t="shared" si="441"/>
        <v>0</v>
      </c>
      <c r="AN783" s="164">
        <f t="shared" si="441"/>
        <v>0</v>
      </c>
      <c r="AO783" s="164">
        <f t="shared" si="441"/>
        <v>0</v>
      </c>
      <c r="AP783" s="164">
        <f t="shared" si="441"/>
        <v>0</v>
      </c>
    </row>
    <row r="784" spans="1:42">
      <c r="A784" s="37" t="s">
        <v>107</v>
      </c>
      <c r="B784" s="209">
        <v>0</v>
      </c>
      <c r="C784" s="209">
        <f>-C799</f>
        <v>0</v>
      </c>
      <c r="D784" s="209">
        <f t="shared" ref="D784:AP784" si="442">-D799</f>
        <v>0</v>
      </c>
      <c r="E784" s="209">
        <f t="shared" si="442"/>
        <v>-103022.49999999997</v>
      </c>
      <c r="F784" s="209">
        <f t="shared" si="442"/>
        <v>0</v>
      </c>
      <c r="G784" s="209">
        <f t="shared" si="442"/>
        <v>0</v>
      </c>
      <c r="H784" s="209">
        <f t="shared" si="442"/>
        <v>-107728.40038843743</v>
      </c>
      <c r="I784" s="209">
        <f t="shared" si="442"/>
        <v>0</v>
      </c>
      <c r="J784" s="209">
        <f t="shared" si="442"/>
        <v>0</v>
      </c>
      <c r="K784" s="209">
        <f t="shared" si="442"/>
        <v>-112649.25865953058</v>
      </c>
      <c r="L784" s="209">
        <f t="shared" si="442"/>
        <v>0</v>
      </c>
      <c r="M784" s="209">
        <f t="shared" si="442"/>
        <v>0</v>
      </c>
      <c r="N784" s="209">
        <f t="shared" si="442"/>
        <v>-117794.89374005256</v>
      </c>
      <c r="O784" s="209">
        <f t="shared" si="442"/>
        <v>0</v>
      </c>
      <c r="P784" s="209">
        <f t="shared" si="442"/>
        <v>0</v>
      </c>
      <c r="Q784" s="209">
        <f t="shared" si="442"/>
        <v>-123175.57306939577</v>
      </c>
      <c r="R784" s="209">
        <f t="shared" si="442"/>
        <v>0</v>
      </c>
      <c r="S784" s="209">
        <f t="shared" si="442"/>
        <v>0</v>
      </c>
      <c r="T784" s="209">
        <f t="shared" si="442"/>
        <v>-128802.03308689948</v>
      </c>
      <c r="U784" s="209">
        <f t="shared" si="442"/>
        <v>0</v>
      </c>
      <c r="V784" s="209">
        <f t="shared" si="442"/>
        <v>0</v>
      </c>
      <c r="W784" s="209">
        <f t="shared" si="442"/>
        <v>-134685.50065500522</v>
      </c>
      <c r="X784" s="209">
        <f t="shared" si="442"/>
        <v>0</v>
      </c>
      <c r="Y784" s="209">
        <f t="shared" si="442"/>
        <v>0</v>
      </c>
      <c r="Z784" s="209">
        <f t="shared" si="442"/>
        <v>-140837.71546098724</v>
      </c>
      <c r="AA784" s="209">
        <f t="shared" si="442"/>
        <v>0</v>
      </c>
      <c r="AB784" s="209">
        <f t="shared" si="442"/>
        <v>0</v>
      </c>
      <c r="AC784" s="209">
        <f t="shared" si="442"/>
        <v>-147270.95344195748</v>
      </c>
      <c r="AD784" s="209">
        <f t="shared" si="442"/>
        <v>0</v>
      </c>
      <c r="AE784" s="209">
        <f t="shared" si="442"/>
        <v>0</v>
      </c>
      <c r="AF784" s="209">
        <f t="shared" si="442"/>
        <v>-153998.05127988668</v>
      </c>
      <c r="AG784" s="209">
        <f t="shared" si="442"/>
        <v>0</v>
      </c>
      <c r="AH784" s="209">
        <f t="shared" si="442"/>
        <v>0</v>
      </c>
      <c r="AI784" s="209">
        <f t="shared" si="442"/>
        <v>0</v>
      </c>
      <c r="AJ784" s="209">
        <f t="shared" si="442"/>
        <v>0</v>
      </c>
      <c r="AK784" s="209">
        <f t="shared" si="442"/>
        <v>0</v>
      </c>
      <c r="AL784" s="209">
        <f t="shared" si="442"/>
        <v>0</v>
      </c>
      <c r="AM784" s="209">
        <f t="shared" si="442"/>
        <v>0</v>
      </c>
      <c r="AN784" s="209">
        <f t="shared" si="442"/>
        <v>0</v>
      </c>
      <c r="AO784" s="209">
        <f t="shared" si="442"/>
        <v>0</v>
      </c>
      <c r="AP784" s="209">
        <f t="shared" si="442"/>
        <v>0</v>
      </c>
    </row>
    <row r="785" spans="1:42">
      <c r="A785" s="37" t="s">
        <v>103</v>
      </c>
      <c r="B785" s="164">
        <f>SUM(B782:B784)</f>
        <v>0</v>
      </c>
      <c r="C785" s="164">
        <f>SUM(C782:C784)</f>
        <v>34340.833333333321</v>
      </c>
      <c r="D785" s="164">
        <f t="shared" ref="D785:AP785" si="443">SUM(D782:D784)</f>
        <v>68681.666666666642</v>
      </c>
      <c r="E785" s="164">
        <f t="shared" si="443"/>
        <v>0</v>
      </c>
      <c r="F785" s="164">
        <f t="shared" si="443"/>
        <v>35909.466796145811</v>
      </c>
      <c r="G785" s="164">
        <f t="shared" si="443"/>
        <v>71818.933592291622</v>
      </c>
      <c r="H785" s="164">
        <f t="shared" si="443"/>
        <v>0</v>
      </c>
      <c r="I785" s="164">
        <f t="shared" si="443"/>
        <v>37549.752886510192</v>
      </c>
      <c r="J785" s="164">
        <f t="shared" si="443"/>
        <v>75099.505773020384</v>
      </c>
      <c r="K785" s="164">
        <f t="shared" si="443"/>
        <v>0</v>
      </c>
      <c r="L785" s="164">
        <f t="shared" si="443"/>
        <v>39264.96458001752</v>
      </c>
      <c r="M785" s="164">
        <f t="shared" si="443"/>
        <v>78529.929160035041</v>
      </c>
      <c r="N785" s="164">
        <f t="shared" si="443"/>
        <v>0</v>
      </c>
      <c r="O785" s="164">
        <f t="shared" si="443"/>
        <v>41058.524356465256</v>
      </c>
      <c r="P785" s="164">
        <f t="shared" si="443"/>
        <v>82117.048712930511</v>
      </c>
      <c r="Q785" s="164">
        <f t="shared" si="443"/>
        <v>0</v>
      </c>
      <c r="R785" s="164">
        <f t="shared" si="443"/>
        <v>42934.011028966495</v>
      </c>
      <c r="S785" s="164">
        <f t="shared" si="443"/>
        <v>85868.022057932991</v>
      </c>
      <c r="T785" s="164">
        <f t="shared" si="443"/>
        <v>0</v>
      </c>
      <c r="U785" s="164">
        <f t="shared" si="443"/>
        <v>44895.166885001738</v>
      </c>
      <c r="V785" s="164">
        <f t="shared" si="443"/>
        <v>89790.333770003475</v>
      </c>
      <c r="W785" s="164">
        <f t="shared" si="443"/>
        <v>0</v>
      </c>
      <c r="X785" s="164">
        <f t="shared" si="443"/>
        <v>46945.90515366241</v>
      </c>
      <c r="Y785" s="164">
        <f t="shared" si="443"/>
        <v>93891.81030732482</v>
      </c>
      <c r="Z785" s="164">
        <f t="shared" si="443"/>
        <v>0</v>
      </c>
      <c r="AA785" s="164">
        <f t="shared" si="443"/>
        <v>49090.317813985828</v>
      </c>
      <c r="AB785" s="164">
        <f t="shared" si="443"/>
        <v>98180.635627971657</v>
      </c>
      <c r="AC785" s="164">
        <f t="shared" si="443"/>
        <v>0</v>
      </c>
      <c r="AD785" s="164">
        <f t="shared" si="443"/>
        <v>51332.68375996223</v>
      </c>
      <c r="AE785" s="164">
        <f t="shared" si="443"/>
        <v>102665.36751992446</v>
      </c>
      <c r="AF785" s="164">
        <f t="shared" si="443"/>
        <v>0</v>
      </c>
      <c r="AG785" s="164">
        <f t="shared" si="443"/>
        <v>0</v>
      </c>
      <c r="AH785" s="164">
        <f t="shared" si="443"/>
        <v>0</v>
      </c>
      <c r="AI785" s="164">
        <f t="shared" si="443"/>
        <v>0</v>
      </c>
      <c r="AJ785" s="164">
        <f t="shared" si="443"/>
        <v>0</v>
      </c>
      <c r="AK785" s="164">
        <f t="shared" si="443"/>
        <v>0</v>
      </c>
      <c r="AL785" s="164">
        <f t="shared" si="443"/>
        <v>0</v>
      </c>
      <c r="AM785" s="164">
        <f t="shared" si="443"/>
        <v>0</v>
      </c>
      <c r="AN785" s="164">
        <f t="shared" si="443"/>
        <v>0</v>
      </c>
      <c r="AO785" s="164">
        <f t="shared" si="443"/>
        <v>0</v>
      </c>
      <c r="AP785" s="164">
        <f t="shared" si="443"/>
        <v>0</v>
      </c>
    </row>
    <row r="786" spans="1:42">
      <c r="B786" s="164"/>
      <c r="C786" s="164"/>
      <c r="D786" s="164"/>
      <c r="E786" s="164"/>
      <c r="F786" s="164"/>
      <c r="G786" s="208"/>
      <c r="H786" s="208"/>
      <c r="I786" s="208"/>
      <c r="J786" s="208"/>
      <c r="K786" s="208"/>
      <c r="L786" s="208"/>
      <c r="M786" s="208"/>
      <c r="N786" s="208"/>
      <c r="O786" s="208"/>
      <c r="P786" s="208"/>
      <c r="Q786" s="208"/>
      <c r="R786" s="208"/>
      <c r="S786" s="208"/>
      <c r="T786" s="208"/>
      <c r="U786" s="208"/>
      <c r="V786" s="208"/>
      <c r="W786" s="208"/>
      <c r="X786" s="208"/>
      <c r="Y786" s="208"/>
      <c r="Z786" s="208"/>
      <c r="AA786" s="208"/>
      <c r="AB786" s="208"/>
      <c r="AC786" s="208"/>
      <c r="AD786" s="208"/>
      <c r="AE786" s="208"/>
      <c r="AF786" s="208"/>
      <c r="AG786" s="208"/>
      <c r="AH786" s="208"/>
      <c r="AI786" s="208"/>
      <c r="AJ786" s="208"/>
      <c r="AK786" s="208"/>
      <c r="AL786" s="208"/>
      <c r="AM786" s="208"/>
      <c r="AN786" s="208"/>
      <c r="AO786" s="208"/>
      <c r="AP786" s="208"/>
    </row>
    <row r="787" spans="1:42">
      <c r="A787" s="37" t="s">
        <v>206</v>
      </c>
      <c r="B787" s="164"/>
      <c r="C787" s="164"/>
      <c r="D787" s="164"/>
      <c r="E787" s="164"/>
      <c r="F787" s="164"/>
      <c r="G787" s="208"/>
      <c r="H787" s="208"/>
      <c r="I787" s="208"/>
      <c r="J787" s="208"/>
      <c r="K787" s="208"/>
      <c r="L787" s="208"/>
      <c r="M787" s="208"/>
      <c r="N787" s="208"/>
      <c r="O787" s="208"/>
      <c r="P787" s="208"/>
      <c r="Q787" s="208"/>
      <c r="R787" s="208"/>
      <c r="S787" s="208"/>
      <c r="T787" s="208"/>
      <c r="U787" s="208"/>
      <c r="V787" s="208"/>
      <c r="W787" s="208"/>
      <c r="X787" s="208"/>
      <c r="Y787" s="208"/>
      <c r="Z787" s="208"/>
      <c r="AA787" s="208"/>
      <c r="AB787" s="208"/>
      <c r="AC787" s="208"/>
      <c r="AD787" s="208"/>
      <c r="AE787" s="208"/>
      <c r="AF787" s="208"/>
      <c r="AG787" s="208"/>
      <c r="AH787" s="208"/>
      <c r="AI787" s="208"/>
      <c r="AJ787" s="208"/>
      <c r="AK787" s="208"/>
      <c r="AL787" s="208"/>
      <c r="AM787" s="208"/>
      <c r="AN787" s="208"/>
      <c r="AO787" s="208"/>
      <c r="AP787" s="208"/>
    </row>
    <row r="788" spans="1:42">
      <c r="A788" s="37" t="s">
        <v>207</v>
      </c>
      <c r="B788" s="164"/>
      <c r="C788" s="164"/>
      <c r="D788" s="164"/>
      <c r="E788" s="164"/>
      <c r="F788" s="164"/>
      <c r="G788" s="208"/>
      <c r="H788" s="208"/>
      <c r="I788" s="208"/>
      <c r="J788" s="208"/>
      <c r="K788" s="208"/>
      <c r="L788" s="208"/>
      <c r="M788" s="208"/>
      <c r="N788" s="208"/>
      <c r="O788" s="208"/>
      <c r="P788" s="208"/>
      <c r="Q788" s="208"/>
      <c r="R788" s="208"/>
      <c r="S788" s="208"/>
      <c r="T788" s="208"/>
      <c r="U788" s="208"/>
      <c r="V788" s="208"/>
      <c r="W788" s="208"/>
      <c r="X788" s="208"/>
      <c r="Y788" s="208"/>
      <c r="Z788" s="208"/>
      <c r="AA788" s="208"/>
      <c r="AB788" s="208"/>
      <c r="AC788" s="208"/>
      <c r="AD788" s="208"/>
      <c r="AE788" s="208"/>
      <c r="AF788" s="208"/>
      <c r="AG788" s="208"/>
      <c r="AH788" s="208"/>
      <c r="AI788" s="208"/>
      <c r="AJ788" s="208"/>
      <c r="AK788" s="208"/>
      <c r="AL788" s="208"/>
      <c r="AM788" s="208"/>
      <c r="AN788" s="208"/>
      <c r="AO788" s="208"/>
      <c r="AP788" s="208"/>
    </row>
    <row r="789" spans="1:42">
      <c r="A789" s="37">
        <v>1</v>
      </c>
      <c r="B789" s="295">
        <f t="shared" ref="B789:B798" si="444">SUM(C789:AP789)</f>
        <v>103022.49999999997</v>
      </c>
      <c r="C789" s="208">
        <f t="shared" ref="C789:R798" si="445">IF(C$2&gt;AnalysisPeriod,0,IF(C$2=MMFrequency3*$A789,MMCost3*CapacityDC*1000*(1+Inflation)^B$2,0))</f>
        <v>0</v>
      </c>
      <c r="D789" s="208">
        <f t="shared" si="445"/>
        <v>0</v>
      </c>
      <c r="E789" s="208">
        <f t="shared" si="445"/>
        <v>103022.49999999997</v>
      </c>
      <c r="F789" s="208">
        <f t="shared" si="445"/>
        <v>0</v>
      </c>
      <c r="G789" s="208">
        <f t="shared" si="445"/>
        <v>0</v>
      </c>
      <c r="H789" s="208">
        <f t="shared" si="445"/>
        <v>0</v>
      </c>
      <c r="I789" s="208">
        <f t="shared" si="445"/>
        <v>0</v>
      </c>
      <c r="J789" s="208">
        <f t="shared" si="445"/>
        <v>0</v>
      </c>
      <c r="K789" s="208">
        <f t="shared" si="445"/>
        <v>0</v>
      </c>
      <c r="L789" s="208">
        <f t="shared" si="445"/>
        <v>0</v>
      </c>
      <c r="M789" s="208">
        <f t="shared" si="445"/>
        <v>0</v>
      </c>
      <c r="N789" s="208">
        <f t="shared" si="445"/>
        <v>0</v>
      </c>
      <c r="O789" s="208">
        <f t="shared" si="445"/>
        <v>0</v>
      </c>
      <c r="P789" s="208">
        <f t="shared" si="445"/>
        <v>0</v>
      </c>
      <c r="Q789" s="208">
        <f t="shared" si="445"/>
        <v>0</v>
      </c>
      <c r="R789" s="208">
        <f t="shared" si="445"/>
        <v>0</v>
      </c>
      <c r="S789" s="208">
        <f t="shared" ref="S789:AH798" si="446">IF(S$2&gt;AnalysisPeriod,0,IF(S$2=MMFrequency3*$A789,MMCost3*CapacityDC*1000*(1+Inflation)^R$2,0))</f>
        <v>0</v>
      </c>
      <c r="T789" s="208">
        <f t="shared" si="446"/>
        <v>0</v>
      </c>
      <c r="U789" s="208">
        <f t="shared" si="446"/>
        <v>0</v>
      </c>
      <c r="V789" s="208">
        <f t="shared" si="446"/>
        <v>0</v>
      </c>
      <c r="W789" s="208">
        <f t="shared" si="446"/>
        <v>0</v>
      </c>
      <c r="X789" s="208">
        <f t="shared" si="446"/>
        <v>0</v>
      </c>
      <c r="Y789" s="208">
        <f t="shared" si="446"/>
        <v>0</v>
      </c>
      <c r="Z789" s="208">
        <f t="shared" si="446"/>
        <v>0</v>
      </c>
      <c r="AA789" s="208">
        <f t="shared" si="446"/>
        <v>0</v>
      </c>
      <c r="AB789" s="208">
        <f t="shared" si="446"/>
        <v>0</v>
      </c>
      <c r="AC789" s="208">
        <f t="shared" si="446"/>
        <v>0</v>
      </c>
      <c r="AD789" s="208">
        <f t="shared" si="446"/>
        <v>0</v>
      </c>
      <c r="AE789" s="208">
        <f t="shared" si="446"/>
        <v>0</v>
      </c>
      <c r="AF789" s="208">
        <f t="shared" si="446"/>
        <v>0</v>
      </c>
      <c r="AG789" s="208">
        <f t="shared" si="446"/>
        <v>0</v>
      </c>
      <c r="AH789" s="208">
        <f t="shared" si="446"/>
        <v>0</v>
      </c>
      <c r="AI789" s="208">
        <f t="shared" ref="AI789:AP798" si="447">IF(AI$2&gt;AnalysisPeriod,0,IF(AI$2=MMFrequency3*$A789,MMCost3*CapacityDC*1000*(1+Inflation)^AH$2,0))</f>
        <v>0</v>
      </c>
      <c r="AJ789" s="208">
        <f t="shared" si="447"/>
        <v>0</v>
      </c>
      <c r="AK789" s="208">
        <f t="shared" si="447"/>
        <v>0</v>
      </c>
      <c r="AL789" s="208">
        <f t="shared" si="447"/>
        <v>0</v>
      </c>
      <c r="AM789" s="208">
        <f t="shared" si="447"/>
        <v>0</v>
      </c>
      <c r="AN789" s="208">
        <f t="shared" si="447"/>
        <v>0</v>
      </c>
      <c r="AO789" s="208">
        <f t="shared" si="447"/>
        <v>0</v>
      </c>
      <c r="AP789" s="208">
        <f t="shared" si="447"/>
        <v>0</v>
      </c>
    </row>
    <row r="790" spans="1:42">
      <c r="A790" s="37">
        <f>A789+1</f>
        <v>2</v>
      </c>
      <c r="B790" s="295">
        <f t="shared" si="444"/>
        <v>107728.40038843743</v>
      </c>
      <c r="C790" s="208">
        <f t="shared" si="445"/>
        <v>0</v>
      </c>
      <c r="D790" s="208">
        <f t="shared" si="445"/>
        <v>0</v>
      </c>
      <c r="E790" s="208">
        <f t="shared" si="445"/>
        <v>0</v>
      </c>
      <c r="F790" s="208">
        <f t="shared" si="445"/>
        <v>0</v>
      </c>
      <c r="G790" s="208">
        <f t="shared" si="445"/>
        <v>0</v>
      </c>
      <c r="H790" s="208">
        <f t="shared" si="445"/>
        <v>107728.40038843743</v>
      </c>
      <c r="I790" s="208">
        <f t="shared" si="445"/>
        <v>0</v>
      </c>
      <c r="J790" s="208">
        <f t="shared" si="445"/>
        <v>0</v>
      </c>
      <c r="K790" s="208">
        <f t="shared" si="445"/>
        <v>0</v>
      </c>
      <c r="L790" s="208">
        <f t="shared" si="445"/>
        <v>0</v>
      </c>
      <c r="M790" s="208">
        <f t="shared" si="445"/>
        <v>0</v>
      </c>
      <c r="N790" s="208">
        <f t="shared" si="445"/>
        <v>0</v>
      </c>
      <c r="O790" s="208">
        <f t="shared" si="445"/>
        <v>0</v>
      </c>
      <c r="P790" s="208">
        <f t="shared" si="445"/>
        <v>0</v>
      </c>
      <c r="Q790" s="208">
        <f t="shared" si="445"/>
        <v>0</v>
      </c>
      <c r="R790" s="208">
        <f t="shared" si="445"/>
        <v>0</v>
      </c>
      <c r="S790" s="208">
        <f t="shared" si="446"/>
        <v>0</v>
      </c>
      <c r="T790" s="208">
        <f t="shared" si="446"/>
        <v>0</v>
      </c>
      <c r="U790" s="208">
        <f t="shared" si="446"/>
        <v>0</v>
      </c>
      <c r="V790" s="208">
        <f t="shared" si="446"/>
        <v>0</v>
      </c>
      <c r="W790" s="208">
        <f t="shared" si="446"/>
        <v>0</v>
      </c>
      <c r="X790" s="208">
        <f t="shared" si="446"/>
        <v>0</v>
      </c>
      <c r="Y790" s="208">
        <f t="shared" si="446"/>
        <v>0</v>
      </c>
      <c r="Z790" s="208">
        <f t="shared" si="446"/>
        <v>0</v>
      </c>
      <c r="AA790" s="208">
        <f t="shared" si="446"/>
        <v>0</v>
      </c>
      <c r="AB790" s="208">
        <f t="shared" si="446"/>
        <v>0</v>
      </c>
      <c r="AC790" s="208">
        <f t="shared" si="446"/>
        <v>0</v>
      </c>
      <c r="AD790" s="208">
        <f t="shared" si="446"/>
        <v>0</v>
      </c>
      <c r="AE790" s="208">
        <f t="shared" si="446"/>
        <v>0</v>
      </c>
      <c r="AF790" s="208">
        <f t="shared" si="446"/>
        <v>0</v>
      </c>
      <c r="AG790" s="208">
        <f t="shared" si="446"/>
        <v>0</v>
      </c>
      <c r="AH790" s="208">
        <f t="shared" si="446"/>
        <v>0</v>
      </c>
      <c r="AI790" s="208">
        <f t="shared" si="447"/>
        <v>0</v>
      </c>
      <c r="AJ790" s="208">
        <f t="shared" si="447"/>
        <v>0</v>
      </c>
      <c r="AK790" s="208">
        <f t="shared" si="447"/>
        <v>0</v>
      </c>
      <c r="AL790" s="208">
        <f t="shared" si="447"/>
        <v>0</v>
      </c>
      <c r="AM790" s="208">
        <f t="shared" si="447"/>
        <v>0</v>
      </c>
      <c r="AN790" s="208">
        <f t="shared" si="447"/>
        <v>0</v>
      </c>
      <c r="AO790" s="208">
        <f t="shared" si="447"/>
        <v>0</v>
      </c>
      <c r="AP790" s="208">
        <f t="shared" si="447"/>
        <v>0</v>
      </c>
    </row>
    <row r="791" spans="1:42">
      <c r="A791" s="37">
        <f t="shared" ref="A791:A798" si="448">A790+1</f>
        <v>3</v>
      </c>
      <c r="B791" s="295">
        <f t="shared" si="444"/>
        <v>112649.25865953058</v>
      </c>
      <c r="C791" s="208">
        <f t="shared" si="445"/>
        <v>0</v>
      </c>
      <c r="D791" s="208">
        <f t="shared" si="445"/>
        <v>0</v>
      </c>
      <c r="E791" s="208">
        <f t="shared" si="445"/>
        <v>0</v>
      </c>
      <c r="F791" s="208">
        <f t="shared" si="445"/>
        <v>0</v>
      </c>
      <c r="G791" s="208">
        <f t="shared" si="445"/>
        <v>0</v>
      </c>
      <c r="H791" s="208">
        <f t="shared" si="445"/>
        <v>0</v>
      </c>
      <c r="I791" s="208">
        <f t="shared" si="445"/>
        <v>0</v>
      </c>
      <c r="J791" s="208">
        <f t="shared" si="445"/>
        <v>0</v>
      </c>
      <c r="K791" s="208">
        <f t="shared" si="445"/>
        <v>112649.25865953058</v>
      </c>
      <c r="L791" s="208">
        <f t="shared" si="445"/>
        <v>0</v>
      </c>
      <c r="M791" s="208">
        <f t="shared" si="445"/>
        <v>0</v>
      </c>
      <c r="N791" s="208">
        <f t="shared" si="445"/>
        <v>0</v>
      </c>
      <c r="O791" s="208">
        <f t="shared" si="445"/>
        <v>0</v>
      </c>
      <c r="P791" s="208">
        <f t="shared" si="445"/>
        <v>0</v>
      </c>
      <c r="Q791" s="208">
        <f t="shared" si="445"/>
        <v>0</v>
      </c>
      <c r="R791" s="208">
        <f t="shared" si="445"/>
        <v>0</v>
      </c>
      <c r="S791" s="208">
        <f t="shared" si="446"/>
        <v>0</v>
      </c>
      <c r="T791" s="208">
        <f t="shared" si="446"/>
        <v>0</v>
      </c>
      <c r="U791" s="208">
        <f t="shared" si="446"/>
        <v>0</v>
      </c>
      <c r="V791" s="208">
        <f t="shared" si="446"/>
        <v>0</v>
      </c>
      <c r="W791" s="208">
        <f t="shared" si="446"/>
        <v>0</v>
      </c>
      <c r="X791" s="208">
        <f t="shared" si="446"/>
        <v>0</v>
      </c>
      <c r="Y791" s="208">
        <f t="shared" si="446"/>
        <v>0</v>
      </c>
      <c r="Z791" s="208">
        <f t="shared" si="446"/>
        <v>0</v>
      </c>
      <c r="AA791" s="208">
        <f t="shared" si="446"/>
        <v>0</v>
      </c>
      <c r="AB791" s="208">
        <f t="shared" si="446"/>
        <v>0</v>
      </c>
      <c r="AC791" s="208">
        <f t="shared" si="446"/>
        <v>0</v>
      </c>
      <c r="AD791" s="208">
        <f t="shared" si="446"/>
        <v>0</v>
      </c>
      <c r="AE791" s="208">
        <f t="shared" si="446"/>
        <v>0</v>
      </c>
      <c r="AF791" s="208">
        <f t="shared" si="446"/>
        <v>0</v>
      </c>
      <c r="AG791" s="208">
        <f t="shared" si="446"/>
        <v>0</v>
      </c>
      <c r="AH791" s="208">
        <f t="shared" si="446"/>
        <v>0</v>
      </c>
      <c r="AI791" s="208">
        <f t="shared" si="447"/>
        <v>0</v>
      </c>
      <c r="AJ791" s="208">
        <f t="shared" si="447"/>
        <v>0</v>
      </c>
      <c r="AK791" s="208">
        <f t="shared" si="447"/>
        <v>0</v>
      </c>
      <c r="AL791" s="208">
        <f t="shared" si="447"/>
        <v>0</v>
      </c>
      <c r="AM791" s="208">
        <f t="shared" si="447"/>
        <v>0</v>
      </c>
      <c r="AN791" s="208">
        <f t="shared" si="447"/>
        <v>0</v>
      </c>
      <c r="AO791" s="208">
        <f t="shared" si="447"/>
        <v>0</v>
      </c>
      <c r="AP791" s="208">
        <f t="shared" si="447"/>
        <v>0</v>
      </c>
    </row>
    <row r="792" spans="1:42">
      <c r="A792" s="37">
        <f t="shared" si="448"/>
        <v>4</v>
      </c>
      <c r="B792" s="295">
        <f t="shared" si="444"/>
        <v>117794.89374005256</v>
      </c>
      <c r="C792" s="208">
        <f t="shared" si="445"/>
        <v>0</v>
      </c>
      <c r="D792" s="208">
        <f t="shared" si="445"/>
        <v>0</v>
      </c>
      <c r="E792" s="208">
        <f t="shared" si="445"/>
        <v>0</v>
      </c>
      <c r="F792" s="208">
        <f t="shared" si="445"/>
        <v>0</v>
      </c>
      <c r="G792" s="208">
        <f t="shared" si="445"/>
        <v>0</v>
      </c>
      <c r="H792" s="208">
        <f t="shared" si="445"/>
        <v>0</v>
      </c>
      <c r="I792" s="208">
        <f t="shared" si="445"/>
        <v>0</v>
      </c>
      <c r="J792" s="208">
        <f t="shared" si="445"/>
        <v>0</v>
      </c>
      <c r="K792" s="208">
        <f t="shared" si="445"/>
        <v>0</v>
      </c>
      <c r="L792" s="208">
        <f t="shared" si="445"/>
        <v>0</v>
      </c>
      <c r="M792" s="208">
        <f t="shared" si="445"/>
        <v>0</v>
      </c>
      <c r="N792" s="208">
        <f t="shared" si="445"/>
        <v>117794.89374005256</v>
      </c>
      <c r="O792" s="208">
        <f t="shared" si="445"/>
        <v>0</v>
      </c>
      <c r="P792" s="208">
        <f t="shared" si="445"/>
        <v>0</v>
      </c>
      <c r="Q792" s="208">
        <f t="shared" si="445"/>
        <v>0</v>
      </c>
      <c r="R792" s="208">
        <f t="shared" si="445"/>
        <v>0</v>
      </c>
      <c r="S792" s="208">
        <f t="shared" si="446"/>
        <v>0</v>
      </c>
      <c r="T792" s="208">
        <f t="shared" si="446"/>
        <v>0</v>
      </c>
      <c r="U792" s="208">
        <f t="shared" si="446"/>
        <v>0</v>
      </c>
      <c r="V792" s="208">
        <f t="shared" si="446"/>
        <v>0</v>
      </c>
      <c r="W792" s="208">
        <f t="shared" si="446"/>
        <v>0</v>
      </c>
      <c r="X792" s="208">
        <f t="shared" si="446"/>
        <v>0</v>
      </c>
      <c r="Y792" s="208">
        <f t="shared" si="446"/>
        <v>0</v>
      </c>
      <c r="Z792" s="208">
        <f t="shared" si="446"/>
        <v>0</v>
      </c>
      <c r="AA792" s="208">
        <f t="shared" si="446"/>
        <v>0</v>
      </c>
      <c r="AB792" s="208">
        <f t="shared" si="446"/>
        <v>0</v>
      </c>
      <c r="AC792" s="208">
        <f t="shared" si="446"/>
        <v>0</v>
      </c>
      <c r="AD792" s="208">
        <f t="shared" si="446"/>
        <v>0</v>
      </c>
      <c r="AE792" s="208">
        <f t="shared" si="446"/>
        <v>0</v>
      </c>
      <c r="AF792" s="208">
        <f t="shared" si="446"/>
        <v>0</v>
      </c>
      <c r="AG792" s="208">
        <f t="shared" si="446"/>
        <v>0</v>
      </c>
      <c r="AH792" s="208">
        <f t="shared" si="446"/>
        <v>0</v>
      </c>
      <c r="AI792" s="208">
        <f t="shared" si="447"/>
        <v>0</v>
      </c>
      <c r="AJ792" s="208">
        <f t="shared" si="447"/>
        <v>0</v>
      </c>
      <c r="AK792" s="208">
        <f t="shared" si="447"/>
        <v>0</v>
      </c>
      <c r="AL792" s="208">
        <f t="shared" si="447"/>
        <v>0</v>
      </c>
      <c r="AM792" s="208">
        <f t="shared" si="447"/>
        <v>0</v>
      </c>
      <c r="AN792" s="208">
        <f t="shared" si="447"/>
        <v>0</v>
      </c>
      <c r="AO792" s="208">
        <f t="shared" si="447"/>
        <v>0</v>
      </c>
      <c r="AP792" s="208">
        <f t="shared" si="447"/>
        <v>0</v>
      </c>
    </row>
    <row r="793" spans="1:42">
      <c r="A793" s="37">
        <f t="shared" si="448"/>
        <v>5</v>
      </c>
      <c r="B793" s="295">
        <f t="shared" si="444"/>
        <v>123175.57306939577</v>
      </c>
      <c r="C793" s="208">
        <f t="shared" si="445"/>
        <v>0</v>
      </c>
      <c r="D793" s="208">
        <f t="shared" si="445"/>
        <v>0</v>
      </c>
      <c r="E793" s="208">
        <f t="shared" si="445"/>
        <v>0</v>
      </c>
      <c r="F793" s="208">
        <f t="shared" si="445"/>
        <v>0</v>
      </c>
      <c r="G793" s="208">
        <f t="shared" si="445"/>
        <v>0</v>
      </c>
      <c r="H793" s="208">
        <f t="shared" si="445"/>
        <v>0</v>
      </c>
      <c r="I793" s="208">
        <f t="shared" si="445"/>
        <v>0</v>
      </c>
      <c r="J793" s="208">
        <f t="shared" si="445"/>
        <v>0</v>
      </c>
      <c r="K793" s="208">
        <f t="shared" si="445"/>
        <v>0</v>
      </c>
      <c r="L793" s="208">
        <f t="shared" si="445"/>
        <v>0</v>
      </c>
      <c r="M793" s="208">
        <f t="shared" si="445"/>
        <v>0</v>
      </c>
      <c r="N793" s="208">
        <f t="shared" si="445"/>
        <v>0</v>
      </c>
      <c r="O793" s="208">
        <f t="shared" si="445"/>
        <v>0</v>
      </c>
      <c r="P793" s="208">
        <f t="shared" si="445"/>
        <v>0</v>
      </c>
      <c r="Q793" s="208">
        <f t="shared" si="445"/>
        <v>123175.57306939577</v>
      </c>
      <c r="R793" s="208">
        <f t="shared" si="445"/>
        <v>0</v>
      </c>
      <c r="S793" s="208">
        <f t="shared" si="446"/>
        <v>0</v>
      </c>
      <c r="T793" s="208">
        <f t="shared" si="446"/>
        <v>0</v>
      </c>
      <c r="U793" s="208">
        <f t="shared" si="446"/>
        <v>0</v>
      </c>
      <c r="V793" s="208">
        <f t="shared" si="446"/>
        <v>0</v>
      </c>
      <c r="W793" s="208">
        <f t="shared" si="446"/>
        <v>0</v>
      </c>
      <c r="X793" s="208">
        <f t="shared" si="446"/>
        <v>0</v>
      </c>
      <c r="Y793" s="208">
        <f t="shared" si="446"/>
        <v>0</v>
      </c>
      <c r="Z793" s="208">
        <f t="shared" si="446"/>
        <v>0</v>
      </c>
      <c r="AA793" s="208">
        <f t="shared" si="446"/>
        <v>0</v>
      </c>
      <c r="AB793" s="208">
        <f t="shared" si="446"/>
        <v>0</v>
      </c>
      <c r="AC793" s="208">
        <f t="shared" si="446"/>
        <v>0</v>
      </c>
      <c r="AD793" s="208">
        <f t="shared" si="446"/>
        <v>0</v>
      </c>
      <c r="AE793" s="208">
        <f t="shared" si="446"/>
        <v>0</v>
      </c>
      <c r="AF793" s="208">
        <f t="shared" si="446"/>
        <v>0</v>
      </c>
      <c r="AG793" s="208">
        <f t="shared" si="446"/>
        <v>0</v>
      </c>
      <c r="AH793" s="208">
        <f t="shared" si="446"/>
        <v>0</v>
      </c>
      <c r="AI793" s="208">
        <f t="shared" si="447"/>
        <v>0</v>
      </c>
      <c r="AJ793" s="208">
        <f t="shared" si="447"/>
        <v>0</v>
      </c>
      <c r="AK793" s="208">
        <f t="shared" si="447"/>
        <v>0</v>
      </c>
      <c r="AL793" s="208">
        <f t="shared" si="447"/>
        <v>0</v>
      </c>
      <c r="AM793" s="208">
        <f t="shared" si="447"/>
        <v>0</v>
      </c>
      <c r="AN793" s="208">
        <f t="shared" si="447"/>
        <v>0</v>
      </c>
      <c r="AO793" s="208">
        <f t="shared" si="447"/>
        <v>0</v>
      </c>
      <c r="AP793" s="208">
        <f t="shared" si="447"/>
        <v>0</v>
      </c>
    </row>
    <row r="794" spans="1:42">
      <c r="A794" s="37">
        <f t="shared" si="448"/>
        <v>6</v>
      </c>
      <c r="B794" s="295">
        <f t="shared" si="444"/>
        <v>128802.03308689948</v>
      </c>
      <c r="C794" s="208">
        <f t="shared" si="445"/>
        <v>0</v>
      </c>
      <c r="D794" s="208">
        <f t="shared" si="445"/>
        <v>0</v>
      </c>
      <c r="E794" s="208">
        <f t="shared" si="445"/>
        <v>0</v>
      </c>
      <c r="F794" s="208">
        <f t="shared" si="445"/>
        <v>0</v>
      </c>
      <c r="G794" s="208">
        <f t="shared" si="445"/>
        <v>0</v>
      </c>
      <c r="H794" s="208">
        <f t="shared" si="445"/>
        <v>0</v>
      </c>
      <c r="I794" s="208">
        <f t="shared" si="445"/>
        <v>0</v>
      </c>
      <c r="J794" s="208">
        <f t="shared" si="445"/>
        <v>0</v>
      </c>
      <c r="K794" s="208">
        <f t="shared" si="445"/>
        <v>0</v>
      </c>
      <c r="L794" s="208">
        <f t="shared" si="445"/>
        <v>0</v>
      </c>
      <c r="M794" s="208">
        <f t="shared" si="445"/>
        <v>0</v>
      </c>
      <c r="N794" s="208">
        <f t="shared" si="445"/>
        <v>0</v>
      </c>
      <c r="O794" s="208">
        <f t="shared" si="445"/>
        <v>0</v>
      </c>
      <c r="P794" s="208">
        <f t="shared" si="445"/>
        <v>0</v>
      </c>
      <c r="Q794" s="208">
        <f t="shared" si="445"/>
        <v>0</v>
      </c>
      <c r="R794" s="208">
        <f t="shared" si="445"/>
        <v>0</v>
      </c>
      <c r="S794" s="208">
        <f t="shared" si="446"/>
        <v>0</v>
      </c>
      <c r="T794" s="208">
        <f t="shared" si="446"/>
        <v>128802.03308689948</v>
      </c>
      <c r="U794" s="208">
        <f t="shared" si="446"/>
        <v>0</v>
      </c>
      <c r="V794" s="208">
        <f t="shared" si="446"/>
        <v>0</v>
      </c>
      <c r="W794" s="208">
        <f t="shared" si="446"/>
        <v>0</v>
      </c>
      <c r="X794" s="208">
        <f t="shared" si="446"/>
        <v>0</v>
      </c>
      <c r="Y794" s="208">
        <f t="shared" si="446"/>
        <v>0</v>
      </c>
      <c r="Z794" s="208">
        <f t="shared" si="446"/>
        <v>0</v>
      </c>
      <c r="AA794" s="208">
        <f t="shared" si="446"/>
        <v>0</v>
      </c>
      <c r="AB794" s="208">
        <f t="shared" si="446"/>
        <v>0</v>
      </c>
      <c r="AC794" s="208">
        <f t="shared" si="446"/>
        <v>0</v>
      </c>
      <c r="AD794" s="208">
        <f t="shared" si="446"/>
        <v>0</v>
      </c>
      <c r="AE794" s="208">
        <f t="shared" si="446"/>
        <v>0</v>
      </c>
      <c r="AF794" s="208">
        <f t="shared" si="446"/>
        <v>0</v>
      </c>
      <c r="AG794" s="208">
        <f t="shared" si="446"/>
        <v>0</v>
      </c>
      <c r="AH794" s="208">
        <f t="shared" si="446"/>
        <v>0</v>
      </c>
      <c r="AI794" s="208">
        <f t="shared" si="447"/>
        <v>0</v>
      </c>
      <c r="AJ794" s="208">
        <f t="shared" si="447"/>
        <v>0</v>
      </c>
      <c r="AK794" s="208">
        <f t="shared" si="447"/>
        <v>0</v>
      </c>
      <c r="AL794" s="208">
        <f t="shared" si="447"/>
        <v>0</v>
      </c>
      <c r="AM794" s="208">
        <f t="shared" si="447"/>
        <v>0</v>
      </c>
      <c r="AN794" s="208">
        <f t="shared" si="447"/>
        <v>0</v>
      </c>
      <c r="AO794" s="208">
        <f t="shared" si="447"/>
        <v>0</v>
      </c>
      <c r="AP794" s="208">
        <f t="shared" si="447"/>
        <v>0</v>
      </c>
    </row>
    <row r="795" spans="1:42">
      <c r="A795" s="37">
        <f t="shared" si="448"/>
        <v>7</v>
      </c>
      <c r="B795" s="295">
        <f t="shared" si="444"/>
        <v>134685.50065500522</v>
      </c>
      <c r="C795" s="208">
        <f t="shared" si="445"/>
        <v>0</v>
      </c>
      <c r="D795" s="208">
        <f t="shared" si="445"/>
        <v>0</v>
      </c>
      <c r="E795" s="208">
        <f t="shared" si="445"/>
        <v>0</v>
      </c>
      <c r="F795" s="208">
        <f t="shared" si="445"/>
        <v>0</v>
      </c>
      <c r="G795" s="208">
        <f t="shared" si="445"/>
        <v>0</v>
      </c>
      <c r="H795" s="208">
        <f t="shared" si="445"/>
        <v>0</v>
      </c>
      <c r="I795" s="208">
        <f t="shared" si="445"/>
        <v>0</v>
      </c>
      <c r="J795" s="208">
        <f t="shared" si="445"/>
        <v>0</v>
      </c>
      <c r="K795" s="208">
        <f t="shared" si="445"/>
        <v>0</v>
      </c>
      <c r="L795" s="208">
        <f t="shared" si="445"/>
        <v>0</v>
      </c>
      <c r="M795" s="208">
        <f t="shared" si="445"/>
        <v>0</v>
      </c>
      <c r="N795" s="208">
        <f t="shared" si="445"/>
        <v>0</v>
      </c>
      <c r="O795" s="208">
        <f t="shared" si="445"/>
        <v>0</v>
      </c>
      <c r="P795" s="208">
        <f t="shared" si="445"/>
        <v>0</v>
      </c>
      <c r="Q795" s="208">
        <f t="shared" si="445"/>
        <v>0</v>
      </c>
      <c r="R795" s="208">
        <f t="shared" si="445"/>
        <v>0</v>
      </c>
      <c r="S795" s="208">
        <f t="shared" si="446"/>
        <v>0</v>
      </c>
      <c r="T795" s="208">
        <f t="shared" si="446"/>
        <v>0</v>
      </c>
      <c r="U795" s="208">
        <f t="shared" si="446"/>
        <v>0</v>
      </c>
      <c r="V795" s="208">
        <f t="shared" si="446"/>
        <v>0</v>
      </c>
      <c r="W795" s="208">
        <f t="shared" si="446"/>
        <v>134685.50065500522</v>
      </c>
      <c r="X795" s="208">
        <f t="shared" si="446"/>
        <v>0</v>
      </c>
      <c r="Y795" s="208">
        <f t="shared" si="446"/>
        <v>0</v>
      </c>
      <c r="Z795" s="208">
        <f t="shared" si="446"/>
        <v>0</v>
      </c>
      <c r="AA795" s="208">
        <f t="shared" si="446"/>
        <v>0</v>
      </c>
      <c r="AB795" s="208">
        <f t="shared" si="446"/>
        <v>0</v>
      </c>
      <c r="AC795" s="208">
        <f t="shared" si="446"/>
        <v>0</v>
      </c>
      <c r="AD795" s="208">
        <f t="shared" si="446"/>
        <v>0</v>
      </c>
      <c r="AE795" s="208">
        <f t="shared" si="446"/>
        <v>0</v>
      </c>
      <c r="AF795" s="208">
        <f t="shared" si="446"/>
        <v>0</v>
      </c>
      <c r="AG795" s="208">
        <f t="shared" si="446"/>
        <v>0</v>
      </c>
      <c r="AH795" s="208">
        <f t="shared" si="446"/>
        <v>0</v>
      </c>
      <c r="AI795" s="208">
        <f t="shared" si="447"/>
        <v>0</v>
      </c>
      <c r="AJ795" s="208">
        <f t="shared" si="447"/>
        <v>0</v>
      </c>
      <c r="AK795" s="208">
        <f t="shared" si="447"/>
        <v>0</v>
      </c>
      <c r="AL795" s="208">
        <f t="shared" si="447"/>
        <v>0</v>
      </c>
      <c r="AM795" s="208">
        <f t="shared" si="447"/>
        <v>0</v>
      </c>
      <c r="AN795" s="208">
        <f t="shared" si="447"/>
        <v>0</v>
      </c>
      <c r="AO795" s="208">
        <f t="shared" si="447"/>
        <v>0</v>
      </c>
      <c r="AP795" s="208">
        <f t="shared" si="447"/>
        <v>0</v>
      </c>
    </row>
    <row r="796" spans="1:42">
      <c r="A796" s="37">
        <f t="shared" si="448"/>
        <v>8</v>
      </c>
      <c r="B796" s="295">
        <f t="shared" si="444"/>
        <v>140837.71546098724</v>
      </c>
      <c r="C796" s="208">
        <f t="shared" si="445"/>
        <v>0</v>
      </c>
      <c r="D796" s="208">
        <f t="shared" si="445"/>
        <v>0</v>
      </c>
      <c r="E796" s="208">
        <f t="shared" si="445"/>
        <v>0</v>
      </c>
      <c r="F796" s="208">
        <f t="shared" si="445"/>
        <v>0</v>
      </c>
      <c r="G796" s="208">
        <f t="shared" si="445"/>
        <v>0</v>
      </c>
      <c r="H796" s="208">
        <f t="shared" si="445"/>
        <v>0</v>
      </c>
      <c r="I796" s="208">
        <f t="shared" si="445"/>
        <v>0</v>
      </c>
      <c r="J796" s="208">
        <f t="shared" si="445"/>
        <v>0</v>
      </c>
      <c r="K796" s="208">
        <f t="shared" si="445"/>
        <v>0</v>
      </c>
      <c r="L796" s="208">
        <f t="shared" si="445"/>
        <v>0</v>
      </c>
      <c r="M796" s="208">
        <f t="shared" si="445"/>
        <v>0</v>
      </c>
      <c r="N796" s="208">
        <f t="shared" si="445"/>
        <v>0</v>
      </c>
      <c r="O796" s="208">
        <f t="shared" si="445"/>
        <v>0</v>
      </c>
      <c r="P796" s="208">
        <f t="shared" si="445"/>
        <v>0</v>
      </c>
      <c r="Q796" s="208">
        <f t="shared" si="445"/>
        <v>0</v>
      </c>
      <c r="R796" s="208">
        <f t="shared" si="445"/>
        <v>0</v>
      </c>
      <c r="S796" s="208">
        <f t="shared" si="446"/>
        <v>0</v>
      </c>
      <c r="T796" s="208">
        <f t="shared" si="446"/>
        <v>0</v>
      </c>
      <c r="U796" s="208">
        <f t="shared" si="446"/>
        <v>0</v>
      </c>
      <c r="V796" s="208">
        <f t="shared" si="446"/>
        <v>0</v>
      </c>
      <c r="W796" s="208">
        <f t="shared" si="446"/>
        <v>0</v>
      </c>
      <c r="X796" s="208">
        <f t="shared" si="446"/>
        <v>0</v>
      </c>
      <c r="Y796" s="208">
        <f t="shared" si="446"/>
        <v>0</v>
      </c>
      <c r="Z796" s="208">
        <f t="shared" si="446"/>
        <v>140837.71546098724</v>
      </c>
      <c r="AA796" s="208">
        <f t="shared" si="446"/>
        <v>0</v>
      </c>
      <c r="AB796" s="208">
        <f t="shared" si="446"/>
        <v>0</v>
      </c>
      <c r="AC796" s="208">
        <f t="shared" si="446"/>
        <v>0</v>
      </c>
      <c r="AD796" s="208">
        <f t="shared" si="446"/>
        <v>0</v>
      </c>
      <c r="AE796" s="208">
        <f t="shared" si="446"/>
        <v>0</v>
      </c>
      <c r="AF796" s="208">
        <f t="shared" si="446"/>
        <v>0</v>
      </c>
      <c r="AG796" s="208">
        <f t="shared" si="446"/>
        <v>0</v>
      </c>
      <c r="AH796" s="208">
        <f t="shared" si="446"/>
        <v>0</v>
      </c>
      <c r="AI796" s="208">
        <f t="shared" si="447"/>
        <v>0</v>
      </c>
      <c r="AJ796" s="208">
        <f t="shared" si="447"/>
        <v>0</v>
      </c>
      <c r="AK796" s="208">
        <f t="shared" si="447"/>
        <v>0</v>
      </c>
      <c r="AL796" s="208">
        <f t="shared" si="447"/>
        <v>0</v>
      </c>
      <c r="AM796" s="208">
        <f t="shared" si="447"/>
        <v>0</v>
      </c>
      <c r="AN796" s="208">
        <f t="shared" si="447"/>
        <v>0</v>
      </c>
      <c r="AO796" s="208">
        <f t="shared" si="447"/>
        <v>0</v>
      </c>
      <c r="AP796" s="208">
        <f t="shared" si="447"/>
        <v>0</v>
      </c>
    </row>
    <row r="797" spans="1:42">
      <c r="A797" s="37">
        <f>A796+1</f>
        <v>9</v>
      </c>
      <c r="B797" s="295">
        <f t="shared" si="444"/>
        <v>147270.95344195748</v>
      </c>
      <c r="C797" s="208">
        <f t="shared" si="445"/>
        <v>0</v>
      </c>
      <c r="D797" s="208">
        <f t="shared" si="445"/>
        <v>0</v>
      </c>
      <c r="E797" s="208">
        <f t="shared" si="445"/>
        <v>0</v>
      </c>
      <c r="F797" s="208">
        <f t="shared" si="445"/>
        <v>0</v>
      </c>
      <c r="G797" s="208">
        <f t="shared" si="445"/>
        <v>0</v>
      </c>
      <c r="H797" s="208">
        <f t="shared" si="445"/>
        <v>0</v>
      </c>
      <c r="I797" s="208">
        <f t="shared" si="445"/>
        <v>0</v>
      </c>
      <c r="J797" s="208">
        <f t="shared" si="445"/>
        <v>0</v>
      </c>
      <c r="K797" s="208">
        <f t="shared" si="445"/>
        <v>0</v>
      </c>
      <c r="L797" s="208">
        <f t="shared" si="445"/>
        <v>0</v>
      </c>
      <c r="M797" s="208">
        <f t="shared" si="445"/>
        <v>0</v>
      </c>
      <c r="N797" s="208">
        <f t="shared" si="445"/>
        <v>0</v>
      </c>
      <c r="O797" s="208">
        <f t="shared" si="445"/>
        <v>0</v>
      </c>
      <c r="P797" s="208">
        <f t="shared" si="445"/>
        <v>0</v>
      </c>
      <c r="Q797" s="208">
        <f t="shared" si="445"/>
        <v>0</v>
      </c>
      <c r="R797" s="208">
        <f t="shared" si="445"/>
        <v>0</v>
      </c>
      <c r="S797" s="208">
        <f t="shared" si="446"/>
        <v>0</v>
      </c>
      <c r="T797" s="208">
        <f t="shared" si="446"/>
        <v>0</v>
      </c>
      <c r="U797" s="208">
        <f t="shared" si="446"/>
        <v>0</v>
      </c>
      <c r="V797" s="208">
        <f t="shared" si="446"/>
        <v>0</v>
      </c>
      <c r="W797" s="208">
        <f t="shared" si="446"/>
        <v>0</v>
      </c>
      <c r="X797" s="208">
        <f t="shared" si="446"/>
        <v>0</v>
      </c>
      <c r="Y797" s="208">
        <f t="shared" si="446"/>
        <v>0</v>
      </c>
      <c r="Z797" s="208">
        <f t="shared" si="446"/>
        <v>0</v>
      </c>
      <c r="AA797" s="208">
        <f t="shared" si="446"/>
        <v>0</v>
      </c>
      <c r="AB797" s="208">
        <f t="shared" si="446"/>
        <v>0</v>
      </c>
      <c r="AC797" s="208">
        <f t="shared" si="446"/>
        <v>147270.95344195748</v>
      </c>
      <c r="AD797" s="208">
        <f t="shared" si="446"/>
        <v>0</v>
      </c>
      <c r="AE797" s="208">
        <f t="shared" si="446"/>
        <v>0</v>
      </c>
      <c r="AF797" s="208">
        <f t="shared" si="446"/>
        <v>0</v>
      </c>
      <c r="AG797" s="208">
        <f t="shared" si="446"/>
        <v>0</v>
      </c>
      <c r="AH797" s="208">
        <f t="shared" si="446"/>
        <v>0</v>
      </c>
      <c r="AI797" s="208">
        <f t="shared" si="447"/>
        <v>0</v>
      </c>
      <c r="AJ797" s="208">
        <f t="shared" si="447"/>
        <v>0</v>
      </c>
      <c r="AK797" s="208">
        <f t="shared" si="447"/>
        <v>0</v>
      </c>
      <c r="AL797" s="208">
        <f t="shared" si="447"/>
        <v>0</v>
      </c>
      <c r="AM797" s="208">
        <f t="shared" si="447"/>
        <v>0</v>
      </c>
      <c r="AN797" s="208">
        <f t="shared" si="447"/>
        <v>0</v>
      </c>
      <c r="AO797" s="208">
        <f t="shared" si="447"/>
        <v>0</v>
      </c>
      <c r="AP797" s="208">
        <f t="shared" si="447"/>
        <v>0</v>
      </c>
    </row>
    <row r="798" spans="1:42">
      <c r="A798" s="37">
        <f t="shared" si="448"/>
        <v>10</v>
      </c>
      <c r="B798" s="295">
        <f t="shared" si="444"/>
        <v>153998.05127988668</v>
      </c>
      <c r="C798" s="209">
        <f t="shared" si="445"/>
        <v>0</v>
      </c>
      <c r="D798" s="209">
        <f t="shared" si="445"/>
        <v>0</v>
      </c>
      <c r="E798" s="209">
        <f t="shared" si="445"/>
        <v>0</v>
      </c>
      <c r="F798" s="209">
        <f t="shared" si="445"/>
        <v>0</v>
      </c>
      <c r="G798" s="209">
        <f t="shared" si="445"/>
        <v>0</v>
      </c>
      <c r="H798" s="209">
        <f t="shared" si="445"/>
        <v>0</v>
      </c>
      <c r="I798" s="209">
        <f t="shared" si="445"/>
        <v>0</v>
      </c>
      <c r="J798" s="209">
        <f t="shared" si="445"/>
        <v>0</v>
      </c>
      <c r="K798" s="209">
        <f t="shared" si="445"/>
        <v>0</v>
      </c>
      <c r="L798" s="209">
        <f t="shared" si="445"/>
        <v>0</v>
      </c>
      <c r="M798" s="209">
        <f t="shared" si="445"/>
        <v>0</v>
      </c>
      <c r="N798" s="209">
        <f t="shared" si="445"/>
        <v>0</v>
      </c>
      <c r="O798" s="209">
        <f t="shared" si="445"/>
        <v>0</v>
      </c>
      <c r="P798" s="209">
        <f t="shared" si="445"/>
        <v>0</v>
      </c>
      <c r="Q798" s="209">
        <f t="shared" si="445"/>
        <v>0</v>
      </c>
      <c r="R798" s="209">
        <f t="shared" si="445"/>
        <v>0</v>
      </c>
      <c r="S798" s="209">
        <f t="shared" si="446"/>
        <v>0</v>
      </c>
      <c r="T798" s="209">
        <f t="shared" si="446"/>
        <v>0</v>
      </c>
      <c r="U798" s="209">
        <f t="shared" si="446"/>
        <v>0</v>
      </c>
      <c r="V798" s="209">
        <f t="shared" si="446"/>
        <v>0</v>
      </c>
      <c r="W798" s="209">
        <f t="shared" si="446"/>
        <v>0</v>
      </c>
      <c r="X798" s="209">
        <f t="shared" si="446"/>
        <v>0</v>
      </c>
      <c r="Y798" s="209">
        <f t="shared" si="446"/>
        <v>0</v>
      </c>
      <c r="Z798" s="209">
        <f t="shared" si="446"/>
        <v>0</v>
      </c>
      <c r="AA798" s="209">
        <f t="shared" si="446"/>
        <v>0</v>
      </c>
      <c r="AB798" s="209">
        <f t="shared" si="446"/>
        <v>0</v>
      </c>
      <c r="AC798" s="209">
        <f t="shared" si="446"/>
        <v>0</v>
      </c>
      <c r="AD798" s="209">
        <f t="shared" si="446"/>
        <v>0</v>
      </c>
      <c r="AE798" s="209">
        <f t="shared" si="446"/>
        <v>0</v>
      </c>
      <c r="AF798" s="209">
        <f t="shared" si="446"/>
        <v>153998.05127988668</v>
      </c>
      <c r="AG798" s="209">
        <f t="shared" si="446"/>
        <v>0</v>
      </c>
      <c r="AH798" s="209">
        <f t="shared" si="446"/>
        <v>0</v>
      </c>
      <c r="AI798" s="209">
        <f t="shared" si="447"/>
        <v>0</v>
      </c>
      <c r="AJ798" s="209">
        <f t="shared" si="447"/>
        <v>0</v>
      </c>
      <c r="AK798" s="209">
        <f t="shared" si="447"/>
        <v>0</v>
      </c>
      <c r="AL798" s="209">
        <f t="shared" si="447"/>
        <v>0</v>
      </c>
      <c r="AM798" s="209">
        <f t="shared" si="447"/>
        <v>0</v>
      </c>
      <c r="AN798" s="209">
        <f t="shared" si="447"/>
        <v>0</v>
      </c>
      <c r="AO798" s="209">
        <f t="shared" si="447"/>
        <v>0</v>
      </c>
      <c r="AP798" s="209">
        <f t="shared" si="447"/>
        <v>0</v>
      </c>
    </row>
    <row r="799" spans="1:42">
      <c r="A799" s="244" t="s">
        <v>53</v>
      </c>
      <c r="B799" s="208"/>
      <c r="C799" s="164">
        <f>SUM(C789:C798)</f>
        <v>0</v>
      </c>
      <c r="D799" s="164">
        <f t="shared" ref="D799:AP799" si="449">SUM(D789:D798)</f>
        <v>0</v>
      </c>
      <c r="E799" s="164">
        <f t="shared" si="449"/>
        <v>103022.49999999997</v>
      </c>
      <c r="F799" s="164">
        <f t="shared" si="449"/>
        <v>0</v>
      </c>
      <c r="G799" s="164">
        <f t="shared" si="449"/>
        <v>0</v>
      </c>
      <c r="H799" s="164">
        <f t="shared" si="449"/>
        <v>107728.40038843743</v>
      </c>
      <c r="I799" s="164">
        <f t="shared" si="449"/>
        <v>0</v>
      </c>
      <c r="J799" s="164">
        <f t="shared" si="449"/>
        <v>0</v>
      </c>
      <c r="K799" s="164">
        <f t="shared" si="449"/>
        <v>112649.25865953058</v>
      </c>
      <c r="L799" s="164">
        <f t="shared" si="449"/>
        <v>0</v>
      </c>
      <c r="M799" s="164">
        <f t="shared" si="449"/>
        <v>0</v>
      </c>
      <c r="N799" s="164">
        <f t="shared" si="449"/>
        <v>117794.89374005256</v>
      </c>
      <c r="O799" s="164">
        <f t="shared" si="449"/>
        <v>0</v>
      </c>
      <c r="P799" s="164">
        <f t="shared" si="449"/>
        <v>0</v>
      </c>
      <c r="Q799" s="164">
        <f t="shared" si="449"/>
        <v>123175.57306939577</v>
      </c>
      <c r="R799" s="164">
        <f t="shared" si="449"/>
        <v>0</v>
      </c>
      <c r="S799" s="164">
        <f t="shared" si="449"/>
        <v>0</v>
      </c>
      <c r="T799" s="164">
        <f t="shared" si="449"/>
        <v>128802.03308689948</v>
      </c>
      <c r="U799" s="164">
        <f t="shared" si="449"/>
        <v>0</v>
      </c>
      <c r="V799" s="164">
        <f t="shared" si="449"/>
        <v>0</v>
      </c>
      <c r="W799" s="164">
        <f t="shared" si="449"/>
        <v>134685.50065500522</v>
      </c>
      <c r="X799" s="164">
        <f t="shared" si="449"/>
        <v>0</v>
      </c>
      <c r="Y799" s="164">
        <f t="shared" si="449"/>
        <v>0</v>
      </c>
      <c r="Z799" s="164">
        <f t="shared" si="449"/>
        <v>140837.71546098724</v>
      </c>
      <c r="AA799" s="164">
        <f t="shared" si="449"/>
        <v>0</v>
      </c>
      <c r="AB799" s="164">
        <f t="shared" si="449"/>
        <v>0</v>
      </c>
      <c r="AC799" s="164">
        <f t="shared" si="449"/>
        <v>147270.95344195748</v>
      </c>
      <c r="AD799" s="164">
        <f t="shared" si="449"/>
        <v>0</v>
      </c>
      <c r="AE799" s="164">
        <f t="shared" si="449"/>
        <v>0</v>
      </c>
      <c r="AF799" s="164">
        <f t="shared" si="449"/>
        <v>153998.05127988668</v>
      </c>
      <c r="AG799" s="164">
        <f t="shared" si="449"/>
        <v>0</v>
      </c>
      <c r="AH799" s="164">
        <f t="shared" si="449"/>
        <v>0</v>
      </c>
      <c r="AI799" s="164">
        <f t="shared" si="449"/>
        <v>0</v>
      </c>
      <c r="AJ799" s="164">
        <f t="shared" si="449"/>
        <v>0</v>
      </c>
      <c r="AK799" s="164">
        <f t="shared" si="449"/>
        <v>0</v>
      </c>
      <c r="AL799" s="164">
        <f t="shared" si="449"/>
        <v>0</v>
      </c>
      <c r="AM799" s="164">
        <f t="shared" si="449"/>
        <v>0</v>
      </c>
      <c r="AN799" s="164">
        <f t="shared" si="449"/>
        <v>0</v>
      </c>
      <c r="AO799" s="164">
        <f t="shared" si="449"/>
        <v>0</v>
      </c>
      <c r="AP799" s="164">
        <f t="shared" si="449"/>
        <v>0</v>
      </c>
    </row>
    <row r="800" spans="1:42">
      <c r="A800" s="37" t="s">
        <v>209</v>
      </c>
      <c r="B800" s="164"/>
      <c r="C800" s="164"/>
      <c r="D800" s="164"/>
      <c r="E800" s="164"/>
      <c r="F800" s="164"/>
      <c r="G800" s="208"/>
      <c r="H800" s="208"/>
      <c r="I800" s="208"/>
      <c r="J800" s="208"/>
      <c r="K800" s="208"/>
      <c r="L800" s="208"/>
      <c r="M800" s="208"/>
      <c r="N800" s="208"/>
      <c r="O800" s="208"/>
      <c r="P800" s="208"/>
      <c r="Q800" s="208"/>
      <c r="R800" s="208"/>
      <c r="S800" s="208"/>
      <c r="T800" s="208"/>
      <c r="U800" s="208"/>
      <c r="V800" s="208"/>
      <c r="W800" s="208"/>
      <c r="X800" s="208"/>
      <c r="Y800" s="208"/>
      <c r="Z800" s="208"/>
      <c r="AA800" s="208"/>
      <c r="AB800" s="208"/>
      <c r="AC800" s="208"/>
      <c r="AD800" s="208"/>
      <c r="AE800" s="208"/>
      <c r="AF800" s="208"/>
      <c r="AG800" s="208"/>
      <c r="AH800" s="208"/>
      <c r="AI800" s="208"/>
      <c r="AJ800" s="208"/>
      <c r="AK800" s="208"/>
      <c r="AL800" s="208"/>
      <c r="AM800" s="208"/>
      <c r="AN800" s="208"/>
      <c r="AO800" s="208"/>
      <c r="AP800" s="208"/>
    </row>
    <row r="801" spans="1:42">
      <c r="A801" s="37">
        <v>1</v>
      </c>
      <c r="B801" s="295">
        <f t="shared" ref="B801:B810" si="450">SUM(C801:AP801)</f>
        <v>103022.49999999997</v>
      </c>
      <c r="C801" s="208">
        <f t="shared" ref="C801:AP801" si="451">IF(C$2&lt;=MMFrequency3*$A$789,$B$789/(MMFrequency3),0)</f>
        <v>34340.833333333321</v>
      </c>
      <c r="D801" s="208">
        <f t="shared" si="451"/>
        <v>34340.833333333321</v>
      </c>
      <c r="E801" s="208">
        <f t="shared" si="451"/>
        <v>34340.833333333321</v>
      </c>
      <c r="F801" s="208">
        <f t="shared" si="451"/>
        <v>0</v>
      </c>
      <c r="G801" s="208">
        <f t="shared" si="451"/>
        <v>0</v>
      </c>
      <c r="H801" s="208">
        <f t="shared" si="451"/>
        <v>0</v>
      </c>
      <c r="I801" s="208">
        <f t="shared" si="451"/>
        <v>0</v>
      </c>
      <c r="J801" s="208">
        <f t="shared" si="451"/>
        <v>0</v>
      </c>
      <c r="K801" s="208">
        <f t="shared" si="451"/>
        <v>0</v>
      </c>
      <c r="L801" s="208">
        <f t="shared" si="451"/>
        <v>0</v>
      </c>
      <c r="M801" s="208">
        <f t="shared" si="451"/>
        <v>0</v>
      </c>
      <c r="N801" s="208">
        <f t="shared" si="451"/>
        <v>0</v>
      </c>
      <c r="O801" s="208">
        <f t="shared" si="451"/>
        <v>0</v>
      </c>
      <c r="P801" s="208">
        <f t="shared" si="451"/>
        <v>0</v>
      </c>
      <c r="Q801" s="208">
        <f t="shared" si="451"/>
        <v>0</v>
      </c>
      <c r="R801" s="208">
        <f t="shared" si="451"/>
        <v>0</v>
      </c>
      <c r="S801" s="208">
        <f t="shared" si="451"/>
        <v>0</v>
      </c>
      <c r="T801" s="208">
        <f t="shared" si="451"/>
        <v>0</v>
      </c>
      <c r="U801" s="208">
        <f t="shared" si="451"/>
        <v>0</v>
      </c>
      <c r="V801" s="208">
        <f t="shared" si="451"/>
        <v>0</v>
      </c>
      <c r="W801" s="208">
        <f t="shared" si="451"/>
        <v>0</v>
      </c>
      <c r="X801" s="208">
        <f t="shared" si="451"/>
        <v>0</v>
      </c>
      <c r="Y801" s="208">
        <f t="shared" si="451"/>
        <v>0</v>
      </c>
      <c r="Z801" s="208">
        <f t="shared" si="451"/>
        <v>0</v>
      </c>
      <c r="AA801" s="208">
        <f t="shared" si="451"/>
        <v>0</v>
      </c>
      <c r="AB801" s="208">
        <f t="shared" si="451"/>
        <v>0</v>
      </c>
      <c r="AC801" s="208">
        <f t="shared" si="451"/>
        <v>0</v>
      </c>
      <c r="AD801" s="208">
        <f t="shared" si="451"/>
        <v>0</v>
      </c>
      <c r="AE801" s="208">
        <f t="shared" si="451"/>
        <v>0</v>
      </c>
      <c r="AF801" s="208">
        <f t="shared" si="451"/>
        <v>0</v>
      </c>
      <c r="AG801" s="208">
        <f t="shared" si="451"/>
        <v>0</v>
      </c>
      <c r="AH801" s="208">
        <f t="shared" si="451"/>
        <v>0</v>
      </c>
      <c r="AI801" s="208">
        <f t="shared" si="451"/>
        <v>0</v>
      </c>
      <c r="AJ801" s="208">
        <f t="shared" si="451"/>
        <v>0</v>
      </c>
      <c r="AK801" s="208">
        <f t="shared" si="451"/>
        <v>0</v>
      </c>
      <c r="AL801" s="208">
        <f t="shared" si="451"/>
        <v>0</v>
      </c>
      <c r="AM801" s="208">
        <f t="shared" si="451"/>
        <v>0</v>
      </c>
      <c r="AN801" s="208">
        <f t="shared" si="451"/>
        <v>0</v>
      </c>
      <c r="AO801" s="208">
        <f t="shared" si="451"/>
        <v>0</v>
      </c>
      <c r="AP801" s="208">
        <f t="shared" si="451"/>
        <v>0</v>
      </c>
    </row>
    <row r="802" spans="1:42">
      <c r="A802" s="37">
        <f>A801+1</f>
        <v>2</v>
      </c>
      <c r="B802" s="295">
        <f t="shared" si="450"/>
        <v>107728.40038843744</v>
      </c>
      <c r="C802" s="208">
        <f t="shared" ref="C802:AP808" si="452">IF(AND(C$2&gt;MMFrequency3*$A789,C$2&lt;=MMFrequency3*$A790),$B790/(MMFrequency3),0)</f>
        <v>0</v>
      </c>
      <c r="D802" s="208">
        <f t="shared" si="452"/>
        <v>0</v>
      </c>
      <c r="E802" s="208">
        <f t="shared" si="452"/>
        <v>0</v>
      </c>
      <c r="F802" s="208">
        <f t="shared" si="452"/>
        <v>35909.466796145811</v>
      </c>
      <c r="G802" s="208">
        <f t="shared" si="452"/>
        <v>35909.466796145811</v>
      </c>
      <c r="H802" s="208">
        <f t="shared" si="452"/>
        <v>35909.466796145811</v>
      </c>
      <c r="I802" s="208">
        <f t="shared" si="452"/>
        <v>0</v>
      </c>
      <c r="J802" s="208">
        <f t="shared" si="452"/>
        <v>0</v>
      </c>
      <c r="K802" s="208">
        <f t="shared" si="452"/>
        <v>0</v>
      </c>
      <c r="L802" s="208">
        <f t="shared" si="452"/>
        <v>0</v>
      </c>
      <c r="M802" s="208">
        <f t="shared" si="452"/>
        <v>0</v>
      </c>
      <c r="N802" s="208">
        <f t="shared" si="452"/>
        <v>0</v>
      </c>
      <c r="O802" s="208">
        <f t="shared" si="452"/>
        <v>0</v>
      </c>
      <c r="P802" s="208">
        <f t="shared" si="452"/>
        <v>0</v>
      </c>
      <c r="Q802" s="208">
        <f t="shared" si="452"/>
        <v>0</v>
      </c>
      <c r="R802" s="208">
        <f t="shared" si="452"/>
        <v>0</v>
      </c>
      <c r="S802" s="208">
        <f t="shared" si="452"/>
        <v>0</v>
      </c>
      <c r="T802" s="208">
        <f t="shared" si="452"/>
        <v>0</v>
      </c>
      <c r="U802" s="208">
        <f t="shared" si="452"/>
        <v>0</v>
      </c>
      <c r="V802" s="208">
        <f t="shared" si="452"/>
        <v>0</v>
      </c>
      <c r="W802" s="208">
        <f t="shared" si="452"/>
        <v>0</v>
      </c>
      <c r="X802" s="208">
        <f t="shared" si="452"/>
        <v>0</v>
      </c>
      <c r="Y802" s="208">
        <f t="shared" si="452"/>
        <v>0</v>
      </c>
      <c r="Z802" s="208">
        <f t="shared" si="452"/>
        <v>0</v>
      </c>
      <c r="AA802" s="208">
        <f t="shared" si="452"/>
        <v>0</v>
      </c>
      <c r="AB802" s="208">
        <f t="shared" si="452"/>
        <v>0</v>
      </c>
      <c r="AC802" s="208">
        <f t="shared" si="452"/>
        <v>0</v>
      </c>
      <c r="AD802" s="208">
        <f t="shared" si="452"/>
        <v>0</v>
      </c>
      <c r="AE802" s="208">
        <f t="shared" si="452"/>
        <v>0</v>
      </c>
      <c r="AF802" s="208">
        <f t="shared" si="452"/>
        <v>0</v>
      </c>
      <c r="AG802" s="208">
        <f t="shared" si="452"/>
        <v>0</v>
      </c>
      <c r="AH802" s="208">
        <f t="shared" si="452"/>
        <v>0</v>
      </c>
      <c r="AI802" s="208">
        <f t="shared" si="452"/>
        <v>0</v>
      </c>
      <c r="AJ802" s="208">
        <f t="shared" si="452"/>
        <v>0</v>
      </c>
      <c r="AK802" s="208">
        <f t="shared" si="452"/>
        <v>0</v>
      </c>
      <c r="AL802" s="208">
        <f t="shared" si="452"/>
        <v>0</v>
      </c>
      <c r="AM802" s="208">
        <f t="shared" si="452"/>
        <v>0</v>
      </c>
      <c r="AN802" s="208">
        <f t="shared" si="452"/>
        <v>0</v>
      </c>
      <c r="AO802" s="208">
        <f t="shared" si="452"/>
        <v>0</v>
      </c>
      <c r="AP802" s="208">
        <f t="shared" si="452"/>
        <v>0</v>
      </c>
    </row>
    <row r="803" spans="1:42">
      <c r="A803" s="37">
        <f t="shared" ref="A803:A808" si="453">A802+1</f>
        <v>3</v>
      </c>
      <c r="B803" s="295">
        <f t="shared" si="450"/>
        <v>112649.25865953058</v>
      </c>
      <c r="C803" s="208">
        <f t="shared" si="452"/>
        <v>0</v>
      </c>
      <c r="D803" s="208">
        <f t="shared" si="452"/>
        <v>0</v>
      </c>
      <c r="E803" s="208">
        <f t="shared" si="452"/>
        <v>0</v>
      </c>
      <c r="F803" s="208">
        <f t="shared" si="452"/>
        <v>0</v>
      </c>
      <c r="G803" s="208">
        <f t="shared" si="452"/>
        <v>0</v>
      </c>
      <c r="H803" s="208">
        <f t="shared" si="452"/>
        <v>0</v>
      </c>
      <c r="I803" s="208">
        <f t="shared" si="452"/>
        <v>37549.752886510192</v>
      </c>
      <c r="J803" s="208">
        <f t="shared" si="452"/>
        <v>37549.752886510192</v>
      </c>
      <c r="K803" s="208">
        <f t="shared" si="452"/>
        <v>37549.752886510192</v>
      </c>
      <c r="L803" s="208">
        <f t="shared" si="452"/>
        <v>0</v>
      </c>
      <c r="M803" s="208">
        <f t="shared" si="452"/>
        <v>0</v>
      </c>
      <c r="N803" s="208">
        <f t="shared" si="452"/>
        <v>0</v>
      </c>
      <c r="O803" s="208">
        <f t="shared" si="452"/>
        <v>0</v>
      </c>
      <c r="P803" s="208">
        <f t="shared" si="452"/>
        <v>0</v>
      </c>
      <c r="Q803" s="208">
        <f t="shared" si="452"/>
        <v>0</v>
      </c>
      <c r="R803" s="208">
        <f t="shared" si="452"/>
        <v>0</v>
      </c>
      <c r="S803" s="208">
        <f t="shared" si="452"/>
        <v>0</v>
      </c>
      <c r="T803" s="208">
        <f t="shared" si="452"/>
        <v>0</v>
      </c>
      <c r="U803" s="208">
        <f t="shared" si="452"/>
        <v>0</v>
      </c>
      <c r="V803" s="208">
        <f t="shared" si="452"/>
        <v>0</v>
      </c>
      <c r="W803" s="208">
        <f t="shared" si="452"/>
        <v>0</v>
      </c>
      <c r="X803" s="208">
        <f t="shared" si="452"/>
        <v>0</v>
      </c>
      <c r="Y803" s="208">
        <f t="shared" si="452"/>
        <v>0</v>
      </c>
      <c r="Z803" s="208">
        <f t="shared" si="452"/>
        <v>0</v>
      </c>
      <c r="AA803" s="208">
        <f t="shared" si="452"/>
        <v>0</v>
      </c>
      <c r="AB803" s="208">
        <f t="shared" si="452"/>
        <v>0</v>
      </c>
      <c r="AC803" s="208">
        <f t="shared" si="452"/>
        <v>0</v>
      </c>
      <c r="AD803" s="208">
        <f t="shared" si="452"/>
        <v>0</v>
      </c>
      <c r="AE803" s="208">
        <f t="shared" si="452"/>
        <v>0</v>
      </c>
      <c r="AF803" s="208">
        <f t="shared" si="452"/>
        <v>0</v>
      </c>
      <c r="AG803" s="208">
        <f t="shared" si="452"/>
        <v>0</v>
      </c>
      <c r="AH803" s="208">
        <f t="shared" si="452"/>
        <v>0</v>
      </c>
      <c r="AI803" s="208">
        <f t="shared" si="452"/>
        <v>0</v>
      </c>
      <c r="AJ803" s="208">
        <f t="shared" si="452"/>
        <v>0</v>
      </c>
      <c r="AK803" s="208">
        <f t="shared" si="452"/>
        <v>0</v>
      </c>
      <c r="AL803" s="208">
        <f t="shared" si="452"/>
        <v>0</v>
      </c>
      <c r="AM803" s="208">
        <f t="shared" si="452"/>
        <v>0</v>
      </c>
      <c r="AN803" s="208">
        <f t="shared" si="452"/>
        <v>0</v>
      </c>
      <c r="AO803" s="208">
        <f t="shared" si="452"/>
        <v>0</v>
      </c>
      <c r="AP803" s="208">
        <f t="shared" si="452"/>
        <v>0</v>
      </c>
    </row>
    <row r="804" spans="1:42">
      <c r="A804" s="37">
        <f t="shared" si="453"/>
        <v>4</v>
      </c>
      <c r="B804" s="295">
        <f t="shared" si="450"/>
        <v>117794.89374005256</v>
      </c>
      <c r="C804" s="208">
        <f t="shared" si="452"/>
        <v>0</v>
      </c>
      <c r="D804" s="208">
        <f t="shared" si="452"/>
        <v>0</v>
      </c>
      <c r="E804" s="208">
        <f t="shared" si="452"/>
        <v>0</v>
      </c>
      <c r="F804" s="208">
        <f t="shared" si="452"/>
        <v>0</v>
      </c>
      <c r="G804" s="208">
        <f t="shared" si="452"/>
        <v>0</v>
      </c>
      <c r="H804" s="208">
        <f t="shared" si="452"/>
        <v>0</v>
      </c>
      <c r="I804" s="208">
        <f t="shared" si="452"/>
        <v>0</v>
      </c>
      <c r="J804" s="208">
        <f t="shared" si="452"/>
        <v>0</v>
      </c>
      <c r="K804" s="208">
        <f t="shared" si="452"/>
        <v>0</v>
      </c>
      <c r="L804" s="208">
        <f t="shared" si="452"/>
        <v>39264.96458001752</v>
      </c>
      <c r="M804" s="208">
        <f t="shared" si="452"/>
        <v>39264.96458001752</v>
      </c>
      <c r="N804" s="208">
        <f t="shared" si="452"/>
        <v>39264.96458001752</v>
      </c>
      <c r="O804" s="208">
        <f t="shared" si="452"/>
        <v>0</v>
      </c>
      <c r="P804" s="208">
        <f t="shared" si="452"/>
        <v>0</v>
      </c>
      <c r="Q804" s="208">
        <f t="shared" si="452"/>
        <v>0</v>
      </c>
      <c r="R804" s="208">
        <f t="shared" si="452"/>
        <v>0</v>
      </c>
      <c r="S804" s="208">
        <f t="shared" si="452"/>
        <v>0</v>
      </c>
      <c r="T804" s="208">
        <f t="shared" si="452"/>
        <v>0</v>
      </c>
      <c r="U804" s="208">
        <f t="shared" si="452"/>
        <v>0</v>
      </c>
      <c r="V804" s="208">
        <f t="shared" si="452"/>
        <v>0</v>
      </c>
      <c r="W804" s="208">
        <f t="shared" si="452"/>
        <v>0</v>
      </c>
      <c r="X804" s="208">
        <f t="shared" si="452"/>
        <v>0</v>
      </c>
      <c r="Y804" s="208">
        <f t="shared" si="452"/>
        <v>0</v>
      </c>
      <c r="Z804" s="208">
        <f t="shared" si="452"/>
        <v>0</v>
      </c>
      <c r="AA804" s="208">
        <f t="shared" si="452"/>
        <v>0</v>
      </c>
      <c r="AB804" s="208">
        <f t="shared" si="452"/>
        <v>0</v>
      </c>
      <c r="AC804" s="208">
        <f t="shared" si="452"/>
        <v>0</v>
      </c>
      <c r="AD804" s="208">
        <f t="shared" si="452"/>
        <v>0</v>
      </c>
      <c r="AE804" s="208">
        <f t="shared" si="452"/>
        <v>0</v>
      </c>
      <c r="AF804" s="208">
        <f t="shared" si="452"/>
        <v>0</v>
      </c>
      <c r="AG804" s="208">
        <f t="shared" si="452"/>
        <v>0</v>
      </c>
      <c r="AH804" s="208">
        <f t="shared" si="452"/>
        <v>0</v>
      </c>
      <c r="AI804" s="208">
        <f t="shared" si="452"/>
        <v>0</v>
      </c>
      <c r="AJ804" s="208">
        <f t="shared" si="452"/>
        <v>0</v>
      </c>
      <c r="AK804" s="208">
        <f t="shared" si="452"/>
        <v>0</v>
      </c>
      <c r="AL804" s="208">
        <f t="shared" si="452"/>
        <v>0</v>
      </c>
      <c r="AM804" s="208">
        <f t="shared" si="452"/>
        <v>0</v>
      </c>
      <c r="AN804" s="208">
        <f t="shared" si="452"/>
        <v>0</v>
      </c>
      <c r="AO804" s="208">
        <f t="shared" si="452"/>
        <v>0</v>
      </c>
      <c r="AP804" s="208">
        <f t="shared" si="452"/>
        <v>0</v>
      </c>
    </row>
    <row r="805" spans="1:42">
      <c r="A805" s="37">
        <f t="shared" si="453"/>
        <v>5</v>
      </c>
      <c r="B805" s="295">
        <f t="shared" si="450"/>
        <v>123175.57306939576</v>
      </c>
      <c r="C805" s="208">
        <f t="shared" si="452"/>
        <v>0</v>
      </c>
      <c r="D805" s="208">
        <f t="shared" si="452"/>
        <v>0</v>
      </c>
      <c r="E805" s="208">
        <f t="shared" si="452"/>
        <v>0</v>
      </c>
      <c r="F805" s="208">
        <f t="shared" si="452"/>
        <v>0</v>
      </c>
      <c r="G805" s="208">
        <f t="shared" si="452"/>
        <v>0</v>
      </c>
      <c r="H805" s="208">
        <f t="shared" si="452"/>
        <v>0</v>
      </c>
      <c r="I805" s="208">
        <f t="shared" si="452"/>
        <v>0</v>
      </c>
      <c r="J805" s="208">
        <f t="shared" si="452"/>
        <v>0</v>
      </c>
      <c r="K805" s="208">
        <f t="shared" si="452"/>
        <v>0</v>
      </c>
      <c r="L805" s="208">
        <f t="shared" si="452"/>
        <v>0</v>
      </c>
      <c r="M805" s="208">
        <f t="shared" si="452"/>
        <v>0</v>
      </c>
      <c r="N805" s="208">
        <f t="shared" si="452"/>
        <v>0</v>
      </c>
      <c r="O805" s="208">
        <f t="shared" si="452"/>
        <v>41058.524356465256</v>
      </c>
      <c r="P805" s="208">
        <f t="shared" si="452"/>
        <v>41058.524356465256</v>
      </c>
      <c r="Q805" s="208">
        <f t="shared" si="452"/>
        <v>41058.524356465256</v>
      </c>
      <c r="R805" s="208">
        <f t="shared" si="452"/>
        <v>0</v>
      </c>
      <c r="S805" s="208">
        <f t="shared" si="452"/>
        <v>0</v>
      </c>
      <c r="T805" s="208">
        <f t="shared" si="452"/>
        <v>0</v>
      </c>
      <c r="U805" s="208">
        <f t="shared" si="452"/>
        <v>0</v>
      </c>
      <c r="V805" s="208">
        <f t="shared" si="452"/>
        <v>0</v>
      </c>
      <c r="W805" s="208">
        <f t="shared" si="452"/>
        <v>0</v>
      </c>
      <c r="X805" s="208">
        <f t="shared" si="452"/>
        <v>0</v>
      </c>
      <c r="Y805" s="208">
        <f t="shared" si="452"/>
        <v>0</v>
      </c>
      <c r="Z805" s="208">
        <f t="shared" si="452"/>
        <v>0</v>
      </c>
      <c r="AA805" s="208">
        <f t="shared" si="452"/>
        <v>0</v>
      </c>
      <c r="AB805" s="208">
        <f t="shared" si="452"/>
        <v>0</v>
      </c>
      <c r="AC805" s="208">
        <f t="shared" si="452"/>
        <v>0</v>
      </c>
      <c r="AD805" s="208">
        <f t="shared" si="452"/>
        <v>0</v>
      </c>
      <c r="AE805" s="208">
        <f t="shared" si="452"/>
        <v>0</v>
      </c>
      <c r="AF805" s="208">
        <f t="shared" si="452"/>
        <v>0</v>
      </c>
      <c r="AG805" s="208">
        <f t="shared" si="452"/>
        <v>0</v>
      </c>
      <c r="AH805" s="208">
        <f t="shared" si="452"/>
        <v>0</v>
      </c>
      <c r="AI805" s="208">
        <f t="shared" si="452"/>
        <v>0</v>
      </c>
      <c r="AJ805" s="208">
        <f t="shared" si="452"/>
        <v>0</v>
      </c>
      <c r="AK805" s="208">
        <f t="shared" si="452"/>
        <v>0</v>
      </c>
      <c r="AL805" s="208">
        <f t="shared" si="452"/>
        <v>0</v>
      </c>
      <c r="AM805" s="208">
        <f t="shared" si="452"/>
        <v>0</v>
      </c>
      <c r="AN805" s="208">
        <f t="shared" si="452"/>
        <v>0</v>
      </c>
      <c r="AO805" s="208">
        <f t="shared" si="452"/>
        <v>0</v>
      </c>
      <c r="AP805" s="208">
        <f t="shared" si="452"/>
        <v>0</v>
      </c>
    </row>
    <row r="806" spans="1:42">
      <c r="A806" s="37">
        <f t="shared" si="453"/>
        <v>6</v>
      </c>
      <c r="B806" s="295">
        <f t="shared" si="450"/>
        <v>128802.03308689949</v>
      </c>
      <c r="C806" s="208">
        <f t="shared" si="452"/>
        <v>0</v>
      </c>
      <c r="D806" s="208">
        <f t="shared" si="452"/>
        <v>0</v>
      </c>
      <c r="E806" s="208">
        <f t="shared" si="452"/>
        <v>0</v>
      </c>
      <c r="F806" s="208">
        <f t="shared" si="452"/>
        <v>0</v>
      </c>
      <c r="G806" s="208">
        <f t="shared" si="452"/>
        <v>0</v>
      </c>
      <c r="H806" s="208">
        <f t="shared" si="452"/>
        <v>0</v>
      </c>
      <c r="I806" s="208">
        <f t="shared" si="452"/>
        <v>0</v>
      </c>
      <c r="J806" s="208">
        <f t="shared" si="452"/>
        <v>0</v>
      </c>
      <c r="K806" s="208">
        <f t="shared" si="452"/>
        <v>0</v>
      </c>
      <c r="L806" s="208">
        <f t="shared" si="452"/>
        <v>0</v>
      </c>
      <c r="M806" s="208">
        <f t="shared" si="452"/>
        <v>0</v>
      </c>
      <c r="N806" s="208">
        <f t="shared" si="452"/>
        <v>0</v>
      </c>
      <c r="O806" s="208">
        <f t="shared" si="452"/>
        <v>0</v>
      </c>
      <c r="P806" s="208">
        <f t="shared" si="452"/>
        <v>0</v>
      </c>
      <c r="Q806" s="208">
        <f t="shared" si="452"/>
        <v>0</v>
      </c>
      <c r="R806" s="208">
        <f t="shared" si="452"/>
        <v>42934.011028966495</v>
      </c>
      <c r="S806" s="208">
        <f t="shared" si="452"/>
        <v>42934.011028966495</v>
      </c>
      <c r="T806" s="208">
        <f t="shared" si="452"/>
        <v>42934.011028966495</v>
      </c>
      <c r="U806" s="208">
        <f t="shared" si="452"/>
        <v>0</v>
      </c>
      <c r="V806" s="208">
        <f t="shared" si="452"/>
        <v>0</v>
      </c>
      <c r="W806" s="208">
        <f t="shared" si="452"/>
        <v>0</v>
      </c>
      <c r="X806" s="208">
        <f t="shared" si="452"/>
        <v>0</v>
      </c>
      <c r="Y806" s="208">
        <f t="shared" si="452"/>
        <v>0</v>
      </c>
      <c r="Z806" s="208">
        <f t="shared" si="452"/>
        <v>0</v>
      </c>
      <c r="AA806" s="208">
        <f t="shared" si="452"/>
        <v>0</v>
      </c>
      <c r="AB806" s="208">
        <f t="shared" si="452"/>
        <v>0</v>
      </c>
      <c r="AC806" s="208">
        <f t="shared" si="452"/>
        <v>0</v>
      </c>
      <c r="AD806" s="208">
        <f t="shared" si="452"/>
        <v>0</v>
      </c>
      <c r="AE806" s="208">
        <f t="shared" si="452"/>
        <v>0</v>
      </c>
      <c r="AF806" s="208">
        <f t="shared" si="452"/>
        <v>0</v>
      </c>
      <c r="AG806" s="208">
        <f t="shared" si="452"/>
        <v>0</v>
      </c>
      <c r="AH806" s="208">
        <f t="shared" si="452"/>
        <v>0</v>
      </c>
      <c r="AI806" s="208">
        <f t="shared" si="452"/>
        <v>0</v>
      </c>
      <c r="AJ806" s="208">
        <f t="shared" si="452"/>
        <v>0</v>
      </c>
      <c r="AK806" s="208">
        <f t="shared" si="452"/>
        <v>0</v>
      </c>
      <c r="AL806" s="208">
        <f t="shared" si="452"/>
        <v>0</v>
      </c>
      <c r="AM806" s="208">
        <f t="shared" si="452"/>
        <v>0</v>
      </c>
      <c r="AN806" s="208">
        <f t="shared" si="452"/>
        <v>0</v>
      </c>
      <c r="AO806" s="208">
        <f t="shared" si="452"/>
        <v>0</v>
      </c>
      <c r="AP806" s="208">
        <f t="shared" si="452"/>
        <v>0</v>
      </c>
    </row>
    <row r="807" spans="1:42">
      <c r="A807" s="37">
        <f t="shared" si="453"/>
        <v>7</v>
      </c>
      <c r="B807" s="295">
        <f t="shared" si="450"/>
        <v>134685.50065500522</v>
      </c>
      <c r="C807" s="208">
        <f t="shared" si="452"/>
        <v>0</v>
      </c>
      <c r="D807" s="208">
        <f t="shared" si="452"/>
        <v>0</v>
      </c>
      <c r="E807" s="208">
        <f t="shared" si="452"/>
        <v>0</v>
      </c>
      <c r="F807" s="208">
        <f t="shared" si="452"/>
        <v>0</v>
      </c>
      <c r="G807" s="208">
        <f t="shared" si="452"/>
        <v>0</v>
      </c>
      <c r="H807" s="208">
        <f t="shared" si="452"/>
        <v>0</v>
      </c>
      <c r="I807" s="208">
        <f t="shared" si="452"/>
        <v>0</v>
      </c>
      <c r="J807" s="208">
        <f t="shared" si="452"/>
        <v>0</v>
      </c>
      <c r="K807" s="208">
        <f t="shared" si="452"/>
        <v>0</v>
      </c>
      <c r="L807" s="208">
        <f t="shared" si="452"/>
        <v>0</v>
      </c>
      <c r="M807" s="208">
        <f t="shared" si="452"/>
        <v>0</v>
      </c>
      <c r="N807" s="208">
        <f t="shared" si="452"/>
        <v>0</v>
      </c>
      <c r="O807" s="208">
        <f t="shared" si="452"/>
        <v>0</v>
      </c>
      <c r="P807" s="208">
        <f t="shared" si="452"/>
        <v>0</v>
      </c>
      <c r="Q807" s="208">
        <f t="shared" si="452"/>
        <v>0</v>
      </c>
      <c r="R807" s="208">
        <f t="shared" si="452"/>
        <v>0</v>
      </c>
      <c r="S807" s="208">
        <f t="shared" si="452"/>
        <v>0</v>
      </c>
      <c r="T807" s="208">
        <f t="shared" si="452"/>
        <v>0</v>
      </c>
      <c r="U807" s="208">
        <f t="shared" si="452"/>
        <v>44895.166885001738</v>
      </c>
      <c r="V807" s="208">
        <f t="shared" si="452"/>
        <v>44895.166885001738</v>
      </c>
      <c r="W807" s="208">
        <f t="shared" si="452"/>
        <v>44895.166885001738</v>
      </c>
      <c r="X807" s="208">
        <f t="shared" si="452"/>
        <v>0</v>
      </c>
      <c r="Y807" s="208">
        <f t="shared" si="452"/>
        <v>0</v>
      </c>
      <c r="Z807" s="208">
        <f t="shared" si="452"/>
        <v>0</v>
      </c>
      <c r="AA807" s="208">
        <f t="shared" si="452"/>
        <v>0</v>
      </c>
      <c r="AB807" s="208">
        <f t="shared" si="452"/>
        <v>0</v>
      </c>
      <c r="AC807" s="208">
        <f t="shared" si="452"/>
        <v>0</v>
      </c>
      <c r="AD807" s="208">
        <f t="shared" si="452"/>
        <v>0</v>
      </c>
      <c r="AE807" s="208">
        <f t="shared" si="452"/>
        <v>0</v>
      </c>
      <c r="AF807" s="208">
        <f t="shared" si="452"/>
        <v>0</v>
      </c>
      <c r="AG807" s="208">
        <f t="shared" si="452"/>
        <v>0</v>
      </c>
      <c r="AH807" s="208">
        <f t="shared" si="452"/>
        <v>0</v>
      </c>
      <c r="AI807" s="208">
        <f t="shared" si="452"/>
        <v>0</v>
      </c>
      <c r="AJ807" s="208">
        <f t="shared" si="452"/>
        <v>0</v>
      </c>
      <c r="AK807" s="208">
        <f t="shared" si="452"/>
        <v>0</v>
      </c>
      <c r="AL807" s="208">
        <f t="shared" si="452"/>
        <v>0</v>
      </c>
      <c r="AM807" s="208">
        <f t="shared" si="452"/>
        <v>0</v>
      </c>
      <c r="AN807" s="208">
        <f t="shared" si="452"/>
        <v>0</v>
      </c>
      <c r="AO807" s="208">
        <f t="shared" si="452"/>
        <v>0</v>
      </c>
      <c r="AP807" s="208">
        <f t="shared" si="452"/>
        <v>0</v>
      </c>
    </row>
    <row r="808" spans="1:42">
      <c r="A808" s="37">
        <f t="shared" si="453"/>
        <v>8</v>
      </c>
      <c r="B808" s="295">
        <f t="shared" si="450"/>
        <v>140837.71546098724</v>
      </c>
      <c r="C808" s="208">
        <f t="shared" si="452"/>
        <v>0</v>
      </c>
      <c r="D808" s="208">
        <f t="shared" si="452"/>
        <v>0</v>
      </c>
      <c r="E808" s="208">
        <f t="shared" si="452"/>
        <v>0</v>
      </c>
      <c r="F808" s="208">
        <f t="shared" si="452"/>
        <v>0</v>
      </c>
      <c r="G808" s="208">
        <f t="shared" si="452"/>
        <v>0</v>
      </c>
      <c r="H808" s="208">
        <f t="shared" si="452"/>
        <v>0</v>
      </c>
      <c r="I808" s="208">
        <f t="shared" si="452"/>
        <v>0</v>
      </c>
      <c r="J808" s="208">
        <f t="shared" si="452"/>
        <v>0</v>
      </c>
      <c r="K808" s="208">
        <f t="shared" si="452"/>
        <v>0</v>
      </c>
      <c r="L808" s="208">
        <f t="shared" si="452"/>
        <v>0</v>
      </c>
      <c r="M808" s="208">
        <f t="shared" si="452"/>
        <v>0</v>
      </c>
      <c r="N808" s="208">
        <f t="shared" si="452"/>
        <v>0</v>
      </c>
      <c r="O808" s="208">
        <f t="shared" si="452"/>
        <v>0</v>
      </c>
      <c r="P808" s="208">
        <f t="shared" si="452"/>
        <v>0</v>
      </c>
      <c r="Q808" s="208">
        <f t="shared" si="452"/>
        <v>0</v>
      </c>
      <c r="R808" s="208">
        <f t="shared" ref="R808:AP808" si="454">IF(AND(R$2&gt;MMFrequency3*$A795,R$2&lt;=MMFrequency3*$A796),$B796/(MMFrequency3),0)</f>
        <v>0</v>
      </c>
      <c r="S808" s="208">
        <f t="shared" si="454"/>
        <v>0</v>
      </c>
      <c r="T808" s="208">
        <f t="shared" si="454"/>
        <v>0</v>
      </c>
      <c r="U808" s="208">
        <f t="shared" si="454"/>
        <v>0</v>
      </c>
      <c r="V808" s="208">
        <f t="shared" si="454"/>
        <v>0</v>
      </c>
      <c r="W808" s="208">
        <f t="shared" si="454"/>
        <v>0</v>
      </c>
      <c r="X808" s="208">
        <f t="shared" si="454"/>
        <v>46945.90515366241</v>
      </c>
      <c r="Y808" s="208">
        <f t="shared" si="454"/>
        <v>46945.90515366241</v>
      </c>
      <c r="Z808" s="208">
        <f t="shared" si="454"/>
        <v>46945.90515366241</v>
      </c>
      <c r="AA808" s="208">
        <f t="shared" si="454"/>
        <v>0</v>
      </c>
      <c r="AB808" s="208">
        <f t="shared" si="454"/>
        <v>0</v>
      </c>
      <c r="AC808" s="208">
        <f t="shared" si="454"/>
        <v>0</v>
      </c>
      <c r="AD808" s="208">
        <f t="shared" si="454"/>
        <v>0</v>
      </c>
      <c r="AE808" s="208">
        <f t="shared" si="454"/>
        <v>0</v>
      </c>
      <c r="AF808" s="208">
        <f t="shared" si="454"/>
        <v>0</v>
      </c>
      <c r="AG808" s="208">
        <f t="shared" si="454"/>
        <v>0</v>
      </c>
      <c r="AH808" s="208">
        <f t="shared" si="454"/>
        <v>0</v>
      </c>
      <c r="AI808" s="208">
        <f t="shared" si="454"/>
        <v>0</v>
      </c>
      <c r="AJ808" s="208">
        <f t="shared" si="454"/>
        <v>0</v>
      </c>
      <c r="AK808" s="208">
        <f t="shared" si="454"/>
        <v>0</v>
      </c>
      <c r="AL808" s="208">
        <f t="shared" si="454"/>
        <v>0</v>
      </c>
      <c r="AM808" s="208">
        <f t="shared" si="454"/>
        <v>0</v>
      </c>
      <c r="AN808" s="208">
        <f t="shared" si="454"/>
        <v>0</v>
      </c>
      <c r="AO808" s="208">
        <f t="shared" si="454"/>
        <v>0</v>
      </c>
      <c r="AP808" s="208">
        <f t="shared" si="454"/>
        <v>0</v>
      </c>
    </row>
    <row r="809" spans="1:42">
      <c r="A809" s="37">
        <f>A808+1</f>
        <v>9</v>
      </c>
      <c r="B809" s="295">
        <f t="shared" si="450"/>
        <v>147270.95344195748</v>
      </c>
      <c r="C809" s="208">
        <f t="shared" ref="C809:AP810" si="455">IF(AND(C$2&gt;MMFrequency3*$A796,C$2&lt;=MMFrequency3*$A797),$B797/(MMFrequency3),0)</f>
        <v>0</v>
      </c>
      <c r="D809" s="208">
        <f t="shared" si="455"/>
        <v>0</v>
      </c>
      <c r="E809" s="208">
        <f t="shared" si="455"/>
        <v>0</v>
      </c>
      <c r="F809" s="208">
        <f t="shared" si="455"/>
        <v>0</v>
      </c>
      <c r="G809" s="208">
        <f t="shared" si="455"/>
        <v>0</v>
      </c>
      <c r="H809" s="208">
        <f t="shared" si="455"/>
        <v>0</v>
      </c>
      <c r="I809" s="208">
        <f t="shared" si="455"/>
        <v>0</v>
      </c>
      <c r="J809" s="208">
        <f t="shared" si="455"/>
        <v>0</v>
      </c>
      <c r="K809" s="208">
        <f t="shared" si="455"/>
        <v>0</v>
      </c>
      <c r="L809" s="208">
        <f t="shared" si="455"/>
        <v>0</v>
      </c>
      <c r="M809" s="208">
        <f t="shared" si="455"/>
        <v>0</v>
      </c>
      <c r="N809" s="208">
        <f t="shared" si="455"/>
        <v>0</v>
      </c>
      <c r="O809" s="208">
        <f t="shared" si="455"/>
        <v>0</v>
      </c>
      <c r="P809" s="208">
        <f t="shared" si="455"/>
        <v>0</v>
      </c>
      <c r="Q809" s="208">
        <f t="shared" si="455"/>
        <v>0</v>
      </c>
      <c r="R809" s="208">
        <f t="shared" si="455"/>
        <v>0</v>
      </c>
      <c r="S809" s="208">
        <f t="shared" si="455"/>
        <v>0</v>
      </c>
      <c r="T809" s="208">
        <f t="shared" si="455"/>
        <v>0</v>
      </c>
      <c r="U809" s="208">
        <f t="shared" si="455"/>
        <v>0</v>
      </c>
      <c r="V809" s="208">
        <f t="shared" si="455"/>
        <v>0</v>
      </c>
      <c r="W809" s="208">
        <f t="shared" si="455"/>
        <v>0</v>
      </c>
      <c r="X809" s="208">
        <f t="shared" si="455"/>
        <v>0</v>
      </c>
      <c r="Y809" s="208">
        <f t="shared" si="455"/>
        <v>0</v>
      </c>
      <c r="Z809" s="208">
        <f t="shared" si="455"/>
        <v>0</v>
      </c>
      <c r="AA809" s="208">
        <f t="shared" si="455"/>
        <v>49090.317813985828</v>
      </c>
      <c r="AB809" s="208">
        <f t="shared" si="455"/>
        <v>49090.317813985828</v>
      </c>
      <c r="AC809" s="208">
        <f t="shared" si="455"/>
        <v>49090.317813985828</v>
      </c>
      <c r="AD809" s="208">
        <f t="shared" si="455"/>
        <v>0</v>
      </c>
      <c r="AE809" s="208">
        <f t="shared" si="455"/>
        <v>0</v>
      </c>
      <c r="AF809" s="208">
        <f t="shared" si="455"/>
        <v>0</v>
      </c>
      <c r="AG809" s="208">
        <f t="shared" si="455"/>
        <v>0</v>
      </c>
      <c r="AH809" s="208">
        <f t="shared" si="455"/>
        <v>0</v>
      </c>
      <c r="AI809" s="208">
        <f t="shared" si="455"/>
        <v>0</v>
      </c>
      <c r="AJ809" s="208">
        <f t="shared" si="455"/>
        <v>0</v>
      </c>
      <c r="AK809" s="208">
        <f t="shared" si="455"/>
        <v>0</v>
      </c>
      <c r="AL809" s="208">
        <f t="shared" si="455"/>
        <v>0</v>
      </c>
      <c r="AM809" s="208">
        <f t="shared" si="455"/>
        <v>0</v>
      </c>
      <c r="AN809" s="208">
        <f t="shared" si="455"/>
        <v>0</v>
      </c>
      <c r="AO809" s="208">
        <f t="shared" si="455"/>
        <v>0</v>
      </c>
      <c r="AP809" s="208">
        <f t="shared" si="455"/>
        <v>0</v>
      </c>
    </row>
    <row r="810" spans="1:42">
      <c r="A810" s="37">
        <f t="shared" ref="A810" si="456">A809+1</f>
        <v>10</v>
      </c>
      <c r="B810" s="295">
        <f t="shared" si="450"/>
        <v>153998.05127988668</v>
      </c>
      <c r="C810" s="209">
        <f t="shared" si="455"/>
        <v>0</v>
      </c>
      <c r="D810" s="209">
        <f t="shared" si="455"/>
        <v>0</v>
      </c>
      <c r="E810" s="209">
        <f t="shared" si="455"/>
        <v>0</v>
      </c>
      <c r="F810" s="209">
        <f t="shared" si="455"/>
        <v>0</v>
      </c>
      <c r="G810" s="209">
        <f t="shared" si="455"/>
        <v>0</v>
      </c>
      <c r="H810" s="209">
        <f t="shared" si="455"/>
        <v>0</v>
      </c>
      <c r="I810" s="209">
        <f t="shared" si="455"/>
        <v>0</v>
      </c>
      <c r="J810" s="209">
        <f t="shared" si="455"/>
        <v>0</v>
      </c>
      <c r="K810" s="209">
        <f t="shared" si="455"/>
        <v>0</v>
      </c>
      <c r="L810" s="209">
        <f t="shared" si="455"/>
        <v>0</v>
      </c>
      <c r="M810" s="209">
        <f t="shared" si="455"/>
        <v>0</v>
      </c>
      <c r="N810" s="209">
        <f t="shared" si="455"/>
        <v>0</v>
      </c>
      <c r="O810" s="209">
        <f t="shared" si="455"/>
        <v>0</v>
      </c>
      <c r="P810" s="209">
        <f t="shared" si="455"/>
        <v>0</v>
      </c>
      <c r="Q810" s="209">
        <f t="shared" si="455"/>
        <v>0</v>
      </c>
      <c r="R810" s="209">
        <f t="shared" si="455"/>
        <v>0</v>
      </c>
      <c r="S810" s="209">
        <f t="shared" si="455"/>
        <v>0</v>
      </c>
      <c r="T810" s="209">
        <f t="shared" si="455"/>
        <v>0</v>
      </c>
      <c r="U810" s="209">
        <f t="shared" si="455"/>
        <v>0</v>
      </c>
      <c r="V810" s="209">
        <f t="shared" si="455"/>
        <v>0</v>
      </c>
      <c r="W810" s="209">
        <f t="shared" si="455"/>
        <v>0</v>
      </c>
      <c r="X810" s="209">
        <f t="shared" si="455"/>
        <v>0</v>
      </c>
      <c r="Y810" s="209">
        <f t="shared" si="455"/>
        <v>0</v>
      </c>
      <c r="Z810" s="209">
        <f t="shared" si="455"/>
        <v>0</v>
      </c>
      <c r="AA810" s="209">
        <f t="shared" si="455"/>
        <v>0</v>
      </c>
      <c r="AB810" s="209">
        <f t="shared" si="455"/>
        <v>0</v>
      </c>
      <c r="AC810" s="209">
        <f t="shared" si="455"/>
        <v>0</v>
      </c>
      <c r="AD810" s="209">
        <f t="shared" si="455"/>
        <v>51332.68375996223</v>
      </c>
      <c r="AE810" s="209">
        <f t="shared" si="455"/>
        <v>51332.68375996223</v>
      </c>
      <c r="AF810" s="209">
        <f t="shared" si="455"/>
        <v>51332.68375996223</v>
      </c>
      <c r="AG810" s="209">
        <f t="shared" si="455"/>
        <v>0</v>
      </c>
      <c r="AH810" s="209">
        <f t="shared" si="455"/>
        <v>0</v>
      </c>
      <c r="AI810" s="209">
        <f t="shared" si="455"/>
        <v>0</v>
      </c>
      <c r="AJ810" s="209">
        <f t="shared" si="455"/>
        <v>0</v>
      </c>
      <c r="AK810" s="209">
        <f t="shared" si="455"/>
        <v>0</v>
      </c>
      <c r="AL810" s="209">
        <f t="shared" si="455"/>
        <v>0</v>
      </c>
      <c r="AM810" s="209">
        <f t="shared" si="455"/>
        <v>0</v>
      </c>
      <c r="AN810" s="209">
        <f t="shared" si="455"/>
        <v>0</v>
      </c>
      <c r="AO810" s="209">
        <f t="shared" si="455"/>
        <v>0</v>
      </c>
      <c r="AP810" s="209">
        <f t="shared" si="455"/>
        <v>0</v>
      </c>
    </row>
    <row r="811" spans="1:42">
      <c r="A811" s="244" t="s">
        <v>53</v>
      </c>
      <c r="B811" s="208"/>
      <c r="C811" s="164">
        <f>SUM(C801:C810)</f>
        <v>34340.833333333321</v>
      </c>
      <c r="D811" s="164">
        <f t="shared" ref="D811:AP811" si="457">SUM(D801:D810)</f>
        <v>34340.833333333321</v>
      </c>
      <c r="E811" s="164">
        <f t="shared" si="457"/>
        <v>34340.833333333321</v>
      </c>
      <c r="F811" s="164">
        <f t="shared" si="457"/>
        <v>35909.466796145811</v>
      </c>
      <c r="G811" s="164">
        <f t="shared" si="457"/>
        <v>35909.466796145811</v>
      </c>
      <c r="H811" s="164">
        <f t="shared" si="457"/>
        <v>35909.466796145811</v>
      </c>
      <c r="I811" s="164">
        <f t="shared" si="457"/>
        <v>37549.752886510192</v>
      </c>
      <c r="J811" s="164">
        <f t="shared" si="457"/>
        <v>37549.752886510192</v>
      </c>
      <c r="K811" s="164">
        <f t="shared" si="457"/>
        <v>37549.752886510192</v>
      </c>
      <c r="L811" s="164">
        <f t="shared" si="457"/>
        <v>39264.96458001752</v>
      </c>
      <c r="M811" s="164">
        <f t="shared" si="457"/>
        <v>39264.96458001752</v>
      </c>
      <c r="N811" s="164">
        <f t="shared" si="457"/>
        <v>39264.96458001752</v>
      </c>
      <c r="O811" s="164">
        <f t="shared" si="457"/>
        <v>41058.524356465256</v>
      </c>
      <c r="P811" s="164">
        <f t="shared" si="457"/>
        <v>41058.524356465256</v>
      </c>
      <c r="Q811" s="164">
        <f t="shared" si="457"/>
        <v>41058.524356465256</v>
      </c>
      <c r="R811" s="164">
        <f t="shared" si="457"/>
        <v>42934.011028966495</v>
      </c>
      <c r="S811" s="164">
        <f t="shared" si="457"/>
        <v>42934.011028966495</v>
      </c>
      <c r="T811" s="164">
        <f t="shared" si="457"/>
        <v>42934.011028966495</v>
      </c>
      <c r="U811" s="164">
        <f t="shared" si="457"/>
        <v>44895.166885001738</v>
      </c>
      <c r="V811" s="164">
        <f t="shared" si="457"/>
        <v>44895.166885001738</v>
      </c>
      <c r="W811" s="164">
        <f t="shared" si="457"/>
        <v>44895.166885001738</v>
      </c>
      <c r="X811" s="164">
        <f t="shared" si="457"/>
        <v>46945.90515366241</v>
      </c>
      <c r="Y811" s="164">
        <f t="shared" si="457"/>
        <v>46945.90515366241</v>
      </c>
      <c r="Z811" s="164">
        <f t="shared" si="457"/>
        <v>46945.90515366241</v>
      </c>
      <c r="AA811" s="164">
        <f t="shared" si="457"/>
        <v>49090.317813985828</v>
      </c>
      <c r="AB811" s="164">
        <f t="shared" si="457"/>
        <v>49090.317813985828</v>
      </c>
      <c r="AC811" s="164">
        <f t="shared" si="457"/>
        <v>49090.317813985828</v>
      </c>
      <c r="AD811" s="164">
        <f t="shared" si="457"/>
        <v>51332.68375996223</v>
      </c>
      <c r="AE811" s="164">
        <f t="shared" si="457"/>
        <v>51332.68375996223</v>
      </c>
      <c r="AF811" s="164">
        <f t="shared" si="457"/>
        <v>51332.68375996223</v>
      </c>
      <c r="AG811" s="164">
        <f t="shared" si="457"/>
        <v>0</v>
      </c>
      <c r="AH811" s="164">
        <f t="shared" si="457"/>
        <v>0</v>
      </c>
      <c r="AI811" s="164">
        <f t="shared" si="457"/>
        <v>0</v>
      </c>
      <c r="AJ811" s="164">
        <f t="shared" si="457"/>
        <v>0</v>
      </c>
      <c r="AK811" s="164">
        <f t="shared" si="457"/>
        <v>0</v>
      </c>
      <c r="AL811" s="164">
        <f t="shared" si="457"/>
        <v>0</v>
      </c>
      <c r="AM811" s="164">
        <f t="shared" si="457"/>
        <v>0</v>
      </c>
      <c r="AN811" s="164">
        <f t="shared" si="457"/>
        <v>0</v>
      </c>
      <c r="AO811" s="164">
        <f t="shared" si="457"/>
        <v>0</v>
      </c>
      <c r="AP811" s="164">
        <f t="shared" si="457"/>
        <v>0</v>
      </c>
    </row>
    <row r="812" spans="1:42">
      <c r="B812" s="208"/>
      <c r="C812" s="164"/>
      <c r="D812" s="164"/>
      <c r="E812" s="164"/>
      <c r="F812" s="164"/>
      <c r="G812" s="164"/>
      <c r="H812" s="164"/>
      <c r="I812" s="164"/>
      <c r="J812" s="164"/>
      <c r="K812" s="164"/>
      <c r="L812" s="164"/>
      <c r="M812" s="164"/>
      <c r="N812" s="164"/>
      <c r="O812" s="164"/>
      <c r="P812" s="164"/>
      <c r="Q812" s="164"/>
      <c r="R812" s="164"/>
      <c r="S812" s="164"/>
      <c r="T812" s="164"/>
      <c r="U812" s="164"/>
      <c r="V812" s="164"/>
      <c r="W812" s="164"/>
      <c r="X812" s="164"/>
      <c r="Y812" s="164"/>
      <c r="Z812" s="164"/>
      <c r="AA812" s="164"/>
      <c r="AB812" s="164"/>
      <c r="AC812" s="164"/>
      <c r="AD812" s="164"/>
      <c r="AE812" s="164"/>
      <c r="AF812" s="164"/>
      <c r="AG812" s="164"/>
      <c r="AH812" s="164"/>
      <c r="AI812" s="164"/>
      <c r="AJ812" s="164"/>
      <c r="AK812" s="164"/>
      <c r="AL812" s="164"/>
      <c r="AM812" s="164"/>
      <c r="AN812" s="164"/>
      <c r="AO812" s="164"/>
      <c r="AP812" s="164"/>
    </row>
    <row r="813" spans="1:42" ht="12" customHeight="1">
      <c r="A813" s="37" t="s">
        <v>494</v>
      </c>
      <c r="B813" s="208"/>
      <c r="C813" s="164"/>
      <c r="D813" s="164"/>
      <c r="E813" s="164"/>
      <c r="F813" s="164"/>
      <c r="G813" s="164"/>
      <c r="H813" s="164"/>
      <c r="I813" s="164"/>
      <c r="J813" s="164"/>
      <c r="K813" s="164"/>
      <c r="L813" s="164"/>
      <c r="M813" s="164"/>
      <c r="N813" s="164"/>
      <c r="O813" s="164"/>
      <c r="P813" s="164"/>
      <c r="Q813" s="164"/>
      <c r="R813" s="164"/>
      <c r="S813" s="164"/>
      <c r="T813" s="164"/>
      <c r="U813" s="164"/>
      <c r="V813" s="164"/>
      <c r="W813" s="164"/>
      <c r="X813" s="164"/>
      <c r="Y813" s="164"/>
      <c r="Z813" s="164"/>
      <c r="AA813" s="164"/>
      <c r="AB813" s="164"/>
      <c r="AC813" s="164"/>
      <c r="AD813" s="164"/>
      <c r="AE813" s="164"/>
      <c r="AF813" s="164"/>
      <c r="AG813" s="164"/>
      <c r="AH813" s="164"/>
      <c r="AI813" s="164"/>
      <c r="AJ813" s="164"/>
      <c r="AK813" s="164"/>
      <c r="AL813" s="164"/>
      <c r="AM813" s="164"/>
      <c r="AN813" s="164"/>
      <c r="AO813" s="164"/>
      <c r="AP813" s="164"/>
    </row>
    <row r="814" spans="1:42" s="119" customFormat="1">
      <c r="A814" s="297" t="s">
        <v>211</v>
      </c>
      <c r="B814" s="220">
        <f t="shared" ref="B814:AP814" si="458">B709+B721+B753+B785</f>
        <v>150000</v>
      </c>
      <c r="C814" s="220">
        <f t="shared" si="458"/>
        <v>840332.10552309535</v>
      </c>
      <c r="D814" s="220">
        <f t="shared" si="458"/>
        <v>1530664.2110461907</v>
      </c>
      <c r="E814" s="220">
        <f t="shared" si="458"/>
        <v>2117973.8165692864</v>
      </c>
      <c r="F814" s="220">
        <f t="shared" si="458"/>
        <v>2809874.5555551937</v>
      </c>
      <c r="G814" s="220">
        <f t="shared" si="458"/>
        <v>3501775.2945411019</v>
      </c>
      <c r="H814" s="220">
        <f t="shared" si="458"/>
        <v>4085947.6331385728</v>
      </c>
      <c r="I814" s="220">
        <f t="shared" si="458"/>
        <v>4779488.6582148457</v>
      </c>
      <c r="J814" s="220">
        <f t="shared" si="458"/>
        <v>5473029.6832911167</v>
      </c>
      <c r="K814" s="220">
        <f t="shared" si="458"/>
        <v>6053921.4497078592</v>
      </c>
      <c r="L814" s="220">
        <f t="shared" si="458"/>
        <v>6749177.6864776388</v>
      </c>
      <c r="M814" s="220">
        <f t="shared" si="458"/>
        <v>7444433.9232474184</v>
      </c>
      <c r="N814" s="220">
        <f t="shared" si="458"/>
        <v>5077022.9227758311</v>
      </c>
      <c r="O814" s="220">
        <f t="shared" si="458"/>
        <v>5822078.5979073383</v>
      </c>
      <c r="P814" s="220">
        <f t="shared" si="458"/>
        <v>6567134.2730388464</v>
      </c>
      <c r="Q814" s="220">
        <f t="shared" si="458"/>
        <v>1030235.7216311703</v>
      </c>
      <c r="R814" s="220">
        <f t="shared" si="458"/>
        <v>1879908.4774701491</v>
      </c>
      <c r="S814" s="220">
        <f t="shared" si="458"/>
        <v>2729581.2333091279</v>
      </c>
      <c r="T814" s="220">
        <f t="shared" si="458"/>
        <v>3450451.9560612072</v>
      </c>
      <c r="U814" s="220">
        <f t="shared" si="458"/>
        <v>4302085.8677562214</v>
      </c>
      <c r="V814" s="220">
        <f t="shared" si="458"/>
        <v>5153719.7794512352</v>
      </c>
      <c r="W814" s="220">
        <f t="shared" si="458"/>
        <v>5870668.1904912442</v>
      </c>
      <c r="X814" s="220">
        <f t="shared" si="458"/>
        <v>6724352.8404549183</v>
      </c>
      <c r="Y814" s="220">
        <f t="shared" si="458"/>
        <v>7578037.4904185934</v>
      </c>
      <c r="Z814" s="220">
        <f t="shared" si="458"/>
        <v>4769941.5383965997</v>
      </c>
      <c r="AA814" s="220">
        <f t="shared" si="458"/>
        <v>5332358.6938102078</v>
      </c>
      <c r="AB814" s="220">
        <f t="shared" si="458"/>
        <v>5894775.8492238158</v>
      </c>
      <c r="AC814" s="220">
        <f t="shared" si="458"/>
        <v>6309922.051195466</v>
      </c>
      <c r="AD814" s="220">
        <f t="shared" si="458"/>
        <v>6874581.5725550503</v>
      </c>
      <c r="AE814" s="220">
        <f t="shared" si="458"/>
        <v>7439241.0939146345</v>
      </c>
      <c r="AF814" s="220">
        <f t="shared" si="458"/>
        <v>0</v>
      </c>
      <c r="AG814" s="220">
        <f t="shared" si="458"/>
        <v>0</v>
      </c>
      <c r="AH814" s="220">
        <f t="shared" si="458"/>
        <v>0</v>
      </c>
      <c r="AI814" s="220">
        <f t="shared" si="458"/>
        <v>0</v>
      </c>
      <c r="AJ814" s="220">
        <f t="shared" si="458"/>
        <v>0</v>
      </c>
      <c r="AK814" s="220">
        <f t="shared" si="458"/>
        <v>0</v>
      </c>
      <c r="AL814" s="220">
        <f t="shared" si="458"/>
        <v>0</v>
      </c>
      <c r="AM814" s="220">
        <f t="shared" si="458"/>
        <v>0</v>
      </c>
      <c r="AN814" s="220">
        <f t="shared" si="458"/>
        <v>0</v>
      </c>
      <c r="AO814" s="220">
        <f t="shared" si="458"/>
        <v>0</v>
      </c>
      <c r="AP814" s="220">
        <f t="shared" si="458"/>
        <v>0</v>
      </c>
    </row>
    <row r="815" spans="1:42" s="119" customFormat="1">
      <c r="A815" s="297" t="s">
        <v>210</v>
      </c>
      <c r="B815" s="146"/>
      <c r="C815" s="220">
        <f t="shared" ref="C815:AP815" si="459">IF(C$2&lt;=AnalysisPeriod,B814*InterestOnReserves,0)</f>
        <v>2625.0000000000005</v>
      </c>
      <c r="D815" s="220">
        <f t="shared" si="459"/>
        <v>14705.811846654169</v>
      </c>
      <c r="E815" s="220">
        <f t="shared" si="459"/>
        <v>26786.623693308338</v>
      </c>
      <c r="F815" s="220">
        <f t="shared" si="459"/>
        <v>37064.541789962517</v>
      </c>
      <c r="G815" s="220">
        <f t="shared" si="459"/>
        <v>49172.804722215893</v>
      </c>
      <c r="H815" s="220">
        <f t="shared" si="459"/>
        <v>61281.067654469291</v>
      </c>
      <c r="I815" s="220">
        <f t="shared" si="459"/>
        <v>71504.083579925034</v>
      </c>
      <c r="J815" s="220">
        <f t="shared" si="459"/>
        <v>83641.051518759807</v>
      </c>
      <c r="K815" s="220">
        <f t="shared" si="459"/>
        <v>95778.01945759455</v>
      </c>
      <c r="L815" s="220">
        <f t="shared" si="459"/>
        <v>105943.62536988755</v>
      </c>
      <c r="M815" s="220">
        <f t="shared" si="459"/>
        <v>118110.60951335869</v>
      </c>
      <c r="N815" s="220">
        <f t="shared" si="459"/>
        <v>130277.59365682983</v>
      </c>
      <c r="O815" s="220">
        <f t="shared" si="459"/>
        <v>88847.901148577046</v>
      </c>
      <c r="P815" s="220">
        <f t="shared" si="459"/>
        <v>101886.37546337843</v>
      </c>
      <c r="Q815" s="220">
        <f t="shared" si="459"/>
        <v>114924.84977817982</v>
      </c>
      <c r="R815" s="220">
        <f t="shared" si="459"/>
        <v>18029.125128545482</v>
      </c>
      <c r="S815" s="220">
        <f t="shared" si="459"/>
        <v>32898.398355727615</v>
      </c>
      <c r="T815" s="220">
        <f t="shared" si="459"/>
        <v>47767.671582909745</v>
      </c>
      <c r="U815" s="220">
        <f t="shared" si="459"/>
        <v>60382.909231071135</v>
      </c>
      <c r="V815" s="220">
        <f t="shared" si="459"/>
        <v>75286.502685733882</v>
      </c>
      <c r="W815" s="220">
        <f t="shared" si="459"/>
        <v>90190.096140396621</v>
      </c>
      <c r="X815" s="220">
        <f t="shared" si="459"/>
        <v>102736.69333359678</v>
      </c>
      <c r="Y815" s="220">
        <f t="shared" si="459"/>
        <v>117676.17470796108</v>
      </c>
      <c r="Z815" s="220">
        <f t="shared" si="459"/>
        <v>132615.65608232541</v>
      </c>
      <c r="AA815" s="220">
        <f t="shared" si="459"/>
        <v>83473.976921940499</v>
      </c>
      <c r="AB815" s="220">
        <f t="shared" si="459"/>
        <v>93316.277141678642</v>
      </c>
      <c r="AC815" s="220">
        <f t="shared" si="459"/>
        <v>103158.57736141678</v>
      </c>
      <c r="AD815" s="220">
        <f t="shared" si="459"/>
        <v>110423.63589592067</v>
      </c>
      <c r="AE815" s="220">
        <f t="shared" si="459"/>
        <v>120305.1775197134</v>
      </c>
      <c r="AF815" s="220">
        <f t="shared" si="459"/>
        <v>130186.71914350611</v>
      </c>
      <c r="AG815" s="220">
        <f t="shared" si="459"/>
        <v>0</v>
      </c>
      <c r="AH815" s="220">
        <f t="shared" si="459"/>
        <v>0</v>
      </c>
      <c r="AI815" s="220">
        <f t="shared" si="459"/>
        <v>0</v>
      </c>
      <c r="AJ815" s="220">
        <f t="shared" si="459"/>
        <v>0</v>
      </c>
      <c r="AK815" s="220">
        <f t="shared" si="459"/>
        <v>0</v>
      </c>
      <c r="AL815" s="220">
        <f t="shared" si="459"/>
        <v>0</v>
      </c>
      <c r="AM815" s="220">
        <f t="shared" si="459"/>
        <v>0</v>
      </c>
      <c r="AN815" s="220">
        <f t="shared" si="459"/>
        <v>0</v>
      </c>
      <c r="AO815" s="220">
        <f t="shared" si="459"/>
        <v>0</v>
      </c>
      <c r="AP815" s="220">
        <f t="shared" si="459"/>
        <v>0</v>
      </c>
    </row>
    <row r="816" spans="1:42" s="119" customFormat="1"/>
    <row r="817" spans="1:42" s="119" customFormat="1" ht="12" customHeight="1">
      <c r="A817" s="119" t="s">
        <v>495</v>
      </c>
      <c r="B817" s="146"/>
      <c r="C817" s="220"/>
      <c r="D817" s="220"/>
      <c r="E817" s="220"/>
      <c r="F817" s="220"/>
      <c r="G817" s="220"/>
      <c r="H817" s="220"/>
      <c r="I817" s="220"/>
      <c r="J817" s="220"/>
      <c r="K817" s="220"/>
      <c r="L817" s="220"/>
      <c r="M817" s="220"/>
      <c r="N817" s="220"/>
      <c r="O817" s="220"/>
      <c r="P817" s="220"/>
      <c r="Q817" s="220"/>
      <c r="R817" s="220"/>
      <c r="S817" s="220"/>
      <c r="T817" s="220"/>
      <c r="U817" s="220"/>
      <c r="V817" s="220"/>
      <c r="W817" s="220"/>
      <c r="X817" s="220"/>
      <c r="Y817" s="220"/>
      <c r="Z817" s="220"/>
      <c r="AA817" s="220"/>
      <c r="AB817" s="220"/>
      <c r="AC817" s="220"/>
      <c r="AD817" s="220"/>
      <c r="AE817" s="220"/>
      <c r="AF817" s="220"/>
      <c r="AG817" s="220"/>
      <c r="AH817" s="220"/>
      <c r="AI817" s="220"/>
      <c r="AJ817" s="220"/>
      <c r="AK817" s="220"/>
      <c r="AL817" s="220"/>
      <c r="AM817" s="220"/>
      <c r="AN817" s="220"/>
      <c r="AO817" s="220"/>
      <c r="AP817" s="220"/>
    </row>
    <row r="818" spans="1:42" s="119" customFormat="1">
      <c r="A818" s="297" t="s">
        <v>211</v>
      </c>
      <c r="B818" s="220">
        <f>B715</f>
        <v>3490604.7462151214</v>
      </c>
      <c r="C818" s="220">
        <f t="shared" ref="C818:AP818" si="460">C715</f>
        <v>3490604.7462151214</v>
      </c>
      <c r="D818" s="220">
        <f t="shared" si="460"/>
        <v>3490604.7462151214</v>
      </c>
      <c r="E818" s="220">
        <f t="shared" si="460"/>
        <v>3490604.7462151214</v>
      </c>
      <c r="F818" s="220">
        <f t="shared" si="460"/>
        <v>3490604.7462151214</v>
      </c>
      <c r="G818" s="220">
        <f t="shared" si="460"/>
        <v>3490604.7462151214</v>
      </c>
      <c r="H818" s="220">
        <f t="shared" si="460"/>
        <v>3490604.7462151214</v>
      </c>
      <c r="I818" s="220">
        <f t="shared" si="460"/>
        <v>3490604.7462151214</v>
      </c>
      <c r="J818" s="220">
        <f t="shared" si="460"/>
        <v>3490604.7462151214</v>
      </c>
      <c r="K818" s="220">
        <f t="shared" si="460"/>
        <v>3490604.7462151214</v>
      </c>
      <c r="L818" s="220">
        <f t="shared" si="460"/>
        <v>3490604.7462151214</v>
      </c>
      <c r="M818" s="220">
        <f t="shared" si="460"/>
        <v>3490604.7462151214</v>
      </c>
      <c r="N818" s="220">
        <f t="shared" si="460"/>
        <v>3490604.7462151214</v>
      </c>
      <c r="O818" s="220">
        <f t="shared" si="460"/>
        <v>3490604.7462151214</v>
      </c>
      <c r="P818" s="220">
        <f t="shared" si="460"/>
        <v>3490604.7462151214</v>
      </c>
      <c r="Q818" s="220">
        <f t="shared" si="460"/>
        <v>3490604.7462151214</v>
      </c>
      <c r="R818" s="220">
        <f t="shared" si="460"/>
        <v>3490604.7462151214</v>
      </c>
      <c r="S818" s="220">
        <f t="shared" si="460"/>
        <v>3490604.7462151214</v>
      </c>
      <c r="T818" s="220">
        <f t="shared" si="460"/>
        <v>3490604.7462151214</v>
      </c>
      <c r="U818" s="220">
        <f t="shared" si="460"/>
        <v>3490604.7462151214</v>
      </c>
      <c r="V818" s="220">
        <f t="shared" si="460"/>
        <v>3490604.7462151214</v>
      </c>
      <c r="W818" s="220">
        <f t="shared" si="460"/>
        <v>3490604.7462151214</v>
      </c>
      <c r="X818" s="220">
        <f t="shared" si="460"/>
        <v>3490604.7462151214</v>
      </c>
      <c r="Y818" s="220">
        <f t="shared" si="460"/>
        <v>3490604.7462151214</v>
      </c>
      <c r="Z818" s="220">
        <f t="shared" si="460"/>
        <v>3490604.7462151214</v>
      </c>
      <c r="AA818" s="220">
        <f t="shared" si="460"/>
        <v>3490604.7462151214</v>
      </c>
      <c r="AB818" s="220">
        <f t="shared" si="460"/>
        <v>3490604.7462151214</v>
      </c>
      <c r="AC818" s="220">
        <f t="shared" si="460"/>
        <v>3490604.7462151214</v>
      </c>
      <c r="AD818" s="220">
        <f t="shared" si="460"/>
        <v>3490604.7462151214</v>
      </c>
      <c r="AE818" s="220">
        <f t="shared" si="460"/>
        <v>3490604.7462151214</v>
      </c>
      <c r="AF818" s="220">
        <f t="shared" si="460"/>
        <v>0</v>
      </c>
      <c r="AG818" s="220">
        <f t="shared" si="460"/>
        <v>0</v>
      </c>
      <c r="AH818" s="220">
        <f t="shared" si="460"/>
        <v>0</v>
      </c>
      <c r="AI818" s="220">
        <f t="shared" si="460"/>
        <v>0</v>
      </c>
      <c r="AJ818" s="220">
        <f t="shared" si="460"/>
        <v>0</v>
      </c>
      <c r="AK818" s="220">
        <f t="shared" si="460"/>
        <v>0</v>
      </c>
      <c r="AL818" s="220">
        <f t="shared" si="460"/>
        <v>0</v>
      </c>
      <c r="AM818" s="220">
        <f t="shared" si="460"/>
        <v>0</v>
      </c>
      <c r="AN818" s="220">
        <f t="shared" si="460"/>
        <v>0</v>
      </c>
      <c r="AO818" s="220">
        <f t="shared" si="460"/>
        <v>0</v>
      </c>
      <c r="AP818" s="220">
        <f t="shared" si="460"/>
        <v>0</v>
      </c>
    </row>
    <row r="819" spans="1:42">
      <c r="A819" s="206" t="s">
        <v>210</v>
      </c>
      <c r="B819" s="208"/>
      <c r="C819" s="164">
        <f t="shared" ref="C819" si="461">IF(C$2&lt;=AnalysisPeriod,B818*InterestOnReserves,0)</f>
        <v>61085.583058764627</v>
      </c>
      <c r="D819" s="164">
        <f t="shared" ref="D819" si="462">IF(D$2&lt;=AnalysisPeriod,C818*InterestOnReserves,0)</f>
        <v>61085.583058764627</v>
      </c>
      <c r="E819" s="164">
        <f t="shared" ref="E819" si="463">IF(E$2&lt;=AnalysisPeriod,D818*InterestOnReserves,0)</f>
        <v>61085.583058764627</v>
      </c>
      <c r="F819" s="164">
        <f t="shared" ref="F819" si="464">IF(F$2&lt;=AnalysisPeriod,E818*InterestOnReserves,0)</f>
        <v>61085.583058764627</v>
      </c>
      <c r="G819" s="164">
        <f t="shared" ref="G819" si="465">IF(G$2&lt;=AnalysisPeriod,F818*InterestOnReserves,0)</f>
        <v>61085.583058764627</v>
      </c>
      <c r="H819" s="164">
        <f t="shared" ref="H819" si="466">IF(H$2&lt;=AnalysisPeriod,G818*InterestOnReserves,0)</f>
        <v>61085.583058764627</v>
      </c>
      <c r="I819" s="164">
        <f t="shared" ref="I819" si="467">IF(I$2&lt;=AnalysisPeriod,H818*InterestOnReserves,0)</f>
        <v>61085.583058764627</v>
      </c>
      <c r="J819" s="164">
        <f t="shared" ref="J819" si="468">IF(J$2&lt;=AnalysisPeriod,I818*InterestOnReserves,0)</f>
        <v>61085.583058764627</v>
      </c>
      <c r="K819" s="164">
        <f t="shared" ref="K819" si="469">IF(K$2&lt;=AnalysisPeriod,J818*InterestOnReserves,0)</f>
        <v>61085.583058764627</v>
      </c>
      <c r="L819" s="164">
        <f t="shared" ref="L819" si="470">IF(L$2&lt;=AnalysisPeriod,K818*InterestOnReserves,0)</f>
        <v>61085.583058764627</v>
      </c>
      <c r="M819" s="164">
        <f t="shared" ref="M819" si="471">IF(M$2&lt;=AnalysisPeriod,L818*InterestOnReserves,0)</f>
        <v>61085.583058764627</v>
      </c>
      <c r="N819" s="164">
        <f t="shared" ref="N819" si="472">IF(N$2&lt;=AnalysisPeriod,M818*InterestOnReserves,0)</f>
        <v>61085.583058764627</v>
      </c>
      <c r="O819" s="164">
        <f t="shared" ref="O819" si="473">IF(O$2&lt;=AnalysisPeriod,N818*InterestOnReserves,0)</f>
        <v>61085.583058764627</v>
      </c>
      <c r="P819" s="164">
        <f t="shared" ref="P819" si="474">IF(P$2&lt;=AnalysisPeriod,O818*InterestOnReserves,0)</f>
        <v>61085.583058764627</v>
      </c>
      <c r="Q819" s="164">
        <f t="shared" ref="Q819" si="475">IF(Q$2&lt;=AnalysisPeriod,P818*InterestOnReserves,0)</f>
        <v>61085.583058764627</v>
      </c>
      <c r="R819" s="164">
        <f t="shared" ref="R819" si="476">IF(R$2&lt;=AnalysisPeriod,Q818*InterestOnReserves,0)</f>
        <v>61085.583058764627</v>
      </c>
      <c r="S819" s="164">
        <f t="shared" ref="S819" si="477">IF(S$2&lt;=AnalysisPeriod,R818*InterestOnReserves,0)</f>
        <v>61085.583058764627</v>
      </c>
      <c r="T819" s="164">
        <f t="shared" ref="T819" si="478">IF(T$2&lt;=AnalysisPeriod,S818*InterestOnReserves,0)</f>
        <v>61085.583058764627</v>
      </c>
      <c r="U819" s="164">
        <f t="shared" ref="U819" si="479">IF(U$2&lt;=AnalysisPeriod,T818*InterestOnReserves,0)</f>
        <v>61085.583058764627</v>
      </c>
      <c r="V819" s="164">
        <f t="shared" ref="V819" si="480">IF(V$2&lt;=AnalysisPeriod,U818*InterestOnReserves,0)</f>
        <v>61085.583058764627</v>
      </c>
      <c r="W819" s="164">
        <f t="shared" ref="W819" si="481">IF(W$2&lt;=AnalysisPeriod,V818*InterestOnReserves,0)</f>
        <v>61085.583058764627</v>
      </c>
      <c r="X819" s="164">
        <f t="shared" ref="X819" si="482">IF(X$2&lt;=AnalysisPeriod,W818*InterestOnReserves,0)</f>
        <v>61085.583058764627</v>
      </c>
      <c r="Y819" s="164">
        <f t="shared" ref="Y819" si="483">IF(Y$2&lt;=AnalysisPeriod,X818*InterestOnReserves,0)</f>
        <v>61085.583058764627</v>
      </c>
      <c r="Z819" s="164">
        <f t="shared" ref="Z819" si="484">IF(Z$2&lt;=AnalysisPeriod,Y818*InterestOnReserves,0)</f>
        <v>61085.583058764627</v>
      </c>
      <c r="AA819" s="164">
        <f t="shared" ref="AA819" si="485">IF(AA$2&lt;=AnalysisPeriod,Z818*InterestOnReserves,0)</f>
        <v>61085.583058764627</v>
      </c>
      <c r="AB819" s="164">
        <f t="shared" ref="AB819" si="486">IF(AB$2&lt;=AnalysisPeriod,AA818*InterestOnReserves,0)</f>
        <v>61085.583058764627</v>
      </c>
      <c r="AC819" s="164">
        <f t="shared" ref="AC819" si="487">IF(AC$2&lt;=AnalysisPeriod,AB818*InterestOnReserves,0)</f>
        <v>61085.583058764627</v>
      </c>
      <c r="AD819" s="164">
        <f t="shared" ref="AD819" si="488">IF(AD$2&lt;=AnalysisPeriod,AC818*InterestOnReserves,0)</f>
        <v>61085.583058764627</v>
      </c>
      <c r="AE819" s="164">
        <f t="shared" ref="AE819" si="489">IF(AE$2&lt;=AnalysisPeriod,AD818*InterestOnReserves,0)</f>
        <v>61085.583058764627</v>
      </c>
      <c r="AF819" s="164">
        <f t="shared" ref="AF819" si="490">IF(AF$2&lt;=AnalysisPeriod,AE818*InterestOnReserves,0)</f>
        <v>61085.583058764627</v>
      </c>
      <c r="AG819" s="164">
        <f t="shared" ref="AG819" si="491">IF(AG$2&lt;=AnalysisPeriod,AF818*InterestOnReserves,0)</f>
        <v>0</v>
      </c>
      <c r="AH819" s="164">
        <f t="shared" ref="AH819" si="492">IF(AH$2&lt;=AnalysisPeriod,AG818*InterestOnReserves,0)</f>
        <v>0</v>
      </c>
      <c r="AI819" s="164">
        <f t="shared" ref="AI819" si="493">IF(AI$2&lt;=AnalysisPeriod,AH818*InterestOnReserves,0)</f>
        <v>0</v>
      </c>
      <c r="AJ819" s="164">
        <f t="shared" ref="AJ819" si="494">IF(AJ$2&lt;=AnalysisPeriod,AI818*InterestOnReserves,0)</f>
        <v>0</v>
      </c>
      <c r="AK819" s="164">
        <f t="shared" ref="AK819" si="495">IF(AK$2&lt;=AnalysisPeriod,AJ818*InterestOnReserves,0)</f>
        <v>0</v>
      </c>
      <c r="AL819" s="164">
        <f t="shared" ref="AL819" si="496">IF(AL$2&lt;=AnalysisPeriod,AK818*InterestOnReserves,0)</f>
        <v>0</v>
      </c>
      <c r="AM819" s="164">
        <f t="shared" ref="AM819" si="497">IF(AM$2&lt;=AnalysisPeriod,AL818*InterestOnReserves,0)</f>
        <v>0</v>
      </c>
      <c r="AN819" s="164">
        <f t="shared" ref="AN819" si="498">IF(AN$2&lt;=AnalysisPeriod,AM818*InterestOnReserves,0)</f>
        <v>0</v>
      </c>
      <c r="AO819" s="164">
        <f t="shared" ref="AO819" si="499">IF(AO$2&lt;=AnalysisPeriod,AN818*InterestOnReserves,0)</f>
        <v>0</v>
      </c>
      <c r="AP819" s="164">
        <f t="shared" ref="AP819" si="500">IF(AP$2&lt;=AnalysisPeriod,AO818*InterestOnReserves,0)</f>
        <v>0</v>
      </c>
    </row>
  </sheetData>
  <conditionalFormatting sqref="B614 B649">
    <cfRule type="containsText" dxfId="1" priority="1" operator="containsText" text="Check">
      <formula>NOT(ISERROR(SEARCH("Check",B614)))</formula>
    </cfRule>
  </conditionalFormatting>
  <pageMargins left="0.5" right="0.5" top="0.5" bottom="0.75" header="0.3" footer="0.3"/>
  <pageSetup scale="75" pageOrder="overThenDown" orientation="landscape" horizontalDpi="0" verticalDpi="0" r:id="rId1"/>
  <headerFooter>
    <oddFooter>&amp;L&amp;F&amp;RPage &amp;P of &amp;N</oddFooter>
  </headerFooter>
  <legacyDrawing r:id="rId2"/>
</worksheet>
</file>

<file path=xl/worksheets/sheet6.xml><?xml version="1.0" encoding="utf-8"?>
<worksheet xmlns="http://schemas.openxmlformats.org/spreadsheetml/2006/main" xmlns:r="http://schemas.openxmlformats.org/officeDocument/2006/relationships">
  <sheetPr codeName="Sheet7"/>
  <dimension ref="A1:AS731"/>
  <sheetViews>
    <sheetView zoomScaleNormal="100" workbookViewId="0">
      <pane xSplit="1" ySplit="2" topLeftCell="B561" activePane="bottomRight" state="frozen"/>
      <selection pane="topRight" activeCell="B1" sqref="B1"/>
      <selection pane="bottomLeft" activeCell="A3" sqref="A3"/>
      <selection pane="bottomRight" activeCell="B601" sqref="B601"/>
    </sheetView>
  </sheetViews>
  <sheetFormatPr defaultRowHeight="12.75"/>
  <cols>
    <col min="1" max="1" width="41.28515625" style="37" customWidth="1"/>
    <col min="2" max="2" width="14.85546875" style="37" customWidth="1"/>
    <col min="3" max="3" width="12.5703125" style="37" customWidth="1"/>
    <col min="4" max="9" width="11.5703125" style="37" customWidth="1"/>
    <col min="10" max="10" width="12.7109375" style="37" customWidth="1"/>
    <col min="11" max="31" width="11.5703125" style="37" customWidth="1"/>
    <col min="32" max="32" width="11.42578125" style="37" customWidth="1"/>
    <col min="33" max="42" width="11.5703125" style="37" customWidth="1"/>
    <col min="43" max="16384" width="9.140625" style="37"/>
  </cols>
  <sheetData>
    <row r="1" spans="1:42" ht="21">
      <c r="A1" s="198" t="s">
        <v>28</v>
      </c>
    </row>
    <row r="2" spans="1:42">
      <c r="A2" s="37" t="s">
        <v>31</v>
      </c>
      <c r="B2" s="199">
        <v>0</v>
      </c>
      <c r="C2" s="199">
        <f>B2+1</f>
        <v>1</v>
      </c>
      <c r="D2" s="199">
        <f t="shared" ref="D2:AP2" si="0">C2+1</f>
        <v>2</v>
      </c>
      <c r="E2" s="199">
        <f t="shared" si="0"/>
        <v>3</v>
      </c>
      <c r="F2" s="199">
        <f t="shared" si="0"/>
        <v>4</v>
      </c>
      <c r="G2" s="199">
        <f t="shared" si="0"/>
        <v>5</v>
      </c>
      <c r="H2" s="199">
        <f t="shared" si="0"/>
        <v>6</v>
      </c>
      <c r="I2" s="199">
        <f t="shared" si="0"/>
        <v>7</v>
      </c>
      <c r="J2" s="199">
        <f t="shared" si="0"/>
        <v>8</v>
      </c>
      <c r="K2" s="199">
        <f t="shared" si="0"/>
        <v>9</v>
      </c>
      <c r="L2" s="199">
        <f t="shared" si="0"/>
        <v>10</v>
      </c>
      <c r="M2" s="199">
        <f t="shared" si="0"/>
        <v>11</v>
      </c>
      <c r="N2" s="199">
        <f t="shared" si="0"/>
        <v>12</v>
      </c>
      <c r="O2" s="199">
        <f t="shared" si="0"/>
        <v>13</v>
      </c>
      <c r="P2" s="199">
        <f t="shared" si="0"/>
        <v>14</v>
      </c>
      <c r="Q2" s="199">
        <f t="shared" si="0"/>
        <v>15</v>
      </c>
      <c r="R2" s="199">
        <f t="shared" si="0"/>
        <v>16</v>
      </c>
      <c r="S2" s="199">
        <f t="shared" si="0"/>
        <v>17</v>
      </c>
      <c r="T2" s="199">
        <f t="shared" si="0"/>
        <v>18</v>
      </c>
      <c r="U2" s="199">
        <f t="shared" si="0"/>
        <v>19</v>
      </c>
      <c r="V2" s="199">
        <f t="shared" si="0"/>
        <v>20</v>
      </c>
      <c r="W2" s="199">
        <f t="shared" si="0"/>
        <v>21</v>
      </c>
      <c r="X2" s="199">
        <f t="shared" si="0"/>
        <v>22</v>
      </c>
      <c r="Y2" s="199">
        <f t="shared" si="0"/>
        <v>23</v>
      </c>
      <c r="Z2" s="199">
        <f t="shared" si="0"/>
        <v>24</v>
      </c>
      <c r="AA2" s="199">
        <f t="shared" si="0"/>
        <v>25</v>
      </c>
      <c r="AB2" s="199">
        <f t="shared" si="0"/>
        <v>26</v>
      </c>
      <c r="AC2" s="199">
        <f t="shared" si="0"/>
        <v>27</v>
      </c>
      <c r="AD2" s="199">
        <f t="shared" si="0"/>
        <v>28</v>
      </c>
      <c r="AE2" s="199">
        <f t="shared" si="0"/>
        <v>29</v>
      </c>
      <c r="AF2" s="199">
        <f>AE2+1</f>
        <v>30</v>
      </c>
      <c r="AG2" s="199">
        <f t="shared" si="0"/>
        <v>31</v>
      </c>
      <c r="AH2" s="199">
        <f t="shared" si="0"/>
        <v>32</v>
      </c>
      <c r="AI2" s="199">
        <f t="shared" si="0"/>
        <v>33</v>
      </c>
      <c r="AJ2" s="199">
        <f t="shared" si="0"/>
        <v>34</v>
      </c>
      <c r="AK2" s="199">
        <f t="shared" si="0"/>
        <v>35</v>
      </c>
      <c r="AL2" s="199">
        <f t="shared" si="0"/>
        <v>36</v>
      </c>
      <c r="AM2" s="199">
        <f>AL2+1</f>
        <v>37</v>
      </c>
      <c r="AN2" s="199">
        <f t="shared" si="0"/>
        <v>38</v>
      </c>
      <c r="AO2" s="199">
        <f t="shared" si="0"/>
        <v>39</v>
      </c>
      <c r="AP2" s="199">
        <f t="shared" si="0"/>
        <v>40</v>
      </c>
    </row>
    <row r="3" spans="1:42">
      <c r="B3" s="200"/>
      <c r="C3" s="200"/>
      <c r="D3" s="200"/>
      <c r="E3" s="200"/>
      <c r="F3" s="200"/>
      <c r="G3" s="200"/>
      <c r="H3" s="200"/>
      <c r="I3" s="200"/>
      <c r="J3" s="200"/>
      <c r="K3" s="200"/>
      <c r="L3" s="200"/>
      <c r="M3" s="200"/>
      <c r="N3" s="200"/>
      <c r="O3" s="200"/>
      <c r="P3" s="200"/>
      <c r="Q3" s="200"/>
      <c r="R3" s="200"/>
      <c r="S3" s="200"/>
      <c r="T3" s="200"/>
      <c r="U3" s="200"/>
      <c r="V3" s="200"/>
      <c r="W3" s="200"/>
      <c r="X3" s="200"/>
      <c r="Y3" s="200"/>
      <c r="Z3" s="200"/>
      <c r="AA3" s="200"/>
      <c r="AB3" s="200"/>
      <c r="AC3" s="200"/>
      <c r="AD3" s="200"/>
      <c r="AE3" s="200"/>
      <c r="AF3" s="200"/>
      <c r="AG3" s="200"/>
      <c r="AH3" s="200"/>
      <c r="AI3" s="200"/>
      <c r="AJ3" s="200"/>
      <c r="AK3" s="200"/>
      <c r="AL3" s="200"/>
      <c r="AM3" s="200"/>
      <c r="AN3" s="200"/>
      <c r="AO3" s="200"/>
      <c r="AP3" s="200"/>
    </row>
    <row r="4" spans="1:42">
      <c r="A4" s="201" t="s">
        <v>46</v>
      </c>
    </row>
    <row r="5" spans="1:42">
      <c r="A5" s="202" t="s">
        <v>47</v>
      </c>
      <c r="C5" s="164">
        <f>IF(C2&lt;=AnalysisPeriod,LOOKUP(C2,'Inputs &amp; Results'!$L$4:$L$43,'Inputs &amp; Results'!$M$4:$M$43),0)</f>
        <v>17000000</v>
      </c>
      <c r="D5" s="164">
        <f>IF(D2&lt;=AnalysisPeriod,LOOKUP(D2,'Inputs &amp; Results'!$L$4:$L$43,'Inputs &amp; Results'!$M$4:$M$43),0)</f>
        <v>16915000</v>
      </c>
      <c r="E5" s="164">
        <f>IF(E2&lt;=AnalysisPeriod,LOOKUP(E2,'Inputs &amp; Results'!$L$4:$L$43,'Inputs &amp; Results'!$M$4:$M$43),0)</f>
        <v>16830425</v>
      </c>
      <c r="F5" s="164">
        <f>IF(F2&lt;=AnalysisPeriod,LOOKUP(F2,'Inputs &amp; Results'!$L$4:$L$43,'Inputs &amp; Results'!$M$4:$M$43),0)</f>
        <v>16746272.875</v>
      </c>
      <c r="G5" s="164">
        <f>IF(G2&lt;=AnalysisPeriod,LOOKUP(G2,'Inputs &amp; Results'!$L$4:$L$43,'Inputs &amp; Results'!$M$4:$M$43),0)</f>
        <v>16662541.510624999</v>
      </c>
      <c r="H5" s="164">
        <f>IF(H2&lt;=AnalysisPeriod,LOOKUP(H2,'Inputs &amp; Results'!$L$4:$L$43,'Inputs &amp; Results'!$M$4:$M$43),0)</f>
        <v>16579228.803071873</v>
      </c>
      <c r="I5" s="164">
        <f>IF(I2&lt;=AnalysisPeriod,LOOKUP(I2,'Inputs &amp; Results'!$L$4:$L$43,'Inputs &amp; Results'!$M$4:$M$43),0)</f>
        <v>16496332.659056515</v>
      </c>
      <c r="J5" s="164">
        <f>IF(J2&lt;=AnalysisPeriod,LOOKUP(J2,'Inputs &amp; Results'!$L$4:$L$43,'Inputs &amp; Results'!$M$4:$M$43),0)</f>
        <v>16413850.995761232</v>
      </c>
      <c r="K5" s="164">
        <f>IF(K2&lt;=AnalysisPeriod,LOOKUP(K2,'Inputs &amp; Results'!$L$4:$L$43,'Inputs &amp; Results'!$M$4:$M$43),0)</f>
        <v>16331781.740782427</v>
      </c>
      <c r="L5" s="164">
        <f>IF(L2&lt;=AnalysisPeriod,LOOKUP(L2,'Inputs &amp; Results'!$L$4:$L$43,'Inputs &amp; Results'!$M$4:$M$43),0)</f>
        <v>16250122.832078515</v>
      </c>
      <c r="M5" s="164">
        <f>IF(M2&lt;=AnalysisPeriod,LOOKUP(M2,'Inputs &amp; Results'!$L$4:$L$43,'Inputs &amp; Results'!$M$4:$M$43),0)</f>
        <v>16168872.217918122</v>
      </c>
      <c r="N5" s="164">
        <f>IF(N2&lt;=AnalysisPeriod,LOOKUP(N2,'Inputs &amp; Results'!$L$4:$L$43,'Inputs &amp; Results'!$M$4:$M$43),0)</f>
        <v>16088027.856828531</v>
      </c>
      <c r="O5" s="164">
        <f>IF(O2&lt;=AnalysisPeriod,LOOKUP(O2,'Inputs &amp; Results'!$L$4:$L$43,'Inputs &amp; Results'!$M$4:$M$43),0)</f>
        <v>16007587.717544388</v>
      </c>
      <c r="P5" s="164">
        <f>IF(P2&lt;=AnalysisPeriod,LOOKUP(P2,'Inputs &amp; Results'!$L$4:$L$43,'Inputs &amp; Results'!$M$4:$M$43),0)</f>
        <v>15927549.778956667</v>
      </c>
      <c r="Q5" s="164">
        <f>IF(Q2&lt;=AnalysisPeriod,LOOKUP(Q2,'Inputs &amp; Results'!$L$4:$L$43,'Inputs &amp; Results'!$M$4:$M$43),0)</f>
        <v>15847912.030061884</v>
      </c>
      <c r="R5" s="164">
        <f>IF(R2&lt;=AnalysisPeriod,LOOKUP(R2,'Inputs &amp; Results'!$L$4:$L$43,'Inputs &amp; Results'!$M$4:$M$43),0)</f>
        <v>15768672.469911573</v>
      </c>
      <c r="S5" s="164">
        <f>IF(S2&lt;=AnalysisPeriod,LOOKUP(S2,'Inputs &amp; Results'!$L$4:$L$43,'Inputs &amp; Results'!$M$4:$M$43),0)</f>
        <v>15689829.107562015</v>
      </c>
      <c r="T5" s="164">
        <f>IF(T2&lt;=AnalysisPeriod,LOOKUP(T2,'Inputs &amp; Results'!$L$4:$L$43,'Inputs &amp; Results'!$M$4:$M$43),0)</f>
        <v>15611379.962024204</v>
      </c>
      <c r="U5" s="164">
        <f>IF(U2&lt;=AnalysisPeriod,LOOKUP(U2,'Inputs &amp; Results'!$L$4:$L$43,'Inputs &amp; Results'!$M$4:$M$43),0)</f>
        <v>15533323.062214084</v>
      </c>
      <c r="V5" s="164">
        <f>IF(V2&lt;=AnalysisPeriod,LOOKUP(V2,'Inputs &amp; Results'!$L$4:$L$43,'Inputs &amp; Results'!$M$4:$M$43),0)</f>
        <v>15455656.446903013</v>
      </c>
      <c r="W5" s="164">
        <f>IF(W2&lt;=AnalysisPeriod,LOOKUP(W2,'Inputs &amp; Results'!$L$4:$L$43,'Inputs &amp; Results'!$M$4:$M$43),0)</f>
        <v>15378378.164668497</v>
      </c>
      <c r="X5" s="164">
        <f>IF(X2&lt;=AnalysisPeriod,LOOKUP(X2,'Inputs &amp; Results'!$L$4:$L$43,'Inputs &amp; Results'!$M$4:$M$43),0)</f>
        <v>15301486.273845155</v>
      </c>
      <c r="Y5" s="164">
        <f>IF(Y2&lt;=AnalysisPeriod,LOOKUP(Y2,'Inputs &amp; Results'!$L$4:$L$43,'Inputs &amp; Results'!$M$4:$M$43),0)</f>
        <v>15224978.842475928</v>
      </c>
      <c r="Z5" s="164">
        <f>IF(Z2&lt;=AnalysisPeriod,LOOKUP(Z2,'Inputs &amp; Results'!$L$4:$L$43,'Inputs &amp; Results'!$M$4:$M$43),0)</f>
        <v>15148853.948263548</v>
      </c>
      <c r="AA5" s="164">
        <f>IF(AA2&lt;=AnalysisPeriod,LOOKUP(AA2,'Inputs &amp; Results'!$L$4:$L$43,'Inputs &amp; Results'!$M$4:$M$43),0)</f>
        <v>15073109.678522231</v>
      </c>
      <c r="AB5" s="164">
        <f>IF(AB2&lt;=AnalysisPeriod,LOOKUP(AB2,'Inputs &amp; Results'!$L$4:$L$43,'Inputs &amp; Results'!$M$4:$M$43),0)</f>
        <v>14997744.13012962</v>
      </c>
      <c r="AC5" s="164">
        <f>IF(AC2&lt;=AnalysisPeriod,LOOKUP(AC2,'Inputs &amp; Results'!$L$4:$L$43,'Inputs &amp; Results'!$M$4:$M$43),0)</f>
        <v>14922755.409478972</v>
      </c>
      <c r="AD5" s="164">
        <f>IF(AD2&lt;=AnalysisPeriod,LOOKUP(AD2,'Inputs &amp; Results'!$L$4:$L$43,'Inputs &amp; Results'!$M$4:$M$43),0)</f>
        <v>14848141.632431576</v>
      </c>
      <c r="AE5" s="164">
        <f>IF(AE2&lt;=AnalysisPeriod,LOOKUP(AE2,'Inputs &amp; Results'!$L$4:$L$43,'Inputs &amp; Results'!$M$4:$M$43),0)</f>
        <v>14773900.924269417</v>
      </c>
      <c r="AF5" s="164">
        <f>IF(AF2&lt;=AnalysisPeriod,LOOKUP(AF2,'Inputs &amp; Results'!$L$4:$L$43,'Inputs &amp; Results'!$M$4:$M$43),0)</f>
        <v>14700031.41964807</v>
      </c>
      <c r="AG5" s="164">
        <f>IF(AG2&lt;=AnalysisPeriod,LOOKUP(AG2,'Inputs &amp; Results'!$L$4:$L$43,'Inputs &amp; Results'!$M$4:$M$43),0)</f>
        <v>0</v>
      </c>
      <c r="AH5" s="164">
        <f>IF(AH2&lt;=AnalysisPeriod,LOOKUP(AH2,'Inputs &amp; Results'!$L$4:$L$43,'Inputs &amp; Results'!$M$4:$M$43),0)</f>
        <v>0</v>
      </c>
      <c r="AI5" s="164">
        <f>IF(AI2&lt;=AnalysisPeriod,LOOKUP(AI2,'Inputs &amp; Results'!$L$4:$L$43,'Inputs &amp; Results'!$M$4:$M$43),0)</f>
        <v>0</v>
      </c>
      <c r="AJ5" s="164">
        <f>IF(AJ2&lt;=AnalysisPeriod,LOOKUP(AJ2,'Inputs &amp; Results'!$L$4:$L$43,'Inputs &amp; Results'!$M$4:$M$43),0)</f>
        <v>0</v>
      </c>
      <c r="AK5" s="164">
        <f>IF(AK2&lt;=AnalysisPeriod,LOOKUP(AK2,'Inputs &amp; Results'!$L$4:$L$43,'Inputs &amp; Results'!$M$4:$M$43),0)</f>
        <v>0</v>
      </c>
      <c r="AL5" s="164">
        <f>IF(AL2&lt;=AnalysisPeriod,LOOKUP(AL2,'Inputs &amp; Results'!$L$4:$L$43,'Inputs &amp; Results'!$M$4:$M$43),0)</f>
        <v>0</v>
      </c>
      <c r="AM5" s="164">
        <f>IF(AM2&lt;=AnalysisPeriod,LOOKUP(AM2,'Inputs &amp; Results'!$L$4:$L$43,'Inputs &amp; Results'!$M$4:$M$43),0)</f>
        <v>0</v>
      </c>
      <c r="AN5" s="164">
        <f>IF(AN2&lt;=AnalysisPeriod,LOOKUP(AN2,'Inputs &amp; Results'!$L$4:$L$43,'Inputs &amp; Results'!$M$4:$M$43),0)</f>
        <v>0</v>
      </c>
      <c r="AO5" s="164">
        <f>IF(AO2&lt;=AnalysisPeriod,LOOKUP(AO2,'Inputs &amp; Results'!$L$4:$L$43,'Inputs &amp; Results'!$M$4:$M$43),0)</f>
        <v>0</v>
      </c>
      <c r="AP5" s="164">
        <f>IF(AP2&lt;=AnalysisPeriod,LOOKUP(AP2,'Inputs &amp; Results'!$L$4:$L$43,'Inputs &amp; Results'!$M$4:$M$43),0)</f>
        <v>0</v>
      </c>
    </row>
    <row r="6" spans="1:42">
      <c r="C6" s="164"/>
      <c r="D6" s="164"/>
      <c r="E6" s="164"/>
      <c r="F6" s="164"/>
      <c r="G6" s="164"/>
      <c r="H6" s="164"/>
      <c r="I6" s="164"/>
      <c r="J6" s="164"/>
      <c r="K6" s="164"/>
      <c r="L6" s="164"/>
      <c r="M6" s="164"/>
      <c r="N6" s="164"/>
      <c r="O6" s="164"/>
      <c r="P6" s="164"/>
      <c r="Q6" s="164"/>
      <c r="R6" s="164"/>
      <c r="S6" s="164"/>
      <c r="T6" s="164"/>
      <c r="U6" s="164"/>
      <c r="V6" s="164"/>
      <c r="W6" s="164"/>
      <c r="X6" s="164"/>
      <c r="Y6" s="164"/>
      <c r="Z6" s="164"/>
      <c r="AA6" s="164"/>
      <c r="AB6" s="164"/>
      <c r="AC6" s="164"/>
      <c r="AD6" s="164"/>
      <c r="AE6" s="164"/>
      <c r="AF6" s="164"/>
      <c r="AG6" s="164"/>
      <c r="AH6" s="164"/>
      <c r="AI6" s="164"/>
      <c r="AJ6" s="164"/>
      <c r="AK6" s="164"/>
      <c r="AL6" s="164"/>
      <c r="AM6" s="164"/>
      <c r="AN6" s="164"/>
      <c r="AO6" s="164"/>
      <c r="AP6" s="164"/>
    </row>
    <row r="7" spans="1:42">
      <c r="A7" s="201" t="s">
        <v>293</v>
      </c>
      <c r="C7" s="203"/>
      <c r="D7" s="203"/>
      <c r="E7" s="203"/>
      <c r="F7" s="203"/>
      <c r="G7" s="203"/>
      <c r="H7" s="203"/>
      <c r="I7" s="203"/>
      <c r="J7" s="164"/>
      <c r="K7" s="164"/>
      <c r="L7" s="164"/>
      <c r="M7" s="164"/>
      <c r="N7" s="164"/>
      <c r="O7" s="164"/>
      <c r="P7" s="164"/>
      <c r="Q7" s="164"/>
      <c r="R7" s="164"/>
      <c r="S7" s="164"/>
      <c r="T7" s="164"/>
      <c r="U7" s="164"/>
      <c r="V7" s="164"/>
      <c r="W7" s="164"/>
      <c r="X7" s="164"/>
      <c r="Y7" s="164"/>
      <c r="Z7" s="164"/>
      <c r="AA7" s="164"/>
      <c r="AB7" s="164"/>
      <c r="AC7" s="164"/>
      <c r="AD7" s="164"/>
      <c r="AE7" s="164"/>
      <c r="AF7" s="164"/>
      <c r="AG7" s="164"/>
      <c r="AH7" s="164"/>
      <c r="AI7" s="164"/>
      <c r="AJ7" s="164"/>
      <c r="AK7" s="164"/>
      <c r="AL7" s="164"/>
      <c r="AM7" s="164"/>
      <c r="AN7" s="164"/>
      <c r="AO7" s="164"/>
      <c r="AP7" s="164"/>
    </row>
    <row r="8" spans="1:42">
      <c r="A8" s="204" t="s">
        <v>76</v>
      </c>
      <c r="C8" s="164"/>
      <c r="D8" s="164"/>
      <c r="E8" s="164"/>
      <c r="F8" s="164"/>
      <c r="G8" s="164"/>
      <c r="H8" s="164"/>
      <c r="I8" s="164"/>
      <c r="J8" s="164"/>
      <c r="K8" s="164"/>
      <c r="L8" s="164"/>
      <c r="M8" s="164"/>
      <c r="N8" s="164"/>
      <c r="O8" s="164"/>
      <c r="P8" s="164"/>
      <c r="Q8" s="164"/>
      <c r="R8" s="164"/>
      <c r="S8" s="164"/>
      <c r="T8" s="164"/>
      <c r="U8" s="164"/>
      <c r="V8" s="164"/>
      <c r="W8" s="164"/>
      <c r="X8" s="164"/>
      <c r="Y8" s="164"/>
      <c r="Z8" s="164"/>
      <c r="AA8" s="164"/>
      <c r="AB8" s="164"/>
      <c r="AC8" s="164"/>
      <c r="AD8" s="164"/>
      <c r="AE8" s="164"/>
      <c r="AF8" s="164"/>
      <c r="AG8" s="164"/>
      <c r="AH8" s="164"/>
      <c r="AI8" s="164"/>
      <c r="AJ8" s="164"/>
      <c r="AK8" s="164"/>
      <c r="AL8" s="164"/>
      <c r="AM8" s="164"/>
      <c r="AN8" s="164"/>
      <c r="AO8" s="164"/>
      <c r="AP8" s="164"/>
    </row>
    <row r="9" spans="1:42">
      <c r="A9" s="37" t="s">
        <v>77</v>
      </c>
      <c r="C9" s="164"/>
      <c r="D9" s="205"/>
      <c r="E9" s="164"/>
      <c r="F9" s="164"/>
      <c r="G9" s="164"/>
      <c r="H9" s="164"/>
      <c r="I9" s="164"/>
      <c r="J9" s="164"/>
      <c r="K9" s="164"/>
      <c r="L9" s="164"/>
      <c r="M9" s="164"/>
      <c r="N9" s="164"/>
      <c r="O9" s="164"/>
      <c r="P9" s="164"/>
      <c r="Q9" s="164"/>
      <c r="R9" s="164"/>
      <c r="S9" s="164"/>
      <c r="T9" s="164"/>
      <c r="U9" s="164"/>
      <c r="V9" s="164"/>
      <c r="W9" s="164"/>
      <c r="X9" s="164"/>
      <c r="Y9" s="164"/>
      <c r="Z9" s="164"/>
      <c r="AA9" s="164"/>
      <c r="AB9" s="164"/>
      <c r="AC9" s="164"/>
      <c r="AD9" s="164"/>
      <c r="AE9" s="164"/>
      <c r="AF9" s="164"/>
      <c r="AG9" s="164"/>
      <c r="AH9" s="164"/>
      <c r="AI9" s="164"/>
      <c r="AJ9" s="164"/>
      <c r="AK9" s="164"/>
      <c r="AL9" s="164"/>
      <c r="AM9" s="164"/>
      <c r="AN9" s="164"/>
      <c r="AO9" s="164"/>
      <c r="AP9" s="164"/>
    </row>
    <row r="10" spans="1:42">
      <c r="A10" s="206" t="s">
        <v>47</v>
      </c>
      <c r="C10" s="164">
        <f>C5</f>
        <v>17000000</v>
      </c>
      <c r="D10" s="164">
        <f>D5</f>
        <v>16915000</v>
      </c>
      <c r="E10" s="164">
        <f>E5</f>
        <v>16830425</v>
      </c>
      <c r="F10" s="164">
        <f t="shared" ref="F10:AP10" si="1">F5</f>
        <v>16746272.875</v>
      </c>
      <c r="G10" s="164">
        <f t="shared" si="1"/>
        <v>16662541.510624999</v>
      </c>
      <c r="H10" s="164">
        <f t="shared" si="1"/>
        <v>16579228.803071873</v>
      </c>
      <c r="I10" s="164">
        <f t="shared" si="1"/>
        <v>16496332.659056515</v>
      </c>
      <c r="J10" s="164">
        <f t="shared" si="1"/>
        <v>16413850.995761232</v>
      </c>
      <c r="K10" s="164">
        <f t="shared" si="1"/>
        <v>16331781.740782427</v>
      </c>
      <c r="L10" s="164">
        <f t="shared" si="1"/>
        <v>16250122.832078515</v>
      </c>
      <c r="M10" s="164">
        <f t="shared" si="1"/>
        <v>16168872.217918122</v>
      </c>
      <c r="N10" s="164">
        <f t="shared" si="1"/>
        <v>16088027.856828531</v>
      </c>
      <c r="O10" s="164">
        <f t="shared" si="1"/>
        <v>16007587.717544388</v>
      </c>
      <c r="P10" s="164">
        <f t="shared" si="1"/>
        <v>15927549.778956667</v>
      </c>
      <c r="Q10" s="164">
        <f t="shared" si="1"/>
        <v>15847912.030061884</v>
      </c>
      <c r="R10" s="164">
        <f t="shared" si="1"/>
        <v>15768672.469911573</v>
      </c>
      <c r="S10" s="164">
        <f t="shared" si="1"/>
        <v>15689829.107562015</v>
      </c>
      <c r="T10" s="164">
        <f t="shared" si="1"/>
        <v>15611379.962024204</v>
      </c>
      <c r="U10" s="164">
        <f t="shared" si="1"/>
        <v>15533323.062214084</v>
      </c>
      <c r="V10" s="164">
        <f t="shared" si="1"/>
        <v>15455656.446903013</v>
      </c>
      <c r="W10" s="164">
        <f t="shared" si="1"/>
        <v>15378378.164668497</v>
      </c>
      <c r="X10" s="164">
        <f t="shared" si="1"/>
        <v>15301486.273845155</v>
      </c>
      <c r="Y10" s="164">
        <f t="shared" si="1"/>
        <v>15224978.842475928</v>
      </c>
      <c r="Z10" s="164">
        <f t="shared" si="1"/>
        <v>15148853.948263548</v>
      </c>
      <c r="AA10" s="164">
        <f t="shared" si="1"/>
        <v>15073109.678522231</v>
      </c>
      <c r="AB10" s="164">
        <f t="shared" si="1"/>
        <v>14997744.13012962</v>
      </c>
      <c r="AC10" s="164">
        <f t="shared" si="1"/>
        <v>14922755.409478972</v>
      </c>
      <c r="AD10" s="164">
        <f t="shared" si="1"/>
        <v>14848141.632431576</v>
      </c>
      <c r="AE10" s="164">
        <f t="shared" si="1"/>
        <v>14773900.924269417</v>
      </c>
      <c r="AF10" s="164">
        <f t="shared" si="1"/>
        <v>14700031.41964807</v>
      </c>
      <c r="AG10" s="164">
        <f t="shared" si="1"/>
        <v>0</v>
      </c>
      <c r="AH10" s="164">
        <f t="shared" si="1"/>
        <v>0</v>
      </c>
      <c r="AI10" s="164">
        <f t="shared" si="1"/>
        <v>0</v>
      </c>
      <c r="AJ10" s="164">
        <f t="shared" si="1"/>
        <v>0</v>
      </c>
      <c r="AK10" s="164">
        <f t="shared" si="1"/>
        <v>0</v>
      </c>
      <c r="AL10" s="164">
        <f t="shared" si="1"/>
        <v>0</v>
      </c>
      <c r="AM10" s="164">
        <f t="shared" si="1"/>
        <v>0</v>
      </c>
      <c r="AN10" s="164">
        <f t="shared" si="1"/>
        <v>0</v>
      </c>
      <c r="AO10" s="164">
        <f t="shared" si="1"/>
        <v>0</v>
      </c>
      <c r="AP10" s="164">
        <f t="shared" si="1"/>
        <v>0</v>
      </c>
    </row>
    <row r="11" spans="1:42">
      <c r="A11" s="206" t="s">
        <v>48</v>
      </c>
      <c r="C11" s="207">
        <f t="shared" ref="C11:AP11" si="2">SOPPAPrice*(1+SOPPAPriceEsc)^B2</f>
        <v>23.697043310985158</v>
      </c>
      <c r="D11" s="207">
        <f t="shared" si="2"/>
        <v>23.934013744095012</v>
      </c>
      <c r="E11" s="207">
        <f t="shared" si="2"/>
        <v>24.173353881535959</v>
      </c>
      <c r="F11" s="207">
        <f t="shared" si="2"/>
        <v>24.415087420351316</v>
      </c>
      <c r="G11" s="207">
        <f t="shared" si="2"/>
        <v>24.659238294554832</v>
      </c>
      <c r="H11" s="207">
        <f t="shared" si="2"/>
        <v>24.905830677500379</v>
      </c>
      <c r="I11" s="207">
        <f t="shared" si="2"/>
        <v>25.154888984275388</v>
      </c>
      <c r="J11" s="207">
        <f t="shared" si="2"/>
        <v>25.406437874118136</v>
      </c>
      <c r="K11" s="207">
        <f t="shared" si="2"/>
        <v>25.660502252859324</v>
      </c>
      <c r="L11" s="207">
        <f t="shared" si="2"/>
        <v>25.91710727538792</v>
      </c>
      <c r="M11" s="207">
        <f t="shared" si="2"/>
        <v>26.1762783481418</v>
      </c>
      <c r="N11" s="207">
        <f t="shared" si="2"/>
        <v>26.438041131623212</v>
      </c>
      <c r="O11" s="207">
        <f t="shared" si="2"/>
        <v>26.702421542939444</v>
      </c>
      <c r="P11" s="207">
        <f t="shared" si="2"/>
        <v>26.969445758368838</v>
      </c>
      <c r="Q11" s="207">
        <f t="shared" si="2"/>
        <v>27.239140215952531</v>
      </c>
      <c r="R11" s="207">
        <f t="shared" si="2"/>
        <v>27.511531618112048</v>
      </c>
      <c r="S11" s="207">
        <f t="shared" si="2"/>
        <v>27.786646934293177</v>
      </c>
      <c r="T11" s="207">
        <f t="shared" si="2"/>
        <v>28.064513403636109</v>
      </c>
      <c r="U11" s="207">
        <f t="shared" si="2"/>
        <v>28.345158537672472</v>
      </c>
      <c r="V11" s="207">
        <f t="shared" si="2"/>
        <v>28.628610123049192</v>
      </c>
      <c r="W11" s="207">
        <f t="shared" si="2"/>
        <v>28.914896224279687</v>
      </c>
      <c r="X11" s="207">
        <f t="shared" si="2"/>
        <v>29.204045186522478</v>
      </c>
      <c r="Y11" s="207">
        <f t="shared" si="2"/>
        <v>29.496085638387711</v>
      </c>
      <c r="Z11" s="207">
        <f t="shared" si="2"/>
        <v>29.791046494771585</v>
      </c>
      <c r="AA11" s="207">
        <f t="shared" si="2"/>
        <v>30.088956959719308</v>
      </c>
      <c r="AB11" s="207">
        <f t="shared" si="2"/>
        <v>30.389846529316504</v>
      </c>
      <c r="AC11" s="207">
        <f t="shared" si="2"/>
        <v>30.693744994609666</v>
      </c>
      <c r="AD11" s="207">
        <f t="shared" si="2"/>
        <v>31.000682444555753</v>
      </c>
      <c r="AE11" s="207">
        <f t="shared" si="2"/>
        <v>31.310689269001312</v>
      </c>
      <c r="AF11" s="207">
        <f t="shared" si="2"/>
        <v>31.623796161691327</v>
      </c>
      <c r="AG11" s="207">
        <f t="shared" si="2"/>
        <v>31.940034123308248</v>
      </c>
      <c r="AH11" s="207">
        <f t="shared" si="2"/>
        <v>32.259434464541322</v>
      </c>
      <c r="AI11" s="207">
        <f t="shared" si="2"/>
        <v>32.582028809186738</v>
      </c>
      <c r="AJ11" s="207">
        <f t="shared" si="2"/>
        <v>32.907849097278607</v>
      </c>
      <c r="AK11" s="207">
        <f t="shared" si="2"/>
        <v>33.236927588251397</v>
      </c>
      <c r="AL11" s="207">
        <f t="shared" si="2"/>
        <v>33.569296864133904</v>
      </c>
      <c r="AM11" s="207">
        <f t="shared" si="2"/>
        <v>33.904989832775243</v>
      </c>
      <c r="AN11" s="207">
        <f t="shared" si="2"/>
        <v>34.244039731103001</v>
      </c>
      <c r="AO11" s="207">
        <f t="shared" si="2"/>
        <v>34.586480128414031</v>
      </c>
      <c r="AP11" s="207">
        <f t="shared" si="2"/>
        <v>34.932344929698161</v>
      </c>
    </row>
    <row r="12" spans="1:42">
      <c r="A12" s="206" t="s">
        <v>75</v>
      </c>
      <c r="C12" s="164">
        <f t="shared" ref="C12:AP12" si="3">C10*C11/100</f>
        <v>4028497.3628674769</v>
      </c>
      <c r="D12" s="164">
        <f t="shared" si="3"/>
        <v>4048438.424813671</v>
      </c>
      <c r="E12" s="164">
        <f t="shared" si="3"/>
        <v>4068478.1950164987</v>
      </c>
      <c r="F12" s="164">
        <f t="shared" si="3"/>
        <v>4088617.1620818297</v>
      </c>
      <c r="G12" s="164">
        <f t="shared" si="3"/>
        <v>4108855.8170341346</v>
      </c>
      <c r="H12" s="164">
        <f t="shared" si="3"/>
        <v>4129194.6533284532</v>
      </c>
      <c r="I12" s="164">
        <f t="shared" si="3"/>
        <v>4149634.1668624305</v>
      </c>
      <c r="J12" s="164">
        <f t="shared" si="3"/>
        <v>4170174.8559883987</v>
      </c>
      <c r="K12" s="164">
        <f t="shared" si="3"/>
        <v>4190817.221525542</v>
      </c>
      <c r="L12" s="164">
        <f t="shared" si="3"/>
        <v>4211561.7667720942</v>
      </c>
      <c r="M12" s="164">
        <f t="shared" si="3"/>
        <v>4232408.9975176165</v>
      </c>
      <c r="N12" s="164">
        <f t="shared" si="3"/>
        <v>4253359.4220553273</v>
      </c>
      <c r="O12" s="164">
        <f t="shared" si="3"/>
        <v>4274413.5511945011</v>
      </c>
      <c r="P12" s="164">
        <f t="shared" si="3"/>
        <v>4295571.8982729139</v>
      </c>
      <c r="Q12" s="164">
        <f t="shared" si="3"/>
        <v>4316834.9791693659</v>
      </c>
      <c r="R12" s="164">
        <f t="shared" si="3"/>
        <v>4338203.3123162528</v>
      </c>
      <c r="S12" s="164">
        <f t="shared" si="3"/>
        <v>4359677.4187122192</v>
      </c>
      <c r="T12" s="164">
        <f t="shared" si="3"/>
        <v>4381257.8219348453</v>
      </c>
      <c r="U12" s="164">
        <f t="shared" si="3"/>
        <v>4402945.0481534228</v>
      </c>
      <c r="V12" s="164">
        <f t="shared" si="3"/>
        <v>4424739.626141781</v>
      </c>
      <c r="W12" s="164">
        <f t="shared" si="3"/>
        <v>4446642.087291183</v>
      </c>
      <c r="X12" s="164">
        <f t="shared" si="3"/>
        <v>4468652.9656232735</v>
      </c>
      <c r="Y12" s="164">
        <f t="shared" si="3"/>
        <v>4490772.7978031095</v>
      </c>
      <c r="Z12" s="164">
        <f t="shared" si="3"/>
        <v>4513002.1231522346</v>
      </c>
      <c r="AA12" s="164">
        <f t="shared" si="3"/>
        <v>4535341.4836618397</v>
      </c>
      <c r="AB12" s="164">
        <f t="shared" si="3"/>
        <v>4557791.4240059666</v>
      </c>
      <c r="AC12" s="164">
        <f t="shared" si="3"/>
        <v>4580352.4915547948</v>
      </c>
      <c r="AD12" s="164">
        <f t="shared" si="3"/>
        <v>4603025.2363879895</v>
      </c>
      <c r="AE12" s="164">
        <f t="shared" si="3"/>
        <v>4625810.2113081105</v>
      </c>
      <c r="AF12" s="164">
        <f t="shared" si="3"/>
        <v>4648707.9718540851</v>
      </c>
      <c r="AG12" s="164">
        <f t="shared" si="3"/>
        <v>0</v>
      </c>
      <c r="AH12" s="164">
        <f t="shared" si="3"/>
        <v>0</v>
      </c>
      <c r="AI12" s="164">
        <f t="shared" si="3"/>
        <v>0</v>
      </c>
      <c r="AJ12" s="164">
        <f t="shared" si="3"/>
        <v>0</v>
      </c>
      <c r="AK12" s="164">
        <f t="shared" si="3"/>
        <v>0</v>
      </c>
      <c r="AL12" s="164">
        <f t="shared" si="3"/>
        <v>0</v>
      </c>
      <c r="AM12" s="164">
        <f t="shared" si="3"/>
        <v>0</v>
      </c>
      <c r="AN12" s="164">
        <f t="shared" si="3"/>
        <v>0</v>
      </c>
      <c r="AO12" s="164">
        <f t="shared" si="3"/>
        <v>0</v>
      </c>
      <c r="AP12" s="164">
        <f t="shared" si="3"/>
        <v>0</v>
      </c>
    </row>
    <row r="13" spans="1:42">
      <c r="A13" s="37" t="s">
        <v>78</v>
      </c>
      <c r="C13" s="164"/>
      <c r="D13" s="164"/>
      <c r="E13" s="164"/>
      <c r="F13" s="164"/>
      <c r="G13" s="164"/>
      <c r="H13" s="164"/>
      <c r="I13" s="164"/>
      <c r="J13" s="164"/>
      <c r="K13" s="164"/>
      <c r="L13" s="164"/>
      <c r="M13" s="164"/>
      <c r="N13" s="164"/>
      <c r="O13" s="164"/>
      <c r="P13" s="164"/>
      <c r="Q13" s="164"/>
      <c r="R13" s="164"/>
      <c r="S13" s="164"/>
      <c r="T13" s="164"/>
      <c r="U13" s="164"/>
      <c r="V13" s="164"/>
      <c r="W13" s="164"/>
      <c r="X13" s="164"/>
      <c r="Y13" s="164"/>
      <c r="Z13" s="164"/>
      <c r="AA13" s="164"/>
      <c r="AB13" s="164"/>
      <c r="AC13" s="164"/>
      <c r="AD13" s="164"/>
      <c r="AE13" s="164"/>
      <c r="AF13" s="164"/>
      <c r="AG13" s="164"/>
      <c r="AH13" s="164"/>
      <c r="AI13" s="164"/>
      <c r="AJ13" s="164"/>
      <c r="AK13" s="164"/>
      <c r="AL13" s="164"/>
      <c r="AM13" s="164"/>
      <c r="AN13" s="164"/>
      <c r="AO13" s="164"/>
      <c r="AP13" s="164"/>
    </row>
    <row r="14" spans="1:42">
      <c r="A14" s="206" t="str">
        <f>'Inputs &amp; Results'!A60</f>
        <v>Federal</v>
      </c>
      <c r="C14" s="208">
        <f t="shared" ref="C14:AP14" si="4">IF(PBIFedDebtSwitch="Yes",C578,0)</f>
        <v>0</v>
      </c>
      <c r="D14" s="208">
        <f t="shared" si="4"/>
        <v>0</v>
      </c>
      <c r="E14" s="208">
        <f t="shared" si="4"/>
        <v>0</v>
      </c>
      <c r="F14" s="208">
        <f t="shared" si="4"/>
        <v>0</v>
      </c>
      <c r="G14" s="208">
        <f t="shared" si="4"/>
        <v>0</v>
      </c>
      <c r="H14" s="208">
        <f t="shared" si="4"/>
        <v>0</v>
      </c>
      <c r="I14" s="208">
        <f t="shared" si="4"/>
        <v>0</v>
      </c>
      <c r="J14" s="208">
        <f t="shared" si="4"/>
        <v>0</v>
      </c>
      <c r="K14" s="208">
        <f t="shared" si="4"/>
        <v>0</v>
      </c>
      <c r="L14" s="208">
        <f t="shared" si="4"/>
        <v>0</v>
      </c>
      <c r="M14" s="208">
        <f t="shared" si="4"/>
        <v>0</v>
      </c>
      <c r="N14" s="208">
        <f t="shared" si="4"/>
        <v>0</v>
      </c>
      <c r="O14" s="208">
        <f t="shared" si="4"/>
        <v>0</v>
      </c>
      <c r="P14" s="208">
        <f t="shared" si="4"/>
        <v>0</v>
      </c>
      <c r="Q14" s="208">
        <f t="shared" si="4"/>
        <v>0</v>
      </c>
      <c r="R14" s="208">
        <f t="shared" si="4"/>
        <v>0</v>
      </c>
      <c r="S14" s="208">
        <f t="shared" si="4"/>
        <v>0</v>
      </c>
      <c r="T14" s="208">
        <f t="shared" si="4"/>
        <v>0</v>
      </c>
      <c r="U14" s="208">
        <f t="shared" si="4"/>
        <v>0</v>
      </c>
      <c r="V14" s="208">
        <f t="shared" si="4"/>
        <v>0</v>
      </c>
      <c r="W14" s="208">
        <f t="shared" si="4"/>
        <v>0</v>
      </c>
      <c r="X14" s="208">
        <f t="shared" si="4"/>
        <v>0</v>
      </c>
      <c r="Y14" s="208">
        <f t="shared" si="4"/>
        <v>0</v>
      </c>
      <c r="Z14" s="208">
        <f t="shared" si="4"/>
        <v>0</v>
      </c>
      <c r="AA14" s="208">
        <f t="shared" si="4"/>
        <v>0</v>
      </c>
      <c r="AB14" s="208">
        <f t="shared" si="4"/>
        <v>0</v>
      </c>
      <c r="AC14" s="208">
        <f t="shared" si="4"/>
        <v>0</v>
      </c>
      <c r="AD14" s="208">
        <f t="shared" si="4"/>
        <v>0</v>
      </c>
      <c r="AE14" s="208">
        <f t="shared" si="4"/>
        <v>0</v>
      </c>
      <c r="AF14" s="208">
        <f t="shared" si="4"/>
        <v>0</v>
      </c>
      <c r="AG14" s="208">
        <f t="shared" si="4"/>
        <v>0</v>
      </c>
      <c r="AH14" s="208">
        <f t="shared" si="4"/>
        <v>0</v>
      </c>
      <c r="AI14" s="208">
        <f t="shared" si="4"/>
        <v>0</v>
      </c>
      <c r="AJ14" s="208">
        <f t="shared" si="4"/>
        <v>0</v>
      </c>
      <c r="AK14" s="208">
        <f t="shared" si="4"/>
        <v>0</v>
      </c>
      <c r="AL14" s="208">
        <f t="shared" si="4"/>
        <v>0</v>
      </c>
      <c r="AM14" s="208">
        <f t="shared" si="4"/>
        <v>0</v>
      </c>
      <c r="AN14" s="208">
        <f t="shared" si="4"/>
        <v>0</v>
      </c>
      <c r="AO14" s="208">
        <f t="shared" si="4"/>
        <v>0</v>
      </c>
      <c r="AP14" s="208">
        <f t="shared" si="4"/>
        <v>0</v>
      </c>
    </row>
    <row r="15" spans="1:42">
      <c r="A15" s="206" t="str">
        <f>'Inputs &amp; Results'!A61</f>
        <v>State</v>
      </c>
      <c r="C15" s="208">
        <f t="shared" ref="C15:AP15" si="5">IF(PBIStateDebtSwitch="Yes",C582,0)</f>
        <v>0</v>
      </c>
      <c r="D15" s="208">
        <f t="shared" si="5"/>
        <v>0</v>
      </c>
      <c r="E15" s="208">
        <f t="shared" si="5"/>
        <v>0</v>
      </c>
      <c r="F15" s="208">
        <f t="shared" si="5"/>
        <v>0</v>
      </c>
      <c r="G15" s="208">
        <f t="shared" si="5"/>
        <v>0</v>
      </c>
      <c r="H15" s="208">
        <f t="shared" si="5"/>
        <v>0</v>
      </c>
      <c r="I15" s="208">
        <f t="shared" si="5"/>
        <v>0</v>
      </c>
      <c r="J15" s="208">
        <f t="shared" si="5"/>
        <v>0</v>
      </c>
      <c r="K15" s="208">
        <f t="shared" si="5"/>
        <v>0</v>
      </c>
      <c r="L15" s="208">
        <f t="shared" si="5"/>
        <v>0</v>
      </c>
      <c r="M15" s="208">
        <f t="shared" si="5"/>
        <v>0</v>
      </c>
      <c r="N15" s="208">
        <f t="shared" si="5"/>
        <v>0</v>
      </c>
      <c r="O15" s="208">
        <f t="shared" si="5"/>
        <v>0</v>
      </c>
      <c r="P15" s="208">
        <f t="shared" si="5"/>
        <v>0</v>
      </c>
      <c r="Q15" s="208">
        <f t="shared" si="5"/>
        <v>0</v>
      </c>
      <c r="R15" s="208">
        <f t="shared" si="5"/>
        <v>0</v>
      </c>
      <c r="S15" s="208">
        <f t="shared" si="5"/>
        <v>0</v>
      </c>
      <c r="T15" s="208">
        <f t="shared" si="5"/>
        <v>0</v>
      </c>
      <c r="U15" s="208">
        <f t="shared" si="5"/>
        <v>0</v>
      </c>
      <c r="V15" s="208">
        <f t="shared" si="5"/>
        <v>0</v>
      </c>
      <c r="W15" s="208">
        <f t="shared" si="5"/>
        <v>0</v>
      </c>
      <c r="X15" s="208">
        <f t="shared" si="5"/>
        <v>0</v>
      </c>
      <c r="Y15" s="208">
        <f t="shared" si="5"/>
        <v>0</v>
      </c>
      <c r="Z15" s="208">
        <f t="shared" si="5"/>
        <v>0</v>
      </c>
      <c r="AA15" s="208">
        <f t="shared" si="5"/>
        <v>0</v>
      </c>
      <c r="AB15" s="208">
        <f t="shared" si="5"/>
        <v>0</v>
      </c>
      <c r="AC15" s="208">
        <f t="shared" si="5"/>
        <v>0</v>
      </c>
      <c r="AD15" s="208">
        <f t="shared" si="5"/>
        <v>0</v>
      </c>
      <c r="AE15" s="208">
        <f t="shared" si="5"/>
        <v>0</v>
      </c>
      <c r="AF15" s="208">
        <f t="shared" si="5"/>
        <v>0</v>
      </c>
      <c r="AG15" s="208">
        <f t="shared" si="5"/>
        <v>0</v>
      </c>
      <c r="AH15" s="208">
        <f t="shared" si="5"/>
        <v>0</v>
      </c>
      <c r="AI15" s="208">
        <f t="shared" si="5"/>
        <v>0</v>
      </c>
      <c r="AJ15" s="208">
        <f t="shared" si="5"/>
        <v>0</v>
      </c>
      <c r="AK15" s="208">
        <f t="shared" si="5"/>
        <v>0</v>
      </c>
      <c r="AL15" s="208">
        <f t="shared" si="5"/>
        <v>0</v>
      </c>
      <c r="AM15" s="208">
        <f t="shared" si="5"/>
        <v>0</v>
      </c>
      <c r="AN15" s="208">
        <f t="shared" si="5"/>
        <v>0</v>
      </c>
      <c r="AO15" s="208">
        <f t="shared" si="5"/>
        <v>0</v>
      </c>
      <c r="AP15" s="208">
        <f t="shared" si="5"/>
        <v>0</v>
      </c>
    </row>
    <row r="16" spans="1:42">
      <c r="A16" s="206" t="str">
        <f>'Inputs &amp; Results'!A62</f>
        <v>Utility</v>
      </c>
      <c r="C16" s="208">
        <f t="shared" ref="C16:AP16" si="6">IF(PBIUtilityDebtSwitch="Yes",C586,0)</f>
        <v>0</v>
      </c>
      <c r="D16" s="208">
        <f t="shared" si="6"/>
        <v>0</v>
      </c>
      <c r="E16" s="208">
        <f t="shared" si="6"/>
        <v>0</v>
      </c>
      <c r="F16" s="208">
        <f t="shared" si="6"/>
        <v>0</v>
      </c>
      <c r="G16" s="208">
        <f t="shared" si="6"/>
        <v>0</v>
      </c>
      <c r="H16" s="208">
        <f t="shared" si="6"/>
        <v>0</v>
      </c>
      <c r="I16" s="208">
        <f t="shared" si="6"/>
        <v>0</v>
      </c>
      <c r="J16" s="208">
        <f t="shared" si="6"/>
        <v>0</v>
      </c>
      <c r="K16" s="208">
        <f t="shared" si="6"/>
        <v>0</v>
      </c>
      <c r="L16" s="208">
        <f t="shared" si="6"/>
        <v>0</v>
      </c>
      <c r="M16" s="208">
        <f t="shared" si="6"/>
        <v>0</v>
      </c>
      <c r="N16" s="208">
        <f t="shared" si="6"/>
        <v>0</v>
      </c>
      <c r="O16" s="208">
        <f t="shared" si="6"/>
        <v>0</v>
      </c>
      <c r="P16" s="208">
        <f t="shared" si="6"/>
        <v>0</v>
      </c>
      <c r="Q16" s="208">
        <f t="shared" si="6"/>
        <v>0</v>
      </c>
      <c r="R16" s="208">
        <f t="shared" si="6"/>
        <v>0</v>
      </c>
      <c r="S16" s="208">
        <f t="shared" si="6"/>
        <v>0</v>
      </c>
      <c r="T16" s="208">
        <f t="shared" si="6"/>
        <v>0</v>
      </c>
      <c r="U16" s="208">
        <f t="shared" si="6"/>
        <v>0</v>
      </c>
      <c r="V16" s="208">
        <f t="shared" si="6"/>
        <v>0</v>
      </c>
      <c r="W16" s="208">
        <f t="shared" si="6"/>
        <v>0</v>
      </c>
      <c r="X16" s="208">
        <f t="shared" si="6"/>
        <v>0</v>
      </c>
      <c r="Y16" s="208">
        <f t="shared" si="6"/>
        <v>0</v>
      </c>
      <c r="Z16" s="208">
        <f t="shared" si="6"/>
        <v>0</v>
      </c>
      <c r="AA16" s="208">
        <f t="shared" si="6"/>
        <v>0</v>
      </c>
      <c r="AB16" s="208">
        <f t="shared" si="6"/>
        <v>0</v>
      </c>
      <c r="AC16" s="208">
        <f t="shared" si="6"/>
        <v>0</v>
      </c>
      <c r="AD16" s="208">
        <f t="shared" si="6"/>
        <v>0</v>
      </c>
      <c r="AE16" s="208">
        <f t="shared" si="6"/>
        <v>0</v>
      </c>
      <c r="AF16" s="208">
        <f t="shared" si="6"/>
        <v>0</v>
      </c>
      <c r="AG16" s="208">
        <f t="shared" si="6"/>
        <v>0</v>
      </c>
      <c r="AH16" s="208">
        <f t="shared" si="6"/>
        <v>0</v>
      </c>
      <c r="AI16" s="208">
        <f t="shared" si="6"/>
        <v>0</v>
      </c>
      <c r="AJ16" s="208">
        <f t="shared" si="6"/>
        <v>0</v>
      </c>
      <c r="AK16" s="208">
        <f t="shared" si="6"/>
        <v>0</v>
      </c>
      <c r="AL16" s="208">
        <f t="shared" si="6"/>
        <v>0</v>
      </c>
      <c r="AM16" s="208">
        <f t="shared" si="6"/>
        <v>0</v>
      </c>
      <c r="AN16" s="208">
        <f t="shared" si="6"/>
        <v>0</v>
      </c>
      <c r="AO16" s="208">
        <f t="shared" si="6"/>
        <v>0</v>
      </c>
      <c r="AP16" s="208">
        <f t="shared" si="6"/>
        <v>0</v>
      </c>
    </row>
    <row r="17" spans="1:42">
      <c r="A17" s="206" t="str">
        <f>'Inputs &amp; Results'!A63</f>
        <v>Other</v>
      </c>
      <c r="C17" s="209">
        <f t="shared" ref="C17:AP17" si="7">IF(PBIOtherDebtSwitch="Yes",C590,0)</f>
        <v>0</v>
      </c>
      <c r="D17" s="209">
        <f t="shared" si="7"/>
        <v>0</v>
      </c>
      <c r="E17" s="209">
        <f t="shared" si="7"/>
        <v>0</v>
      </c>
      <c r="F17" s="209">
        <f t="shared" si="7"/>
        <v>0</v>
      </c>
      <c r="G17" s="209">
        <f t="shared" si="7"/>
        <v>0</v>
      </c>
      <c r="H17" s="209">
        <f t="shared" si="7"/>
        <v>0</v>
      </c>
      <c r="I17" s="209">
        <f t="shared" si="7"/>
        <v>0</v>
      </c>
      <c r="J17" s="209">
        <f t="shared" si="7"/>
        <v>0</v>
      </c>
      <c r="K17" s="209">
        <f t="shared" si="7"/>
        <v>0</v>
      </c>
      <c r="L17" s="209">
        <f t="shared" si="7"/>
        <v>0</v>
      </c>
      <c r="M17" s="209">
        <f t="shared" si="7"/>
        <v>0</v>
      </c>
      <c r="N17" s="209">
        <f t="shared" si="7"/>
        <v>0</v>
      </c>
      <c r="O17" s="209">
        <f t="shared" si="7"/>
        <v>0</v>
      </c>
      <c r="P17" s="209">
        <f t="shared" si="7"/>
        <v>0</v>
      </c>
      <c r="Q17" s="209">
        <f t="shared" si="7"/>
        <v>0</v>
      </c>
      <c r="R17" s="209">
        <f t="shared" si="7"/>
        <v>0</v>
      </c>
      <c r="S17" s="209">
        <f t="shared" si="7"/>
        <v>0</v>
      </c>
      <c r="T17" s="209">
        <f t="shared" si="7"/>
        <v>0</v>
      </c>
      <c r="U17" s="209">
        <f t="shared" si="7"/>
        <v>0</v>
      </c>
      <c r="V17" s="209">
        <f t="shared" si="7"/>
        <v>0</v>
      </c>
      <c r="W17" s="209">
        <f t="shared" si="7"/>
        <v>0</v>
      </c>
      <c r="X17" s="209">
        <f t="shared" si="7"/>
        <v>0</v>
      </c>
      <c r="Y17" s="209">
        <f t="shared" si="7"/>
        <v>0</v>
      </c>
      <c r="Z17" s="209">
        <f t="shared" si="7"/>
        <v>0</v>
      </c>
      <c r="AA17" s="209">
        <f t="shared" si="7"/>
        <v>0</v>
      </c>
      <c r="AB17" s="209">
        <f t="shared" si="7"/>
        <v>0</v>
      </c>
      <c r="AC17" s="209">
        <f t="shared" si="7"/>
        <v>0</v>
      </c>
      <c r="AD17" s="209">
        <f t="shared" si="7"/>
        <v>0</v>
      </c>
      <c r="AE17" s="209">
        <f t="shared" si="7"/>
        <v>0</v>
      </c>
      <c r="AF17" s="209">
        <f t="shared" si="7"/>
        <v>0</v>
      </c>
      <c r="AG17" s="209">
        <f t="shared" si="7"/>
        <v>0</v>
      </c>
      <c r="AH17" s="209">
        <f t="shared" si="7"/>
        <v>0</v>
      </c>
      <c r="AI17" s="209">
        <f t="shared" si="7"/>
        <v>0</v>
      </c>
      <c r="AJ17" s="209">
        <f t="shared" si="7"/>
        <v>0</v>
      </c>
      <c r="AK17" s="209">
        <f t="shared" si="7"/>
        <v>0</v>
      </c>
      <c r="AL17" s="209">
        <f t="shared" si="7"/>
        <v>0</v>
      </c>
      <c r="AM17" s="209">
        <f t="shared" si="7"/>
        <v>0</v>
      </c>
      <c r="AN17" s="209">
        <f t="shared" si="7"/>
        <v>0</v>
      </c>
      <c r="AO17" s="209">
        <f t="shared" si="7"/>
        <v>0</v>
      </c>
      <c r="AP17" s="209">
        <f t="shared" si="7"/>
        <v>0</v>
      </c>
    </row>
    <row r="18" spans="1:42">
      <c r="A18" s="206" t="s">
        <v>79</v>
      </c>
      <c r="C18" s="210">
        <f>SUM(C14:C17)</f>
        <v>0</v>
      </c>
      <c r="D18" s="210">
        <f t="shared" ref="D18:AP18" si="8">SUM(D14:D17)</f>
        <v>0</v>
      </c>
      <c r="E18" s="210">
        <f t="shared" si="8"/>
        <v>0</v>
      </c>
      <c r="F18" s="210">
        <f t="shared" si="8"/>
        <v>0</v>
      </c>
      <c r="G18" s="210">
        <f t="shared" si="8"/>
        <v>0</v>
      </c>
      <c r="H18" s="210">
        <f t="shared" si="8"/>
        <v>0</v>
      </c>
      <c r="I18" s="210">
        <f t="shared" si="8"/>
        <v>0</v>
      </c>
      <c r="J18" s="210">
        <f t="shared" si="8"/>
        <v>0</v>
      </c>
      <c r="K18" s="210">
        <f t="shared" si="8"/>
        <v>0</v>
      </c>
      <c r="L18" s="210">
        <f t="shared" si="8"/>
        <v>0</v>
      </c>
      <c r="M18" s="210">
        <f t="shared" si="8"/>
        <v>0</v>
      </c>
      <c r="N18" s="210">
        <f t="shared" si="8"/>
        <v>0</v>
      </c>
      <c r="O18" s="210">
        <f t="shared" si="8"/>
        <v>0</v>
      </c>
      <c r="P18" s="210">
        <f t="shared" si="8"/>
        <v>0</v>
      </c>
      <c r="Q18" s="210">
        <f t="shared" si="8"/>
        <v>0</v>
      </c>
      <c r="R18" s="210">
        <f t="shared" si="8"/>
        <v>0</v>
      </c>
      <c r="S18" s="210">
        <f t="shared" si="8"/>
        <v>0</v>
      </c>
      <c r="T18" s="210">
        <f t="shared" si="8"/>
        <v>0</v>
      </c>
      <c r="U18" s="210">
        <f t="shared" si="8"/>
        <v>0</v>
      </c>
      <c r="V18" s="210">
        <f t="shared" si="8"/>
        <v>0</v>
      </c>
      <c r="W18" s="210">
        <f t="shared" si="8"/>
        <v>0</v>
      </c>
      <c r="X18" s="210">
        <f t="shared" si="8"/>
        <v>0</v>
      </c>
      <c r="Y18" s="210">
        <f t="shared" si="8"/>
        <v>0</v>
      </c>
      <c r="Z18" s="210">
        <f t="shared" si="8"/>
        <v>0</v>
      </c>
      <c r="AA18" s="210">
        <f t="shared" si="8"/>
        <v>0</v>
      </c>
      <c r="AB18" s="210">
        <f t="shared" si="8"/>
        <v>0</v>
      </c>
      <c r="AC18" s="210">
        <f t="shared" si="8"/>
        <v>0</v>
      </c>
      <c r="AD18" s="210">
        <f t="shared" si="8"/>
        <v>0</v>
      </c>
      <c r="AE18" s="210">
        <f t="shared" si="8"/>
        <v>0</v>
      </c>
      <c r="AF18" s="210">
        <f t="shared" si="8"/>
        <v>0</v>
      </c>
      <c r="AG18" s="210">
        <f t="shared" si="8"/>
        <v>0</v>
      </c>
      <c r="AH18" s="210">
        <f t="shared" si="8"/>
        <v>0</v>
      </c>
      <c r="AI18" s="210">
        <f t="shared" si="8"/>
        <v>0</v>
      </c>
      <c r="AJ18" s="210">
        <f t="shared" si="8"/>
        <v>0</v>
      </c>
      <c r="AK18" s="210">
        <f t="shared" si="8"/>
        <v>0</v>
      </c>
      <c r="AL18" s="210">
        <f t="shared" si="8"/>
        <v>0</v>
      </c>
      <c r="AM18" s="210">
        <f t="shared" si="8"/>
        <v>0</v>
      </c>
      <c r="AN18" s="210">
        <f t="shared" si="8"/>
        <v>0</v>
      </c>
      <c r="AO18" s="210">
        <f t="shared" si="8"/>
        <v>0</v>
      </c>
      <c r="AP18" s="210">
        <f t="shared" si="8"/>
        <v>0</v>
      </c>
    </row>
    <row r="19" spans="1:42">
      <c r="A19" s="202" t="s">
        <v>152</v>
      </c>
      <c r="C19" s="209">
        <f t="shared" ref="C19:AP19" si="9">IF(C2=AnalysisPeriod,SalvageValue*PreFinancingInstalledCostTotal,0)</f>
        <v>0</v>
      </c>
      <c r="D19" s="209">
        <f t="shared" si="9"/>
        <v>0</v>
      </c>
      <c r="E19" s="209">
        <f t="shared" si="9"/>
        <v>0</v>
      </c>
      <c r="F19" s="209">
        <f t="shared" si="9"/>
        <v>0</v>
      </c>
      <c r="G19" s="209">
        <f t="shared" si="9"/>
        <v>0</v>
      </c>
      <c r="H19" s="209">
        <f t="shared" si="9"/>
        <v>0</v>
      </c>
      <c r="I19" s="209">
        <f t="shared" si="9"/>
        <v>0</v>
      </c>
      <c r="J19" s="209">
        <f t="shared" si="9"/>
        <v>0</v>
      </c>
      <c r="K19" s="209">
        <f t="shared" si="9"/>
        <v>0</v>
      </c>
      <c r="L19" s="209">
        <f t="shared" si="9"/>
        <v>0</v>
      </c>
      <c r="M19" s="209">
        <f t="shared" si="9"/>
        <v>0</v>
      </c>
      <c r="N19" s="209">
        <f t="shared" si="9"/>
        <v>0</v>
      </c>
      <c r="O19" s="209">
        <f t="shared" si="9"/>
        <v>0</v>
      </c>
      <c r="P19" s="209">
        <f t="shared" si="9"/>
        <v>0</v>
      </c>
      <c r="Q19" s="209">
        <f t="shared" si="9"/>
        <v>0</v>
      </c>
      <c r="R19" s="209">
        <f t="shared" si="9"/>
        <v>0</v>
      </c>
      <c r="S19" s="209">
        <f t="shared" si="9"/>
        <v>0</v>
      </c>
      <c r="T19" s="209">
        <f t="shared" si="9"/>
        <v>0</v>
      </c>
      <c r="U19" s="209">
        <f t="shared" si="9"/>
        <v>0</v>
      </c>
      <c r="V19" s="209">
        <f t="shared" si="9"/>
        <v>0</v>
      </c>
      <c r="W19" s="209">
        <f t="shared" si="9"/>
        <v>0</v>
      </c>
      <c r="X19" s="209">
        <f t="shared" si="9"/>
        <v>0</v>
      </c>
      <c r="Y19" s="209">
        <f t="shared" si="9"/>
        <v>0</v>
      </c>
      <c r="Z19" s="209">
        <f t="shared" si="9"/>
        <v>0</v>
      </c>
      <c r="AA19" s="209">
        <f t="shared" si="9"/>
        <v>0</v>
      </c>
      <c r="AB19" s="209">
        <f t="shared" si="9"/>
        <v>0</v>
      </c>
      <c r="AC19" s="209">
        <f t="shared" si="9"/>
        <v>0</v>
      </c>
      <c r="AD19" s="209">
        <f t="shared" si="9"/>
        <v>0</v>
      </c>
      <c r="AE19" s="209">
        <f t="shared" si="9"/>
        <v>0</v>
      </c>
      <c r="AF19" s="209">
        <f t="shared" si="9"/>
        <v>4022715</v>
      </c>
      <c r="AG19" s="209">
        <f t="shared" si="9"/>
        <v>0</v>
      </c>
      <c r="AH19" s="209">
        <f t="shared" si="9"/>
        <v>0</v>
      </c>
      <c r="AI19" s="209">
        <f t="shared" si="9"/>
        <v>0</v>
      </c>
      <c r="AJ19" s="209">
        <f t="shared" si="9"/>
        <v>0</v>
      </c>
      <c r="AK19" s="209">
        <f t="shared" si="9"/>
        <v>0</v>
      </c>
      <c r="AL19" s="209">
        <f t="shared" si="9"/>
        <v>0</v>
      </c>
      <c r="AM19" s="209">
        <f t="shared" si="9"/>
        <v>0</v>
      </c>
      <c r="AN19" s="209">
        <f t="shared" si="9"/>
        <v>0</v>
      </c>
      <c r="AO19" s="209">
        <f t="shared" si="9"/>
        <v>0</v>
      </c>
      <c r="AP19" s="209">
        <f t="shared" si="9"/>
        <v>0</v>
      </c>
    </row>
    <row r="20" spans="1:42">
      <c r="A20" s="202" t="s">
        <v>287</v>
      </c>
      <c r="C20" s="164">
        <f t="shared" ref="C20:AP20" si="10">C12+C18+C19</f>
        <v>4028497.3628674769</v>
      </c>
      <c r="D20" s="164">
        <f t="shared" si="10"/>
        <v>4048438.424813671</v>
      </c>
      <c r="E20" s="164">
        <f t="shared" si="10"/>
        <v>4068478.1950164987</v>
      </c>
      <c r="F20" s="164">
        <f t="shared" si="10"/>
        <v>4088617.1620818297</v>
      </c>
      <c r="G20" s="164">
        <f t="shared" si="10"/>
        <v>4108855.8170341346</v>
      </c>
      <c r="H20" s="164">
        <f t="shared" si="10"/>
        <v>4129194.6533284532</v>
      </c>
      <c r="I20" s="164">
        <f t="shared" si="10"/>
        <v>4149634.1668624305</v>
      </c>
      <c r="J20" s="164">
        <f t="shared" si="10"/>
        <v>4170174.8559883987</v>
      </c>
      <c r="K20" s="164">
        <f t="shared" si="10"/>
        <v>4190817.221525542</v>
      </c>
      <c r="L20" s="164">
        <f t="shared" si="10"/>
        <v>4211561.7667720942</v>
      </c>
      <c r="M20" s="164">
        <f t="shared" si="10"/>
        <v>4232408.9975176165</v>
      </c>
      <c r="N20" s="164">
        <f t="shared" si="10"/>
        <v>4253359.4220553273</v>
      </c>
      <c r="O20" s="164">
        <f t="shared" si="10"/>
        <v>4274413.5511945011</v>
      </c>
      <c r="P20" s="164">
        <f t="shared" si="10"/>
        <v>4295571.8982729139</v>
      </c>
      <c r="Q20" s="164">
        <f t="shared" si="10"/>
        <v>4316834.9791693659</v>
      </c>
      <c r="R20" s="164">
        <f t="shared" si="10"/>
        <v>4338203.3123162528</v>
      </c>
      <c r="S20" s="164">
        <f t="shared" si="10"/>
        <v>4359677.4187122192</v>
      </c>
      <c r="T20" s="164">
        <f t="shared" si="10"/>
        <v>4381257.8219348453</v>
      </c>
      <c r="U20" s="164">
        <f t="shared" si="10"/>
        <v>4402945.0481534228</v>
      </c>
      <c r="V20" s="164">
        <f t="shared" si="10"/>
        <v>4424739.626141781</v>
      </c>
      <c r="W20" s="164">
        <f t="shared" si="10"/>
        <v>4446642.087291183</v>
      </c>
      <c r="X20" s="164">
        <f t="shared" si="10"/>
        <v>4468652.9656232735</v>
      </c>
      <c r="Y20" s="164">
        <f t="shared" si="10"/>
        <v>4490772.7978031095</v>
      </c>
      <c r="Z20" s="164">
        <f t="shared" si="10"/>
        <v>4513002.1231522346</v>
      </c>
      <c r="AA20" s="164">
        <f t="shared" si="10"/>
        <v>4535341.4836618397</v>
      </c>
      <c r="AB20" s="164">
        <f t="shared" si="10"/>
        <v>4557791.4240059666</v>
      </c>
      <c r="AC20" s="164">
        <f t="shared" si="10"/>
        <v>4580352.4915547948</v>
      </c>
      <c r="AD20" s="164">
        <f t="shared" si="10"/>
        <v>4603025.2363879895</v>
      </c>
      <c r="AE20" s="164">
        <f t="shared" si="10"/>
        <v>4625810.2113081105</v>
      </c>
      <c r="AF20" s="164">
        <f t="shared" si="10"/>
        <v>8671422.9718540851</v>
      </c>
      <c r="AG20" s="164">
        <f t="shared" si="10"/>
        <v>0</v>
      </c>
      <c r="AH20" s="164">
        <f t="shared" si="10"/>
        <v>0</v>
      </c>
      <c r="AI20" s="164">
        <f t="shared" si="10"/>
        <v>0</v>
      </c>
      <c r="AJ20" s="164">
        <f t="shared" si="10"/>
        <v>0</v>
      </c>
      <c r="AK20" s="164">
        <f t="shared" si="10"/>
        <v>0</v>
      </c>
      <c r="AL20" s="164">
        <f t="shared" si="10"/>
        <v>0</v>
      </c>
      <c r="AM20" s="164">
        <f t="shared" si="10"/>
        <v>0</v>
      </c>
      <c r="AN20" s="164">
        <f t="shared" si="10"/>
        <v>0</v>
      </c>
      <c r="AO20" s="164">
        <f t="shared" si="10"/>
        <v>0</v>
      </c>
      <c r="AP20" s="164">
        <f t="shared" si="10"/>
        <v>0</v>
      </c>
    </row>
    <row r="21" spans="1:42">
      <c r="A21" s="206"/>
      <c r="C21" s="164"/>
      <c r="D21" s="164"/>
      <c r="E21" s="164"/>
      <c r="F21" s="164"/>
      <c r="G21" s="164"/>
      <c r="H21" s="164"/>
      <c r="I21" s="164"/>
      <c r="J21" s="164"/>
      <c r="K21" s="164"/>
      <c r="L21" s="164"/>
      <c r="M21" s="164"/>
      <c r="N21" s="164"/>
      <c r="O21" s="164"/>
      <c r="P21" s="164"/>
      <c r="Q21" s="164"/>
      <c r="R21" s="164"/>
      <c r="S21" s="164"/>
      <c r="T21" s="164"/>
      <c r="U21" s="164"/>
      <c r="V21" s="164"/>
      <c r="W21" s="164"/>
      <c r="X21" s="164"/>
      <c r="Y21" s="164"/>
      <c r="Z21" s="164"/>
      <c r="AA21" s="164"/>
      <c r="AB21" s="164"/>
      <c r="AC21" s="164"/>
      <c r="AD21" s="164"/>
      <c r="AE21" s="164"/>
      <c r="AF21" s="164"/>
      <c r="AG21" s="164"/>
      <c r="AH21" s="164"/>
      <c r="AI21" s="164"/>
      <c r="AJ21" s="164"/>
      <c r="AK21" s="164"/>
      <c r="AL21" s="164"/>
      <c r="AM21" s="164"/>
      <c r="AN21" s="164"/>
      <c r="AO21" s="164"/>
      <c r="AP21" s="164"/>
    </row>
    <row r="22" spans="1:42">
      <c r="A22" s="204" t="s">
        <v>49</v>
      </c>
      <c r="C22" s="164"/>
      <c r="D22" s="208"/>
      <c r="E22" s="208"/>
      <c r="F22" s="208"/>
      <c r="G22" s="208"/>
      <c r="H22" s="208"/>
      <c r="I22" s="208"/>
      <c r="J22" s="208"/>
      <c r="K22" s="208"/>
      <c r="L22" s="208"/>
      <c r="M22" s="208"/>
      <c r="N22" s="208"/>
      <c r="O22" s="208"/>
      <c r="P22" s="208"/>
      <c r="Q22" s="208"/>
      <c r="R22" s="208"/>
      <c r="S22" s="208"/>
    </row>
    <row r="23" spans="1:42">
      <c r="A23" s="37" t="s">
        <v>5</v>
      </c>
      <c r="C23" s="164">
        <f t="shared" ref="C23:AP23" si="11">IF(C$2&lt;=AnalysisPeriod,OMFixedAnnual*(1+Inflation+OMFixedAnnualRealEsc)^B$2,0)</f>
        <v>10000</v>
      </c>
      <c r="D23" s="164">
        <f t="shared" si="11"/>
        <v>10250</v>
      </c>
      <c r="E23" s="164">
        <f t="shared" si="11"/>
        <v>10506.25</v>
      </c>
      <c r="F23" s="164">
        <f t="shared" si="11"/>
        <v>10768.906249999998</v>
      </c>
      <c r="G23" s="164">
        <f t="shared" si="11"/>
        <v>11038.128906249998</v>
      </c>
      <c r="H23" s="164">
        <f t="shared" si="11"/>
        <v>11314.082128906246</v>
      </c>
      <c r="I23" s="164">
        <f t="shared" si="11"/>
        <v>11596.934182128902</v>
      </c>
      <c r="J23" s="164">
        <f t="shared" si="11"/>
        <v>11886.857536682124</v>
      </c>
      <c r="K23" s="164">
        <f t="shared" si="11"/>
        <v>12184.028975099178</v>
      </c>
      <c r="L23" s="164">
        <f t="shared" si="11"/>
        <v>12488.629699476654</v>
      </c>
      <c r="M23" s="164">
        <f t="shared" si="11"/>
        <v>12800.845441963571</v>
      </c>
      <c r="N23" s="164">
        <f t="shared" si="11"/>
        <v>13120.866578012659</v>
      </c>
      <c r="O23" s="164">
        <f t="shared" si="11"/>
        <v>13448.888242462976</v>
      </c>
      <c r="P23" s="164">
        <f t="shared" si="11"/>
        <v>13785.110448524549</v>
      </c>
      <c r="Q23" s="164">
        <f t="shared" si="11"/>
        <v>14129.738209737661</v>
      </c>
      <c r="R23" s="164">
        <f t="shared" si="11"/>
        <v>14482.981664981105</v>
      </c>
      <c r="S23" s="164">
        <f t="shared" si="11"/>
        <v>14845.056206605632</v>
      </c>
      <c r="T23" s="164">
        <f t="shared" si="11"/>
        <v>15216.18261177077</v>
      </c>
      <c r="U23" s="164">
        <f t="shared" si="11"/>
        <v>15596.587177065039</v>
      </c>
      <c r="V23" s="164">
        <f t="shared" si="11"/>
        <v>15986.501856491666</v>
      </c>
      <c r="W23" s="164">
        <f t="shared" si="11"/>
        <v>16386.164402903956</v>
      </c>
      <c r="X23" s="164">
        <f t="shared" si="11"/>
        <v>16795.818512976552</v>
      </c>
      <c r="Y23" s="164">
        <f t="shared" si="11"/>
        <v>17215.713975800965</v>
      </c>
      <c r="Z23" s="164">
        <f t="shared" si="11"/>
        <v>17646.106825195991</v>
      </c>
      <c r="AA23" s="164">
        <f t="shared" si="11"/>
        <v>18087.259495825889</v>
      </c>
      <c r="AB23" s="164">
        <f t="shared" si="11"/>
        <v>18539.440983221535</v>
      </c>
      <c r="AC23" s="164">
        <f t="shared" si="11"/>
        <v>19002.927007802071</v>
      </c>
      <c r="AD23" s="164">
        <f t="shared" si="11"/>
        <v>19478.000182997122</v>
      </c>
      <c r="AE23" s="164">
        <f t="shared" si="11"/>
        <v>19964.950187572049</v>
      </c>
      <c r="AF23" s="164">
        <f t="shared" si="11"/>
        <v>20464.073942261351</v>
      </c>
      <c r="AG23" s="164">
        <f t="shared" si="11"/>
        <v>0</v>
      </c>
      <c r="AH23" s="164">
        <f t="shared" si="11"/>
        <v>0</v>
      </c>
      <c r="AI23" s="164">
        <f t="shared" si="11"/>
        <v>0</v>
      </c>
      <c r="AJ23" s="164">
        <f t="shared" si="11"/>
        <v>0</v>
      </c>
      <c r="AK23" s="164">
        <f t="shared" si="11"/>
        <v>0</v>
      </c>
      <c r="AL23" s="164">
        <f t="shared" si="11"/>
        <v>0</v>
      </c>
      <c r="AM23" s="164">
        <f t="shared" si="11"/>
        <v>0</v>
      </c>
      <c r="AN23" s="164">
        <f t="shared" si="11"/>
        <v>0</v>
      </c>
      <c r="AO23" s="164">
        <f t="shared" si="11"/>
        <v>0</v>
      </c>
      <c r="AP23" s="164">
        <f t="shared" si="11"/>
        <v>0</v>
      </c>
    </row>
    <row r="24" spans="1:42">
      <c r="A24" s="37" t="s">
        <v>7</v>
      </c>
    </row>
    <row r="25" spans="1:42">
      <c r="A25" s="206" t="s">
        <v>51</v>
      </c>
      <c r="C25" s="164">
        <f t="shared" ref="C25:AP25" si="12">IF(C$2&lt;=AnalysisPeriod,CapacityDC,0)</f>
        <v>10000</v>
      </c>
      <c r="D25" s="164">
        <f t="shared" si="12"/>
        <v>10000</v>
      </c>
      <c r="E25" s="164">
        <f t="shared" si="12"/>
        <v>10000</v>
      </c>
      <c r="F25" s="164">
        <f t="shared" si="12"/>
        <v>10000</v>
      </c>
      <c r="G25" s="164">
        <f t="shared" si="12"/>
        <v>10000</v>
      </c>
      <c r="H25" s="164">
        <f t="shared" si="12"/>
        <v>10000</v>
      </c>
      <c r="I25" s="164">
        <f t="shared" si="12"/>
        <v>10000</v>
      </c>
      <c r="J25" s="164">
        <f t="shared" si="12"/>
        <v>10000</v>
      </c>
      <c r="K25" s="164">
        <f t="shared" si="12"/>
        <v>10000</v>
      </c>
      <c r="L25" s="164">
        <f t="shared" si="12"/>
        <v>10000</v>
      </c>
      <c r="M25" s="164">
        <f t="shared" si="12"/>
        <v>10000</v>
      </c>
      <c r="N25" s="164">
        <f t="shared" si="12"/>
        <v>10000</v>
      </c>
      <c r="O25" s="164">
        <f t="shared" si="12"/>
        <v>10000</v>
      </c>
      <c r="P25" s="164">
        <f t="shared" si="12"/>
        <v>10000</v>
      </c>
      <c r="Q25" s="164">
        <f t="shared" si="12"/>
        <v>10000</v>
      </c>
      <c r="R25" s="164">
        <f t="shared" si="12"/>
        <v>10000</v>
      </c>
      <c r="S25" s="164">
        <f t="shared" si="12"/>
        <v>10000</v>
      </c>
      <c r="T25" s="164">
        <f t="shared" si="12"/>
        <v>10000</v>
      </c>
      <c r="U25" s="164">
        <f t="shared" si="12"/>
        <v>10000</v>
      </c>
      <c r="V25" s="164">
        <f t="shared" si="12"/>
        <v>10000</v>
      </c>
      <c r="W25" s="164">
        <f t="shared" si="12"/>
        <v>10000</v>
      </c>
      <c r="X25" s="164">
        <f t="shared" si="12"/>
        <v>10000</v>
      </c>
      <c r="Y25" s="164">
        <f t="shared" si="12"/>
        <v>10000</v>
      </c>
      <c r="Z25" s="164">
        <f t="shared" si="12"/>
        <v>10000</v>
      </c>
      <c r="AA25" s="164">
        <f t="shared" si="12"/>
        <v>10000</v>
      </c>
      <c r="AB25" s="164">
        <f t="shared" si="12"/>
        <v>10000</v>
      </c>
      <c r="AC25" s="164">
        <f t="shared" si="12"/>
        <v>10000</v>
      </c>
      <c r="AD25" s="164">
        <f t="shared" si="12"/>
        <v>10000</v>
      </c>
      <c r="AE25" s="164">
        <f t="shared" si="12"/>
        <v>10000</v>
      </c>
      <c r="AF25" s="164">
        <f t="shared" si="12"/>
        <v>10000</v>
      </c>
      <c r="AG25" s="164">
        <f t="shared" si="12"/>
        <v>0</v>
      </c>
      <c r="AH25" s="164">
        <f t="shared" si="12"/>
        <v>0</v>
      </c>
      <c r="AI25" s="164">
        <f t="shared" si="12"/>
        <v>0</v>
      </c>
      <c r="AJ25" s="164">
        <f t="shared" si="12"/>
        <v>0</v>
      </c>
      <c r="AK25" s="164">
        <f t="shared" si="12"/>
        <v>0</v>
      </c>
      <c r="AL25" s="164">
        <f t="shared" si="12"/>
        <v>0</v>
      </c>
      <c r="AM25" s="164">
        <f t="shared" si="12"/>
        <v>0</v>
      </c>
      <c r="AN25" s="164">
        <f t="shared" si="12"/>
        <v>0</v>
      </c>
      <c r="AO25" s="164">
        <f t="shared" si="12"/>
        <v>0</v>
      </c>
      <c r="AP25" s="164">
        <f t="shared" si="12"/>
        <v>0</v>
      </c>
    </row>
    <row r="26" spans="1:42">
      <c r="A26" s="206" t="s">
        <v>52</v>
      </c>
      <c r="C26" s="207">
        <f t="shared" ref="C26:AP26" si="13">IF(C$2&lt;=AnalysisPeriod,OMCapacity*(1+Inflation+OMCapacityRealEsc)^B$2,0)</f>
        <v>22</v>
      </c>
      <c r="D26" s="207">
        <f t="shared" si="13"/>
        <v>22.494999999999997</v>
      </c>
      <c r="E26" s="207">
        <f t="shared" si="13"/>
        <v>23.001137499999999</v>
      </c>
      <c r="F26" s="207">
        <f t="shared" si="13"/>
        <v>23.518663093749996</v>
      </c>
      <c r="G26" s="207">
        <f t="shared" si="13"/>
        <v>24.047833013359369</v>
      </c>
      <c r="H26" s="207">
        <f t="shared" si="13"/>
        <v>24.588909256159958</v>
      </c>
      <c r="I26" s="207">
        <f t="shared" si="13"/>
        <v>25.142159714423553</v>
      </c>
      <c r="J26" s="207">
        <f t="shared" si="13"/>
        <v>25.70785830799808</v>
      </c>
      <c r="K26" s="207">
        <f t="shared" si="13"/>
        <v>26.286285119928035</v>
      </c>
      <c r="L26" s="207">
        <f t="shared" si="13"/>
        <v>26.877726535126413</v>
      </c>
      <c r="M26" s="207">
        <f t="shared" si="13"/>
        <v>27.482475382166754</v>
      </c>
      <c r="N26" s="207">
        <f t="shared" si="13"/>
        <v>28.100831078265504</v>
      </c>
      <c r="O26" s="207">
        <f t="shared" si="13"/>
        <v>28.73309977752648</v>
      </c>
      <c r="P26" s="207">
        <f t="shared" si="13"/>
        <v>29.379594522520826</v>
      </c>
      <c r="Q26" s="207">
        <f t="shared" si="13"/>
        <v>30.040635399277544</v>
      </c>
      <c r="R26" s="207">
        <f t="shared" si="13"/>
        <v>30.716549695761287</v>
      </c>
      <c r="S26" s="207">
        <f t="shared" si="13"/>
        <v>31.407672063915907</v>
      </c>
      <c r="T26" s="207">
        <f t="shared" si="13"/>
        <v>32.114344685354013</v>
      </c>
      <c r="U26" s="207">
        <f t="shared" si="13"/>
        <v>32.836917440774478</v>
      </c>
      <c r="V26" s="207">
        <f t="shared" si="13"/>
        <v>33.575748083191904</v>
      </c>
      <c r="W26" s="207">
        <f t="shared" si="13"/>
        <v>34.331202415063721</v>
      </c>
      <c r="X26" s="207">
        <f t="shared" si="13"/>
        <v>35.103654469402656</v>
      </c>
      <c r="Y26" s="207">
        <f t="shared" si="13"/>
        <v>35.89348669496421</v>
      </c>
      <c r="Z26" s="207">
        <f t="shared" si="13"/>
        <v>36.701090145600901</v>
      </c>
      <c r="AA26" s="207">
        <f t="shared" si="13"/>
        <v>37.526864673876915</v>
      </c>
      <c r="AB26" s="207">
        <f t="shared" si="13"/>
        <v>38.37121912903914</v>
      </c>
      <c r="AC26" s="207">
        <f t="shared" si="13"/>
        <v>39.234571559442522</v>
      </c>
      <c r="AD26" s="207">
        <f t="shared" si="13"/>
        <v>40.117349419529972</v>
      </c>
      <c r="AE26" s="207">
        <f t="shared" si="13"/>
        <v>41.019989781469398</v>
      </c>
      <c r="AF26" s="207">
        <f t="shared" si="13"/>
        <v>41.942939551552463</v>
      </c>
      <c r="AG26" s="207">
        <f t="shared" si="13"/>
        <v>0</v>
      </c>
      <c r="AH26" s="207">
        <f t="shared" si="13"/>
        <v>0</v>
      </c>
      <c r="AI26" s="207">
        <f t="shared" si="13"/>
        <v>0</v>
      </c>
      <c r="AJ26" s="207">
        <f t="shared" si="13"/>
        <v>0</v>
      </c>
      <c r="AK26" s="207">
        <f t="shared" si="13"/>
        <v>0</v>
      </c>
      <c r="AL26" s="207">
        <f t="shared" si="13"/>
        <v>0</v>
      </c>
      <c r="AM26" s="207">
        <f t="shared" si="13"/>
        <v>0</v>
      </c>
      <c r="AN26" s="207">
        <f t="shared" si="13"/>
        <v>0</v>
      </c>
      <c r="AO26" s="207">
        <f t="shared" si="13"/>
        <v>0</v>
      </c>
      <c r="AP26" s="207">
        <f t="shared" si="13"/>
        <v>0</v>
      </c>
    </row>
    <row r="27" spans="1:42">
      <c r="A27" s="206" t="s">
        <v>53</v>
      </c>
      <c r="C27" s="164">
        <f>C25*C26</f>
        <v>220000</v>
      </c>
      <c r="D27" s="164">
        <f t="shared" ref="D27:AP27" si="14">D25*D26</f>
        <v>224949.99999999997</v>
      </c>
      <c r="E27" s="164">
        <f t="shared" si="14"/>
        <v>230011.375</v>
      </c>
      <c r="F27" s="164">
        <f t="shared" si="14"/>
        <v>235186.63093749995</v>
      </c>
      <c r="G27" s="164">
        <f t="shared" si="14"/>
        <v>240478.3301335937</v>
      </c>
      <c r="H27" s="164">
        <f t="shared" si="14"/>
        <v>245889.09256159959</v>
      </c>
      <c r="I27" s="164">
        <f t="shared" si="14"/>
        <v>251421.59714423554</v>
      </c>
      <c r="J27" s="164">
        <f t="shared" si="14"/>
        <v>257078.5830799808</v>
      </c>
      <c r="K27" s="164">
        <f t="shared" si="14"/>
        <v>262862.85119928035</v>
      </c>
      <c r="L27" s="164">
        <f t="shared" si="14"/>
        <v>268777.26535126416</v>
      </c>
      <c r="M27" s="164">
        <f t="shared" si="14"/>
        <v>274824.75382166752</v>
      </c>
      <c r="N27" s="164">
        <f t="shared" si="14"/>
        <v>281008.31078265503</v>
      </c>
      <c r="O27" s="164">
        <f t="shared" si="14"/>
        <v>287330.99777526478</v>
      </c>
      <c r="P27" s="164">
        <f t="shared" si="14"/>
        <v>293795.94522520824</v>
      </c>
      <c r="Q27" s="164">
        <f t="shared" si="14"/>
        <v>300406.35399277543</v>
      </c>
      <c r="R27" s="164">
        <f t="shared" si="14"/>
        <v>307165.49695761286</v>
      </c>
      <c r="S27" s="164">
        <f t="shared" si="14"/>
        <v>314076.72063915909</v>
      </c>
      <c r="T27" s="164">
        <f t="shared" si="14"/>
        <v>321143.44685354014</v>
      </c>
      <c r="U27" s="164">
        <f t="shared" si="14"/>
        <v>328369.17440774478</v>
      </c>
      <c r="V27" s="164">
        <f t="shared" si="14"/>
        <v>335757.48083191906</v>
      </c>
      <c r="W27" s="164">
        <f t="shared" si="14"/>
        <v>343312.02415063721</v>
      </c>
      <c r="X27" s="164">
        <f t="shared" si="14"/>
        <v>351036.54469402658</v>
      </c>
      <c r="Y27" s="164">
        <f t="shared" si="14"/>
        <v>358934.86694964208</v>
      </c>
      <c r="Z27" s="164">
        <f t="shared" si="14"/>
        <v>367010.90145600901</v>
      </c>
      <c r="AA27" s="164">
        <f t="shared" si="14"/>
        <v>375268.64673876914</v>
      </c>
      <c r="AB27" s="164">
        <f t="shared" si="14"/>
        <v>383712.19129039138</v>
      </c>
      <c r="AC27" s="164">
        <f t="shared" si="14"/>
        <v>392345.71559442522</v>
      </c>
      <c r="AD27" s="164">
        <f t="shared" si="14"/>
        <v>401173.49419529975</v>
      </c>
      <c r="AE27" s="164">
        <f t="shared" si="14"/>
        <v>410199.89781469398</v>
      </c>
      <c r="AF27" s="164">
        <f t="shared" si="14"/>
        <v>419429.39551552461</v>
      </c>
      <c r="AG27" s="164">
        <f t="shared" si="14"/>
        <v>0</v>
      </c>
      <c r="AH27" s="164">
        <f t="shared" si="14"/>
        <v>0</v>
      </c>
      <c r="AI27" s="164">
        <f t="shared" si="14"/>
        <v>0</v>
      </c>
      <c r="AJ27" s="164">
        <f t="shared" si="14"/>
        <v>0</v>
      </c>
      <c r="AK27" s="164">
        <f t="shared" si="14"/>
        <v>0</v>
      </c>
      <c r="AL27" s="164">
        <f t="shared" si="14"/>
        <v>0</v>
      </c>
      <c r="AM27" s="164">
        <f t="shared" si="14"/>
        <v>0</v>
      </c>
      <c r="AN27" s="164">
        <f t="shared" si="14"/>
        <v>0</v>
      </c>
      <c r="AO27" s="164">
        <f t="shared" si="14"/>
        <v>0</v>
      </c>
      <c r="AP27" s="164">
        <f t="shared" si="14"/>
        <v>0</v>
      </c>
    </row>
    <row r="28" spans="1:42">
      <c r="A28" s="37" t="s">
        <v>9</v>
      </c>
    </row>
    <row r="29" spans="1:42">
      <c r="A29" s="206" t="s">
        <v>55</v>
      </c>
      <c r="C29" s="164">
        <f>C5/1000</f>
        <v>17000</v>
      </c>
      <c r="D29" s="164">
        <f t="shared" ref="D29:AP29" si="15">D5/1000</f>
        <v>16915</v>
      </c>
      <c r="E29" s="164">
        <f t="shared" si="15"/>
        <v>16830.424999999999</v>
      </c>
      <c r="F29" s="164">
        <f t="shared" si="15"/>
        <v>16746.272874999999</v>
      </c>
      <c r="G29" s="164">
        <f t="shared" si="15"/>
        <v>16662.541510625</v>
      </c>
      <c r="H29" s="164">
        <f t="shared" si="15"/>
        <v>16579.228803071874</v>
      </c>
      <c r="I29" s="164">
        <f t="shared" si="15"/>
        <v>16496.332659056516</v>
      </c>
      <c r="J29" s="164">
        <f t="shared" si="15"/>
        <v>16413.850995761233</v>
      </c>
      <c r="K29" s="164">
        <f t="shared" si="15"/>
        <v>16331.781740782426</v>
      </c>
      <c r="L29" s="164">
        <f t="shared" si="15"/>
        <v>16250.122832078514</v>
      </c>
      <c r="M29" s="164">
        <f t="shared" si="15"/>
        <v>16168.872217918122</v>
      </c>
      <c r="N29" s="164">
        <f t="shared" si="15"/>
        <v>16088.027856828532</v>
      </c>
      <c r="O29" s="164">
        <f t="shared" si="15"/>
        <v>16007.587717544387</v>
      </c>
      <c r="P29" s="164">
        <f t="shared" si="15"/>
        <v>15927.549778956667</v>
      </c>
      <c r="Q29" s="164">
        <f t="shared" si="15"/>
        <v>15847.912030061883</v>
      </c>
      <c r="R29" s="164">
        <f t="shared" si="15"/>
        <v>15768.672469911573</v>
      </c>
      <c r="S29" s="164">
        <f t="shared" si="15"/>
        <v>15689.829107562015</v>
      </c>
      <c r="T29" s="164">
        <f t="shared" si="15"/>
        <v>15611.379962024204</v>
      </c>
      <c r="U29" s="164">
        <f t="shared" si="15"/>
        <v>15533.323062214084</v>
      </c>
      <c r="V29" s="164">
        <f t="shared" si="15"/>
        <v>15455.656446903013</v>
      </c>
      <c r="W29" s="164">
        <f t="shared" si="15"/>
        <v>15378.378164668497</v>
      </c>
      <c r="X29" s="164">
        <f t="shared" si="15"/>
        <v>15301.486273845156</v>
      </c>
      <c r="Y29" s="164">
        <f t="shared" si="15"/>
        <v>15224.978842475928</v>
      </c>
      <c r="Z29" s="164">
        <f t="shared" si="15"/>
        <v>15148.853948263548</v>
      </c>
      <c r="AA29" s="164">
        <f t="shared" si="15"/>
        <v>15073.109678522231</v>
      </c>
      <c r="AB29" s="164">
        <f t="shared" si="15"/>
        <v>14997.74413012962</v>
      </c>
      <c r="AC29" s="164">
        <f t="shared" si="15"/>
        <v>14922.755409478972</v>
      </c>
      <c r="AD29" s="164">
        <f t="shared" si="15"/>
        <v>14848.141632431576</v>
      </c>
      <c r="AE29" s="164">
        <f t="shared" si="15"/>
        <v>14773.900924269417</v>
      </c>
      <c r="AF29" s="164">
        <f t="shared" si="15"/>
        <v>14700.03141964807</v>
      </c>
      <c r="AG29" s="164">
        <f t="shared" si="15"/>
        <v>0</v>
      </c>
      <c r="AH29" s="164">
        <f t="shared" si="15"/>
        <v>0</v>
      </c>
      <c r="AI29" s="164">
        <f t="shared" si="15"/>
        <v>0</v>
      </c>
      <c r="AJ29" s="164">
        <f t="shared" si="15"/>
        <v>0</v>
      </c>
      <c r="AK29" s="164">
        <f t="shared" si="15"/>
        <v>0</v>
      </c>
      <c r="AL29" s="164">
        <f t="shared" si="15"/>
        <v>0</v>
      </c>
      <c r="AM29" s="164">
        <f t="shared" si="15"/>
        <v>0</v>
      </c>
      <c r="AN29" s="164">
        <f t="shared" si="15"/>
        <v>0</v>
      </c>
      <c r="AO29" s="164">
        <f t="shared" si="15"/>
        <v>0</v>
      </c>
      <c r="AP29" s="164">
        <f t="shared" si="15"/>
        <v>0</v>
      </c>
    </row>
    <row r="30" spans="1:42">
      <c r="A30" s="206" t="s">
        <v>56</v>
      </c>
      <c r="C30" s="207">
        <f t="shared" ref="C30:AP30" si="16">IF(C$2&lt;=AnalysisPeriod,OMVariable*(1+Inflation+OMVariableRealEsc)^B$2,0)</f>
        <v>3.5</v>
      </c>
      <c r="D30" s="207">
        <f t="shared" si="16"/>
        <v>3.5524999999999998</v>
      </c>
      <c r="E30" s="207">
        <f t="shared" si="16"/>
        <v>3.605787499999999</v>
      </c>
      <c r="F30" s="207">
        <f t="shared" si="16"/>
        <v>3.6598743124999986</v>
      </c>
      <c r="G30" s="207">
        <f t="shared" si="16"/>
        <v>3.7147724271874978</v>
      </c>
      <c r="H30" s="207">
        <f t="shared" si="16"/>
        <v>3.77049401359531</v>
      </c>
      <c r="I30" s="207">
        <f t="shared" si="16"/>
        <v>3.8270514237992388</v>
      </c>
      <c r="J30" s="207">
        <f t="shared" si="16"/>
        <v>3.884457195156227</v>
      </c>
      <c r="K30" s="207">
        <f t="shared" si="16"/>
        <v>3.9427240530835701</v>
      </c>
      <c r="L30" s="207">
        <f t="shared" si="16"/>
        <v>4.0018649138798228</v>
      </c>
      <c r="M30" s="207">
        <f t="shared" si="16"/>
        <v>4.0618928875880203</v>
      </c>
      <c r="N30" s="207">
        <f t="shared" si="16"/>
        <v>4.1228212809018396</v>
      </c>
      <c r="O30" s="207">
        <f t="shared" si="16"/>
        <v>4.1846636001153668</v>
      </c>
      <c r="P30" s="207">
        <f t="shared" si="16"/>
        <v>4.2474335541170962</v>
      </c>
      <c r="Q30" s="207">
        <f t="shared" si="16"/>
        <v>4.3111450574288517</v>
      </c>
      <c r="R30" s="207">
        <f t="shared" si="16"/>
        <v>4.3758122332902847</v>
      </c>
      <c r="S30" s="207">
        <f t="shared" si="16"/>
        <v>4.4414494167896379</v>
      </c>
      <c r="T30" s="207">
        <f t="shared" si="16"/>
        <v>4.5080711580414814</v>
      </c>
      <c r="U30" s="207">
        <f t="shared" si="16"/>
        <v>4.5756922254121033</v>
      </c>
      <c r="V30" s="207">
        <f t="shared" si="16"/>
        <v>4.6443276087932848</v>
      </c>
      <c r="W30" s="207">
        <f t="shared" si="16"/>
        <v>4.7139925229251824</v>
      </c>
      <c r="X30" s="207">
        <f t="shared" si="16"/>
        <v>4.7847024107690599</v>
      </c>
      <c r="Y30" s="207">
        <f t="shared" si="16"/>
        <v>4.8564729469305945</v>
      </c>
      <c r="Z30" s="207">
        <f t="shared" si="16"/>
        <v>4.9293200411345532</v>
      </c>
      <c r="AA30" s="207">
        <f t="shared" si="16"/>
        <v>5.0032598417515715</v>
      </c>
      <c r="AB30" s="207">
        <f t="shared" si="16"/>
        <v>5.0783087393778441</v>
      </c>
      <c r="AC30" s="207">
        <f t="shared" si="16"/>
        <v>5.1544833704685109</v>
      </c>
      <c r="AD30" s="207">
        <f t="shared" si="16"/>
        <v>5.2318006210255383</v>
      </c>
      <c r="AE30" s="207">
        <f t="shared" si="16"/>
        <v>5.31027763034092</v>
      </c>
      <c r="AF30" s="207">
        <f t="shared" si="16"/>
        <v>5.3899317947960341</v>
      </c>
      <c r="AG30" s="207">
        <f t="shared" si="16"/>
        <v>0</v>
      </c>
      <c r="AH30" s="207">
        <f t="shared" si="16"/>
        <v>0</v>
      </c>
      <c r="AI30" s="207">
        <f t="shared" si="16"/>
        <v>0</v>
      </c>
      <c r="AJ30" s="207">
        <f t="shared" si="16"/>
        <v>0</v>
      </c>
      <c r="AK30" s="207">
        <f t="shared" si="16"/>
        <v>0</v>
      </c>
      <c r="AL30" s="207">
        <f t="shared" si="16"/>
        <v>0</v>
      </c>
      <c r="AM30" s="207">
        <f t="shared" si="16"/>
        <v>0</v>
      </c>
      <c r="AN30" s="207">
        <f t="shared" si="16"/>
        <v>0</v>
      </c>
      <c r="AO30" s="207">
        <f t="shared" si="16"/>
        <v>0</v>
      </c>
      <c r="AP30" s="207">
        <f t="shared" si="16"/>
        <v>0</v>
      </c>
    </row>
    <row r="31" spans="1:42">
      <c r="A31" s="206" t="s">
        <v>53</v>
      </c>
      <c r="C31" s="210">
        <f>C29*C30</f>
        <v>59500</v>
      </c>
      <c r="D31" s="210">
        <f t="shared" ref="D31:AP31" si="17">D29*D30</f>
        <v>60090.537499999999</v>
      </c>
      <c r="E31" s="210">
        <f t="shared" si="17"/>
        <v>60686.936084687484</v>
      </c>
      <c r="F31" s="210">
        <f t="shared" si="17"/>
        <v>61289.253925327997</v>
      </c>
      <c r="G31" s="210">
        <f t="shared" si="17"/>
        <v>61897.549770536869</v>
      </c>
      <c r="H31" s="210">
        <f t="shared" si="17"/>
        <v>62511.882952009437</v>
      </c>
      <c r="I31" s="210">
        <f t="shared" si="17"/>
        <v>63132.313390308118</v>
      </c>
      <c r="J31" s="210">
        <f t="shared" si="17"/>
        <v>63758.901600706922</v>
      </c>
      <c r="K31" s="210">
        <f t="shared" si="17"/>
        <v>64391.708699093928</v>
      </c>
      <c r="L31" s="210">
        <f t="shared" si="17"/>
        <v>65030.796407932423</v>
      </c>
      <c r="M31" s="210">
        <f t="shared" si="17"/>
        <v>65676.227062281163</v>
      </c>
      <c r="N31" s="210">
        <f t="shared" si="17"/>
        <v>66328.063615874285</v>
      </c>
      <c r="O31" s="210">
        <f t="shared" si="17"/>
        <v>66986.369647261818</v>
      </c>
      <c r="P31" s="210">
        <f t="shared" si="17"/>
        <v>67651.20936601088</v>
      </c>
      <c r="Q31" s="210">
        <f t="shared" si="17"/>
        <v>68322.647618968535</v>
      </c>
      <c r="R31" s="210">
        <f t="shared" si="17"/>
        <v>69000.749896586785</v>
      </c>
      <c r="S31" s="210">
        <f t="shared" si="17"/>
        <v>69685.582339310393</v>
      </c>
      <c r="T31" s="210">
        <f t="shared" si="17"/>
        <v>70377.211744028027</v>
      </c>
      <c r="U31" s="210">
        <f t="shared" si="17"/>
        <v>71075.70557058751</v>
      </c>
      <c r="V31" s="210">
        <f t="shared" si="17"/>
        <v>71781.13194837558</v>
      </c>
      <c r="W31" s="210">
        <f t="shared" si="17"/>
        <v>72493.559682963183</v>
      </c>
      <c r="X31" s="210">
        <f t="shared" si="17"/>
        <v>73213.058262816601</v>
      </c>
      <c r="Y31" s="210">
        <f t="shared" si="17"/>
        <v>73939.697866075017</v>
      </c>
      <c r="Z31" s="210">
        <f t="shared" si="17"/>
        <v>74673.549367395812</v>
      </c>
      <c r="AA31" s="210">
        <f t="shared" si="17"/>
        <v>75414.684344867215</v>
      </c>
      <c r="AB31" s="210">
        <f t="shared" si="17"/>
        <v>76163.175086990013</v>
      </c>
      <c r="AC31" s="210">
        <f t="shared" si="17"/>
        <v>76919.094599728371</v>
      </c>
      <c r="AD31" s="210">
        <f t="shared" si="17"/>
        <v>77682.516613630665</v>
      </c>
      <c r="AE31" s="210">
        <f t="shared" si="17"/>
        <v>78453.515591020929</v>
      </c>
      <c r="AF31" s="210">
        <f t="shared" si="17"/>
        <v>79232.166733261824</v>
      </c>
      <c r="AG31" s="210">
        <f t="shared" si="17"/>
        <v>0</v>
      </c>
      <c r="AH31" s="210">
        <f t="shared" si="17"/>
        <v>0</v>
      </c>
      <c r="AI31" s="210">
        <f t="shared" si="17"/>
        <v>0</v>
      </c>
      <c r="AJ31" s="210">
        <f t="shared" si="17"/>
        <v>0</v>
      </c>
      <c r="AK31" s="210">
        <f t="shared" si="17"/>
        <v>0</v>
      </c>
      <c r="AL31" s="210">
        <f t="shared" si="17"/>
        <v>0</v>
      </c>
      <c r="AM31" s="210">
        <f t="shared" si="17"/>
        <v>0</v>
      </c>
      <c r="AN31" s="210">
        <f t="shared" si="17"/>
        <v>0</v>
      </c>
      <c r="AO31" s="210">
        <f t="shared" si="17"/>
        <v>0</v>
      </c>
      <c r="AP31" s="210">
        <f t="shared" si="17"/>
        <v>0</v>
      </c>
    </row>
    <row r="32" spans="1:42">
      <c r="A32" s="202" t="s">
        <v>22</v>
      </c>
      <c r="C32" s="208"/>
      <c r="D32" s="208"/>
      <c r="E32" s="208"/>
      <c r="F32" s="208"/>
      <c r="G32" s="208"/>
      <c r="H32" s="208"/>
      <c r="I32" s="208"/>
      <c r="J32" s="208"/>
      <c r="K32" s="208"/>
      <c r="L32" s="208"/>
      <c r="M32" s="208"/>
      <c r="N32" s="208"/>
      <c r="O32" s="208"/>
      <c r="P32" s="208"/>
      <c r="Q32" s="208"/>
      <c r="R32" s="208"/>
      <c r="S32" s="208"/>
      <c r="T32" s="208"/>
      <c r="U32" s="208"/>
      <c r="V32" s="208"/>
      <c r="W32" s="208"/>
      <c r="X32" s="208"/>
      <c r="Y32" s="208"/>
      <c r="Z32" s="208"/>
      <c r="AA32" s="208"/>
      <c r="AB32" s="208"/>
      <c r="AC32" s="208"/>
      <c r="AD32" s="208"/>
      <c r="AE32" s="208"/>
      <c r="AF32" s="208"/>
      <c r="AG32" s="208"/>
      <c r="AH32" s="208"/>
      <c r="AI32" s="208"/>
      <c r="AJ32" s="208"/>
      <c r="AK32" s="208"/>
      <c r="AL32" s="208"/>
      <c r="AM32" s="208"/>
      <c r="AN32" s="208"/>
      <c r="AO32" s="208"/>
      <c r="AP32" s="208"/>
    </row>
    <row r="33" spans="1:42">
      <c r="A33" s="211" t="s">
        <v>319</v>
      </c>
      <c r="C33" s="208">
        <f>IF(C$2&lt;=AnalysisPeriod,'Inputs &amp; Results'!$J$6,0)</f>
        <v>40227150</v>
      </c>
      <c r="D33" s="208">
        <f>IF(D$2&lt;=AnalysisPeriod,'Inputs &amp; Results'!$J$6,0)</f>
        <v>40227150</v>
      </c>
      <c r="E33" s="208">
        <f>IF(E$2&lt;=AnalysisPeriod,'Inputs &amp; Results'!$J$6,0)</f>
        <v>40227150</v>
      </c>
      <c r="F33" s="208">
        <f>IF(F$2&lt;=AnalysisPeriod,'Inputs &amp; Results'!$J$6,0)</f>
        <v>40227150</v>
      </c>
      <c r="G33" s="208">
        <f>IF(G$2&lt;=AnalysisPeriod,'Inputs &amp; Results'!$J$6,0)</f>
        <v>40227150</v>
      </c>
      <c r="H33" s="208">
        <f>IF(H$2&lt;=AnalysisPeriod,'Inputs &amp; Results'!$J$6,0)</f>
        <v>40227150</v>
      </c>
      <c r="I33" s="208">
        <f>IF(I$2&lt;=AnalysisPeriod,'Inputs &amp; Results'!$J$6,0)</f>
        <v>40227150</v>
      </c>
      <c r="J33" s="208">
        <f>IF(J$2&lt;=AnalysisPeriod,'Inputs &amp; Results'!$J$6,0)</f>
        <v>40227150</v>
      </c>
      <c r="K33" s="208">
        <f>IF(K$2&lt;=AnalysisPeriod,'Inputs &amp; Results'!$J$6,0)</f>
        <v>40227150</v>
      </c>
      <c r="L33" s="208">
        <f>IF(L$2&lt;=AnalysisPeriod,'Inputs &amp; Results'!$J$6,0)</f>
        <v>40227150</v>
      </c>
      <c r="M33" s="208">
        <f>IF(M$2&lt;=AnalysisPeriod,'Inputs &amp; Results'!$J$6,0)</f>
        <v>40227150</v>
      </c>
      <c r="N33" s="208">
        <f>IF(N$2&lt;=AnalysisPeriod,'Inputs &amp; Results'!$J$6,0)</f>
        <v>40227150</v>
      </c>
      <c r="O33" s="208">
        <f>IF(O$2&lt;=AnalysisPeriod,'Inputs &amp; Results'!$J$6,0)</f>
        <v>40227150</v>
      </c>
      <c r="P33" s="208">
        <f>IF(P$2&lt;=AnalysisPeriod,'Inputs &amp; Results'!$J$6,0)</f>
        <v>40227150</v>
      </c>
      <c r="Q33" s="208">
        <f>IF(Q$2&lt;=AnalysisPeriod,'Inputs &amp; Results'!$J$6,0)</f>
        <v>40227150</v>
      </c>
      <c r="R33" s="208">
        <f>IF(R$2&lt;=AnalysisPeriod,'Inputs &amp; Results'!$J$6,0)</f>
        <v>40227150</v>
      </c>
      <c r="S33" s="208">
        <f>IF(S$2&lt;=AnalysisPeriod,'Inputs &amp; Results'!$J$6,0)</f>
        <v>40227150</v>
      </c>
      <c r="T33" s="208">
        <f>IF(T$2&lt;=AnalysisPeriod,'Inputs &amp; Results'!$J$6,0)</f>
        <v>40227150</v>
      </c>
      <c r="U33" s="208">
        <f>IF(U$2&lt;=AnalysisPeriod,'Inputs &amp; Results'!$J$6,0)</f>
        <v>40227150</v>
      </c>
      <c r="V33" s="208">
        <f>IF(V$2&lt;=AnalysisPeriod,'Inputs &amp; Results'!$J$6,0)</f>
        <v>40227150</v>
      </c>
      <c r="W33" s="208">
        <f>IF(W$2&lt;=AnalysisPeriod,'Inputs &amp; Results'!$J$6,0)</f>
        <v>40227150</v>
      </c>
      <c r="X33" s="208">
        <f>IF(X$2&lt;=AnalysisPeriod,'Inputs &amp; Results'!$J$6,0)</f>
        <v>40227150</v>
      </c>
      <c r="Y33" s="208">
        <f>IF(Y$2&lt;=AnalysisPeriod,'Inputs &amp; Results'!$J$6,0)</f>
        <v>40227150</v>
      </c>
      <c r="Z33" s="208">
        <f>IF(Z$2&lt;=AnalysisPeriod,'Inputs &amp; Results'!$J$6,0)</f>
        <v>40227150</v>
      </c>
      <c r="AA33" s="208">
        <f>IF(AA$2&lt;=AnalysisPeriod,'Inputs &amp; Results'!$J$6,0)</f>
        <v>40227150</v>
      </c>
      <c r="AB33" s="208">
        <f>IF(AB$2&lt;=AnalysisPeriod,'Inputs &amp; Results'!$J$6,0)</f>
        <v>40227150</v>
      </c>
      <c r="AC33" s="208">
        <f>IF(AC$2&lt;=AnalysisPeriod,'Inputs &amp; Results'!$J$6,0)</f>
        <v>40227150</v>
      </c>
      <c r="AD33" s="208">
        <f>IF(AD$2&lt;=AnalysisPeriod,'Inputs &amp; Results'!$J$6,0)</f>
        <v>40227150</v>
      </c>
      <c r="AE33" s="208">
        <f>IF(AE$2&lt;=AnalysisPeriod,'Inputs &amp; Results'!$J$6,0)</f>
        <v>40227150</v>
      </c>
      <c r="AF33" s="208">
        <f>IF(AF$2&lt;=AnalysisPeriod,'Inputs &amp; Results'!$J$6,0)</f>
        <v>40227150</v>
      </c>
      <c r="AG33" s="208">
        <f>IF(AG$2&lt;=AnalysisPeriod,'Inputs &amp; Results'!$J$6,0)</f>
        <v>0</v>
      </c>
      <c r="AH33" s="208">
        <f>IF(AH$2&lt;=AnalysisPeriod,'Inputs &amp; Results'!$J$6,0)</f>
        <v>0</v>
      </c>
      <c r="AI33" s="208">
        <f>IF(AI$2&lt;=AnalysisPeriod,'Inputs &amp; Results'!$J$6,0)</f>
        <v>0</v>
      </c>
      <c r="AJ33" s="208">
        <f>IF(AJ$2&lt;=AnalysisPeriod,'Inputs &amp; Results'!$J$6,0)</f>
        <v>0</v>
      </c>
      <c r="AK33" s="208">
        <f>IF(AK$2&lt;=AnalysisPeriod,'Inputs &amp; Results'!$J$6,0)</f>
        <v>0</v>
      </c>
      <c r="AL33" s="208">
        <f>IF(AL$2&lt;=AnalysisPeriod,'Inputs &amp; Results'!$J$6,0)</f>
        <v>0</v>
      </c>
      <c r="AM33" s="208">
        <f>IF(AM$2&lt;=AnalysisPeriod,'Inputs &amp; Results'!$J$6,0)</f>
        <v>0</v>
      </c>
      <c r="AN33" s="208">
        <f>IF(AN$2&lt;=AnalysisPeriod,'Inputs &amp; Results'!$J$6,0)</f>
        <v>0</v>
      </c>
      <c r="AO33" s="208">
        <f>IF(AO$2&lt;=AnalysisPeriod,'Inputs &amp; Results'!$J$6,0)</f>
        <v>0</v>
      </c>
      <c r="AP33" s="208">
        <f>IF(AP$2&lt;=AnalysisPeriod,'Inputs &amp; Results'!$J$6,0)</f>
        <v>0</v>
      </c>
    </row>
    <row r="34" spans="1:42">
      <c r="A34" s="211" t="s">
        <v>320</v>
      </c>
      <c r="C34" s="212">
        <f>IF(D$2&lt;=AnalysisPeriod,'Inputs &amp; Results'!$J$7,0)</f>
        <v>0.95</v>
      </c>
      <c r="D34" s="212">
        <f>'Inputs &amp; Results'!$J$7</f>
        <v>0.95</v>
      </c>
      <c r="E34" s="212">
        <f>'Inputs &amp; Results'!$J$7</f>
        <v>0.95</v>
      </c>
      <c r="F34" s="212">
        <f>'Inputs &amp; Results'!$J$7</f>
        <v>0.95</v>
      </c>
      <c r="G34" s="212">
        <f>'Inputs &amp; Results'!$J$7</f>
        <v>0.95</v>
      </c>
      <c r="H34" s="212">
        <f>'Inputs &amp; Results'!$J$7</f>
        <v>0.95</v>
      </c>
      <c r="I34" s="212">
        <f>'Inputs &amp; Results'!$J$7</f>
        <v>0.95</v>
      </c>
      <c r="J34" s="212">
        <f>'Inputs &amp; Results'!$J$7</f>
        <v>0.95</v>
      </c>
      <c r="K34" s="212">
        <f>'Inputs &amp; Results'!$J$7</f>
        <v>0.95</v>
      </c>
      <c r="L34" s="212">
        <f>'Inputs &amp; Results'!$J$7</f>
        <v>0.95</v>
      </c>
      <c r="M34" s="212">
        <f>'Inputs &amp; Results'!$J$7</f>
        <v>0.95</v>
      </c>
      <c r="N34" s="212">
        <f>'Inputs &amp; Results'!$J$7</f>
        <v>0.95</v>
      </c>
      <c r="O34" s="212">
        <f>'Inputs &amp; Results'!$J$7</f>
        <v>0.95</v>
      </c>
      <c r="P34" s="212">
        <f>'Inputs &amp; Results'!$J$7</f>
        <v>0.95</v>
      </c>
      <c r="Q34" s="212">
        <f>'Inputs &amp; Results'!$J$7</f>
        <v>0.95</v>
      </c>
      <c r="R34" s="212">
        <f>'Inputs &amp; Results'!$J$7</f>
        <v>0.95</v>
      </c>
      <c r="S34" s="212">
        <f>'Inputs &amp; Results'!$J$7</f>
        <v>0.95</v>
      </c>
      <c r="T34" s="212">
        <f>'Inputs &amp; Results'!$J$7</f>
        <v>0.95</v>
      </c>
      <c r="U34" s="212">
        <f>'Inputs &amp; Results'!$J$7</f>
        <v>0.95</v>
      </c>
      <c r="V34" s="212">
        <f>'Inputs &amp; Results'!$J$7</f>
        <v>0.95</v>
      </c>
      <c r="W34" s="212">
        <f>'Inputs &amp; Results'!$J$7</f>
        <v>0.95</v>
      </c>
      <c r="X34" s="212">
        <f>'Inputs &amp; Results'!$J$7</f>
        <v>0.95</v>
      </c>
      <c r="Y34" s="212">
        <f>'Inputs &amp; Results'!$J$7</f>
        <v>0.95</v>
      </c>
      <c r="Z34" s="212">
        <f>'Inputs &amp; Results'!$J$7</f>
        <v>0.95</v>
      </c>
      <c r="AA34" s="212">
        <f>'Inputs &amp; Results'!$J$7</f>
        <v>0.95</v>
      </c>
      <c r="AB34" s="212">
        <f>'Inputs &amp; Results'!$J$7</f>
        <v>0.95</v>
      </c>
      <c r="AC34" s="212">
        <f>'Inputs &amp; Results'!$J$7</f>
        <v>0.95</v>
      </c>
      <c r="AD34" s="212">
        <f>'Inputs &amp; Results'!$J$7</f>
        <v>0.95</v>
      </c>
      <c r="AE34" s="212">
        <f>'Inputs &amp; Results'!$J$7</f>
        <v>0.95</v>
      </c>
      <c r="AF34" s="212">
        <f>'Inputs &amp; Results'!$J$7</f>
        <v>0.95</v>
      </c>
      <c r="AG34" s="212">
        <f>'Inputs &amp; Results'!$J$7</f>
        <v>0.95</v>
      </c>
      <c r="AH34" s="212">
        <f>'Inputs &amp; Results'!$J$7</f>
        <v>0.95</v>
      </c>
      <c r="AI34" s="212">
        <f>'Inputs &amp; Results'!$J$7</f>
        <v>0.95</v>
      </c>
      <c r="AJ34" s="212">
        <f>'Inputs &amp; Results'!$J$7</f>
        <v>0.95</v>
      </c>
      <c r="AK34" s="212">
        <f>'Inputs &amp; Results'!$J$7</f>
        <v>0.95</v>
      </c>
      <c r="AL34" s="212">
        <f>'Inputs &amp; Results'!$J$7</f>
        <v>0.95</v>
      </c>
      <c r="AM34" s="212">
        <f>'Inputs &amp; Results'!$J$7</f>
        <v>0.95</v>
      </c>
      <c r="AN34" s="212">
        <f>'Inputs &amp; Results'!$J$7</f>
        <v>0.95</v>
      </c>
      <c r="AO34" s="212">
        <f>'Inputs &amp; Results'!$J$7</f>
        <v>0.95</v>
      </c>
      <c r="AP34" s="212">
        <f>'Inputs &amp; Results'!$J$7</f>
        <v>0.95</v>
      </c>
    </row>
    <row r="35" spans="1:42">
      <c r="A35" s="211" t="s">
        <v>388</v>
      </c>
      <c r="C35" s="208">
        <f>C33*C34</f>
        <v>38215792.5</v>
      </c>
      <c r="D35" s="208">
        <f>D33*D34</f>
        <v>38215792.5</v>
      </c>
      <c r="E35" s="208">
        <f t="shared" ref="E35:K35" si="18">E33*E34</f>
        <v>38215792.5</v>
      </c>
      <c r="F35" s="208">
        <f t="shared" si="18"/>
        <v>38215792.5</v>
      </c>
      <c r="G35" s="208">
        <f t="shared" si="18"/>
        <v>38215792.5</v>
      </c>
      <c r="H35" s="208">
        <f t="shared" si="18"/>
        <v>38215792.5</v>
      </c>
      <c r="I35" s="208">
        <f t="shared" si="18"/>
        <v>38215792.5</v>
      </c>
      <c r="J35" s="208">
        <f t="shared" si="18"/>
        <v>38215792.5</v>
      </c>
      <c r="K35" s="208">
        <f t="shared" si="18"/>
        <v>38215792.5</v>
      </c>
      <c r="L35" s="208">
        <f>L33*L34</f>
        <v>38215792.5</v>
      </c>
      <c r="M35" s="208">
        <f t="shared" ref="M35:R35" si="19">M33*M34</f>
        <v>38215792.5</v>
      </c>
      <c r="N35" s="208">
        <f t="shared" si="19"/>
        <v>38215792.5</v>
      </c>
      <c r="O35" s="208">
        <f t="shared" si="19"/>
        <v>38215792.5</v>
      </c>
      <c r="P35" s="208">
        <f t="shared" si="19"/>
        <v>38215792.5</v>
      </c>
      <c r="Q35" s="208">
        <f t="shared" si="19"/>
        <v>38215792.5</v>
      </c>
      <c r="R35" s="208">
        <f t="shared" si="19"/>
        <v>38215792.5</v>
      </c>
      <c r="S35" s="208">
        <f>S33*S34</f>
        <v>38215792.5</v>
      </c>
      <c r="T35" s="208">
        <f t="shared" ref="T35:X35" si="20">T33*T34</f>
        <v>38215792.5</v>
      </c>
      <c r="U35" s="208">
        <f t="shared" si="20"/>
        <v>38215792.5</v>
      </c>
      <c r="V35" s="208">
        <f t="shared" si="20"/>
        <v>38215792.5</v>
      </c>
      <c r="W35" s="208">
        <f t="shared" si="20"/>
        <v>38215792.5</v>
      </c>
      <c r="X35" s="208">
        <f t="shared" si="20"/>
        <v>38215792.5</v>
      </c>
      <c r="Y35" s="208">
        <f>Y33*Y34</f>
        <v>38215792.5</v>
      </c>
      <c r="Z35" s="208">
        <f t="shared" ref="Z35:AF35" si="21">Z33*Z34</f>
        <v>38215792.5</v>
      </c>
      <c r="AA35" s="208">
        <f t="shared" si="21"/>
        <v>38215792.5</v>
      </c>
      <c r="AB35" s="208">
        <f t="shared" si="21"/>
        <v>38215792.5</v>
      </c>
      <c r="AC35" s="208">
        <f t="shared" si="21"/>
        <v>38215792.5</v>
      </c>
      <c r="AD35" s="208">
        <f t="shared" si="21"/>
        <v>38215792.5</v>
      </c>
      <c r="AE35" s="208">
        <f t="shared" si="21"/>
        <v>38215792.5</v>
      </c>
      <c r="AF35" s="208">
        <f t="shared" si="21"/>
        <v>38215792.5</v>
      </c>
      <c r="AG35" s="208">
        <f>AG33*AG34</f>
        <v>0</v>
      </c>
      <c r="AH35" s="208">
        <f t="shared" ref="AH35:AM35" si="22">AH33*AH34</f>
        <v>0</v>
      </c>
      <c r="AI35" s="208">
        <f t="shared" si="22"/>
        <v>0</v>
      </c>
      <c r="AJ35" s="208">
        <f t="shared" si="22"/>
        <v>0</v>
      </c>
      <c r="AK35" s="208">
        <f t="shared" si="22"/>
        <v>0</v>
      </c>
      <c r="AL35" s="208">
        <f t="shared" si="22"/>
        <v>0</v>
      </c>
      <c r="AM35" s="208">
        <f t="shared" si="22"/>
        <v>0</v>
      </c>
      <c r="AN35" s="208">
        <f>AN33*AN34</f>
        <v>0</v>
      </c>
      <c r="AO35" s="208">
        <f t="shared" ref="AO35:AP35" si="23">AO33*AO34</f>
        <v>0</v>
      </c>
      <c r="AP35" s="208">
        <f t="shared" si="23"/>
        <v>0</v>
      </c>
    </row>
    <row r="36" spans="1:42">
      <c r="A36" s="211" t="s">
        <v>322</v>
      </c>
      <c r="C36" s="213">
        <v>1</v>
      </c>
      <c r="D36" s="214">
        <f>MAX(C36-'Inputs &amp; Results'!$J$9,0)</f>
        <v>0.95</v>
      </c>
      <c r="E36" s="214">
        <f>MAX(D36-'Inputs &amp; Results'!$J$9,0)</f>
        <v>0.89999999999999991</v>
      </c>
      <c r="F36" s="214">
        <f>MAX(E36-'Inputs &amp; Results'!$J$9,0)</f>
        <v>0.84999999999999987</v>
      </c>
      <c r="G36" s="214">
        <f>MAX(F36-'Inputs &amp; Results'!$J$9,0)</f>
        <v>0.79999999999999982</v>
      </c>
      <c r="H36" s="214">
        <f>MAX(G36-'Inputs &amp; Results'!$J$9,0)</f>
        <v>0.74999999999999978</v>
      </c>
      <c r="I36" s="214">
        <f>MAX(H36-'Inputs &amp; Results'!$J$9,0)</f>
        <v>0.69999999999999973</v>
      </c>
      <c r="J36" s="214">
        <f>MAX(I36-'Inputs &amp; Results'!$J$9,0)</f>
        <v>0.64999999999999969</v>
      </c>
      <c r="K36" s="214">
        <f>MAX(J36-'Inputs &amp; Results'!$J$9,0)</f>
        <v>0.59999999999999964</v>
      </c>
      <c r="L36" s="214">
        <f>MAX(K36-'Inputs &amp; Results'!$J$9,0)</f>
        <v>0.5499999999999996</v>
      </c>
      <c r="M36" s="214">
        <f>MAX(L36-'Inputs &amp; Results'!$J$9,0)</f>
        <v>0.49999999999999961</v>
      </c>
      <c r="N36" s="214">
        <f>MAX(M36-'Inputs &amp; Results'!$J$9,0)</f>
        <v>0.44999999999999962</v>
      </c>
      <c r="O36" s="214">
        <f>MAX(N36-'Inputs &amp; Results'!$J$9,0)</f>
        <v>0.39999999999999963</v>
      </c>
      <c r="P36" s="214">
        <f>MAX(O36-'Inputs &amp; Results'!$J$9,0)</f>
        <v>0.34999999999999964</v>
      </c>
      <c r="Q36" s="214">
        <f>MAX(P36-'Inputs &amp; Results'!$J$9,0)</f>
        <v>0.29999999999999966</v>
      </c>
      <c r="R36" s="214">
        <f>MAX(Q36-'Inputs &amp; Results'!$J$9,0)</f>
        <v>0.24999999999999967</v>
      </c>
      <c r="S36" s="214">
        <f>MAX(R36-'Inputs &amp; Results'!$J$9,0)</f>
        <v>0.19999999999999968</v>
      </c>
      <c r="T36" s="214">
        <f>MAX(S36-'Inputs &amp; Results'!$J$9,0)</f>
        <v>0.14999999999999969</v>
      </c>
      <c r="U36" s="214">
        <f>MAX(T36-'Inputs &amp; Results'!$J$9,0)</f>
        <v>9.9999999999999686E-2</v>
      </c>
      <c r="V36" s="214">
        <f>MAX(U36-'Inputs &amp; Results'!$J$9,0)</f>
        <v>4.9999999999999684E-2</v>
      </c>
      <c r="W36" s="214">
        <f>MAX(V36-'Inputs &amp; Results'!$J$9,0)</f>
        <v>0</v>
      </c>
      <c r="X36" s="214">
        <f>MAX(W36-'Inputs &amp; Results'!$J$9,0)</f>
        <v>0</v>
      </c>
      <c r="Y36" s="214">
        <f>MAX(X36-'Inputs &amp; Results'!$J$9,0)</f>
        <v>0</v>
      </c>
      <c r="Z36" s="214">
        <f>MAX(Y36-'Inputs &amp; Results'!$J$9,0)</f>
        <v>0</v>
      </c>
      <c r="AA36" s="214">
        <f>MAX(Z36-'Inputs &amp; Results'!$J$9,0)</f>
        <v>0</v>
      </c>
      <c r="AB36" s="214">
        <f>MAX(AA36-'Inputs &amp; Results'!$J$9,0)</f>
        <v>0</v>
      </c>
      <c r="AC36" s="214">
        <f>MAX(AB36-'Inputs &amp; Results'!$J$9,0)</f>
        <v>0</v>
      </c>
      <c r="AD36" s="214">
        <f>MAX(AC36-'Inputs &amp; Results'!$J$9,0)</f>
        <v>0</v>
      </c>
      <c r="AE36" s="214">
        <f>MAX(AD36-'Inputs &amp; Results'!$J$9,0)</f>
        <v>0</v>
      </c>
      <c r="AF36" s="214">
        <f>MAX(AE36-'Inputs &amp; Results'!$J$9,0)</f>
        <v>0</v>
      </c>
      <c r="AG36" s="214">
        <f>MAX(AF36-'Inputs &amp; Results'!$J$9,0)</f>
        <v>0</v>
      </c>
      <c r="AH36" s="214">
        <f>MAX(AG36-'Inputs &amp; Results'!$J$9,0)</f>
        <v>0</v>
      </c>
      <c r="AI36" s="214">
        <f>MAX(AH36-'Inputs &amp; Results'!$J$9,0)</f>
        <v>0</v>
      </c>
      <c r="AJ36" s="214">
        <f>MAX(AI36-'Inputs &amp; Results'!$J$9,0)</f>
        <v>0</v>
      </c>
      <c r="AK36" s="214">
        <f>MAX(AJ36-'Inputs &amp; Results'!$J$9,0)</f>
        <v>0</v>
      </c>
      <c r="AL36" s="214">
        <f>MAX(AK36-'Inputs &amp; Results'!$J$9,0)</f>
        <v>0</v>
      </c>
      <c r="AM36" s="214">
        <f>MAX(AL36-'Inputs &amp; Results'!$J$9,0)</f>
        <v>0</v>
      </c>
      <c r="AN36" s="214">
        <f>MAX(AM36-'Inputs &amp; Results'!$J$9,0)</f>
        <v>0</v>
      </c>
      <c r="AO36" s="214">
        <f>MAX(AN36-'Inputs &amp; Results'!$J$9,0)</f>
        <v>0</v>
      </c>
      <c r="AP36" s="214">
        <f>MAX(AO36-'Inputs &amp; Results'!$J$9,0)</f>
        <v>0</v>
      </c>
    </row>
    <row r="37" spans="1:42">
      <c r="A37" s="211" t="s">
        <v>324</v>
      </c>
      <c r="C37" s="208">
        <f>C35*C36</f>
        <v>38215792.5</v>
      </c>
      <c r="D37" s="208">
        <f>D35*D36</f>
        <v>36305002.875</v>
      </c>
      <c r="E37" s="208">
        <f t="shared" ref="E37:K37" si="24">E35*E36</f>
        <v>34394213.25</v>
      </c>
      <c r="F37" s="208">
        <f t="shared" si="24"/>
        <v>32483423.624999996</v>
      </c>
      <c r="G37" s="208">
        <f t="shared" si="24"/>
        <v>30572633.999999993</v>
      </c>
      <c r="H37" s="208">
        <f t="shared" si="24"/>
        <v>28661844.374999993</v>
      </c>
      <c r="I37" s="208">
        <f t="shared" si="24"/>
        <v>26751054.749999989</v>
      </c>
      <c r="J37" s="208">
        <f t="shared" si="24"/>
        <v>24840265.124999989</v>
      </c>
      <c r="K37" s="208">
        <f t="shared" si="24"/>
        <v>22929475.499999985</v>
      </c>
      <c r="L37" s="208">
        <f>L35*L36</f>
        <v>21018685.874999985</v>
      </c>
      <c r="M37" s="208">
        <f t="shared" ref="M37:R37" si="25">M35*M36</f>
        <v>19107896.249999985</v>
      </c>
      <c r="N37" s="208">
        <f t="shared" si="25"/>
        <v>17197106.624999985</v>
      </c>
      <c r="O37" s="208">
        <f t="shared" si="25"/>
        <v>15286316.999999985</v>
      </c>
      <c r="P37" s="208">
        <f t="shared" si="25"/>
        <v>13375527.374999987</v>
      </c>
      <c r="Q37" s="208">
        <f t="shared" si="25"/>
        <v>11464737.749999987</v>
      </c>
      <c r="R37" s="208">
        <f t="shared" si="25"/>
        <v>9553948.124999987</v>
      </c>
      <c r="S37" s="208">
        <f>S35*S36</f>
        <v>7643158.4999999879</v>
      </c>
      <c r="T37" s="208">
        <f t="shared" ref="T37:X37" si="26">T35*T36</f>
        <v>5732368.8749999879</v>
      </c>
      <c r="U37" s="208">
        <f t="shared" si="26"/>
        <v>3821579.2499999879</v>
      </c>
      <c r="V37" s="208">
        <f t="shared" si="26"/>
        <v>1910789.6249999879</v>
      </c>
      <c r="W37" s="208">
        <f t="shared" si="26"/>
        <v>0</v>
      </c>
      <c r="X37" s="208">
        <f t="shared" si="26"/>
        <v>0</v>
      </c>
      <c r="Y37" s="208">
        <f>Y35*Y36</f>
        <v>0</v>
      </c>
      <c r="Z37" s="208">
        <f t="shared" ref="Z37:AF37" si="27">Z35*Z36</f>
        <v>0</v>
      </c>
      <c r="AA37" s="208">
        <f t="shared" si="27"/>
        <v>0</v>
      </c>
      <c r="AB37" s="208">
        <f t="shared" si="27"/>
        <v>0</v>
      </c>
      <c r="AC37" s="208">
        <f t="shared" si="27"/>
        <v>0</v>
      </c>
      <c r="AD37" s="208">
        <f t="shared" si="27"/>
        <v>0</v>
      </c>
      <c r="AE37" s="208">
        <f t="shared" si="27"/>
        <v>0</v>
      </c>
      <c r="AF37" s="208">
        <f t="shared" si="27"/>
        <v>0</v>
      </c>
      <c r="AG37" s="208">
        <f>AG35*AG36</f>
        <v>0</v>
      </c>
      <c r="AH37" s="208">
        <f t="shared" ref="AH37:AM37" si="28">AH35*AH36</f>
        <v>0</v>
      </c>
      <c r="AI37" s="208">
        <f t="shared" si="28"/>
        <v>0</v>
      </c>
      <c r="AJ37" s="208">
        <f t="shared" si="28"/>
        <v>0</v>
      </c>
      <c r="AK37" s="208">
        <f t="shared" si="28"/>
        <v>0</v>
      </c>
      <c r="AL37" s="208">
        <f t="shared" si="28"/>
        <v>0</v>
      </c>
      <c r="AM37" s="208">
        <f t="shared" si="28"/>
        <v>0</v>
      </c>
      <c r="AN37" s="208">
        <f>AN35*AN36</f>
        <v>0</v>
      </c>
      <c r="AO37" s="208">
        <f t="shared" ref="AO37:AP37" si="29">AO35*AO36</f>
        <v>0</v>
      </c>
      <c r="AP37" s="208">
        <f t="shared" si="29"/>
        <v>0</v>
      </c>
    </row>
    <row r="38" spans="1:42">
      <c r="A38" s="211" t="s">
        <v>323</v>
      </c>
      <c r="C38" s="212">
        <f t="shared" ref="C38:AP38" si="30">PropertyTaxRate</f>
        <v>7.4999999999999997E-3</v>
      </c>
      <c r="D38" s="212">
        <f t="shared" si="30"/>
        <v>7.4999999999999997E-3</v>
      </c>
      <c r="E38" s="212">
        <f t="shared" si="30"/>
        <v>7.4999999999999997E-3</v>
      </c>
      <c r="F38" s="212">
        <f t="shared" si="30"/>
        <v>7.4999999999999997E-3</v>
      </c>
      <c r="G38" s="212">
        <f t="shared" si="30"/>
        <v>7.4999999999999997E-3</v>
      </c>
      <c r="H38" s="212">
        <f t="shared" si="30"/>
        <v>7.4999999999999997E-3</v>
      </c>
      <c r="I38" s="212">
        <f t="shared" si="30"/>
        <v>7.4999999999999997E-3</v>
      </c>
      <c r="J38" s="212">
        <f t="shared" si="30"/>
        <v>7.4999999999999997E-3</v>
      </c>
      <c r="K38" s="212">
        <f t="shared" si="30"/>
        <v>7.4999999999999997E-3</v>
      </c>
      <c r="L38" s="212">
        <f t="shared" si="30"/>
        <v>7.4999999999999997E-3</v>
      </c>
      <c r="M38" s="212">
        <f t="shared" si="30"/>
        <v>7.4999999999999997E-3</v>
      </c>
      <c r="N38" s="212">
        <f t="shared" si="30"/>
        <v>7.4999999999999997E-3</v>
      </c>
      <c r="O38" s="212">
        <f t="shared" si="30"/>
        <v>7.4999999999999997E-3</v>
      </c>
      <c r="P38" s="212">
        <f t="shared" si="30"/>
        <v>7.4999999999999997E-3</v>
      </c>
      <c r="Q38" s="212">
        <f t="shared" si="30"/>
        <v>7.4999999999999997E-3</v>
      </c>
      <c r="R38" s="212">
        <f t="shared" si="30"/>
        <v>7.4999999999999997E-3</v>
      </c>
      <c r="S38" s="212">
        <f t="shared" si="30"/>
        <v>7.4999999999999997E-3</v>
      </c>
      <c r="T38" s="212">
        <f t="shared" si="30"/>
        <v>7.4999999999999997E-3</v>
      </c>
      <c r="U38" s="212">
        <f t="shared" si="30"/>
        <v>7.4999999999999997E-3</v>
      </c>
      <c r="V38" s="212">
        <f t="shared" si="30"/>
        <v>7.4999999999999997E-3</v>
      </c>
      <c r="W38" s="212">
        <f t="shared" si="30"/>
        <v>7.4999999999999997E-3</v>
      </c>
      <c r="X38" s="212">
        <f t="shared" si="30"/>
        <v>7.4999999999999997E-3</v>
      </c>
      <c r="Y38" s="212">
        <f t="shared" si="30"/>
        <v>7.4999999999999997E-3</v>
      </c>
      <c r="Z38" s="212">
        <f t="shared" si="30"/>
        <v>7.4999999999999997E-3</v>
      </c>
      <c r="AA38" s="212">
        <f t="shared" si="30"/>
        <v>7.4999999999999997E-3</v>
      </c>
      <c r="AB38" s="212">
        <f t="shared" si="30"/>
        <v>7.4999999999999997E-3</v>
      </c>
      <c r="AC38" s="212">
        <f t="shared" si="30"/>
        <v>7.4999999999999997E-3</v>
      </c>
      <c r="AD38" s="212">
        <f t="shared" si="30"/>
        <v>7.4999999999999997E-3</v>
      </c>
      <c r="AE38" s="212">
        <f t="shared" si="30"/>
        <v>7.4999999999999997E-3</v>
      </c>
      <c r="AF38" s="212">
        <f t="shared" si="30"/>
        <v>7.4999999999999997E-3</v>
      </c>
      <c r="AG38" s="212">
        <f t="shared" si="30"/>
        <v>7.4999999999999997E-3</v>
      </c>
      <c r="AH38" s="212">
        <f t="shared" si="30"/>
        <v>7.4999999999999997E-3</v>
      </c>
      <c r="AI38" s="212">
        <f t="shared" si="30"/>
        <v>7.4999999999999997E-3</v>
      </c>
      <c r="AJ38" s="212">
        <f t="shared" si="30"/>
        <v>7.4999999999999997E-3</v>
      </c>
      <c r="AK38" s="212">
        <f t="shared" si="30"/>
        <v>7.4999999999999997E-3</v>
      </c>
      <c r="AL38" s="212">
        <f t="shared" si="30"/>
        <v>7.4999999999999997E-3</v>
      </c>
      <c r="AM38" s="212">
        <f t="shared" si="30"/>
        <v>7.4999999999999997E-3</v>
      </c>
      <c r="AN38" s="212">
        <f t="shared" si="30"/>
        <v>7.4999999999999997E-3</v>
      </c>
      <c r="AO38" s="212">
        <f t="shared" si="30"/>
        <v>7.4999999999999997E-3</v>
      </c>
      <c r="AP38" s="212">
        <f t="shared" si="30"/>
        <v>7.4999999999999997E-3</v>
      </c>
    </row>
    <row r="39" spans="1:42">
      <c r="A39" s="211" t="s">
        <v>22</v>
      </c>
      <c r="C39" s="164">
        <f>C37*C38</f>
        <v>286618.44374999998</v>
      </c>
      <c r="D39" s="164">
        <f>D37*D38</f>
        <v>272287.52156249998</v>
      </c>
      <c r="E39" s="164">
        <f t="shared" ref="E39:K39" si="31">E37*E38</f>
        <v>257956.59937499999</v>
      </c>
      <c r="F39" s="164">
        <f t="shared" si="31"/>
        <v>243625.67718749997</v>
      </c>
      <c r="G39" s="164">
        <f t="shared" si="31"/>
        <v>229294.75499999995</v>
      </c>
      <c r="H39" s="164">
        <f t="shared" si="31"/>
        <v>214963.83281249992</v>
      </c>
      <c r="I39" s="164">
        <f t="shared" si="31"/>
        <v>200632.9106249999</v>
      </c>
      <c r="J39" s="164">
        <f t="shared" si="31"/>
        <v>186301.98843749991</v>
      </c>
      <c r="K39" s="164">
        <f t="shared" si="31"/>
        <v>171971.06624999989</v>
      </c>
      <c r="L39" s="164">
        <f>L37*L38</f>
        <v>157640.14406249989</v>
      </c>
      <c r="M39" s="164">
        <f t="shared" ref="M39:R39" si="32">M37*M38</f>
        <v>143309.22187499987</v>
      </c>
      <c r="N39" s="164">
        <f t="shared" si="32"/>
        <v>128978.29968749988</v>
      </c>
      <c r="O39" s="164">
        <f t="shared" si="32"/>
        <v>114647.37749999989</v>
      </c>
      <c r="P39" s="164">
        <f t="shared" si="32"/>
        <v>100316.45531249989</v>
      </c>
      <c r="Q39" s="164">
        <f t="shared" si="32"/>
        <v>85985.5331249999</v>
      </c>
      <c r="R39" s="164">
        <f t="shared" si="32"/>
        <v>71654.610937499892</v>
      </c>
      <c r="S39" s="164">
        <f>S37*S38</f>
        <v>57323.688749999907</v>
      </c>
      <c r="T39" s="164">
        <f t="shared" ref="T39:X39" si="33">T37*T38</f>
        <v>42992.766562499906</v>
      </c>
      <c r="U39" s="164">
        <f t="shared" si="33"/>
        <v>28661.84437499991</v>
      </c>
      <c r="V39" s="164">
        <f t="shared" si="33"/>
        <v>14330.922187499909</v>
      </c>
      <c r="W39" s="164">
        <f t="shared" si="33"/>
        <v>0</v>
      </c>
      <c r="X39" s="164">
        <f t="shared" si="33"/>
        <v>0</v>
      </c>
      <c r="Y39" s="164">
        <f>Y37*Y38</f>
        <v>0</v>
      </c>
      <c r="Z39" s="164">
        <f t="shared" ref="Z39:AF39" si="34">Z37*Z38</f>
        <v>0</v>
      </c>
      <c r="AA39" s="164">
        <f t="shared" si="34"/>
        <v>0</v>
      </c>
      <c r="AB39" s="164">
        <f t="shared" si="34"/>
        <v>0</v>
      </c>
      <c r="AC39" s="164">
        <f t="shared" si="34"/>
        <v>0</v>
      </c>
      <c r="AD39" s="164">
        <f t="shared" si="34"/>
        <v>0</v>
      </c>
      <c r="AE39" s="164">
        <f t="shared" si="34"/>
        <v>0</v>
      </c>
      <c r="AF39" s="164">
        <f t="shared" si="34"/>
        <v>0</v>
      </c>
      <c r="AG39" s="164">
        <f>AG37*AG38</f>
        <v>0</v>
      </c>
      <c r="AH39" s="164">
        <f t="shared" ref="AH39:AM39" si="35">AH37*AH38</f>
        <v>0</v>
      </c>
      <c r="AI39" s="164">
        <f t="shared" si="35"/>
        <v>0</v>
      </c>
      <c r="AJ39" s="164">
        <f t="shared" si="35"/>
        <v>0</v>
      </c>
      <c r="AK39" s="164">
        <f t="shared" si="35"/>
        <v>0</v>
      </c>
      <c r="AL39" s="164">
        <f t="shared" si="35"/>
        <v>0</v>
      </c>
      <c r="AM39" s="164">
        <f t="shared" si="35"/>
        <v>0</v>
      </c>
      <c r="AN39" s="164">
        <f>AN37*AN38</f>
        <v>0</v>
      </c>
      <c r="AO39" s="164">
        <f t="shared" ref="AO39:AP39" si="36">AO37*AO38</f>
        <v>0</v>
      </c>
      <c r="AP39" s="164">
        <f t="shared" si="36"/>
        <v>0</v>
      </c>
    </row>
    <row r="40" spans="1:42">
      <c r="A40" s="202" t="s">
        <v>136</v>
      </c>
      <c r="C40" s="209">
        <f>IF(C$2&lt;=AnalysisPeriod,PreFinancingInstalledCostTotal*'Inputs &amp; Results'!$J$12*(1+Inflation)^B$2,0)</f>
        <v>201135.75</v>
      </c>
      <c r="D40" s="209">
        <f>IF(D$2&lt;=AnalysisPeriod,PreFinancingInstalledCostTotal*'Inputs &amp; Results'!$J$12*(1+Inflation)^C$2,0)</f>
        <v>204152.78624999998</v>
      </c>
      <c r="E40" s="209">
        <f>IF(E$2&lt;=AnalysisPeriod,PreFinancingInstalledCostTotal*'Inputs &amp; Results'!$J$12*(1+Inflation)^D$2,0)</f>
        <v>207215.07804374993</v>
      </c>
      <c r="F40" s="209">
        <f>IF(F$2&lt;=AnalysisPeriod,PreFinancingInstalledCostTotal*'Inputs &amp; Results'!$J$12*(1+Inflation)^E$2,0)</f>
        <v>210323.30421440618</v>
      </c>
      <c r="G40" s="209">
        <f>IF(G$2&lt;=AnalysisPeriod,PreFinancingInstalledCostTotal*'Inputs &amp; Results'!$J$12*(1+Inflation)^F$2,0)</f>
        <v>213478.15377762224</v>
      </c>
      <c r="H40" s="209">
        <f>IF(H$2&lt;=AnalysisPeriod,PreFinancingInstalledCostTotal*'Inputs &amp; Results'!$J$12*(1+Inflation)^G$2,0)</f>
        <v>216680.32608428653</v>
      </c>
      <c r="I40" s="209">
        <f>IF(I$2&lt;=AnalysisPeriod,PreFinancingInstalledCostTotal*'Inputs &amp; Results'!$J$12*(1+Inflation)^H$2,0)</f>
        <v>219930.53097555079</v>
      </c>
      <c r="J40" s="209">
        <f>IF(J$2&lt;=AnalysisPeriod,PreFinancingInstalledCostTotal*'Inputs &amp; Results'!$J$12*(1+Inflation)^I$2,0)</f>
        <v>223229.488940184</v>
      </c>
      <c r="K40" s="209">
        <f>IF(K$2&lt;=AnalysisPeriod,PreFinancingInstalledCostTotal*'Inputs &amp; Results'!$J$12*(1+Inflation)^J$2,0)</f>
        <v>226577.93127428676</v>
      </c>
      <c r="L40" s="209">
        <f>IF(L$2&lt;=AnalysisPeriod,PreFinancingInstalledCostTotal*'Inputs &amp; Results'!$J$12*(1+Inflation)^K$2,0)</f>
        <v>229976.60024340104</v>
      </c>
      <c r="M40" s="209">
        <f>IF(M$2&lt;=AnalysisPeriod,PreFinancingInstalledCostTotal*'Inputs &amp; Results'!$J$12*(1+Inflation)^L$2,0)</f>
        <v>233426.24924705201</v>
      </c>
      <c r="N40" s="209">
        <f>IF(N$2&lt;=AnalysisPeriod,PreFinancingInstalledCostTotal*'Inputs &amp; Results'!$J$12*(1+Inflation)^M$2,0)</f>
        <v>236927.64298575779</v>
      </c>
      <c r="O40" s="209">
        <f>IF(O$2&lt;=AnalysisPeriod,PreFinancingInstalledCostTotal*'Inputs &amp; Results'!$J$12*(1+Inflation)^N$2,0)</f>
        <v>240481.55763054409</v>
      </c>
      <c r="P40" s="209">
        <f>IF(P$2&lt;=AnalysisPeriod,PreFinancingInstalledCostTotal*'Inputs &amp; Results'!$J$12*(1+Inflation)^O$2,0)</f>
        <v>244088.78099500225</v>
      </c>
      <c r="Q40" s="209">
        <f>IF(Q$2&lt;=AnalysisPeriod,PreFinancingInstalledCostTotal*'Inputs &amp; Results'!$J$12*(1+Inflation)^P$2,0)</f>
        <v>247750.1127099272</v>
      </c>
      <c r="R40" s="209">
        <f>IF(R$2&lt;=AnalysisPeriod,PreFinancingInstalledCostTotal*'Inputs &amp; Results'!$J$12*(1+Inflation)^Q$2,0)</f>
        <v>251466.36440057607</v>
      </c>
      <c r="S40" s="209">
        <f>IF(S$2&lt;=AnalysisPeriod,PreFinancingInstalledCostTotal*'Inputs &amp; Results'!$J$12*(1+Inflation)^R$2,0)</f>
        <v>255238.35986658468</v>
      </c>
      <c r="T40" s="209">
        <f>IF(T$2&lt;=AnalysisPeriod,PreFinancingInstalledCostTotal*'Inputs &amp; Results'!$J$12*(1+Inflation)^S$2,0)</f>
        <v>259066.93526458342</v>
      </c>
      <c r="U40" s="209">
        <f>IF(U$2&lt;=AnalysisPeriod,PreFinancingInstalledCostTotal*'Inputs &amp; Results'!$J$12*(1+Inflation)^T$2,0)</f>
        <v>262952.93929355213</v>
      </c>
      <c r="V40" s="209">
        <f>IF(V$2&lt;=AnalysisPeriod,PreFinancingInstalledCostTotal*'Inputs &amp; Results'!$J$12*(1+Inflation)^U$2,0)</f>
        <v>266897.23338295543</v>
      </c>
      <c r="W40" s="209">
        <f>IF(W$2&lt;=AnalysisPeriod,PreFinancingInstalledCostTotal*'Inputs &amp; Results'!$J$12*(1+Inflation)^V$2,0)</f>
        <v>270900.69188369968</v>
      </c>
      <c r="X40" s="209">
        <f>IF(X$2&lt;=AnalysisPeriod,PreFinancingInstalledCostTotal*'Inputs &amp; Results'!$J$12*(1+Inflation)^W$2,0)</f>
        <v>274964.20226195513</v>
      </c>
      <c r="Y40" s="209">
        <f>IF(Y$2&lt;=AnalysisPeriod,PreFinancingInstalledCostTotal*'Inputs &amp; Results'!$J$12*(1+Inflation)^X$2,0)</f>
        <v>279088.66529588442</v>
      </c>
      <c r="Z40" s="209">
        <f>IF(Z$2&lt;=AnalysisPeriod,PreFinancingInstalledCostTotal*'Inputs &amp; Results'!$J$12*(1+Inflation)^Y$2,0)</f>
        <v>283274.99527532264</v>
      </c>
      <c r="AA40" s="209">
        <f>IF(AA$2&lt;=AnalysisPeriod,PreFinancingInstalledCostTotal*'Inputs &amp; Results'!$J$12*(1+Inflation)^Z$2,0)</f>
        <v>287524.12020445243</v>
      </c>
      <c r="AB40" s="209">
        <f>IF(AB$2&lt;=AnalysisPeriod,PreFinancingInstalledCostTotal*'Inputs &amp; Results'!$J$12*(1+Inflation)^AA$2,0)</f>
        <v>291836.98200751923</v>
      </c>
      <c r="AC40" s="209">
        <f>IF(AC$2&lt;=AnalysisPeriod,PreFinancingInstalledCostTotal*'Inputs &amp; Results'!$J$12*(1+Inflation)^AB$2,0)</f>
        <v>296214.53673763195</v>
      </c>
      <c r="AD40" s="209">
        <f>IF(AD$2&lt;=AnalysisPeriod,PreFinancingInstalledCostTotal*'Inputs &amp; Results'!$J$12*(1+Inflation)^AC$2,0)</f>
        <v>300657.75478869642</v>
      </c>
      <c r="AE40" s="209">
        <f>IF(AE$2&lt;=AnalysisPeriod,PreFinancingInstalledCostTotal*'Inputs &amp; Results'!$J$12*(1+Inflation)^AD$2,0)</f>
        <v>305167.62111052679</v>
      </c>
      <c r="AF40" s="209">
        <f>IF(AF$2&lt;=AnalysisPeriod,PreFinancingInstalledCostTotal*'Inputs &amp; Results'!$J$12*(1+Inflation)^AE$2,0)</f>
        <v>309745.13542718469</v>
      </c>
      <c r="AG40" s="209">
        <f>IF(AG$2&lt;=AnalysisPeriod,PreFinancingInstalledCostTotal*'Inputs &amp; Results'!$J$12*(1+Inflation)^AF$2,0)</f>
        <v>0</v>
      </c>
      <c r="AH40" s="209">
        <f>IF(AH$2&lt;=AnalysisPeriod,PreFinancingInstalledCostTotal*'Inputs &amp; Results'!$J$12*(1+Inflation)^AG$2,0)</f>
        <v>0</v>
      </c>
      <c r="AI40" s="209">
        <f>IF(AI$2&lt;=AnalysisPeriod,PreFinancingInstalledCostTotal*'Inputs &amp; Results'!$J$12*(1+Inflation)^AH$2,0)</f>
        <v>0</v>
      </c>
      <c r="AJ40" s="209">
        <f>IF(AJ$2&lt;=AnalysisPeriod,PreFinancingInstalledCostTotal*'Inputs &amp; Results'!$J$12*(1+Inflation)^AI$2,0)</f>
        <v>0</v>
      </c>
      <c r="AK40" s="209">
        <f>IF(AK$2&lt;=AnalysisPeriod,PreFinancingInstalledCostTotal*'Inputs &amp; Results'!$J$12*(1+Inflation)^AJ$2,0)</f>
        <v>0</v>
      </c>
      <c r="AL40" s="209">
        <f>IF(AL$2&lt;=AnalysisPeriod,PreFinancingInstalledCostTotal*'Inputs &amp; Results'!$J$12*(1+Inflation)^AK$2,0)</f>
        <v>0</v>
      </c>
      <c r="AM40" s="209">
        <f>IF(AM$2&lt;=AnalysisPeriod,PreFinancingInstalledCostTotal*'Inputs &amp; Results'!$J$12*(1+Inflation)^AL$2,0)</f>
        <v>0</v>
      </c>
      <c r="AN40" s="209">
        <f>IF(AN$2&lt;=AnalysisPeriod,PreFinancingInstalledCostTotal*'Inputs &amp; Results'!$J$12*(1+Inflation)^AM$2,0)</f>
        <v>0</v>
      </c>
      <c r="AO40" s="209">
        <f>IF(AO$2&lt;=AnalysisPeriod,PreFinancingInstalledCostTotal*'Inputs &amp; Results'!$J$12*(1+Inflation)^AN$2,0)</f>
        <v>0</v>
      </c>
      <c r="AP40" s="209">
        <f>IF(AP$2&lt;=AnalysisPeriod,PreFinancingInstalledCostTotal*'Inputs &amp; Results'!$J$12*(1+Inflation)^AO$2,0)</f>
        <v>0</v>
      </c>
    </row>
    <row r="41" spans="1:42">
      <c r="A41" s="37" t="s">
        <v>74</v>
      </c>
      <c r="C41" s="164">
        <f t="shared" ref="C41:AP41" si="37">C23+C27+C31+C39+C40</f>
        <v>777254.19374999998</v>
      </c>
      <c r="D41" s="164">
        <f t="shared" si="37"/>
        <v>771730.84531250002</v>
      </c>
      <c r="E41" s="164">
        <f t="shared" si="37"/>
        <v>766376.23850343737</v>
      </c>
      <c r="F41" s="164">
        <f t="shared" si="37"/>
        <v>761193.77251473407</v>
      </c>
      <c r="G41" s="164">
        <f t="shared" si="37"/>
        <v>756186.91758800286</v>
      </c>
      <c r="H41" s="164">
        <f t="shared" si="37"/>
        <v>751359.21653930179</v>
      </c>
      <c r="I41" s="164">
        <f t="shared" si="37"/>
        <v>746714.28631722322</v>
      </c>
      <c r="J41" s="164">
        <f t="shared" si="37"/>
        <v>742255.81959505379</v>
      </c>
      <c r="K41" s="164">
        <f t="shared" si="37"/>
        <v>737987.58639776008</v>
      </c>
      <c r="L41" s="164">
        <f t="shared" si="37"/>
        <v>733913.4357645741</v>
      </c>
      <c r="M41" s="164">
        <f t="shared" si="37"/>
        <v>730037.29744796408</v>
      </c>
      <c r="N41" s="164">
        <f t="shared" si="37"/>
        <v>726363.18364979955</v>
      </c>
      <c r="O41" s="164">
        <f t="shared" si="37"/>
        <v>722895.19079553359</v>
      </c>
      <c r="P41" s="164">
        <f t="shared" si="37"/>
        <v>719637.50134724576</v>
      </c>
      <c r="Q41" s="164">
        <f t="shared" si="37"/>
        <v>716594.38565640873</v>
      </c>
      <c r="R41" s="164">
        <f t="shared" si="37"/>
        <v>713770.2038572568</v>
      </c>
      <c r="S41" s="164">
        <f t="shared" si="37"/>
        <v>711169.40780165966</v>
      </c>
      <c r="T41" s="164">
        <f t="shared" si="37"/>
        <v>708796.54303642223</v>
      </c>
      <c r="U41" s="164">
        <f t="shared" si="37"/>
        <v>706656.25082394935</v>
      </c>
      <c r="V41" s="164">
        <f t="shared" si="37"/>
        <v>704753.27020724164</v>
      </c>
      <c r="W41" s="164">
        <f t="shared" si="37"/>
        <v>703092.440120204</v>
      </c>
      <c r="X41" s="164">
        <f t="shared" si="37"/>
        <v>716009.62373177486</v>
      </c>
      <c r="Y41" s="164">
        <f t="shared" si="37"/>
        <v>729178.94408740243</v>
      </c>
      <c r="Z41" s="164">
        <f t="shared" si="37"/>
        <v>742605.55292392347</v>
      </c>
      <c r="AA41" s="164">
        <f t="shared" si="37"/>
        <v>756294.71078391466</v>
      </c>
      <c r="AB41" s="164">
        <f t="shared" si="37"/>
        <v>770251.78936812212</v>
      </c>
      <c r="AC41" s="164">
        <f t="shared" si="37"/>
        <v>784482.27393958764</v>
      </c>
      <c r="AD41" s="164">
        <f t="shared" si="37"/>
        <v>798991.765780624</v>
      </c>
      <c r="AE41" s="164">
        <f t="shared" si="37"/>
        <v>813785.98470381368</v>
      </c>
      <c r="AF41" s="164">
        <f t="shared" si="37"/>
        <v>828870.77161823248</v>
      </c>
      <c r="AG41" s="164">
        <f t="shared" si="37"/>
        <v>0</v>
      </c>
      <c r="AH41" s="164">
        <f t="shared" si="37"/>
        <v>0</v>
      </c>
      <c r="AI41" s="164">
        <f t="shared" si="37"/>
        <v>0</v>
      </c>
      <c r="AJ41" s="164">
        <f t="shared" si="37"/>
        <v>0</v>
      </c>
      <c r="AK41" s="164">
        <f t="shared" si="37"/>
        <v>0</v>
      </c>
      <c r="AL41" s="164">
        <f t="shared" si="37"/>
        <v>0</v>
      </c>
      <c r="AM41" s="164">
        <f t="shared" si="37"/>
        <v>0</v>
      </c>
      <c r="AN41" s="164">
        <f t="shared" si="37"/>
        <v>0</v>
      </c>
      <c r="AO41" s="164">
        <f t="shared" si="37"/>
        <v>0</v>
      </c>
      <c r="AP41" s="164">
        <f t="shared" si="37"/>
        <v>0</v>
      </c>
    </row>
    <row r="43" spans="1:42" ht="13.5" thickBot="1">
      <c r="A43" s="204" t="s">
        <v>80</v>
      </c>
      <c r="C43" s="215">
        <f t="shared" ref="C43:AP43" si="38">C20-C41</f>
        <v>3251243.1691174768</v>
      </c>
      <c r="D43" s="215">
        <f t="shared" si="38"/>
        <v>3276707.5795011711</v>
      </c>
      <c r="E43" s="215">
        <f t="shared" si="38"/>
        <v>3302101.9565130612</v>
      </c>
      <c r="F43" s="215">
        <f t="shared" si="38"/>
        <v>3327423.3895670958</v>
      </c>
      <c r="G43" s="215">
        <f t="shared" si="38"/>
        <v>3352668.8994461317</v>
      </c>
      <c r="H43" s="215">
        <f t="shared" si="38"/>
        <v>3377835.4367891513</v>
      </c>
      <c r="I43" s="215">
        <f t="shared" si="38"/>
        <v>3402919.8805452073</v>
      </c>
      <c r="J43" s="215">
        <f t="shared" si="38"/>
        <v>3427919.0363933449</v>
      </c>
      <c r="K43" s="215">
        <f t="shared" si="38"/>
        <v>3452829.6351277819</v>
      </c>
      <c r="L43" s="215">
        <f t="shared" si="38"/>
        <v>3477648.3310075202</v>
      </c>
      <c r="M43" s="215">
        <f t="shared" si="38"/>
        <v>3502371.7000696524</v>
      </c>
      <c r="N43" s="215">
        <f t="shared" si="38"/>
        <v>3526996.2384055275</v>
      </c>
      <c r="O43" s="215">
        <f t="shared" si="38"/>
        <v>3551518.3603989678</v>
      </c>
      <c r="P43" s="215">
        <f t="shared" si="38"/>
        <v>3575934.3969256682</v>
      </c>
      <c r="Q43" s="215">
        <f t="shared" si="38"/>
        <v>3600240.593512957</v>
      </c>
      <c r="R43" s="215">
        <f t="shared" si="38"/>
        <v>3624433.1084589958</v>
      </c>
      <c r="S43" s="215">
        <f t="shared" si="38"/>
        <v>3648508.0109105594</v>
      </c>
      <c r="T43" s="215">
        <f t="shared" si="38"/>
        <v>3672461.2788984231</v>
      </c>
      <c r="U43" s="215">
        <f t="shared" si="38"/>
        <v>3696288.7973294733</v>
      </c>
      <c r="V43" s="215">
        <f t="shared" si="38"/>
        <v>3719986.3559345393</v>
      </c>
      <c r="W43" s="215">
        <f t="shared" si="38"/>
        <v>3743549.6471709791</v>
      </c>
      <c r="X43" s="215">
        <f t="shared" si="38"/>
        <v>3752643.3418914988</v>
      </c>
      <c r="Y43" s="215">
        <f t="shared" si="38"/>
        <v>3761593.8537157071</v>
      </c>
      <c r="Z43" s="215">
        <f t="shared" si="38"/>
        <v>3770396.5702283112</v>
      </c>
      <c r="AA43" s="215">
        <f t="shared" si="38"/>
        <v>3779046.7728779251</v>
      </c>
      <c r="AB43" s="215">
        <f t="shared" si="38"/>
        <v>3787539.6346378447</v>
      </c>
      <c r="AC43" s="215">
        <f t="shared" si="38"/>
        <v>3795870.2176152072</v>
      </c>
      <c r="AD43" s="215">
        <f t="shared" si="38"/>
        <v>3804033.4706073655</v>
      </c>
      <c r="AE43" s="215">
        <f t="shared" si="38"/>
        <v>3812024.2266042968</v>
      </c>
      <c r="AF43" s="215">
        <f t="shared" si="38"/>
        <v>7842552.200235853</v>
      </c>
      <c r="AG43" s="215">
        <f t="shared" si="38"/>
        <v>0</v>
      </c>
      <c r="AH43" s="215">
        <f t="shared" si="38"/>
        <v>0</v>
      </c>
      <c r="AI43" s="215">
        <f t="shared" si="38"/>
        <v>0</v>
      </c>
      <c r="AJ43" s="215">
        <f t="shared" si="38"/>
        <v>0</v>
      </c>
      <c r="AK43" s="215">
        <f t="shared" si="38"/>
        <v>0</v>
      </c>
      <c r="AL43" s="215">
        <f t="shared" si="38"/>
        <v>0</v>
      </c>
      <c r="AM43" s="215">
        <f t="shared" si="38"/>
        <v>0</v>
      </c>
      <c r="AN43" s="215">
        <f t="shared" si="38"/>
        <v>0</v>
      </c>
      <c r="AO43" s="215">
        <f t="shared" si="38"/>
        <v>0</v>
      </c>
      <c r="AP43" s="215">
        <f t="shared" si="38"/>
        <v>0</v>
      </c>
    </row>
    <row r="44" spans="1:42" ht="13.5" thickTop="1">
      <c r="C44" s="208"/>
      <c r="D44" s="208"/>
      <c r="E44" s="208"/>
      <c r="F44" s="208"/>
      <c r="G44" s="208"/>
      <c r="H44" s="208"/>
      <c r="I44" s="208"/>
      <c r="J44" s="208"/>
      <c r="K44" s="208"/>
      <c r="L44" s="208"/>
      <c r="M44" s="208"/>
      <c r="N44" s="208"/>
      <c r="O44" s="208"/>
      <c r="P44" s="208"/>
      <c r="Q44" s="208"/>
      <c r="R44" s="208"/>
      <c r="S44" s="208"/>
      <c r="T44" s="208"/>
      <c r="U44" s="208"/>
      <c r="V44" s="208"/>
      <c r="W44" s="208"/>
      <c r="X44" s="208"/>
      <c r="Y44" s="208"/>
      <c r="Z44" s="208"/>
      <c r="AA44" s="208"/>
      <c r="AB44" s="208"/>
      <c r="AC44" s="208"/>
      <c r="AD44" s="208"/>
      <c r="AE44" s="208"/>
      <c r="AF44" s="208"/>
      <c r="AG44" s="208"/>
      <c r="AH44" s="208"/>
      <c r="AI44" s="208"/>
      <c r="AJ44" s="208"/>
      <c r="AK44" s="208"/>
      <c r="AL44" s="208"/>
      <c r="AM44" s="208"/>
      <c r="AN44" s="208"/>
      <c r="AO44" s="208"/>
      <c r="AP44" s="208"/>
    </row>
    <row r="45" spans="1:42">
      <c r="A45" s="201" t="s">
        <v>294</v>
      </c>
      <c r="B45" s="119"/>
      <c r="C45" s="146"/>
      <c r="D45" s="146"/>
      <c r="E45" s="208"/>
      <c r="F45" s="208"/>
      <c r="G45" s="208"/>
      <c r="H45" s="208"/>
      <c r="I45" s="208"/>
      <c r="J45" s="208"/>
      <c r="K45" s="208"/>
      <c r="L45" s="208"/>
      <c r="M45" s="208"/>
      <c r="N45" s="208"/>
      <c r="O45" s="208"/>
      <c r="P45" s="208"/>
      <c r="Q45" s="208"/>
      <c r="R45" s="208"/>
      <c r="S45" s="208"/>
      <c r="T45" s="208"/>
      <c r="U45" s="208"/>
      <c r="V45" s="208"/>
      <c r="W45" s="208"/>
      <c r="X45" s="208"/>
      <c r="Y45" s="208"/>
      <c r="Z45" s="208"/>
      <c r="AA45" s="208"/>
      <c r="AB45" s="208"/>
      <c r="AC45" s="208"/>
      <c r="AD45" s="208"/>
      <c r="AE45" s="208"/>
      <c r="AF45" s="208"/>
      <c r="AG45" s="208"/>
      <c r="AH45" s="208"/>
      <c r="AI45" s="208"/>
      <c r="AJ45" s="208"/>
      <c r="AK45" s="208"/>
      <c r="AL45" s="208"/>
      <c r="AM45" s="208"/>
      <c r="AN45" s="208"/>
      <c r="AO45" s="208"/>
      <c r="AP45" s="208"/>
    </row>
    <row r="46" spans="1:42">
      <c r="A46" s="204" t="s">
        <v>198</v>
      </c>
      <c r="B46" s="164"/>
      <c r="C46" s="164"/>
      <c r="D46" s="164"/>
      <c r="E46" s="164"/>
      <c r="F46" s="164"/>
      <c r="G46" s="208"/>
      <c r="H46" s="208"/>
      <c r="I46" s="208"/>
      <c r="J46" s="208"/>
      <c r="K46" s="208"/>
      <c r="L46" s="208"/>
      <c r="M46" s="208"/>
      <c r="N46" s="208"/>
      <c r="O46" s="208"/>
      <c r="P46" s="208"/>
      <c r="Q46" s="208"/>
      <c r="R46" s="208"/>
      <c r="S46" s="208"/>
      <c r="T46" s="208"/>
      <c r="U46" s="208"/>
      <c r="V46" s="208"/>
      <c r="W46" s="208"/>
      <c r="X46" s="208"/>
      <c r="Y46" s="208"/>
      <c r="Z46" s="208"/>
      <c r="AA46" s="208"/>
      <c r="AB46" s="208"/>
      <c r="AC46" s="208"/>
      <c r="AD46" s="208"/>
      <c r="AE46" s="208"/>
      <c r="AF46" s="208"/>
      <c r="AG46" s="208"/>
      <c r="AH46" s="208"/>
      <c r="AI46" s="208"/>
      <c r="AJ46" s="208"/>
      <c r="AK46" s="208"/>
      <c r="AL46" s="208"/>
      <c r="AM46" s="208"/>
      <c r="AN46" s="208"/>
      <c r="AO46" s="208"/>
      <c r="AP46" s="208"/>
    </row>
    <row r="47" spans="1:42">
      <c r="A47" s="202" t="s">
        <v>117</v>
      </c>
      <c r="B47" s="164">
        <v>0</v>
      </c>
      <c r="C47" s="164">
        <f>C43</f>
        <v>3251243.1691174768</v>
      </c>
      <c r="D47" s="164">
        <f t="shared" ref="D47:AP47" si="39">D43</f>
        <v>3276707.5795011711</v>
      </c>
      <c r="E47" s="164">
        <f t="shared" si="39"/>
        <v>3302101.9565130612</v>
      </c>
      <c r="F47" s="164">
        <f t="shared" si="39"/>
        <v>3327423.3895670958</v>
      </c>
      <c r="G47" s="164">
        <f t="shared" si="39"/>
        <v>3352668.8994461317</v>
      </c>
      <c r="H47" s="164">
        <f t="shared" si="39"/>
        <v>3377835.4367891513</v>
      </c>
      <c r="I47" s="164">
        <f t="shared" si="39"/>
        <v>3402919.8805452073</v>
      </c>
      <c r="J47" s="164">
        <f t="shared" si="39"/>
        <v>3427919.0363933449</v>
      </c>
      <c r="K47" s="164">
        <f t="shared" si="39"/>
        <v>3452829.6351277819</v>
      </c>
      <c r="L47" s="164">
        <f t="shared" si="39"/>
        <v>3477648.3310075202</v>
      </c>
      <c r="M47" s="164">
        <f t="shared" si="39"/>
        <v>3502371.7000696524</v>
      </c>
      <c r="N47" s="164">
        <f t="shared" si="39"/>
        <v>3526996.2384055275</v>
      </c>
      <c r="O47" s="164">
        <f t="shared" si="39"/>
        <v>3551518.3603989678</v>
      </c>
      <c r="P47" s="164">
        <f t="shared" si="39"/>
        <v>3575934.3969256682</v>
      </c>
      <c r="Q47" s="164">
        <f t="shared" si="39"/>
        <v>3600240.593512957</v>
      </c>
      <c r="R47" s="164">
        <f t="shared" si="39"/>
        <v>3624433.1084589958</v>
      </c>
      <c r="S47" s="164">
        <f t="shared" si="39"/>
        <v>3648508.0109105594</v>
      </c>
      <c r="T47" s="164">
        <f t="shared" si="39"/>
        <v>3672461.2788984231</v>
      </c>
      <c r="U47" s="164">
        <f t="shared" si="39"/>
        <v>3696288.7973294733</v>
      </c>
      <c r="V47" s="164">
        <f t="shared" si="39"/>
        <v>3719986.3559345393</v>
      </c>
      <c r="W47" s="164">
        <f t="shared" si="39"/>
        <v>3743549.6471709791</v>
      </c>
      <c r="X47" s="164">
        <f t="shared" si="39"/>
        <v>3752643.3418914988</v>
      </c>
      <c r="Y47" s="164">
        <f t="shared" si="39"/>
        <v>3761593.8537157071</v>
      </c>
      <c r="Z47" s="164">
        <f t="shared" si="39"/>
        <v>3770396.5702283112</v>
      </c>
      <c r="AA47" s="164">
        <f t="shared" si="39"/>
        <v>3779046.7728779251</v>
      </c>
      <c r="AB47" s="164">
        <f t="shared" si="39"/>
        <v>3787539.6346378447</v>
      </c>
      <c r="AC47" s="164">
        <f t="shared" si="39"/>
        <v>3795870.2176152072</v>
      </c>
      <c r="AD47" s="164">
        <f t="shared" si="39"/>
        <v>3804033.4706073655</v>
      </c>
      <c r="AE47" s="164">
        <f t="shared" si="39"/>
        <v>3812024.2266042968</v>
      </c>
      <c r="AF47" s="164">
        <f t="shared" si="39"/>
        <v>7842552.200235853</v>
      </c>
      <c r="AG47" s="164">
        <f t="shared" si="39"/>
        <v>0</v>
      </c>
      <c r="AH47" s="164">
        <f t="shared" si="39"/>
        <v>0</v>
      </c>
      <c r="AI47" s="164">
        <f t="shared" si="39"/>
        <v>0</v>
      </c>
      <c r="AJ47" s="164">
        <f t="shared" si="39"/>
        <v>0</v>
      </c>
      <c r="AK47" s="164">
        <f t="shared" si="39"/>
        <v>0</v>
      </c>
      <c r="AL47" s="164">
        <f t="shared" si="39"/>
        <v>0</v>
      </c>
      <c r="AM47" s="164">
        <f t="shared" si="39"/>
        <v>0</v>
      </c>
      <c r="AN47" s="164">
        <f t="shared" si="39"/>
        <v>0</v>
      </c>
      <c r="AO47" s="164">
        <f t="shared" si="39"/>
        <v>0</v>
      </c>
      <c r="AP47" s="164">
        <f t="shared" si="39"/>
        <v>0</v>
      </c>
    </row>
    <row r="48" spans="1:42">
      <c r="A48" s="202" t="s">
        <v>222</v>
      </c>
      <c r="B48" s="164"/>
      <c r="C48" s="164"/>
      <c r="D48" s="164"/>
      <c r="E48" s="164"/>
      <c r="F48" s="164"/>
      <c r="G48" s="164"/>
      <c r="H48" s="164"/>
      <c r="I48" s="164"/>
      <c r="J48" s="164"/>
      <c r="K48" s="164"/>
      <c r="L48" s="164"/>
      <c r="M48" s="164"/>
      <c r="N48" s="164"/>
      <c r="O48" s="164"/>
      <c r="P48" s="164"/>
      <c r="Q48" s="164"/>
      <c r="R48" s="164"/>
      <c r="S48" s="164"/>
      <c r="T48" s="164"/>
      <c r="U48" s="164"/>
      <c r="V48" s="164"/>
      <c r="W48" s="164"/>
      <c r="X48" s="164"/>
      <c r="Y48" s="164"/>
      <c r="Z48" s="164"/>
      <c r="AA48" s="164"/>
      <c r="AB48" s="164"/>
      <c r="AC48" s="164"/>
      <c r="AD48" s="164"/>
      <c r="AE48" s="164"/>
      <c r="AF48" s="164"/>
      <c r="AG48" s="164"/>
      <c r="AH48" s="164"/>
      <c r="AI48" s="164"/>
      <c r="AJ48" s="164"/>
      <c r="AK48" s="164"/>
      <c r="AL48" s="164"/>
      <c r="AM48" s="164"/>
      <c r="AN48" s="164"/>
      <c r="AO48" s="164"/>
      <c r="AP48" s="164"/>
    </row>
    <row r="49" spans="1:42">
      <c r="A49" s="206" t="str">
        <f>A14</f>
        <v>Federal</v>
      </c>
      <c r="B49" s="164">
        <v>0</v>
      </c>
      <c r="C49" s="208">
        <f t="shared" ref="C49:AP49" si="40">IF(PBIFedDebtSwitch="Yes",0,C578)</f>
        <v>0</v>
      </c>
      <c r="D49" s="208">
        <f t="shared" si="40"/>
        <v>0</v>
      </c>
      <c r="E49" s="208">
        <f t="shared" si="40"/>
        <v>0</v>
      </c>
      <c r="F49" s="208">
        <f t="shared" si="40"/>
        <v>0</v>
      </c>
      <c r="G49" s="208">
        <f t="shared" si="40"/>
        <v>0</v>
      </c>
      <c r="H49" s="208">
        <f t="shared" si="40"/>
        <v>0</v>
      </c>
      <c r="I49" s="208">
        <f t="shared" si="40"/>
        <v>0</v>
      </c>
      <c r="J49" s="208">
        <f t="shared" si="40"/>
        <v>0</v>
      </c>
      <c r="K49" s="208">
        <f t="shared" si="40"/>
        <v>0</v>
      </c>
      <c r="L49" s="208">
        <f t="shared" si="40"/>
        <v>0</v>
      </c>
      <c r="M49" s="208">
        <f t="shared" si="40"/>
        <v>0</v>
      </c>
      <c r="N49" s="208">
        <f t="shared" si="40"/>
        <v>0</v>
      </c>
      <c r="O49" s="208">
        <f t="shared" si="40"/>
        <v>0</v>
      </c>
      <c r="P49" s="208">
        <f t="shared" si="40"/>
        <v>0</v>
      </c>
      <c r="Q49" s="208">
        <f t="shared" si="40"/>
        <v>0</v>
      </c>
      <c r="R49" s="208">
        <f t="shared" si="40"/>
        <v>0</v>
      </c>
      <c r="S49" s="208">
        <f t="shared" si="40"/>
        <v>0</v>
      </c>
      <c r="T49" s="208">
        <f t="shared" si="40"/>
        <v>0</v>
      </c>
      <c r="U49" s="208">
        <f t="shared" si="40"/>
        <v>0</v>
      </c>
      <c r="V49" s="208">
        <f t="shared" si="40"/>
        <v>0</v>
      </c>
      <c r="W49" s="208">
        <f t="shared" si="40"/>
        <v>0</v>
      </c>
      <c r="X49" s="208">
        <f t="shared" si="40"/>
        <v>0</v>
      </c>
      <c r="Y49" s="208">
        <f t="shared" si="40"/>
        <v>0</v>
      </c>
      <c r="Z49" s="208">
        <f t="shared" si="40"/>
        <v>0</v>
      </c>
      <c r="AA49" s="208">
        <f t="shared" si="40"/>
        <v>0</v>
      </c>
      <c r="AB49" s="208">
        <f t="shared" si="40"/>
        <v>0</v>
      </c>
      <c r="AC49" s="208">
        <f t="shared" si="40"/>
        <v>0</v>
      </c>
      <c r="AD49" s="208">
        <f t="shared" si="40"/>
        <v>0</v>
      </c>
      <c r="AE49" s="208">
        <f t="shared" si="40"/>
        <v>0</v>
      </c>
      <c r="AF49" s="208">
        <f t="shared" si="40"/>
        <v>0</v>
      </c>
      <c r="AG49" s="208">
        <f t="shared" si="40"/>
        <v>0</v>
      </c>
      <c r="AH49" s="208">
        <f t="shared" si="40"/>
        <v>0</v>
      </c>
      <c r="AI49" s="208">
        <f t="shared" si="40"/>
        <v>0</v>
      </c>
      <c r="AJ49" s="208">
        <f t="shared" si="40"/>
        <v>0</v>
      </c>
      <c r="AK49" s="208">
        <f t="shared" si="40"/>
        <v>0</v>
      </c>
      <c r="AL49" s="208">
        <f t="shared" si="40"/>
        <v>0</v>
      </c>
      <c r="AM49" s="208">
        <f t="shared" si="40"/>
        <v>0</v>
      </c>
      <c r="AN49" s="208">
        <f t="shared" si="40"/>
        <v>0</v>
      </c>
      <c r="AO49" s="208">
        <f t="shared" si="40"/>
        <v>0</v>
      </c>
      <c r="AP49" s="208">
        <f t="shared" si="40"/>
        <v>0</v>
      </c>
    </row>
    <row r="50" spans="1:42">
      <c r="A50" s="206" t="str">
        <f t="shared" ref="A50:A52" si="41">A15</f>
        <v>State</v>
      </c>
      <c r="B50" s="164">
        <v>0</v>
      </c>
      <c r="C50" s="208">
        <f t="shared" ref="C50:AP50" si="42">IF(PBIStateDebtSwitch="Yes",0,C582)</f>
        <v>0</v>
      </c>
      <c r="D50" s="208">
        <f t="shared" si="42"/>
        <v>0</v>
      </c>
      <c r="E50" s="208">
        <f t="shared" si="42"/>
        <v>0</v>
      </c>
      <c r="F50" s="208">
        <f t="shared" si="42"/>
        <v>0</v>
      </c>
      <c r="G50" s="208">
        <f t="shared" si="42"/>
        <v>0</v>
      </c>
      <c r="H50" s="208">
        <f t="shared" si="42"/>
        <v>0</v>
      </c>
      <c r="I50" s="208">
        <f t="shared" si="42"/>
        <v>0</v>
      </c>
      <c r="J50" s="208">
        <f t="shared" si="42"/>
        <v>0</v>
      </c>
      <c r="K50" s="208">
        <f t="shared" si="42"/>
        <v>0</v>
      </c>
      <c r="L50" s="208">
        <f t="shared" si="42"/>
        <v>0</v>
      </c>
      <c r="M50" s="208">
        <f t="shared" si="42"/>
        <v>0</v>
      </c>
      <c r="N50" s="208">
        <f t="shared" si="42"/>
        <v>0</v>
      </c>
      <c r="O50" s="208">
        <f t="shared" si="42"/>
        <v>0</v>
      </c>
      <c r="P50" s="208">
        <f t="shared" si="42"/>
        <v>0</v>
      </c>
      <c r="Q50" s="208">
        <f t="shared" si="42"/>
        <v>0</v>
      </c>
      <c r="R50" s="208">
        <f t="shared" si="42"/>
        <v>0</v>
      </c>
      <c r="S50" s="208">
        <f t="shared" si="42"/>
        <v>0</v>
      </c>
      <c r="T50" s="208">
        <f t="shared" si="42"/>
        <v>0</v>
      </c>
      <c r="U50" s="208">
        <f t="shared" si="42"/>
        <v>0</v>
      </c>
      <c r="V50" s="208">
        <f t="shared" si="42"/>
        <v>0</v>
      </c>
      <c r="W50" s="208">
        <f t="shared" si="42"/>
        <v>0</v>
      </c>
      <c r="X50" s="208">
        <f t="shared" si="42"/>
        <v>0</v>
      </c>
      <c r="Y50" s="208">
        <f t="shared" si="42"/>
        <v>0</v>
      </c>
      <c r="Z50" s="208">
        <f t="shared" si="42"/>
        <v>0</v>
      </c>
      <c r="AA50" s="208">
        <f t="shared" si="42"/>
        <v>0</v>
      </c>
      <c r="AB50" s="208">
        <f t="shared" si="42"/>
        <v>0</v>
      </c>
      <c r="AC50" s="208">
        <f t="shared" si="42"/>
        <v>0</v>
      </c>
      <c r="AD50" s="208">
        <f t="shared" si="42"/>
        <v>0</v>
      </c>
      <c r="AE50" s="208">
        <f t="shared" si="42"/>
        <v>0</v>
      </c>
      <c r="AF50" s="208">
        <f t="shared" si="42"/>
        <v>0</v>
      </c>
      <c r="AG50" s="208">
        <f t="shared" si="42"/>
        <v>0</v>
      </c>
      <c r="AH50" s="208">
        <f t="shared" si="42"/>
        <v>0</v>
      </c>
      <c r="AI50" s="208">
        <f t="shared" si="42"/>
        <v>0</v>
      </c>
      <c r="AJ50" s="208">
        <f t="shared" si="42"/>
        <v>0</v>
      </c>
      <c r="AK50" s="208">
        <f t="shared" si="42"/>
        <v>0</v>
      </c>
      <c r="AL50" s="208">
        <f t="shared" si="42"/>
        <v>0</v>
      </c>
      <c r="AM50" s="208">
        <f t="shared" si="42"/>
        <v>0</v>
      </c>
      <c r="AN50" s="208">
        <f t="shared" si="42"/>
        <v>0</v>
      </c>
      <c r="AO50" s="208">
        <f t="shared" si="42"/>
        <v>0</v>
      </c>
      <c r="AP50" s="208">
        <f t="shared" si="42"/>
        <v>0</v>
      </c>
    </row>
    <row r="51" spans="1:42">
      <c r="A51" s="206" t="str">
        <f t="shared" si="41"/>
        <v>Utility</v>
      </c>
      <c r="B51" s="164">
        <v>0</v>
      </c>
      <c r="C51" s="208">
        <f t="shared" ref="C51:AP51" si="43">IF(PBIUtilityDebtSwitch="Yes",0,C586)</f>
        <v>0</v>
      </c>
      <c r="D51" s="208">
        <f t="shared" si="43"/>
        <v>0</v>
      </c>
      <c r="E51" s="208">
        <f t="shared" si="43"/>
        <v>0</v>
      </c>
      <c r="F51" s="208">
        <f t="shared" si="43"/>
        <v>0</v>
      </c>
      <c r="G51" s="208">
        <f t="shared" si="43"/>
        <v>0</v>
      </c>
      <c r="H51" s="208">
        <f t="shared" si="43"/>
        <v>0</v>
      </c>
      <c r="I51" s="208">
        <f t="shared" si="43"/>
        <v>0</v>
      </c>
      <c r="J51" s="208">
        <f t="shared" si="43"/>
        <v>0</v>
      </c>
      <c r="K51" s="208">
        <f t="shared" si="43"/>
        <v>0</v>
      </c>
      <c r="L51" s="208">
        <f t="shared" si="43"/>
        <v>0</v>
      </c>
      <c r="M51" s="208">
        <f t="shared" si="43"/>
        <v>0</v>
      </c>
      <c r="N51" s="208">
        <f t="shared" si="43"/>
        <v>0</v>
      </c>
      <c r="O51" s="208">
        <f t="shared" si="43"/>
        <v>0</v>
      </c>
      <c r="P51" s="208">
        <f t="shared" si="43"/>
        <v>0</v>
      </c>
      <c r="Q51" s="208">
        <f t="shared" si="43"/>
        <v>0</v>
      </c>
      <c r="R51" s="208">
        <f t="shared" si="43"/>
        <v>0</v>
      </c>
      <c r="S51" s="208">
        <f t="shared" si="43"/>
        <v>0</v>
      </c>
      <c r="T51" s="208">
        <f t="shared" si="43"/>
        <v>0</v>
      </c>
      <c r="U51" s="208">
        <f t="shared" si="43"/>
        <v>0</v>
      </c>
      <c r="V51" s="208">
        <f t="shared" si="43"/>
        <v>0</v>
      </c>
      <c r="W51" s="208">
        <f t="shared" si="43"/>
        <v>0</v>
      </c>
      <c r="X51" s="208">
        <f t="shared" si="43"/>
        <v>0</v>
      </c>
      <c r="Y51" s="208">
        <f t="shared" si="43"/>
        <v>0</v>
      </c>
      <c r="Z51" s="208">
        <f t="shared" si="43"/>
        <v>0</v>
      </c>
      <c r="AA51" s="208">
        <f t="shared" si="43"/>
        <v>0</v>
      </c>
      <c r="AB51" s="208">
        <f t="shared" si="43"/>
        <v>0</v>
      </c>
      <c r="AC51" s="208">
        <f t="shared" si="43"/>
        <v>0</v>
      </c>
      <c r="AD51" s="208">
        <f t="shared" si="43"/>
        <v>0</v>
      </c>
      <c r="AE51" s="208">
        <f t="shared" si="43"/>
        <v>0</v>
      </c>
      <c r="AF51" s="208">
        <f t="shared" si="43"/>
        <v>0</v>
      </c>
      <c r="AG51" s="208">
        <f t="shared" si="43"/>
        <v>0</v>
      </c>
      <c r="AH51" s="208">
        <f t="shared" si="43"/>
        <v>0</v>
      </c>
      <c r="AI51" s="208">
        <f t="shared" si="43"/>
        <v>0</v>
      </c>
      <c r="AJ51" s="208">
        <f t="shared" si="43"/>
        <v>0</v>
      </c>
      <c r="AK51" s="208">
        <f t="shared" si="43"/>
        <v>0</v>
      </c>
      <c r="AL51" s="208">
        <f t="shared" si="43"/>
        <v>0</v>
      </c>
      <c r="AM51" s="208">
        <f t="shared" si="43"/>
        <v>0</v>
      </c>
      <c r="AN51" s="208">
        <f t="shared" si="43"/>
        <v>0</v>
      </c>
      <c r="AO51" s="208">
        <f t="shared" si="43"/>
        <v>0</v>
      </c>
      <c r="AP51" s="208">
        <f t="shared" si="43"/>
        <v>0</v>
      </c>
    </row>
    <row r="52" spans="1:42">
      <c r="A52" s="206" t="str">
        <f t="shared" si="41"/>
        <v>Other</v>
      </c>
      <c r="B52" s="209">
        <v>0</v>
      </c>
      <c r="C52" s="209">
        <f t="shared" ref="C52:AP52" si="44">IF(PBIOtherDebtSwitch="Yes",0,C590)</f>
        <v>0</v>
      </c>
      <c r="D52" s="209">
        <f t="shared" si="44"/>
        <v>0</v>
      </c>
      <c r="E52" s="209">
        <f t="shared" si="44"/>
        <v>0</v>
      </c>
      <c r="F52" s="209">
        <f t="shared" si="44"/>
        <v>0</v>
      </c>
      <c r="G52" s="209">
        <f t="shared" si="44"/>
        <v>0</v>
      </c>
      <c r="H52" s="209">
        <f t="shared" si="44"/>
        <v>0</v>
      </c>
      <c r="I52" s="209">
        <f t="shared" si="44"/>
        <v>0</v>
      </c>
      <c r="J52" s="209">
        <f t="shared" si="44"/>
        <v>0</v>
      </c>
      <c r="K52" s="209">
        <f t="shared" si="44"/>
        <v>0</v>
      </c>
      <c r="L52" s="209">
        <f t="shared" si="44"/>
        <v>0</v>
      </c>
      <c r="M52" s="209">
        <f t="shared" si="44"/>
        <v>0</v>
      </c>
      <c r="N52" s="209">
        <f t="shared" si="44"/>
        <v>0</v>
      </c>
      <c r="O52" s="209">
        <f t="shared" si="44"/>
        <v>0</v>
      </c>
      <c r="P52" s="209">
        <f t="shared" si="44"/>
        <v>0</v>
      </c>
      <c r="Q52" s="209">
        <f t="shared" si="44"/>
        <v>0</v>
      </c>
      <c r="R52" s="209">
        <f t="shared" si="44"/>
        <v>0</v>
      </c>
      <c r="S52" s="209">
        <f t="shared" si="44"/>
        <v>0</v>
      </c>
      <c r="T52" s="209">
        <f t="shared" si="44"/>
        <v>0</v>
      </c>
      <c r="U52" s="209">
        <f t="shared" si="44"/>
        <v>0</v>
      </c>
      <c r="V52" s="209">
        <f t="shared" si="44"/>
        <v>0</v>
      </c>
      <c r="W52" s="209">
        <f t="shared" si="44"/>
        <v>0</v>
      </c>
      <c r="X52" s="209">
        <f t="shared" si="44"/>
        <v>0</v>
      </c>
      <c r="Y52" s="209">
        <f t="shared" si="44"/>
        <v>0</v>
      </c>
      <c r="Z52" s="209">
        <f t="shared" si="44"/>
        <v>0</v>
      </c>
      <c r="AA52" s="209">
        <f t="shared" si="44"/>
        <v>0</v>
      </c>
      <c r="AB52" s="209">
        <f t="shared" si="44"/>
        <v>0</v>
      </c>
      <c r="AC52" s="209">
        <f t="shared" si="44"/>
        <v>0</v>
      </c>
      <c r="AD52" s="209">
        <f t="shared" si="44"/>
        <v>0</v>
      </c>
      <c r="AE52" s="209">
        <f t="shared" si="44"/>
        <v>0</v>
      </c>
      <c r="AF52" s="209">
        <f t="shared" si="44"/>
        <v>0</v>
      </c>
      <c r="AG52" s="209">
        <f t="shared" si="44"/>
        <v>0</v>
      </c>
      <c r="AH52" s="209">
        <f t="shared" si="44"/>
        <v>0</v>
      </c>
      <c r="AI52" s="209">
        <f t="shared" si="44"/>
        <v>0</v>
      </c>
      <c r="AJ52" s="209">
        <f t="shared" si="44"/>
        <v>0</v>
      </c>
      <c r="AK52" s="209">
        <f t="shared" si="44"/>
        <v>0</v>
      </c>
      <c r="AL52" s="209">
        <f t="shared" si="44"/>
        <v>0</v>
      </c>
      <c r="AM52" s="209">
        <f t="shared" si="44"/>
        <v>0</v>
      </c>
      <c r="AN52" s="209">
        <f t="shared" si="44"/>
        <v>0</v>
      </c>
      <c r="AO52" s="209">
        <f t="shared" si="44"/>
        <v>0</v>
      </c>
      <c r="AP52" s="209">
        <f t="shared" si="44"/>
        <v>0</v>
      </c>
    </row>
    <row r="53" spans="1:42">
      <c r="A53" s="206" t="s">
        <v>53</v>
      </c>
      <c r="B53" s="164">
        <f>SUM(B49:B52)</f>
        <v>0</v>
      </c>
      <c r="C53" s="164">
        <f>SUM(C49:C52)</f>
        <v>0</v>
      </c>
      <c r="D53" s="164">
        <f t="shared" ref="D53:AP53" si="45">SUM(D49:D52)</f>
        <v>0</v>
      </c>
      <c r="E53" s="164">
        <f t="shared" si="45"/>
        <v>0</v>
      </c>
      <c r="F53" s="164">
        <f t="shared" si="45"/>
        <v>0</v>
      </c>
      <c r="G53" s="164">
        <f t="shared" si="45"/>
        <v>0</v>
      </c>
      <c r="H53" s="164">
        <f t="shared" si="45"/>
        <v>0</v>
      </c>
      <c r="I53" s="164">
        <f t="shared" si="45"/>
        <v>0</v>
      </c>
      <c r="J53" s="164">
        <f t="shared" si="45"/>
        <v>0</v>
      </c>
      <c r="K53" s="164">
        <f t="shared" si="45"/>
        <v>0</v>
      </c>
      <c r="L53" s="164">
        <f t="shared" si="45"/>
        <v>0</v>
      </c>
      <c r="M53" s="164">
        <f t="shared" si="45"/>
        <v>0</v>
      </c>
      <c r="N53" s="164">
        <f t="shared" si="45"/>
        <v>0</v>
      </c>
      <c r="O53" s="164">
        <f t="shared" si="45"/>
        <v>0</v>
      </c>
      <c r="P53" s="164">
        <f t="shared" si="45"/>
        <v>0</v>
      </c>
      <c r="Q53" s="164">
        <f t="shared" si="45"/>
        <v>0</v>
      </c>
      <c r="R53" s="164">
        <f t="shared" si="45"/>
        <v>0</v>
      </c>
      <c r="S53" s="164">
        <f t="shared" si="45"/>
        <v>0</v>
      </c>
      <c r="T53" s="164">
        <f t="shared" si="45"/>
        <v>0</v>
      </c>
      <c r="U53" s="164">
        <f t="shared" si="45"/>
        <v>0</v>
      </c>
      <c r="V53" s="164">
        <f t="shared" si="45"/>
        <v>0</v>
      </c>
      <c r="W53" s="164">
        <f t="shared" si="45"/>
        <v>0</v>
      </c>
      <c r="X53" s="164">
        <f t="shared" si="45"/>
        <v>0</v>
      </c>
      <c r="Y53" s="164">
        <f t="shared" si="45"/>
        <v>0</v>
      </c>
      <c r="Z53" s="164">
        <f t="shared" si="45"/>
        <v>0</v>
      </c>
      <c r="AA53" s="164">
        <f t="shared" si="45"/>
        <v>0</v>
      </c>
      <c r="AB53" s="164">
        <f t="shared" si="45"/>
        <v>0</v>
      </c>
      <c r="AC53" s="164">
        <f t="shared" si="45"/>
        <v>0</v>
      </c>
      <c r="AD53" s="164">
        <f t="shared" si="45"/>
        <v>0</v>
      </c>
      <c r="AE53" s="164">
        <f t="shared" si="45"/>
        <v>0</v>
      </c>
      <c r="AF53" s="164">
        <f t="shared" si="45"/>
        <v>0</v>
      </c>
      <c r="AG53" s="164">
        <f t="shared" si="45"/>
        <v>0</v>
      </c>
      <c r="AH53" s="164">
        <f t="shared" si="45"/>
        <v>0</v>
      </c>
      <c r="AI53" s="164">
        <f t="shared" si="45"/>
        <v>0</v>
      </c>
      <c r="AJ53" s="164">
        <f t="shared" si="45"/>
        <v>0</v>
      </c>
      <c r="AK53" s="164">
        <f t="shared" si="45"/>
        <v>0</v>
      </c>
      <c r="AL53" s="164">
        <f t="shared" si="45"/>
        <v>0</v>
      </c>
      <c r="AM53" s="164">
        <f t="shared" si="45"/>
        <v>0</v>
      </c>
      <c r="AN53" s="164">
        <f t="shared" si="45"/>
        <v>0</v>
      </c>
      <c r="AO53" s="164">
        <f t="shared" si="45"/>
        <v>0</v>
      </c>
      <c r="AP53" s="164">
        <f t="shared" si="45"/>
        <v>0</v>
      </c>
    </row>
    <row r="54" spans="1:42">
      <c r="A54" s="202" t="s">
        <v>130</v>
      </c>
      <c r="B54" s="164">
        <v>0</v>
      </c>
      <c r="C54" s="164">
        <f t="shared" ref="C54:AP54" si="46">C731</f>
        <v>17563.647870967223</v>
      </c>
      <c r="D54" s="164">
        <f t="shared" si="46"/>
        <v>29793.002111526275</v>
      </c>
      <c r="E54" s="164">
        <f t="shared" si="46"/>
        <v>42021.947824083138</v>
      </c>
      <c r="F54" s="164">
        <f t="shared" si="46"/>
        <v>52438.423918352775</v>
      </c>
      <c r="G54" s="164">
        <f t="shared" si="46"/>
        <v>64693.952324900536</v>
      </c>
      <c r="H54" s="164">
        <f t="shared" si="46"/>
        <v>76949.020058321534</v>
      </c>
      <c r="I54" s="164">
        <f t="shared" si="46"/>
        <v>87308.793570160487</v>
      </c>
      <c r="J54" s="164">
        <f t="shared" si="46"/>
        <v>99591.589918109399</v>
      </c>
      <c r="K54" s="164">
        <f t="shared" si="46"/>
        <v>111873.86968289503</v>
      </c>
      <c r="L54" s="164">
        <f t="shared" si="46"/>
        <v>122174.2459196077</v>
      </c>
      <c r="M54" s="164">
        <f t="shared" si="46"/>
        <v>134485.44971594127</v>
      </c>
      <c r="N54" s="164">
        <f t="shared" si="46"/>
        <v>146796.07699970502</v>
      </c>
      <c r="O54" s="164">
        <f t="shared" si="46"/>
        <v>105218.93347930389</v>
      </c>
      <c r="P54" s="164">
        <f t="shared" si="46"/>
        <v>118399.83467384437</v>
      </c>
      <c r="Q54" s="164">
        <f t="shared" si="46"/>
        <v>131580.09513540493</v>
      </c>
      <c r="R54" s="164">
        <f t="shared" si="46"/>
        <v>34215.227185495583</v>
      </c>
      <c r="S54" s="164">
        <f t="shared" si="46"/>
        <v>49224.937343645164</v>
      </c>
      <c r="T54" s="164">
        <f t="shared" si="46"/>
        <v>64233.937967423168</v>
      </c>
      <c r="U54" s="164">
        <f t="shared" si="46"/>
        <v>76976.729397272138</v>
      </c>
      <c r="V54" s="164">
        <f t="shared" si="46"/>
        <v>92018.558610464446</v>
      </c>
      <c r="W54" s="164">
        <f t="shared" si="46"/>
        <v>90190.096140396621</v>
      </c>
      <c r="X54" s="164">
        <f t="shared" si="46"/>
        <v>102736.69333359678</v>
      </c>
      <c r="Y54" s="164">
        <f t="shared" si="46"/>
        <v>117676.17470796108</v>
      </c>
      <c r="Z54" s="164">
        <f t="shared" si="46"/>
        <v>132615.65608232541</v>
      </c>
      <c r="AA54" s="164">
        <f t="shared" si="46"/>
        <v>83473.976921940499</v>
      </c>
      <c r="AB54" s="164">
        <f t="shared" si="46"/>
        <v>93316.277141678642</v>
      </c>
      <c r="AC54" s="164">
        <f t="shared" si="46"/>
        <v>103158.57736141678</v>
      </c>
      <c r="AD54" s="164">
        <f t="shared" si="46"/>
        <v>110423.63589592067</v>
      </c>
      <c r="AE54" s="164">
        <f t="shared" si="46"/>
        <v>120305.1775197134</v>
      </c>
      <c r="AF54" s="164">
        <f t="shared" si="46"/>
        <v>130186.71914350611</v>
      </c>
      <c r="AG54" s="164">
        <f t="shared" si="46"/>
        <v>0</v>
      </c>
      <c r="AH54" s="164">
        <f t="shared" si="46"/>
        <v>0</v>
      </c>
      <c r="AI54" s="164">
        <f t="shared" si="46"/>
        <v>0</v>
      </c>
      <c r="AJ54" s="164">
        <f t="shared" si="46"/>
        <v>0</v>
      </c>
      <c r="AK54" s="164">
        <f t="shared" si="46"/>
        <v>0</v>
      </c>
      <c r="AL54" s="164">
        <f t="shared" si="46"/>
        <v>0</v>
      </c>
      <c r="AM54" s="164">
        <f t="shared" si="46"/>
        <v>0</v>
      </c>
      <c r="AN54" s="164">
        <f t="shared" si="46"/>
        <v>0</v>
      </c>
      <c r="AO54" s="164">
        <f t="shared" si="46"/>
        <v>0</v>
      </c>
      <c r="AP54" s="164">
        <f t="shared" si="46"/>
        <v>0</v>
      </c>
    </row>
    <row r="55" spans="1:42">
      <c r="A55" s="202" t="s">
        <v>199</v>
      </c>
      <c r="B55" s="209">
        <v>0</v>
      </c>
      <c r="C55" s="209">
        <f>-C610</f>
        <v>-1341808.6066802128</v>
      </c>
      <c r="D55" s="209">
        <f t="shared" ref="D55:AP55" si="47">-D610</f>
        <v>-1316226.0261800899</v>
      </c>
      <c r="E55" s="209">
        <f t="shared" si="47"/>
        <v>-1287664.3258937194</v>
      </c>
      <c r="F55" s="209">
        <f t="shared" si="47"/>
        <v>-1255918.2356600815</v>
      </c>
      <c r="G55" s="209">
        <f t="shared" si="47"/>
        <v>-1220841.455129165</v>
      </c>
      <c r="H55" s="209">
        <f t="shared" si="47"/>
        <v>-1182131.1761667295</v>
      </c>
      <c r="I55" s="209">
        <f t="shared" si="47"/>
        <v>-1139536.7392675825</v>
      </c>
      <c r="J55" s="209">
        <f t="shared" si="47"/>
        <v>-1092866.6310944296</v>
      </c>
      <c r="K55" s="209">
        <f t="shared" si="47"/>
        <v>-1041762.988076243</v>
      </c>
      <c r="L55" s="209">
        <f t="shared" si="47"/>
        <v>-985919.59543917619</v>
      </c>
      <c r="M55" s="209">
        <f t="shared" si="47"/>
        <v>-925089.0027221574</v>
      </c>
      <c r="N55" s="209">
        <f t="shared" si="47"/>
        <v>-858846.51129204768</v>
      </c>
      <c r="O55" s="209">
        <f t="shared" si="47"/>
        <v>-786817.90033948957</v>
      </c>
      <c r="P55" s="209">
        <f t="shared" si="47"/>
        <v>-710926.89471743896</v>
      </c>
      <c r="Q55" s="209">
        <f t="shared" si="47"/>
        <v>-628584.1036639323</v>
      </c>
      <c r="R55" s="209">
        <f t="shared" si="47"/>
        <v>-539343.02806260658</v>
      </c>
      <c r="S55" s="209">
        <f t="shared" si="47"/>
        <v>-447608.22357138823</v>
      </c>
      <c r="T55" s="209">
        <f t="shared" si="47"/>
        <v>-348328.48731804494</v>
      </c>
      <c r="U55" s="209">
        <f t="shared" si="47"/>
        <v>-240981.35035420067</v>
      </c>
      <c r="V55" s="209">
        <f t="shared" si="47"/>
        <v>-125099.48354938658</v>
      </c>
      <c r="W55" s="209">
        <f t="shared" si="47"/>
        <v>0</v>
      </c>
      <c r="X55" s="209">
        <f t="shared" si="47"/>
        <v>0</v>
      </c>
      <c r="Y55" s="209">
        <f t="shared" si="47"/>
        <v>0</v>
      </c>
      <c r="Z55" s="209">
        <f t="shared" si="47"/>
        <v>0</v>
      </c>
      <c r="AA55" s="209">
        <f t="shared" si="47"/>
        <v>0</v>
      </c>
      <c r="AB55" s="209">
        <f t="shared" si="47"/>
        <v>0</v>
      </c>
      <c r="AC55" s="209">
        <f t="shared" si="47"/>
        <v>0</v>
      </c>
      <c r="AD55" s="209">
        <f t="shared" si="47"/>
        <v>0</v>
      </c>
      <c r="AE55" s="209">
        <f t="shared" si="47"/>
        <v>0</v>
      </c>
      <c r="AF55" s="209">
        <f t="shared" si="47"/>
        <v>0</v>
      </c>
      <c r="AG55" s="209">
        <f t="shared" si="47"/>
        <v>0</v>
      </c>
      <c r="AH55" s="209">
        <f t="shared" si="47"/>
        <v>0</v>
      </c>
      <c r="AI55" s="209">
        <f t="shared" si="47"/>
        <v>0</v>
      </c>
      <c r="AJ55" s="209">
        <f t="shared" si="47"/>
        <v>0</v>
      </c>
      <c r="AK55" s="209">
        <f t="shared" si="47"/>
        <v>0</v>
      </c>
      <c r="AL55" s="209">
        <f t="shared" si="47"/>
        <v>0</v>
      </c>
      <c r="AM55" s="209">
        <f t="shared" si="47"/>
        <v>0</v>
      </c>
      <c r="AN55" s="209">
        <f t="shared" si="47"/>
        <v>0</v>
      </c>
      <c r="AO55" s="209">
        <f t="shared" si="47"/>
        <v>0</v>
      </c>
      <c r="AP55" s="209">
        <f t="shared" si="47"/>
        <v>0</v>
      </c>
    </row>
    <row r="56" spans="1:42">
      <c r="A56" s="202" t="s">
        <v>53</v>
      </c>
      <c r="B56" s="164">
        <f>B47+B53+B54+B55</f>
        <v>0</v>
      </c>
      <c r="C56" s="164">
        <f t="shared" ref="C56:AP56" si="48">C47+C53+C54+C55</f>
        <v>1926998.2103082312</v>
      </c>
      <c r="D56" s="164">
        <f t="shared" si="48"/>
        <v>1990274.5554326074</v>
      </c>
      <c r="E56" s="164">
        <f t="shared" si="48"/>
        <v>2056459.578443425</v>
      </c>
      <c r="F56" s="164">
        <f t="shared" si="48"/>
        <v>2123943.5778253675</v>
      </c>
      <c r="G56" s="164">
        <f t="shared" si="48"/>
        <v>2196521.3966418672</v>
      </c>
      <c r="H56" s="164">
        <f t="shared" si="48"/>
        <v>2272653.2806807435</v>
      </c>
      <c r="I56" s="164">
        <f t="shared" si="48"/>
        <v>2350691.9348477852</v>
      </c>
      <c r="J56" s="164">
        <f t="shared" si="48"/>
        <v>2434643.9952170248</v>
      </c>
      <c r="K56" s="164">
        <f t="shared" si="48"/>
        <v>2522940.5167344338</v>
      </c>
      <c r="L56" s="164">
        <f t="shared" si="48"/>
        <v>2613902.9814879517</v>
      </c>
      <c r="M56" s="164">
        <f t="shared" si="48"/>
        <v>2711768.147063436</v>
      </c>
      <c r="N56" s="164">
        <f t="shared" si="48"/>
        <v>2814945.8041131846</v>
      </c>
      <c r="O56" s="164">
        <f t="shared" si="48"/>
        <v>2869919.3935387824</v>
      </c>
      <c r="P56" s="164">
        <f t="shared" si="48"/>
        <v>2983407.3368820734</v>
      </c>
      <c r="Q56" s="164">
        <f t="shared" si="48"/>
        <v>3103236.5849844292</v>
      </c>
      <c r="R56" s="164">
        <f t="shared" si="48"/>
        <v>3119305.3075818848</v>
      </c>
      <c r="S56" s="164">
        <f t="shared" si="48"/>
        <v>3250124.7246828168</v>
      </c>
      <c r="T56" s="164">
        <f t="shared" si="48"/>
        <v>3388366.7295478014</v>
      </c>
      <c r="U56" s="164">
        <f t="shared" si="48"/>
        <v>3532284.1763725448</v>
      </c>
      <c r="V56" s="164">
        <f t="shared" si="48"/>
        <v>3686905.4309956171</v>
      </c>
      <c r="W56" s="164">
        <f t="shared" si="48"/>
        <v>3833739.7433113758</v>
      </c>
      <c r="X56" s="164">
        <f t="shared" si="48"/>
        <v>3855380.0352250957</v>
      </c>
      <c r="Y56" s="164">
        <f t="shared" si="48"/>
        <v>3879270.0284236684</v>
      </c>
      <c r="Z56" s="164">
        <f t="shared" si="48"/>
        <v>3903012.2263106368</v>
      </c>
      <c r="AA56" s="164">
        <f t="shared" si="48"/>
        <v>3862520.7497998658</v>
      </c>
      <c r="AB56" s="164">
        <f t="shared" si="48"/>
        <v>3880855.9117795234</v>
      </c>
      <c r="AC56" s="164">
        <f t="shared" si="48"/>
        <v>3899028.7949766242</v>
      </c>
      <c r="AD56" s="164">
        <f t="shared" si="48"/>
        <v>3914457.1065032859</v>
      </c>
      <c r="AE56" s="164">
        <f t="shared" si="48"/>
        <v>3932329.4041240104</v>
      </c>
      <c r="AF56" s="164">
        <f t="shared" si="48"/>
        <v>7972738.9193793591</v>
      </c>
      <c r="AG56" s="164">
        <f t="shared" si="48"/>
        <v>0</v>
      </c>
      <c r="AH56" s="164">
        <f t="shared" si="48"/>
        <v>0</v>
      </c>
      <c r="AI56" s="164">
        <f t="shared" si="48"/>
        <v>0</v>
      </c>
      <c r="AJ56" s="164">
        <f t="shared" si="48"/>
        <v>0</v>
      </c>
      <c r="AK56" s="164">
        <f t="shared" si="48"/>
        <v>0</v>
      </c>
      <c r="AL56" s="164">
        <f t="shared" si="48"/>
        <v>0</v>
      </c>
      <c r="AM56" s="164">
        <f t="shared" si="48"/>
        <v>0</v>
      </c>
      <c r="AN56" s="164">
        <f t="shared" si="48"/>
        <v>0</v>
      </c>
      <c r="AO56" s="164">
        <f t="shared" si="48"/>
        <v>0</v>
      </c>
      <c r="AP56" s="164">
        <f t="shared" si="48"/>
        <v>0</v>
      </c>
    </row>
    <row r="57" spans="1:42">
      <c r="A57" s="202"/>
      <c r="B57" s="164"/>
      <c r="C57" s="164"/>
      <c r="D57" s="164"/>
      <c r="E57" s="164"/>
      <c r="F57" s="164"/>
      <c r="G57" s="164"/>
      <c r="H57" s="164"/>
      <c r="I57" s="164"/>
      <c r="J57" s="164"/>
      <c r="K57" s="164"/>
      <c r="L57" s="164"/>
      <c r="M57" s="164"/>
      <c r="N57" s="164"/>
      <c r="O57" s="164"/>
      <c r="P57" s="164"/>
      <c r="Q57" s="164"/>
      <c r="R57" s="164"/>
      <c r="S57" s="164"/>
      <c r="T57" s="164"/>
      <c r="U57" s="164"/>
      <c r="V57" s="164"/>
      <c r="W57" s="164"/>
      <c r="X57" s="164"/>
      <c r="Y57" s="164"/>
      <c r="Z57" s="164"/>
      <c r="AA57" s="164"/>
      <c r="AB57" s="164"/>
      <c r="AC57" s="164"/>
      <c r="AD57" s="164"/>
      <c r="AE57" s="164"/>
      <c r="AF57" s="164"/>
      <c r="AG57" s="164"/>
      <c r="AH57" s="164"/>
      <c r="AI57" s="164"/>
      <c r="AJ57" s="164"/>
      <c r="AK57" s="164"/>
      <c r="AL57" s="164"/>
      <c r="AM57" s="164"/>
      <c r="AN57" s="164"/>
      <c r="AO57" s="164"/>
      <c r="AP57" s="164"/>
    </row>
    <row r="58" spans="1:42">
      <c r="A58" s="204" t="s">
        <v>191</v>
      </c>
      <c r="B58" s="164"/>
      <c r="C58" s="164"/>
      <c r="D58" s="164"/>
      <c r="E58" s="164"/>
      <c r="F58" s="164"/>
      <c r="G58" s="164"/>
      <c r="H58" s="164"/>
      <c r="I58" s="164"/>
      <c r="J58" s="164"/>
      <c r="K58" s="164"/>
      <c r="L58" s="164"/>
      <c r="M58" s="164"/>
      <c r="N58" s="164"/>
      <c r="O58" s="164"/>
      <c r="P58" s="164"/>
      <c r="Q58" s="164"/>
      <c r="R58" s="164"/>
      <c r="S58" s="164"/>
      <c r="T58" s="164"/>
      <c r="U58" s="164"/>
      <c r="V58" s="164"/>
      <c r="W58" s="164"/>
      <c r="X58" s="164"/>
      <c r="Y58" s="164"/>
      <c r="Z58" s="164"/>
      <c r="AA58" s="164"/>
      <c r="AB58" s="164"/>
      <c r="AC58" s="164"/>
      <c r="AD58" s="164"/>
      <c r="AE58" s="164"/>
      <c r="AF58" s="164"/>
      <c r="AG58" s="164"/>
      <c r="AH58" s="164"/>
      <c r="AI58" s="164"/>
      <c r="AJ58" s="164"/>
      <c r="AK58" s="164"/>
      <c r="AL58" s="164"/>
      <c r="AM58" s="164"/>
      <c r="AN58" s="164"/>
      <c r="AO58" s="164"/>
      <c r="AP58" s="164"/>
    </row>
    <row r="59" spans="1:42">
      <c r="A59" s="202" t="s">
        <v>192</v>
      </c>
      <c r="B59" s="164">
        <f>-SOInstalledCostTotal+'Inputs &amp; Results'!$E$144+'Inputs &amp; Results'!$E$147</f>
        <v>-41549874</v>
      </c>
      <c r="C59" s="164">
        <v>0</v>
      </c>
      <c r="D59" s="164">
        <v>0</v>
      </c>
      <c r="E59" s="164">
        <v>0</v>
      </c>
      <c r="F59" s="164">
        <v>0</v>
      </c>
      <c r="G59" s="164">
        <v>0</v>
      </c>
      <c r="H59" s="164">
        <v>0</v>
      </c>
      <c r="I59" s="164">
        <v>0</v>
      </c>
      <c r="J59" s="164">
        <v>0</v>
      </c>
      <c r="K59" s="164">
        <v>0</v>
      </c>
      <c r="L59" s="164">
        <v>0</v>
      </c>
      <c r="M59" s="164">
        <v>0</v>
      </c>
      <c r="N59" s="164">
        <v>0</v>
      </c>
      <c r="O59" s="164">
        <v>0</v>
      </c>
      <c r="P59" s="164">
        <v>0</v>
      </c>
      <c r="Q59" s="164">
        <v>0</v>
      </c>
      <c r="R59" s="164">
        <v>0</v>
      </c>
      <c r="S59" s="164">
        <v>0</v>
      </c>
      <c r="T59" s="164">
        <v>0</v>
      </c>
      <c r="U59" s="164">
        <v>0</v>
      </c>
      <c r="V59" s="164">
        <v>0</v>
      </c>
      <c r="W59" s="164">
        <v>0</v>
      </c>
      <c r="X59" s="164">
        <v>0</v>
      </c>
      <c r="Y59" s="164">
        <v>0</v>
      </c>
      <c r="Z59" s="164">
        <v>0</v>
      </c>
      <c r="AA59" s="164">
        <v>0</v>
      </c>
      <c r="AB59" s="164">
        <v>0</v>
      </c>
      <c r="AC59" s="164">
        <v>0</v>
      </c>
      <c r="AD59" s="164">
        <v>0</v>
      </c>
      <c r="AE59" s="164">
        <v>0</v>
      </c>
      <c r="AF59" s="164">
        <v>0</v>
      </c>
      <c r="AG59" s="164">
        <v>0</v>
      </c>
      <c r="AH59" s="164">
        <v>0</v>
      </c>
      <c r="AI59" s="164">
        <v>0</v>
      </c>
      <c r="AJ59" s="164">
        <v>0</v>
      </c>
      <c r="AK59" s="164">
        <v>0</v>
      </c>
      <c r="AL59" s="164">
        <v>0</v>
      </c>
      <c r="AM59" s="164">
        <v>0</v>
      </c>
      <c r="AN59" s="164">
        <v>0</v>
      </c>
      <c r="AO59" s="164">
        <v>0</v>
      </c>
      <c r="AP59" s="164">
        <v>0</v>
      </c>
    </row>
    <row r="60" spans="1:42">
      <c r="A60" s="202" t="s">
        <v>193</v>
      </c>
      <c r="B60" s="164"/>
      <c r="C60" s="164"/>
      <c r="D60" s="164"/>
      <c r="E60" s="164"/>
      <c r="F60" s="164"/>
      <c r="G60" s="164"/>
      <c r="H60" s="164"/>
      <c r="I60" s="164"/>
      <c r="J60" s="164"/>
      <c r="K60" s="164"/>
      <c r="L60" s="164"/>
      <c r="M60" s="164"/>
      <c r="N60" s="164"/>
      <c r="O60" s="164"/>
      <c r="P60" s="164"/>
      <c r="Q60" s="164"/>
      <c r="R60" s="164"/>
      <c r="S60" s="164"/>
      <c r="T60" s="164"/>
      <c r="U60" s="164"/>
      <c r="V60" s="164"/>
      <c r="W60" s="164"/>
      <c r="X60" s="164"/>
      <c r="Y60" s="164"/>
      <c r="Z60" s="164"/>
      <c r="AA60" s="164"/>
      <c r="AB60" s="164"/>
      <c r="AC60" s="164"/>
      <c r="AD60" s="164"/>
      <c r="AE60" s="164"/>
      <c r="AF60" s="164"/>
      <c r="AG60" s="164"/>
      <c r="AH60" s="164"/>
      <c r="AI60" s="164"/>
      <c r="AJ60" s="164"/>
      <c r="AK60" s="164"/>
      <c r="AL60" s="164"/>
      <c r="AM60" s="164"/>
      <c r="AN60" s="164"/>
      <c r="AO60" s="164"/>
      <c r="AP60" s="164"/>
    </row>
    <row r="61" spans="1:42">
      <c r="A61" s="206" t="s">
        <v>194</v>
      </c>
      <c r="B61" s="164">
        <f t="shared" ref="B61:AP61" si="49">-B623-B624</f>
        <v>-853637.02119812695</v>
      </c>
      <c r="C61" s="164">
        <f t="shared" si="49"/>
        <v>-8488.1367945647798</v>
      </c>
      <c r="D61" s="164">
        <f t="shared" si="49"/>
        <v>-8464.792337296647</v>
      </c>
      <c r="E61" s="164">
        <f t="shared" si="49"/>
        <v>-7917.5998637408484</v>
      </c>
      <c r="F61" s="164">
        <f t="shared" si="49"/>
        <v>-8415.1699596785475</v>
      </c>
      <c r="G61" s="164">
        <f t="shared" si="49"/>
        <v>-8388.8457810066175</v>
      </c>
      <c r="H61" s="164">
        <f t="shared" si="49"/>
        <v>-7814.7192218971904</v>
      </c>
      <c r="I61" s="164">
        <f t="shared" si="49"/>
        <v>-8333.0519493792672</v>
      </c>
      <c r="J61" s="164">
        <f t="shared" si="49"/>
        <v>-8303.5329114790075</v>
      </c>
      <c r="K61" s="164">
        <f t="shared" si="49"/>
        <v>-7701.1613954101922</v>
      </c>
      <c r="L61" s="164">
        <f t="shared" si="49"/>
        <v>-8241.1230207107728</v>
      </c>
      <c r="M61" s="164">
        <f t="shared" si="49"/>
        <v>-8208.1794452916365</v>
      </c>
      <c r="N61" s="164">
        <f t="shared" si="49"/>
        <v>8425.7721227626316</v>
      </c>
      <c r="O61" s="164">
        <f t="shared" si="49"/>
        <v>-8138.6788422334939</v>
      </c>
      <c r="P61" s="164">
        <f t="shared" si="49"/>
        <v>-8102.0655290962895</v>
      </c>
      <c r="Q61" s="164">
        <f t="shared" si="49"/>
        <v>26808.188587143901</v>
      </c>
      <c r="R61" s="164">
        <f t="shared" si="49"/>
        <v>-8024.9674838546198</v>
      </c>
      <c r="S61" s="164">
        <f t="shared" si="49"/>
        <v>-7984.4226626211312</v>
      </c>
      <c r="T61" s="164">
        <f t="shared" si="49"/>
        <v>-7288.7875250050565</v>
      </c>
      <c r="U61" s="164">
        <f t="shared" si="49"/>
        <v>-7899.1862016887171</v>
      </c>
      <c r="V61" s="164">
        <f t="shared" si="49"/>
        <v>956117.48141317524</v>
      </c>
      <c r="W61" s="164">
        <f t="shared" si="49"/>
        <v>0</v>
      </c>
      <c r="X61" s="164">
        <f t="shared" si="49"/>
        <v>0</v>
      </c>
      <c r="Y61" s="164">
        <f t="shared" si="49"/>
        <v>0</v>
      </c>
      <c r="Z61" s="164">
        <f t="shared" si="49"/>
        <v>0</v>
      </c>
      <c r="AA61" s="164">
        <f t="shared" si="49"/>
        <v>0</v>
      </c>
      <c r="AB61" s="164">
        <f t="shared" si="49"/>
        <v>0</v>
      </c>
      <c r="AC61" s="164">
        <f t="shared" si="49"/>
        <v>0</v>
      </c>
      <c r="AD61" s="164">
        <f t="shared" si="49"/>
        <v>0</v>
      </c>
      <c r="AE61" s="164">
        <f t="shared" si="49"/>
        <v>0</v>
      </c>
      <c r="AF61" s="164">
        <f t="shared" si="49"/>
        <v>0</v>
      </c>
      <c r="AG61" s="164">
        <f t="shared" si="49"/>
        <v>0</v>
      </c>
      <c r="AH61" s="164">
        <f t="shared" si="49"/>
        <v>0</v>
      </c>
      <c r="AI61" s="164">
        <f t="shared" si="49"/>
        <v>0</v>
      </c>
      <c r="AJ61" s="164">
        <f t="shared" si="49"/>
        <v>0</v>
      </c>
      <c r="AK61" s="164">
        <f t="shared" si="49"/>
        <v>0</v>
      </c>
      <c r="AL61" s="164">
        <f t="shared" si="49"/>
        <v>0</v>
      </c>
      <c r="AM61" s="164">
        <f t="shared" si="49"/>
        <v>0</v>
      </c>
      <c r="AN61" s="164">
        <f t="shared" si="49"/>
        <v>0</v>
      </c>
      <c r="AO61" s="164">
        <f t="shared" si="49"/>
        <v>0</v>
      </c>
      <c r="AP61" s="164">
        <f t="shared" si="49"/>
        <v>0</v>
      </c>
    </row>
    <row r="62" spans="1:42">
      <c r="A62" s="206" t="s">
        <v>200</v>
      </c>
      <c r="B62" s="164">
        <f t="shared" ref="B62:AP62" si="50">-B629-B630</f>
        <v>-150000</v>
      </c>
      <c r="C62" s="164">
        <f t="shared" si="50"/>
        <v>0</v>
      </c>
      <c r="D62" s="164">
        <f t="shared" si="50"/>
        <v>0</v>
      </c>
      <c r="E62" s="164">
        <f t="shared" si="50"/>
        <v>0</v>
      </c>
      <c r="F62" s="164">
        <f t="shared" si="50"/>
        <v>0</v>
      </c>
      <c r="G62" s="164">
        <f t="shared" si="50"/>
        <v>0</v>
      </c>
      <c r="H62" s="164">
        <f t="shared" si="50"/>
        <v>0</v>
      </c>
      <c r="I62" s="164">
        <f t="shared" si="50"/>
        <v>0</v>
      </c>
      <c r="J62" s="164">
        <f t="shared" si="50"/>
        <v>0</v>
      </c>
      <c r="K62" s="164">
        <f t="shared" si="50"/>
        <v>0</v>
      </c>
      <c r="L62" s="164">
        <f t="shared" si="50"/>
        <v>0</v>
      </c>
      <c r="M62" s="164">
        <f t="shared" si="50"/>
        <v>0</v>
      </c>
      <c r="N62" s="164">
        <f t="shared" si="50"/>
        <v>0</v>
      </c>
      <c r="O62" s="164">
        <f t="shared" si="50"/>
        <v>0</v>
      </c>
      <c r="P62" s="164">
        <f t="shared" si="50"/>
        <v>0</v>
      </c>
      <c r="Q62" s="164">
        <f t="shared" si="50"/>
        <v>0</v>
      </c>
      <c r="R62" s="164">
        <f t="shared" si="50"/>
        <v>0</v>
      </c>
      <c r="S62" s="164">
        <f t="shared" si="50"/>
        <v>0</v>
      </c>
      <c r="T62" s="164">
        <f t="shared" si="50"/>
        <v>0</v>
      </c>
      <c r="U62" s="164">
        <f t="shared" si="50"/>
        <v>0</v>
      </c>
      <c r="V62" s="164">
        <f t="shared" si="50"/>
        <v>0</v>
      </c>
      <c r="W62" s="164">
        <f t="shared" si="50"/>
        <v>0</v>
      </c>
      <c r="X62" s="164">
        <f t="shared" si="50"/>
        <v>0</v>
      </c>
      <c r="Y62" s="164">
        <f t="shared" si="50"/>
        <v>0</v>
      </c>
      <c r="Z62" s="164">
        <f t="shared" si="50"/>
        <v>0</v>
      </c>
      <c r="AA62" s="164">
        <f t="shared" si="50"/>
        <v>0</v>
      </c>
      <c r="AB62" s="164">
        <f t="shared" si="50"/>
        <v>0</v>
      </c>
      <c r="AC62" s="164">
        <f t="shared" si="50"/>
        <v>0</v>
      </c>
      <c r="AD62" s="164">
        <f t="shared" si="50"/>
        <v>0</v>
      </c>
      <c r="AE62" s="164">
        <f t="shared" si="50"/>
        <v>0</v>
      </c>
      <c r="AF62" s="164">
        <f t="shared" si="50"/>
        <v>150000</v>
      </c>
      <c r="AG62" s="164">
        <f t="shared" si="50"/>
        <v>0</v>
      </c>
      <c r="AH62" s="164">
        <f t="shared" si="50"/>
        <v>0</v>
      </c>
      <c r="AI62" s="164">
        <f t="shared" si="50"/>
        <v>0</v>
      </c>
      <c r="AJ62" s="164">
        <f t="shared" si="50"/>
        <v>0</v>
      </c>
      <c r="AK62" s="164">
        <f t="shared" si="50"/>
        <v>0</v>
      </c>
      <c r="AL62" s="164">
        <f t="shared" si="50"/>
        <v>0</v>
      </c>
      <c r="AM62" s="164">
        <f t="shared" si="50"/>
        <v>0</v>
      </c>
      <c r="AN62" s="164">
        <f t="shared" si="50"/>
        <v>0</v>
      </c>
      <c r="AO62" s="164">
        <f t="shared" si="50"/>
        <v>0</v>
      </c>
      <c r="AP62" s="164">
        <f t="shared" si="50"/>
        <v>0</v>
      </c>
    </row>
    <row r="63" spans="1:42">
      <c r="A63" s="206" t="s">
        <v>372</v>
      </c>
      <c r="B63" s="208">
        <f>-B635-B636</f>
        <v>0</v>
      </c>
      <c r="C63" s="208">
        <f t="shared" ref="C63:AP63" si="51">-C635-C636</f>
        <v>-245406.02862510949</v>
      </c>
      <c r="D63" s="208">
        <f t="shared" si="51"/>
        <v>-245406.02862510949</v>
      </c>
      <c r="E63" s="208">
        <f t="shared" si="51"/>
        <v>-245406.02862510949</v>
      </c>
      <c r="F63" s="208">
        <f t="shared" si="51"/>
        <v>-245406.02862510949</v>
      </c>
      <c r="G63" s="208">
        <f t="shared" si="51"/>
        <v>-245406.02862510949</v>
      </c>
      <c r="H63" s="208">
        <f t="shared" si="51"/>
        <v>-245406.02862510949</v>
      </c>
      <c r="I63" s="208">
        <f t="shared" si="51"/>
        <v>-245406.02862510949</v>
      </c>
      <c r="J63" s="208">
        <f t="shared" si="51"/>
        <v>-245406.02862510949</v>
      </c>
      <c r="K63" s="208">
        <f t="shared" si="51"/>
        <v>-245406.02862510949</v>
      </c>
      <c r="L63" s="208">
        <f t="shared" si="51"/>
        <v>-245406.02862510949</v>
      </c>
      <c r="M63" s="208">
        <f t="shared" si="51"/>
        <v>-245406.02862510949</v>
      </c>
      <c r="N63" s="208">
        <f t="shared" si="51"/>
        <v>2699466.3148762044</v>
      </c>
      <c r="O63" s="208">
        <f t="shared" si="51"/>
        <v>-293411.90721039008</v>
      </c>
      <c r="P63" s="208">
        <f t="shared" si="51"/>
        <v>-293411.90721039008</v>
      </c>
      <c r="Q63" s="208">
        <f t="shared" si="51"/>
        <v>-293411.90721039008</v>
      </c>
      <c r="R63" s="208">
        <f t="shared" si="51"/>
        <v>-293411.90721039008</v>
      </c>
      <c r="S63" s="208">
        <f t="shared" si="51"/>
        <v>-293411.90721039008</v>
      </c>
      <c r="T63" s="208">
        <f t="shared" si="51"/>
        <v>-293411.90721039008</v>
      </c>
      <c r="U63" s="208">
        <f t="shared" si="51"/>
        <v>-293411.90721039008</v>
      </c>
      <c r="V63" s="208">
        <f t="shared" si="51"/>
        <v>-293411.90721039008</v>
      </c>
      <c r="W63" s="208">
        <f t="shared" si="51"/>
        <v>-293411.90721039008</v>
      </c>
      <c r="X63" s="208">
        <f t="shared" si="51"/>
        <v>-293411.90721039008</v>
      </c>
      <c r="Y63" s="208">
        <f t="shared" si="51"/>
        <v>-293411.90721039008</v>
      </c>
      <c r="Z63" s="208">
        <f t="shared" si="51"/>
        <v>3227530.9793142909</v>
      </c>
      <c r="AA63" s="208">
        <f t="shared" si="51"/>
        <v>0</v>
      </c>
      <c r="AB63" s="208">
        <f t="shared" si="51"/>
        <v>0</v>
      </c>
      <c r="AC63" s="208">
        <f t="shared" si="51"/>
        <v>0</v>
      </c>
      <c r="AD63" s="208">
        <f t="shared" si="51"/>
        <v>0</v>
      </c>
      <c r="AE63" s="208">
        <f t="shared" si="51"/>
        <v>0</v>
      </c>
      <c r="AF63" s="208">
        <f t="shared" si="51"/>
        <v>0</v>
      </c>
      <c r="AG63" s="208">
        <f t="shared" si="51"/>
        <v>0</v>
      </c>
      <c r="AH63" s="208">
        <f t="shared" si="51"/>
        <v>0</v>
      </c>
      <c r="AI63" s="208">
        <f t="shared" si="51"/>
        <v>0</v>
      </c>
      <c r="AJ63" s="208">
        <f t="shared" si="51"/>
        <v>0</v>
      </c>
      <c r="AK63" s="208">
        <f t="shared" si="51"/>
        <v>0</v>
      </c>
      <c r="AL63" s="208">
        <f t="shared" si="51"/>
        <v>0</v>
      </c>
      <c r="AM63" s="208">
        <f t="shared" si="51"/>
        <v>0</v>
      </c>
      <c r="AN63" s="208">
        <f t="shared" si="51"/>
        <v>0</v>
      </c>
      <c r="AO63" s="208">
        <f t="shared" si="51"/>
        <v>0</v>
      </c>
      <c r="AP63" s="208">
        <f t="shared" si="51"/>
        <v>0</v>
      </c>
    </row>
    <row r="64" spans="1:42">
      <c r="A64" s="206" t="s">
        <v>373</v>
      </c>
      <c r="B64" s="208">
        <f>-B667-B668</f>
        <v>0</v>
      </c>
      <c r="C64" s="208">
        <f t="shared" ref="C64:AP64" si="52">-C667-C668</f>
        <v>-410585.24356465257</v>
      </c>
      <c r="D64" s="208">
        <f t="shared" si="52"/>
        <v>-410585.24356465257</v>
      </c>
      <c r="E64" s="208">
        <f t="shared" si="52"/>
        <v>-410585.24356465257</v>
      </c>
      <c r="F64" s="208">
        <f t="shared" si="52"/>
        <v>-410585.24356465257</v>
      </c>
      <c r="G64" s="208">
        <f t="shared" si="52"/>
        <v>-410585.24356465257</v>
      </c>
      <c r="H64" s="208">
        <f t="shared" si="52"/>
        <v>-410585.24356465257</v>
      </c>
      <c r="I64" s="208">
        <f t="shared" si="52"/>
        <v>-410585.24356465257</v>
      </c>
      <c r="J64" s="208">
        <f t="shared" si="52"/>
        <v>-410585.24356465257</v>
      </c>
      <c r="K64" s="208">
        <f t="shared" si="52"/>
        <v>-410585.24356465257</v>
      </c>
      <c r="L64" s="208">
        <f t="shared" si="52"/>
        <v>-410585.24356465257</v>
      </c>
      <c r="M64" s="208">
        <f t="shared" si="52"/>
        <v>-410585.24356465257</v>
      </c>
      <c r="N64" s="208">
        <f t="shared" si="52"/>
        <v>-410585.24356465257</v>
      </c>
      <c r="O64" s="208">
        <f t="shared" si="52"/>
        <v>-410585.24356465257</v>
      </c>
      <c r="P64" s="208">
        <f t="shared" si="52"/>
        <v>-410585.24356465257</v>
      </c>
      <c r="Q64" s="208">
        <f t="shared" si="52"/>
        <v>5748193.4099051366</v>
      </c>
      <c r="R64" s="208">
        <f t="shared" si="52"/>
        <v>-513326.83759962226</v>
      </c>
      <c r="S64" s="208">
        <f t="shared" si="52"/>
        <v>-513326.83759962226</v>
      </c>
      <c r="T64" s="208">
        <f t="shared" si="52"/>
        <v>-513326.83759962226</v>
      </c>
      <c r="U64" s="208">
        <f t="shared" si="52"/>
        <v>-513326.83759962226</v>
      </c>
      <c r="V64" s="208">
        <f t="shared" si="52"/>
        <v>-513326.83759962226</v>
      </c>
      <c r="W64" s="208">
        <f t="shared" si="52"/>
        <v>-513326.83759962226</v>
      </c>
      <c r="X64" s="208">
        <f t="shared" si="52"/>
        <v>-513326.83759962226</v>
      </c>
      <c r="Y64" s="208">
        <f t="shared" si="52"/>
        <v>-513326.83759962226</v>
      </c>
      <c r="Z64" s="208">
        <f t="shared" si="52"/>
        <v>-513326.83759962226</v>
      </c>
      <c r="AA64" s="208">
        <f t="shared" si="52"/>
        <v>-513326.83759962226</v>
      </c>
      <c r="AB64" s="208">
        <f t="shared" si="52"/>
        <v>-513326.83759962226</v>
      </c>
      <c r="AC64" s="208">
        <f t="shared" si="52"/>
        <v>-513326.83759962226</v>
      </c>
      <c r="AD64" s="208">
        <f t="shared" si="52"/>
        <v>-513326.83759962226</v>
      </c>
      <c r="AE64" s="208">
        <f t="shared" si="52"/>
        <v>-513326.83759962226</v>
      </c>
      <c r="AF64" s="208">
        <f t="shared" si="52"/>
        <v>7186575.726394712</v>
      </c>
      <c r="AG64" s="208">
        <f t="shared" si="52"/>
        <v>0</v>
      </c>
      <c r="AH64" s="208">
        <f t="shared" si="52"/>
        <v>0</v>
      </c>
      <c r="AI64" s="208">
        <f t="shared" si="52"/>
        <v>0</v>
      </c>
      <c r="AJ64" s="208">
        <f t="shared" si="52"/>
        <v>0</v>
      </c>
      <c r="AK64" s="208">
        <f t="shared" si="52"/>
        <v>0</v>
      </c>
      <c r="AL64" s="208">
        <f t="shared" si="52"/>
        <v>0</v>
      </c>
      <c r="AM64" s="208">
        <f t="shared" si="52"/>
        <v>0</v>
      </c>
      <c r="AN64" s="208">
        <f t="shared" si="52"/>
        <v>0</v>
      </c>
      <c r="AO64" s="208">
        <f t="shared" si="52"/>
        <v>0</v>
      </c>
      <c r="AP64" s="208">
        <f t="shared" si="52"/>
        <v>0</v>
      </c>
    </row>
    <row r="65" spans="1:42">
      <c r="A65" s="206" t="s">
        <v>374</v>
      </c>
      <c r="B65" s="209">
        <f>-B699-B700</f>
        <v>0</v>
      </c>
      <c r="C65" s="209">
        <f t="shared" ref="C65:AP65" si="53">-C699-C700</f>
        <v>-34340.833333333321</v>
      </c>
      <c r="D65" s="209">
        <f t="shared" si="53"/>
        <v>-34340.833333333321</v>
      </c>
      <c r="E65" s="209">
        <f t="shared" si="53"/>
        <v>68681.666666666657</v>
      </c>
      <c r="F65" s="209">
        <f t="shared" si="53"/>
        <v>-35909.466796145811</v>
      </c>
      <c r="G65" s="209">
        <f t="shared" si="53"/>
        <v>-35909.466796145811</v>
      </c>
      <c r="H65" s="209">
        <f t="shared" si="53"/>
        <v>71818.933592291607</v>
      </c>
      <c r="I65" s="209">
        <f t="shared" si="53"/>
        <v>-37549.752886510192</v>
      </c>
      <c r="J65" s="209">
        <f t="shared" si="53"/>
        <v>-37549.752886510192</v>
      </c>
      <c r="K65" s="209">
        <f t="shared" si="53"/>
        <v>75099.505773020384</v>
      </c>
      <c r="L65" s="209">
        <f t="shared" si="53"/>
        <v>-39264.96458001752</v>
      </c>
      <c r="M65" s="209">
        <f t="shared" si="53"/>
        <v>-39264.96458001752</v>
      </c>
      <c r="N65" s="209">
        <f t="shared" si="53"/>
        <v>78529.929160035041</v>
      </c>
      <c r="O65" s="209">
        <f t="shared" si="53"/>
        <v>-41058.524356465256</v>
      </c>
      <c r="P65" s="209">
        <f t="shared" si="53"/>
        <v>-41058.524356465256</v>
      </c>
      <c r="Q65" s="209">
        <f t="shared" si="53"/>
        <v>82117.048712930526</v>
      </c>
      <c r="R65" s="209">
        <f t="shared" si="53"/>
        <v>-42934.011028966495</v>
      </c>
      <c r="S65" s="209">
        <f t="shared" si="53"/>
        <v>-42934.011028966495</v>
      </c>
      <c r="T65" s="209">
        <f t="shared" si="53"/>
        <v>85868.022057932976</v>
      </c>
      <c r="U65" s="209">
        <f t="shared" si="53"/>
        <v>-44895.166885001738</v>
      </c>
      <c r="V65" s="209">
        <f t="shared" si="53"/>
        <v>-44895.166885001738</v>
      </c>
      <c r="W65" s="209">
        <f t="shared" si="53"/>
        <v>89790.33377000349</v>
      </c>
      <c r="X65" s="209">
        <f t="shared" si="53"/>
        <v>-46945.90515366241</v>
      </c>
      <c r="Y65" s="209">
        <f t="shared" si="53"/>
        <v>-46945.90515366241</v>
      </c>
      <c r="Z65" s="209">
        <f t="shared" si="53"/>
        <v>93891.810307324835</v>
      </c>
      <c r="AA65" s="209">
        <f t="shared" si="53"/>
        <v>-49090.317813985828</v>
      </c>
      <c r="AB65" s="209">
        <f t="shared" si="53"/>
        <v>-49090.317813985828</v>
      </c>
      <c r="AC65" s="209">
        <f t="shared" si="53"/>
        <v>98180.635627971642</v>
      </c>
      <c r="AD65" s="209">
        <f t="shared" si="53"/>
        <v>-51332.68375996223</v>
      </c>
      <c r="AE65" s="209">
        <f t="shared" si="53"/>
        <v>-51332.68375996223</v>
      </c>
      <c r="AF65" s="209">
        <f t="shared" si="53"/>
        <v>102665.36751992445</v>
      </c>
      <c r="AG65" s="209">
        <f t="shared" si="53"/>
        <v>0</v>
      </c>
      <c r="AH65" s="209">
        <f t="shared" si="53"/>
        <v>0</v>
      </c>
      <c r="AI65" s="209">
        <f t="shared" si="53"/>
        <v>0</v>
      </c>
      <c r="AJ65" s="209">
        <f t="shared" si="53"/>
        <v>0</v>
      </c>
      <c r="AK65" s="209">
        <f t="shared" si="53"/>
        <v>0</v>
      </c>
      <c r="AL65" s="209">
        <f t="shared" si="53"/>
        <v>0</v>
      </c>
      <c r="AM65" s="209">
        <f t="shared" si="53"/>
        <v>0</v>
      </c>
      <c r="AN65" s="209">
        <f t="shared" si="53"/>
        <v>0</v>
      </c>
      <c r="AO65" s="209">
        <f t="shared" si="53"/>
        <v>0</v>
      </c>
      <c r="AP65" s="209">
        <f t="shared" si="53"/>
        <v>0</v>
      </c>
    </row>
    <row r="66" spans="1:42">
      <c r="A66" s="206" t="s">
        <v>53</v>
      </c>
      <c r="B66" s="164">
        <f>SUM(B61:B65)</f>
        <v>-1003637.021198127</v>
      </c>
      <c r="C66" s="164">
        <f t="shared" ref="C66:AP66" si="54">SUM(C61:C65)</f>
        <v>-698820.24231766025</v>
      </c>
      <c r="D66" s="164">
        <f t="shared" si="54"/>
        <v>-698796.89786039211</v>
      </c>
      <c r="E66" s="164">
        <f t="shared" si="54"/>
        <v>-595227.20538683631</v>
      </c>
      <c r="F66" s="164">
        <f t="shared" si="54"/>
        <v>-700315.90894558642</v>
      </c>
      <c r="G66" s="164">
        <f t="shared" si="54"/>
        <v>-700289.58476691449</v>
      </c>
      <c r="H66" s="164">
        <f t="shared" si="54"/>
        <v>-591987.05781936762</v>
      </c>
      <c r="I66" s="164">
        <f t="shared" si="54"/>
        <v>-701874.07702565158</v>
      </c>
      <c r="J66" s="164">
        <f t="shared" si="54"/>
        <v>-701844.55798775132</v>
      </c>
      <c r="K66" s="164">
        <f t="shared" si="54"/>
        <v>-588592.92781215184</v>
      </c>
      <c r="L66" s="164">
        <f t="shared" si="54"/>
        <v>-703497.35979049036</v>
      </c>
      <c r="M66" s="164">
        <f t="shared" si="54"/>
        <v>-703464.41621507122</v>
      </c>
      <c r="N66" s="164">
        <f t="shared" si="54"/>
        <v>2375836.7725943495</v>
      </c>
      <c r="O66" s="164">
        <f t="shared" si="54"/>
        <v>-753194.35397374129</v>
      </c>
      <c r="P66" s="164">
        <f t="shared" si="54"/>
        <v>-753157.74066060421</v>
      </c>
      <c r="Q66" s="164">
        <f t="shared" si="54"/>
        <v>5563706.7399948211</v>
      </c>
      <c r="R66" s="164">
        <f t="shared" si="54"/>
        <v>-857697.72332283354</v>
      </c>
      <c r="S66" s="164">
        <f t="shared" si="54"/>
        <v>-857657.17850160005</v>
      </c>
      <c r="T66" s="164">
        <f t="shared" si="54"/>
        <v>-728159.51027708431</v>
      </c>
      <c r="U66" s="164">
        <f t="shared" si="54"/>
        <v>-859533.0978967027</v>
      </c>
      <c r="V66" s="164">
        <f t="shared" si="54"/>
        <v>104483.56971816116</v>
      </c>
      <c r="W66" s="164">
        <f t="shared" si="54"/>
        <v>-716948.41104000888</v>
      </c>
      <c r="X66" s="164">
        <f t="shared" si="54"/>
        <v>-853684.64996367483</v>
      </c>
      <c r="Y66" s="164">
        <f t="shared" si="54"/>
        <v>-853684.64996367483</v>
      </c>
      <c r="Z66" s="164">
        <f t="shared" si="54"/>
        <v>2808095.9520219937</v>
      </c>
      <c r="AA66" s="164">
        <f t="shared" si="54"/>
        <v>-562417.15541360807</v>
      </c>
      <c r="AB66" s="164">
        <f t="shared" si="54"/>
        <v>-562417.15541360807</v>
      </c>
      <c r="AC66" s="164">
        <f t="shared" si="54"/>
        <v>-415146.20197165059</v>
      </c>
      <c r="AD66" s="164">
        <f t="shared" si="54"/>
        <v>-564659.52135958453</v>
      </c>
      <c r="AE66" s="164">
        <f t="shared" si="54"/>
        <v>-564659.52135958453</v>
      </c>
      <c r="AF66" s="164">
        <f t="shared" si="54"/>
        <v>7439241.0939146364</v>
      </c>
      <c r="AG66" s="164">
        <f t="shared" si="54"/>
        <v>0</v>
      </c>
      <c r="AH66" s="164">
        <f t="shared" si="54"/>
        <v>0</v>
      </c>
      <c r="AI66" s="164">
        <f t="shared" si="54"/>
        <v>0</v>
      </c>
      <c r="AJ66" s="164">
        <f t="shared" si="54"/>
        <v>0</v>
      </c>
      <c r="AK66" s="164">
        <f t="shared" si="54"/>
        <v>0</v>
      </c>
      <c r="AL66" s="164">
        <f t="shared" si="54"/>
        <v>0</v>
      </c>
      <c r="AM66" s="164">
        <f t="shared" si="54"/>
        <v>0</v>
      </c>
      <c r="AN66" s="164">
        <f t="shared" si="54"/>
        <v>0</v>
      </c>
      <c r="AO66" s="164">
        <f t="shared" si="54"/>
        <v>0</v>
      </c>
      <c r="AP66" s="164">
        <f t="shared" si="54"/>
        <v>0</v>
      </c>
    </row>
    <row r="67" spans="1:42">
      <c r="A67" s="202" t="s">
        <v>212</v>
      </c>
    </row>
    <row r="68" spans="1:42">
      <c r="A68" s="206" t="s">
        <v>380</v>
      </c>
      <c r="B68" s="208">
        <f>B636</f>
        <v>0</v>
      </c>
      <c r="C68" s="208">
        <f t="shared" ref="C68:AP68" si="55">C636</f>
        <v>0</v>
      </c>
      <c r="D68" s="208">
        <f t="shared" si="55"/>
        <v>0</v>
      </c>
      <c r="E68" s="208">
        <f t="shared" si="55"/>
        <v>0</v>
      </c>
      <c r="F68" s="208">
        <f t="shared" si="55"/>
        <v>0</v>
      </c>
      <c r="G68" s="208">
        <f t="shared" si="55"/>
        <v>0</v>
      </c>
      <c r="H68" s="208">
        <f t="shared" si="55"/>
        <v>0</v>
      </c>
      <c r="I68" s="208">
        <f t="shared" si="55"/>
        <v>0</v>
      </c>
      <c r="J68" s="208">
        <f t="shared" si="55"/>
        <v>0</v>
      </c>
      <c r="K68" s="208">
        <f t="shared" si="55"/>
        <v>0</v>
      </c>
      <c r="L68" s="208">
        <f t="shared" si="55"/>
        <v>0</v>
      </c>
      <c r="M68" s="208">
        <f t="shared" si="55"/>
        <v>0</v>
      </c>
      <c r="N68" s="208">
        <f t="shared" si="55"/>
        <v>-2944872.3435013141</v>
      </c>
      <c r="O68" s="208">
        <f t="shared" si="55"/>
        <v>0</v>
      </c>
      <c r="P68" s="208">
        <f t="shared" si="55"/>
        <v>0</v>
      </c>
      <c r="Q68" s="208">
        <f t="shared" si="55"/>
        <v>0</v>
      </c>
      <c r="R68" s="208">
        <f t="shared" si="55"/>
        <v>0</v>
      </c>
      <c r="S68" s="208">
        <f t="shared" si="55"/>
        <v>0</v>
      </c>
      <c r="T68" s="208">
        <f t="shared" si="55"/>
        <v>0</v>
      </c>
      <c r="U68" s="208">
        <f t="shared" si="55"/>
        <v>0</v>
      </c>
      <c r="V68" s="208">
        <f t="shared" si="55"/>
        <v>0</v>
      </c>
      <c r="W68" s="208">
        <f t="shared" si="55"/>
        <v>0</v>
      </c>
      <c r="X68" s="208">
        <f t="shared" si="55"/>
        <v>0</v>
      </c>
      <c r="Y68" s="208">
        <f t="shared" si="55"/>
        <v>0</v>
      </c>
      <c r="Z68" s="208">
        <f t="shared" si="55"/>
        <v>-3520942.886524681</v>
      </c>
      <c r="AA68" s="208">
        <f t="shared" si="55"/>
        <v>0</v>
      </c>
      <c r="AB68" s="208">
        <f t="shared" si="55"/>
        <v>0</v>
      </c>
      <c r="AC68" s="208">
        <f t="shared" si="55"/>
        <v>0</v>
      </c>
      <c r="AD68" s="208">
        <f t="shared" si="55"/>
        <v>0</v>
      </c>
      <c r="AE68" s="208">
        <f t="shared" si="55"/>
        <v>0</v>
      </c>
      <c r="AF68" s="208">
        <f t="shared" si="55"/>
        <v>0</v>
      </c>
      <c r="AG68" s="208">
        <f t="shared" si="55"/>
        <v>0</v>
      </c>
      <c r="AH68" s="208">
        <f t="shared" si="55"/>
        <v>0</v>
      </c>
      <c r="AI68" s="208">
        <f t="shared" si="55"/>
        <v>0</v>
      </c>
      <c r="AJ68" s="208">
        <f t="shared" si="55"/>
        <v>0</v>
      </c>
      <c r="AK68" s="208">
        <f t="shared" si="55"/>
        <v>0</v>
      </c>
      <c r="AL68" s="208">
        <f t="shared" si="55"/>
        <v>0</v>
      </c>
      <c r="AM68" s="208">
        <f t="shared" si="55"/>
        <v>0</v>
      </c>
      <c r="AN68" s="208">
        <f t="shared" si="55"/>
        <v>0</v>
      </c>
      <c r="AO68" s="208">
        <f t="shared" si="55"/>
        <v>0</v>
      </c>
      <c r="AP68" s="208">
        <f t="shared" si="55"/>
        <v>0</v>
      </c>
    </row>
    <row r="69" spans="1:42">
      <c r="A69" s="206" t="s">
        <v>381</v>
      </c>
      <c r="B69" s="208">
        <f>B668</f>
        <v>0</v>
      </c>
      <c r="C69" s="208">
        <f t="shared" ref="C69:AP69" si="56">C668</f>
        <v>0</v>
      </c>
      <c r="D69" s="208">
        <f t="shared" si="56"/>
        <v>0</v>
      </c>
      <c r="E69" s="208">
        <f t="shared" si="56"/>
        <v>0</v>
      </c>
      <c r="F69" s="208">
        <f t="shared" si="56"/>
        <v>0</v>
      </c>
      <c r="G69" s="208">
        <f t="shared" si="56"/>
        <v>0</v>
      </c>
      <c r="H69" s="208">
        <f t="shared" si="56"/>
        <v>0</v>
      </c>
      <c r="I69" s="208">
        <f t="shared" si="56"/>
        <v>0</v>
      </c>
      <c r="J69" s="208">
        <f t="shared" si="56"/>
        <v>0</v>
      </c>
      <c r="K69" s="208">
        <f t="shared" si="56"/>
        <v>0</v>
      </c>
      <c r="L69" s="208">
        <f t="shared" si="56"/>
        <v>0</v>
      </c>
      <c r="M69" s="208">
        <f t="shared" si="56"/>
        <v>0</v>
      </c>
      <c r="N69" s="208">
        <f t="shared" si="56"/>
        <v>0</v>
      </c>
      <c r="O69" s="208">
        <f t="shared" si="56"/>
        <v>0</v>
      </c>
      <c r="P69" s="208">
        <f t="shared" si="56"/>
        <v>0</v>
      </c>
      <c r="Q69" s="208">
        <f t="shared" si="56"/>
        <v>-6158778.6534697888</v>
      </c>
      <c r="R69" s="208">
        <f t="shared" si="56"/>
        <v>0</v>
      </c>
      <c r="S69" s="208">
        <f t="shared" si="56"/>
        <v>0</v>
      </c>
      <c r="T69" s="208">
        <f t="shared" si="56"/>
        <v>0</v>
      </c>
      <c r="U69" s="208">
        <f t="shared" si="56"/>
        <v>0</v>
      </c>
      <c r="V69" s="208">
        <f t="shared" si="56"/>
        <v>0</v>
      </c>
      <c r="W69" s="208">
        <f t="shared" si="56"/>
        <v>0</v>
      </c>
      <c r="X69" s="208">
        <f t="shared" si="56"/>
        <v>0</v>
      </c>
      <c r="Y69" s="208">
        <f t="shared" si="56"/>
        <v>0</v>
      </c>
      <c r="Z69" s="208">
        <f t="shared" si="56"/>
        <v>0</v>
      </c>
      <c r="AA69" s="208">
        <f t="shared" si="56"/>
        <v>0</v>
      </c>
      <c r="AB69" s="208">
        <f t="shared" si="56"/>
        <v>0</v>
      </c>
      <c r="AC69" s="208">
        <f t="shared" si="56"/>
        <v>0</v>
      </c>
      <c r="AD69" s="208">
        <f t="shared" si="56"/>
        <v>0</v>
      </c>
      <c r="AE69" s="208">
        <f t="shared" si="56"/>
        <v>0</v>
      </c>
      <c r="AF69" s="208">
        <f t="shared" si="56"/>
        <v>-7699902.5639943341</v>
      </c>
      <c r="AG69" s="208">
        <f t="shared" si="56"/>
        <v>0</v>
      </c>
      <c r="AH69" s="208">
        <f t="shared" si="56"/>
        <v>0</v>
      </c>
      <c r="AI69" s="208">
        <f t="shared" si="56"/>
        <v>0</v>
      </c>
      <c r="AJ69" s="208">
        <f t="shared" si="56"/>
        <v>0</v>
      </c>
      <c r="AK69" s="208">
        <f t="shared" si="56"/>
        <v>0</v>
      </c>
      <c r="AL69" s="208">
        <f t="shared" si="56"/>
        <v>0</v>
      </c>
      <c r="AM69" s="208">
        <f t="shared" si="56"/>
        <v>0</v>
      </c>
      <c r="AN69" s="208">
        <f t="shared" si="56"/>
        <v>0</v>
      </c>
      <c r="AO69" s="208">
        <f t="shared" si="56"/>
        <v>0</v>
      </c>
      <c r="AP69" s="208">
        <f t="shared" si="56"/>
        <v>0</v>
      </c>
    </row>
    <row r="70" spans="1:42">
      <c r="A70" s="206" t="s">
        <v>382</v>
      </c>
      <c r="B70" s="209">
        <f>B700</f>
        <v>0</v>
      </c>
      <c r="C70" s="209">
        <f t="shared" ref="C70:AP70" si="57">C700</f>
        <v>0</v>
      </c>
      <c r="D70" s="209">
        <f t="shared" si="57"/>
        <v>0</v>
      </c>
      <c r="E70" s="209">
        <f t="shared" si="57"/>
        <v>-103022.49999999997</v>
      </c>
      <c r="F70" s="209">
        <f t="shared" si="57"/>
        <v>0</v>
      </c>
      <c r="G70" s="209">
        <f t="shared" si="57"/>
        <v>0</v>
      </c>
      <c r="H70" s="209">
        <f t="shared" si="57"/>
        <v>-107728.40038843743</v>
      </c>
      <c r="I70" s="209">
        <f t="shared" si="57"/>
        <v>0</v>
      </c>
      <c r="J70" s="209">
        <f t="shared" si="57"/>
        <v>0</v>
      </c>
      <c r="K70" s="209">
        <f t="shared" si="57"/>
        <v>-112649.25865953058</v>
      </c>
      <c r="L70" s="209">
        <f t="shared" si="57"/>
        <v>0</v>
      </c>
      <c r="M70" s="209">
        <f t="shared" si="57"/>
        <v>0</v>
      </c>
      <c r="N70" s="209">
        <f t="shared" si="57"/>
        <v>-117794.89374005256</v>
      </c>
      <c r="O70" s="209">
        <f t="shared" si="57"/>
        <v>0</v>
      </c>
      <c r="P70" s="209">
        <f t="shared" si="57"/>
        <v>0</v>
      </c>
      <c r="Q70" s="209">
        <f t="shared" si="57"/>
        <v>-123175.57306939577</v>
      </c>
      <c r="R70" s="209">
        <f t="shared" si="57"/>
        <v>0</v>
      </c>
      <c r="S70" s="209">
        <f t="shared" si="57"/>
        <v>0</v>
      </c>
      <c r="T70" s="209">
        <f t="shared" si="57"/>
        <v>-128802.03308689948</v>
      </c>
      <c r="U70" s="209">
        <f t="shared" si="57"/>
        <v>0</v>
      </c>
      <c r="V70" s="209">
        <f t="shared" si="57"/>
        <v>0</v>
      </c>
      <c r="W70" s="209">
        <f t="shared" si="57"/>
        <v>-134685.50065500522</v>
      </c>
      <c r="X70" s="209">
        <f t="shared" si="57"/>
        <v>0</v>
      </c>
      <c r="Y70" s="209">
        <f t="shared" si="57"/>
        <v>0</v>
      </c>
      <c r="Z70" s="209">
        <f t="shared" si="57"/>
        <v>-140837.71546098724</v>
      </c>
      <c r="AA70" s="209">
        <f t="shared" si="57"/>
        <v>0</v>
      </c>
      <c r="AB70" s="209">
        <f t="shared" si="57"/>
        <v>0</v>
      </c>
      <c r="AC70" s="209">
        <f t="shared" si="57"/>
        <v>-147270.95344195748</v>
      </c>
      <c r="AD70" s="209">
        <f t="shared" si="57"/>
        <v>0</v>
      </c>
      <c r="AE70" s="209">
        <f t="shared" si="57"/>
        <v>0</v>
      </c>
      <c r="AF70" s="209">
        <f t="shared" si="57"/>
        <v>-153998.05127988668</v>
      </c>
      <c r="AG70" s="209">
        <f t="shared" si="57"/>
        <v>0</v>
      </c>
      <c r="AH70" s="209">
        <f t="shared" si="57"/>
        <v>0</v>
      </c>
      <c r="AI70" s="209">
        <f t="shared" si="57"/>
        <v>0</v>
      </c>
      <c r="AJ70" s="209">
        <f t="shared" si="57"/>
        <v>0</v>
      </c>
      <c r="AK70" s="209">
        <f t="shared" si="57"/>
        <v>0</v>
      </c>
      <c r="AL70" s="209">
        <f t="shared" si="57"/>
        <v>0</v>
      </c>
      <c r="AM70" s="209">
        <f t="shared" si="57"/>
        <v>0</v>
      </c>
      <c r="AN70" s="209">
        <f t="shared" si="57"/>
        <v>0</v>
      </c>
      <c r="AO70" s="209">
        <f t="shared" si="57"/>
        <v>0</v>
      </c>
      <c r="AP70" s="209">
        <f t="shared" si="57"/>
        <v>0</v>
      </c>
    </row>
    <row r="71" spans="1:42">
      <c r="A71" s="206" t="s">
        <v>53</v>
      </c>
      <c r="B71" s="291">
        <f>SUM(B68:B70)</f>
        <v>0</v>
      </c>
      <c r="C71" s="291">
        <f t="shared" ref="C71:AP71" si="58">SUM(C68:C70)</f>
        <v>0</v>
      </c>
      <c r="D71" s="291">
        <f t="shared" si="58"/>
        <v>0</v>
      </c>
      <c r="E71" s="291">
        <f t="shared" si="58"/>
        <v>-103022.49999999997</v>
      </c>
      <c r="F71" s="291">
        <f t="shared" si="58"/>
        <v>0</v>
      </c>
      <c r="G71" s="291">
        <f t="shared" si="58"/>
        <v>0</v>
      </c>
      <c r="H71" s="291">
        <f t="shared" si="58"/>
        <v>-107728.40038843743</v>
      </c>
      <c r="I71" s="291">
        <f t="shared" si="58"/>
        <v>0</v>
      </c>
      <c r="J71" s="291">
        <f t="shared" si="58"/>
        <v>0</v>
      </c>
      <c r="K71" s="291">
        <f t="shared" si="58"/>
        <v>-112649.25865953058</v>
      </c>
      <c r="L71" s="291">
        <f t="shared" si="58"/>
        <v>0</v>
      </c>
      <c r="M71" s="291">
        <f t="shared" si="58"/>
        <v>0</v>
      </c>
      <c r="N71" s="291">
        <f t="shared" si="58"/>
        <v>-3062667.2372413664</v>
      </c>
      <c r="O71" s="291">
        <f t="shared" si="58"/>
        <v>0</v>
      </c>
      <c r="P71" s="291">
        <f t="shared" si="58"/>
        <v>0</v>
      </c>
      <c r="Q71" s="291">
        <f t="shared" si="58"/>
        <v>-6281954.2265391843</v>
      </c>
      <c r="R71" s="291">
        <f t="shared" si="58"/>
        <v>0</v>
      </c>
      <c r="S71" s="291">
        <f t="shared" si="58"/>
        <v>0</v>
      </c>
      <c r="T71" s="291">
        <f t="shared" si="58"/>
        <v>-128802.03308689948</v>
      </c>
      <c r="U71" s="291">
        <f t="shared" si="58"/>
        <v>0</v>
      </c>
      <c r="V71" s="291">
        <f t="shared" si="58"/>
        <v>0</v>
      </c>
      <c r="W71" s="291">
        <f t="shared" si="58"/>
        <v>-134685.50065500522</v>
      </c>
      <c r="X71" s="291">
        <f t="shared" si="58"/>
        <v>0</v>
      </c>
      <c r="Y71" s="291">
        <f t="shared" si="58"/>
        <v>0</v>
      </c>
      <c r="Z71" s="291">
        <f t="shared" si="58"/>
        <v>-3661780.6019856683</v>
      </c>
      <c r="AA71" s="291">
        <f t="shared" si="58"/>
        <v>0</v>
      </c>
      <c r="AB71" s="291">
        <f t="shared" si="58"/>
        <v>0</v>
      </c>
      <c r="AC71" s="291">
        <f t="shared" si="58"/>
        <v>-147270.95344195748</v>
      </c>
      <c r="AD71" s="291">
        <f t="shared" si="58"/>
        <v>0</v>
      </c>
      <c r="AE71" s="291">
        <f t="shared" si="58"/>
        <v>0</v>
      </c>
      <c r="AF71" s="291">
        <f t="shared" si="58"/>
        <v>-7853900.6152742207</v>
      </c>
      <c r="AG71" s="291">
        <f t="shared" si="58"/>
        <v>0</v>
      </c>
      <c r="AH71" s="291">
        <f t="shared" si="58"/>
        <v>0</v>
      </c>
      <c r="AI71" s="291">
        <f t="shared" si="58"/>
        <v>0</v>
      </c>
      <c r="AJ71" s="291">
        <f t="shared" si="58"/>
        <v>0</v>
      </c>
      <c r="AK71" s="291">
        <f t="shared" si="58"/>
        <v>0</v>
      </c>
      <c r="AL71" s="291">
        <f t="shared" si="58"/>
        <v>0</v>
      </c>
      <c r="AM71" s="291">
        <f t="shared" si="58"/>
        <v>0</v>
      </c>
      <c r="AN71" s="291">
        <f t="shared" si="58"/>
        <v>0</v>
      </c>
      <c r="AO71" s="291">
        <f t="shared" si="58"/>
        <v>0</v>
      </c>
      <c r="AP71" s="291">
        <f t="shared" si="58"/>
        <v>0</v>
      </c>
    </row>
    <row r="72" spans="1:42">
      <c r="A72" s="202" t="s">
        <v>53</v>
      </c>
      <c r="B72" s="164">
        <f>B59+B66+B71</f>
        <v>-42553511.021198124</v>
      </c>
      <c r="C72" s="164">
        <f t="shared" ref="C72:AP72" si="59">C59+C66+C71</f>
        <v>-698820.24231766025</v>
      </c>
      <c r="D72" s="164">
        <f t="shared" si="59"/>
        <v>-698796.89786039211</v>
      </c>
      <c r="E72" s="164">
        <f t="shared" si="59"/>
        <v>-698249.70538683631</v>
      </c>
      <c r="F72" s="164">
        <f t="shared" si="59"/>
        <v>-700315.90894558642</v>
      </c>
      <c r="G72" s="164">
        <f t="shared" si="59"/>
        <v>-700289.58476691449</v>
      </c>
      <c r="H72" s="164">
        <f t="shared" si="59"/>
        <v>-699715.45820780506</v>
      </c>
      <c r="I72" s="164">
        <f t="shared" si="59"/>
        <v>-701874.07702565158</v>
      </c>
      <c r="J72" s="164">
        <f t="shared" si="59"/>
        <v>-701844.55798775132</v>
      </c>
      <c r="K72" s="164">
        <f t="shared" si="59"/>
        <v>-701242.18647168239</v>
      </c>
      <c r="L72" s="164">
        <f t="shared" si="59"/>
        <v>-703497.35979049036</v>
      </c>
      <c r="M72" s="164">
        <f t="shared" si="59"/>
        <v>-703464.41621507122</v>
      </c>
      <c r="N72" s="164">
        <f t="shared" si="59"/>
        <v>-686830.46464701695</v>
      </c>
      <c r="O72" s="164">
        <f t="shared" si="59"/>
        <v>-753194.35397374129</v>
      </c>
      <c r="P72" s="164">
        <f t="shared" si="59"/>
        <v>-753157.74066060421</v>
      </c>
      <c r="Q72" s="164">
        <f t="shared" si="59"/>
        <v>-718247.4865443632</v>
      </c>
      <c r="R72" s="164">
        <f t="shared" si="59"/>
        <v>-857697.72332283354</v>
      </c>
      <c r="S72" s="164">
        <f t="shared" si="59"/>
        <v>-857657.17850160005</v>
      </c>
      <c r="T72" s="164">
        <f t="shared" si="59"/>
        <v>-856961.54336398374</v>
      </c>
      <c r="U72" s="164">
        <f t="shared" si="59"/>
        <v>-859533.0978967027</v>
      </c>
      <c r="V72" s="164">
        <f t="shared" si="59"/>
        <v>104483.56971816116</v>
      </c>
      <c r="W72" s="164">
        <f t="shared" si="59"/>
        <v>-851633.9116950141</v>
      </c>
      <c r="X72" s="164">
        <f t="shared" si="59"/>
        <v>-853684.64996367483</v>
      </c>
      <c r="Y72" s="164">
        <f t="shared" si="59"/>
        <v>-853684.64996367483</v>
      </c>
      <c r="Z72" s="164">
        <f t="shared" si="59"/>
        <v>-853684.6499636746</v>
      </c>
      <c r="AA72" s="164">
        <f t="shared" si="59"/>
        <v>-562417.15541360807</v>
      </c>
      <c r="AB72" s="164">
        <f t="shared" si="59"/>
        <v>-562417.15541360807</v>
      </c>
      <c r="AC72" s="164">
        <f t="shared" si="59"/>
        <v>-562417.15541360807</v>
      </c>
      <c r="AD72" s="164">
        <f t="shared" si="59"/>
        <v>-564659.52135958453</v>
      </c>
      <c r="AE72" s="164">
        <f t="shared" si="59"/>
        <v>-564659.52135958453</v>
      </c>
      <c r="AF72" s="164">
        <f t="shared" si="59"/>
        <v>-414659.52135958429</v>
      </c>
      <c r="AG72" s="164">
        <f t="shared" si="59"/>
        <v>0</v>
      </c>
      <c r="AH72" s="164">
        <f t="shared" si="59"/>
        <v>0</v>
      </c>
      <c r="AI72" s="164">
        <f t="shared" si="59"/>
        <v>0</v>
      </c>
      <c r="AJ72" s="164">
        <f t="shared" si="59"/>
        <v>0</v>
      </c>
      <c r="AK72" s="164">
        <f t="shared" si="59"/>
        <v>0</v>
      </c>
      <c r="AL72" s="164">
        <f t="shared" si="59"/>
        <v>0</v>
      </c>
      <c r="AM72" s="164">
        <f t="shared" si="59"/>
        <v>0</v>
      </c>
      <c r="AN72" s="164">
        <f t="shared" si="59"/>
        <v>0</v>
      </c>
      <c r="AO72" s="164">
        <f t="shared" si="59"/>
        <v>0</v>
      </c>
      <c r="AP72" s="164">
        <f t="shared" si="59"/>
        <v>0</v>
      </c>
    </row>
    <row r="73" spans="1:42">
      <c r="A73" s="202"/>
      <c r="B73" s="164"/>
      <c r="C73" s="164"/>
      <c r="D73" s="164"/>
      <c r="E73" s="164"/>
      <c r="F73" s="164"/>
      <c r="G73" s="164"/>
      <c r="H73" s="164"/>
      <c r="I73" s="164"/>
      <c r="J73" s="164"/>
      <c r="K73" s="164"/>
      <c r="L73" s="164"/>
      <c r="M73" s="164"/>
      <c r="N73" s="164"/>
      <c r="O73" s="164"/>
      <c r="P73" s="164"/>
      <c r="Q73" s="164"/>
      <c r="R73" s="164"/>
      <c r="S73" s="164"/>
      <c r="T73" s="164"/>
      <c r="U73" s="164"/>
      <c r="V73" s="164"/>
      <c r="W73" s="164"/>
      <c r="X73" s="164"/>
      <c r="Y73" s="164"/>
      <c r="Z73" s="164"/>
      <c r="AA73" s="164"/>
      <c r="AB73" s="164"/>
      <c r="AC73" s="164"/>
      <c r="AD73" s="164"/>
      <c r="AE73" s="164"/>
      <c r="AF73" s="164"/>
      <c r="AG73" s="164"/>
      <c r="AH73" s="164"/>
      <c r="AI73" s="164"/>
      <c r="AJ73" s="164"/>
      <c r="AK73" s="164"/>
      <c r="AL73" s="164"/>
      <c r="AM73" s="164"/>
      <c r="AN73" s="164"/>
      <c r="AO73" s="164"/>
      <c r="AP73" s="164"/>
    </row>
    <row r="74" spans="1:42">
      <c r="A74" s="204" t="s">
        <v>195</v>
      </c>
      <c r="B74" s="164"/>
      <c r="C74" s="164"/>
      <c r="D74" s="164"/>
      <c r="E74" s="164"/>
      <c r="F74" s="164"/>
      <c r="G74" s="164"/>
      <c r="H74" s="164"/>
      <c r="I74" s="164"/>
      <c r="J74" s="164"/>
      <c r="K74" s="164"/>
      <c r="L74" s="164"/>
      <c r="M74" s="164"/>
      <c r="N74" s="164"/>
      <c r="O74" s="164"/>
      <c r="P74" s="164"/>
      <c r="Q74" s="164"/>
      <c r="R74" s="164"/>
      <c r="S74" s="164"/>
      <c r="T74" s="164"/>
      <c r="U74" s="164"/>
      <c r="V74" s="164"/>
      <c r="W74" s="164"/>
      <c r="X74" s="164"/>
      <c r="Y74" s="164"/>
      <c r="Z74" s="164"/>
      <c r="AA74" s="164"/>
      <c r="AB74" s="164"/>
      <c r="AC74" s="164"/>
      <c r="AD74" s="164"/>
      <c r="AE74" s="164"/>
      <c r="AF74" s="164"/>
      <c r="AG74" s="164"/>
      <c r="AH74" s="164"/>
      <c r="AI74" s="164"/>
      <c r="AJ74" s="164"/>
      <c r="AK74" s="164"/>
      <c r="AL74" s="164"/>
      <c r="AM74" s="164"/>
      <c r="AN74" s="164"/>
      <c r="AO74" s="164"/>
      <c r="AP74" s="164"/>
    </row>
    <row r="75" spans="1:42">
      <c r="A75" s="202" t="s">
        <v>214</v>
      </c>
      <c r="B75" s="164"/>
      <c r="C75" s="164"/>
      <c r="D75" s="164"/>
      <c r="E75" s="164"/>
      <c r="F75" s="164"/>
      <c r="G75" s="164"/>
      <c r="H75" s="164"/>
      <c r="I75" s="164"/>
      <c r="J75" s="164"/>
      <c r="K75" s="164"/>
      <c r="L75" s="164"/>
      <c r="M75" s="164"/>
      <c r="N75" s="164"/>
      <c r="O75" s="164"/>
      <c r="P75" s="164"/>
      <c r="Q75" s="164"/>
      <c r="R75" s="164"/>
      <c r="S75" s="164"/>
      <c r="T75" s="164"/>
      <c r="U75" s="164"/>
      <c r="V75" s="164"/>
      <c r="W75" s="164"/>
      <c r="X75" s="164"/>
      <c r="Y75" s="164"/>
      <c r="Z75" s="164"/>
      <c r="AA75" s="164"/>
      <c r="AB75" s="164"/>
      <c r="AC75" s="164"/>
      <c r="AD75" s="164"/>
      <c r="AE75" s="164"/>
      <c r="AF75" s="164"/>
      <c r="AG75" s="164"/>
      <c r="AH75" s="164"/>
      <c r="AI75" s="164"/>
      <c r="AJ75" s="164"/>
      <c r="AK75" s="164"/>
      <c r="AL75" s="164"/>
      <c r="AM75" s="164"/>
      <c r="AN75" s="164"/>
      <c r="AO75" s="164"/>
      <c r="AP75" s="164"/>
    </row>
    <row r="76" spans="1:42">
      <c r="A76" s="206" t="s">
        <v>215</v>
      </c>
      <c r="B76" s="164">
        <f>'Inputs &amp; Results'!$E$161+'Inputs &amp; Results'!$E$162</f>
        <v>6641229.75</v>
      </c>
      <c r="C76" s="164">
        <v>0</v>
      </c>
      <c r="D76" s="164">
        <v>0</v>
      </c>
      <c r="E76" s="164">
        <v>0</v>
      </c>
      <c r="F76" s="164">
        <v>0</v>
      </c>
      <c r="G76" s="164">
        <v>0</v>
      </c>
      <c r="H76" s="164">
        <v>0</v>
      </c>
      <c r="I76" s="164">
        <v>0</v>
      </c>
      <c r="J76" s="164">
        <v>0</v>
      </c>
      <c r="K76" s="164">
        <v>0</v>
      </c>
      <c r="L76" s="164">
        <v>0</v>
      </c>
      <c r="M76" s="164">
        <v>0</v>
      </c>
      <c r="N76" s="164">
        <v>0</v>
      </c>
      <c r="O76" s="164">
        <v>0</v>
      </c>
      <c r="P76" s="164">
        <v>0</v>
      </c>
      <c r="Q76" s="164">
        <v>0</v>
      </c>
      <c r="R76" s="164">
        <v>0</v>
      </c>
      <c r="S76" s="164">
        <v>0</v>
      </c>
      <c r="T76" s="164">
        <v>0</v>
      </c>
      <c r="U76" s="164">
        <v>0</v>
      </c>
      <c r="V76" s="164">
        <v>0</v>
      </c>
      <c r="W76" s="164">
        <v>0</v>
      </c>
      <c r="X76" s="164">
        <v>0</v>
      </c>
      <c r="Y76" s="164">
        <v>0</v>
      </c>
      <c r="Z76" s="164">
        <v>0</v>
      </c>
      <c r="AA76" s="164">
        <v>0</v>
      </c>
      <c r="AB76" s="164">
        <v>0</v>
      </c>
      <c r="AC76" s="164">
        <v>0</v>
      </c>
      <c r="AD76" s="164">
        <v>0</v>
      </c>
      <c r="AE76" s="164">
        <v>0</v>
      </c>
      <c r="AF76" s="164">
        <v>0</v>
      </c>
      <c r="AG76" s="164">
        <v>0</v>
      </c>
      <c r="AH76" s="164">
        <v>0</v>
      </c>
      <c r="AI76" s="164">
        <v>0</v>
      </c>
      <c r="AJ76" s="164">
        <v>0</v>
      </c>
      <c r="AK76" s="164">
        <v>0</v>
      </c>
      <c r="AL76" s="164">
        <v>0</v>
      </c>
      <c r="AM76" s="164">
        <v>0</v>
      </c>
      <c r="AN76" s="164">
        <v>0</v>
      </c>
      <c r="AO76" s="164">
        <v>0</v>
      </c>
      <c r="AP76" s="164">
        <v>0</v>
      </c>
    </row>
    <row r="77" spans="1:42">
      <c r="A77" s="206" t="s">
        <v>189</v>
      </c>
      <c r="B77" s="209">
        <f>'Inputs &amp; Results'!$E$163</f>
        <v>7150000</v>
      </c>
      <c r="C77" s="209">
        <v>0</v>
      </c>
      <c r="D77" s="209">
        <v>0</v>
      </c>
      <c r="E77" s="209">
        <v>0</v>
      </c>
      <c r="F77" s="209">
        <v>0</v>
      </c>
      <c r="G77" s="209">
        <v>0</v>
      </c>
      <c r="H77" s="209">
        <v>0</v>
      </c>
      <c r="I77" s="209">
        <v>0</v>
      </c>
      <c r="J77" s="209">
        <v>0</v>
      </c>
      <c r="K77" s="209">
        <v>0</v>
      </c>
      <c r="L77" s="209">
        <v>0</v>
      </c>
      <c r="M77" s="209">
        <v>0</v>
      </c>
      <c r="N77" s="209">
        <v>0</v>
      </c>
      <c r="O77" s="209">
        <v>0</v>
      </c>
      <c r="P77" s="209">
        <v>0</v>
      </c>
      <c r="Q77" s="209">
        <v>0</v>
      </c>
      <c r="R77" s="209">
        <v>0</v>
      </c>
      <c r="S77" s="209">
        <v>0</v>
      </c>
      <c r="T77" s="209">
        <v>0</v>
      </c>
      <c r="U77" s="209">
        <v>0</v>
      </c>
      <c r="V77" s="209">
        <v>0</v>
      </c>
      <c r="W77" s="209">
        <v>0</v>
      </c>
      <c r="X77" s="209">
        <v>0</v>
      </c>
      <c r="Y77" s="209">
        <v>0</v>
      </c>
      <c r="Z77" s="209">
        <v>0</v>
      </c>
      <c r="AA77" s="209">
        <v>0</v>
      </c>
      <c r="AB77" s="209">
        <v>0</v>
      </c>
      <c r="AC77" s="209">
        <v>0</v>
      </c>
      <c r="AD77" s="209">
        <v>0</v>
      </c>
      <c r="AE77" s="209">
        <v>0</v>
      </c>
      <c r="AF77" s="209">
        <v>0</v>
      </c>
      <c r="AG77" s="209">
        <v>0</v>
      </c>
      <c r="AH77" s="209">
        <v>0</v>
      </c>
      <c r="AI77" s="209">
        <v>0</v>
      </c>
      <c r="AJ77" s="209">
        <v>0</v>
      </c>
      <c r="AK77" s="209">
        <v>0</v>
      </c>
      <c r="AL77" s="209">
        <v>0</v>
      </c>
      <c r="AM77" s="209">
        <v>0</v>
      </c>
      <c r="AN77" s="209">
        <v>0</v>
      </c>
      <c r="AO77" s="209">
        <v>0</v>
      </c>
      <c r="AP77" s="209">
        <v>0</v>
      </c>
    </row>
    <row r="78" spans="1:42">
      <c r="A78" s="206" t="s">
        <v>53</v>
      </c>
      <c r="B78" s="164">
        <f>SUM(B76:B77)</f>
        <v>13791229.75</v>
      </c>
      <c r="C78" s="164">
        <f t="shared" ref="C78:AP78" si="60">SUM(C76:C77)</f>
        <v>0</v>
      </c>
      <c r="D78" s="164">
        <f t="shared" si="60"/>
        <v>0</v>
      </c>
      <c r="E78" s="164">
        <f t="shared" si="60"/>
        <v>0</v>
      </c>
      <c r="F78" s="164">
        <f t="shared" si="60"/>
        <v>0</v>
      </c>
      <c r="G78" s="164">
        <f t="shared" si="60"/>
        <v>0</v>
      </c>
      <c r="H78" s="164">
        <f t="shared" si="60"/>
        <v>0</v>
      </c>
      <c r="I78" s="164">
        <f t="shared" si="60"/>
        <v>0</v>
      </c>
      <c r="J78" s="164">
        <f t="shared" si="60"/>
        <v>0</v>
      </c>
      <c r="K78" s="164">
        <f t="shared" si="60"/>
        <v>0</v>
      </c>
      <c r="L78" s="164">
        <f t="shared" si="60"/>
        <v>0</v>
      </c>
      <c r="M78" s="164">
        <f t="shared" si="60"/>
        <v>0</v>
      </c>
      <c r="N78" s="164">
        <f t="shared" si="60"/>
        <v>0</v>
      </c>
      <c r="O78" s="164">
        <f t="shared" si="60"/>
        <v>0</v>
      </c>
      <c r="P78" s="164">
        <f t="shared" si="60"/>
        <v>0</v>
      </c>
      <c r="Q78" s="164">
        <f t="shared" si="60"/>
        <v>0</v>
      </c>
      <c r="R78" s="164">
        <f t="shared" si="60"/>
        <v>0</v>
      </c>
      <c r="S78" s="164">
        <f t="shared" si="60"/>
        <v>0</v>
      </c>
      <c r="T78" s="164">
        <f t="shared" si="60"/>
        <v>0</v>
      </c>
      <c r="U78" s="164">
        <f t="shared" si="60"/>
        <v>0</v>
      </c>
      <c r="V78" s="164">
        <f t="shared" si="60"/>
        <v>0</v>
      </c>
      <c r="W78" s="164">
        <f t="shared" si="60"/>
        <v>0</v>
      </c>
      <c r="X78" s="164">
        <f t="shared" si="60"/>
        <v>0</v>
      </c>
      <c r="Y78" s="164">
        <f t="shared" si="60"/>
        <v>0</v>
      </c>
      <c r="Z78" s="164">
        <f t="shared" si="60"/>
        <v>0</v>
      </c>
      <c r="AA78" s="164">
        <f t="shared" si="60"/>
        <v>0</v>
      </c>
      <c r="AB78" s="164">
        <f t="shared" si="60"/>
        <v>0</v>
      </c>
      <c r="AC78" s="164">
        <f t="shared" si="60"/>
        <v>0</v>
      </c>
      <c r="AD78" s="164">
        <f t="shared" si="60"/>
        <v>0</v>
      </c>
      <c r="AE78" s="164">
        <f t="shared" si="60"/>
        <v>0</v>
      </c>
      <c r="AF78" s="164">
        <f t="shared" si="60"/>
        <v>0</v>
      </c>
      <c r="AG78" s="164">
        <f t="shared" si="60"/>
        <v>0</v>
      </c>
      <c r="AH78" s="164">
        <f t="shared" si="60"/>
        <v>0</v>
      </c>
      <c r="AI78" s="164">
        <f t="shared" si="60"/>
        <v>0</v>
      </c>
      <c r="AJ78" s="164">
        <f t="shared" si="60"/>
        <v>0</v>
      </c>
      <c r="AK78" s="164">
        <f t="shared" si="60"/>
        <v>0</v>
      </c>
      <c r="AL78" s="164">
        <f t="shared" si="60"/>
        <v>0</v>
      </c>
      <c r="AM78" s="164">
        <f t="shared" si="60"/>
        <v>0</v>
      </c>
      <c r="AN78" s="164">
        <f t="shared" si="60"/>
        <v>0</v>
      </c>
      <c r="AO78" s="164">
        <f t="shared" si="60"/>
        <v>0</v>
      </c>
      <c r="AP78" s="164">
        <f t="shared" si="60"/>
        <v>0</v>
      </c>
    </row>
    <row r="79" spans="1:42">
      <c r="A79" s="202" t="s">
        <v>390</v>
      </c>
      <c r="B79" s="164">
        <f>'Inputs &amp; Results'!$E$159</f>
        <v>9593586.8900522292</v>
      </c>
      <c r="C79" s="164">
        <v>0</v>
      </c>
      <c r="D79" s="164">
        <v>0</v>
      </c>
      <c r="E79" s="164">
        <v>0</v>
      </c>
      <c r="F79" s="164">
        <v>0</v>
      </c>
      <c r="G79" s="164">
        <v>0</v>
      </c>
      <c r="H79" s="164">
        <v>0</v>
      </c>
      <c r="I79" s="164">
        <v>0</v>
      </c>
      <c r="J79" s="164">
        <v>0</v>
      </c>
      <c r="K79" s="164">
        <v>0</v>
      </c>
      <c r="L79" s="164">
        <v>0</v>
      </c>
      <c r="M79" s="164">
        <v>0</v>
      </c>
      <c r="N79" s="164">
        <v>0</v>
      </c>
      <c r="O79" s="164">
        <v>0</v>
      </c>
      <c r="P79" s="164">
        <v>0</v>
      </c>
      <c r="Q79" s="164">
        <v>0</v>
      </c>
      <c r="R79" s="164">
        <v>0</v>
      </c>
      <c r="S79" s="164">
        <v>0</v>
      </c>
      <c r="T79" s="164">
        <v>0</v>
      </c>
      <c r="U79" s="164">
        <v>0</v>
      </c>
      <c r="V79" s="164">
        <v>0</v>
      </c>
      <c r="W79" s="164">
        <v>0</v>
      </c>
      <c r="X79" s="164">
        <v>0</v>
      </c>
      <c r="Y79" s="164">
        <v>0</v>
      </c>
      <c r="Z79" s="164">
        <v>0</v>
      </c>
      <c r="AA79" s="164">
        <v>0</v>
      </c>
      <c r="AB79" s="164">
        <v>0</v>
      </c>
      <c r="AC79" s="164">
        <v>0</v>
      </c>
      <c r="AD79" s="164">
        <v>0</v>
      </c>
      <c r="AE79" s="164">
        <v>0</v>
      </c>
      <c r="AF79" s="164">
        <v>0</v>
      </c>
      <c r="AG79" s="164">
        <v>0</v>
      </c>
      <c r="AH79" s="164">
        <v>0</v>
      </c>
      <c r="AI79" s="164">
        <v>0</v>
      </c>
      <c r="AJ79" s="164">
        <v>0</v>
      </c>
      <c r="AK79" s="164">
        <v>0</v>
      </c>
      <c r="AL79" s="164">
        <v>0</v>
      </c>
      <c r="AM79" s="164">
        <v>0</v>
      </c>
      <c r="AN79" s="164">
        <v>0</v>
      </c>
      <c r="AO79" s="164">
        <v>0</v>
      </c>
      <c r="AP79" s="164">
        <v>0</v>
      </c>
    </row>
    <row r="80" spans="1:42">
      <c r="A80" s="202" t="s">
        <v>196</v>
      </c>
      <c r="B80" s="209">
        <f>'Inputs &amp; Results'!E160</f>
        <v>19168694.381145895</v>
      </c>
      <c r="C80" s="209">
        <f>-C609</f>
        <v>-365465.43571604113</v>
      </c>
      <c r="D80" s="209">
        <f t="shared" ref="D80:AP80" si="61">-D609</f>
        <v>-408024.28980529355</v>
      </c>
      <c r="E80" s="209">
        <f t="shared" si="61"/>
        <v>-453515.57476625731</v>
      </c>
      <c r="F80" s="209">
        <f t="shared" si="61"/>
        <v>-501096.86472737696</v>
      </c>
      <c r="G80" s="209">
        <f t="shared" si="61"/>
        <v>-553003.98517765058</v>
      </c>
      <c r="H80" s="209">
        <f t="shared" si="61"/>
        <v>-608491.95570209925</v>
      </c>
      <c r="I80" s="209">
        <f t="shared" si="61"/>
        <v>-666715.83104504063</v>
      </c>
      <c r="J80" s="209">
        <f t="shared" si="61"/>
        <v>-730052.04311695206</v>
      </c>
      <c r="K80" s="209">
        <f t="shared" si="61"/>
        <v>-797762.75195809675</v>
      </c>
      <c r="L80" s="209">
        <f t="shared" si="61"/>
        <v>-869008.46738598391</v>
      </c>
      <c r="M80" s="209">
        <f t="shared" si="61"/>
        <v>-946321.30614442425</v>
      </c>
      <c r="N80" s="209">
        <f t="shared" si="61"/>
        <v>-1028980.1564651172</v>
      </c>
      <c r="O80" s="209">
        <f t="shared" si="61"/>
        <v>-1084157.2231721501</v>
      </c>
      <c r="P80" s="209">
        <f t="shared" si="61"/>
        <v>-1176325.5864786678</v>
      </c>
      <c r="Q80" s="209">
        <f t="shared" si="61"/>
        <v>-1274872.5085903669</v>
      </c>
      <c r="R80" s="209">
        <f t="shared" si="61"/>
        <v>-1310497.207017405</v>
      </c>
      <c r="S80" s="209">
        <f t="shared" si="61"/>
        <v>-1418281.9464763324</v>
      </c>
      <c r="T80" s="209">
        <f t="shared" si="61"/>
        <v>-1533530.5280549179</v>
      </c>
      <c r="U80" s="209">
        <f t="shared" si="61"/>
        <v>-1655455.2400687723</v>
      </c>
      <c r="V80" s="209">
        <f t="shared" si="61"/>
        <v>-1787135.479276964</v>
      </c>
      <c r="W80" s="209">
        <f t="shared" si="61"/>
        <v>0</v>
      </c>
      <c r="X80" s="209">
        <f t="shared" si="61"/>
        <v>0</v>
      </c>
      <c r="Y80" s="209">
        <f t="shared" si="61"/>
        <v>0</v>
      </c>
      <c r="Z80" s="209">
        <f t="shared" si="61"/>
        <v>0</v>
      </c>
      <c r="AA80" s="209">
        <f t="shared" si="61"/>
        <v>0</v>
      </c>
      <c r="AB80" s="209">
        <f t="shared" si="61"/>
        <v>0</v>
      </c>
      <c r="AC80" s="209">
        <f t="shared" si="61"/>
        <v>0</v>
      </c>
      <c r="AD80" s="209">
        <f t="shared" si="61"/>
        <v>0</v>
      </c>
      <c r="AE80" s="209">
        <f t="shared" si="61"/>
        <v>0</v>
      </c>
      <c r="AF80" s="209">
        <f t="shared" si="61"/>
        <v>0</v>
      </c>
      <c r="AG80" s="209">
        <f t="shared" si="61"/>
        <v>0</v>
      </c>
      <c r="AH80" s="209">
        <f t="shared" si="61"/>
        <v>0</v>
      </c>
      <c r="AI80" s="209">
        <f t="shared" si="61"/>
        <v>0</v>
      </c>
      <c r="AJ80" s="209">
        <f t="shared" si="61"/>
        <v>0</v>
      </c>
      <c r="AK80" s="209">
        <f t="shared" si="61"/>
        <v>0</v>
      </c>
      <c r="AL80" s="209">
        <f t="shared" si="61"/>
        <v>0</v>
      </c>
      <c r="AM80" s="209">
        <f t="shared" si="61"/>
        <v>0</v>
      </c>
      <c r="AN80" s="209">
        <f t="shared" si="61"/>
        <v>0</v>
      </c>
      <c r="AO80" s="209">
        <f t="shared" si="61"/>
        <v>0</v>
      </c>
      <c r="AP80" s="209">
        <f t="shared" si="61"/>
        <v>0</v>
      </c>
    </row>
    <row r="81" spans="1:42">
      <c r="A81" s="202" t="s">
        <v>53</v>
      </c>
      <c r="B81" s="209">
        <f>SUM(B78:B80)</f>
        <v>42553511.021198124</v>
      </c>
      <c r="C81" s="216">
        <f>SUM(C78:C80)</f>
        <v>-365465.43571604113</v>
      </c>
      <c r="D81" s="216">
        <f t="shared" ref="D81:AP81" si="62">SUM(D78:D80)</f>
        <v>-408024.28980529355</v>
      </c>
      <c r="E81" s="216">
        <f t="shared" si="62"/>
        <v>-453515.57476625731</v>
      </c>
      <c r="F81" s="216">
        <f t="shared" si="62"/>
        <v>-501096.86472737696</v>
      </c>
      <c r="G81" s="216">
        <f t="shared" si="62"/>
        <v>-553003.98517765058</v>
      </c>
      <c r="H81" s="216">
        <f t="shared" si="62"/>
        <v>-608491.95570209925</v>
      </c>
      <c r="I81" s="216">
        <f t="shared" si="62"/>
        <v>-666715.83104504063</v>
      </c>
      <c r="J81" s="216">
        <f t="shared" si="62"/>
        <v>-730052.04311695206</v>
      </c>
      <c r="K81" s="216">
        <f t="shared" si="62"/>
        <v>-797762.75195809675</v>
      </c>
      <c r="L81" s="216">
        <f t="shared" si="62"/>
        <v>-869008.46738598391</v>
      </c>
      <c r="M81" s="216">
        <f t="shared" si="62"/>
        <v>-946321.30614442425</v>
      </c>
      <c r="N81" s="216">
        <f t="shared" si="62"/>
        <v>-1028980.1564651172</v>
      </c>
      <c r="O81" s="216">
        <f t="shared" si="62"/>
        <v>-1084157.2231721501</v>
      </c>
      <c r="P81" s="216">
        <f t="shared" si="62"/>
        <v>-1176325.5864786678</v>
      </c>
      <c r="Q81" s="216">
        <f t="shared" si="62"/>
        <v>-1274872.5085903669</v>
      </c>
      <c r="R81" s="216">
        <f t="shared" si="62"/>
        <v>-1310497.207017405</v>
      </c>
      <c r="S81" s="216">
        <f t="shared" si="62"/>
        <v>-1418281.9464763324</v>
      </c>
      <c r="T81" s="216">
        <f t="shared" si="62"/>
        <v>-1533530.5280549179</v>
      </c>
      <c r="U81" s="216">
        <f t="shared" si="62"/>
        <v>-1655455.2400687723</v>
      </c>
      <c r="V81" s="216">
        <f t="shared" si="62"/>
        <v>-1787135.479276964</v>
      </c>
      <c r="W81" s="216">
        <f t="shared" si="62"/>
        <v>0</v>
      </c>
      <c r="X81" s="216">
        <f t="shared" si="62"/>
        <v>0</v>
      </c>
      <c r="Y81" s="216">
        <f t="shared" si="62"/>
        <v>0</v>
      </c>
      <c r="Z81" s="216">
        <f t="shared" si="62"/>
        <v>0</v>
      </c>
      <c r="AA81" s="216">
        <f t="shared" si="62"/>
        <v>0</v>
      </c>
      <c r="AB81" s="216">
        <f t="shared" si="62"/>
        <v>0</v>
      </c>
      <c r="AC81" s="216">
        <f t="shared" si="62"/>
        <v>0</v>
      </c>
      <c r="AD81" s="216">
        <f t="shared" si="62"/>
        <v>0</v>
      </c>
      <c r="AE81" s="216">
        <f t="shared" si="62"/>
        <v>0</v>
      </c>
      <c r="AF81" s="216">
        <f t="shared" si="62"/>
        <v>0</v>
      </c>
      <c r="AG81" s="216">
        <f t="shared" si="62"/>
        <v>0</v>
      </c>
      <c r="AH81" s="216">
        <f t="shared" si="62"/>
        <v>0</v>
      </c>
      <c r="AI81" s="216">
        <f t="shared" si="62"/>
        <v>0</v>
      </c>
      <c r="AJ81" s="216">
        <f t="shared" si="62"/>
        <v>0</v>
      </c>
      <c r="AK81" s="216">
        <f t="shared" si="62"/>
        <v>0</v>
      </c>
      <c r="AL81" s="216">
        <f t="shared" si="62"/>
        <v>0</v>
      </c>
      <c r="AM81" s="216">
        <f t="shared" si="62"/>
        <v>0</v>
      </c>
      <c r="AN81" s="216">
        <f t="shared" si="62"/>
        <v>0</v>
      </c>
      <c r="AO81" s="216">
        <f t="shared" si="62"/>
        <v>0</v>
      </c>
      <c r="AP81" s="216">
        <f t="shared" si="62"/>
        <v>0</v>
      </c>
    </row>
    <row r="82" spans="1:42" ht="13.5" thickBot="1">
      <c r="A82" s="204" t="s">
        <v>197</v>
      </c>
      <c r="B82" s="215">
        <f t="shared" ref="B82:AP82" si="63">B56+B72+B81</f>
        <v>0</v>
      </c>
      <c r="C82" s="215">
        <f t="shared" si="63"/>
        <v>862712.5322745298</v>
      </c>
      <c r="D82" s="215">
        <f t="shared" si="63"/>
        <v>883453.36776692187</v>
      </c>
      <c r="E82" s="215">
        <f t="shared" si="63"/>
        <v>904694.29829033138</v>
      </c>
      <c r="F82" s="215">
        <f t="shared" si="63"/>
        <v>922530.80415240396</v>
      </c>
      <c r="G82" s="215">
        <f t="shared" si="63"/>
        <v>943227.82669730205</v>
      </c>
      <c r="H82" s="215">
        <f t="shared" si="63"/>
        <v>964445.86677083909</v>
      </c>
      <c r="I82" s="215">
        <f t="shared" si="63"/>
        <v>982102.02677709307</v>
      </c>
      <c r="J82" s="215">
        <f t="shared" si="63"/>
        <v>1002747.3941123213</v>
      </c>
      <c r="K82" s="215">
        <f t="shared" si="63"/>
        <v>1023935.5783046546</v>
      </c>
      <c r="L82" s="215">
        <f t="shared" si="63"/>
        <v>1041397.1543114773</v>
      </c>
      <c r="M82" s="215">
        <f t="shared" si="63"/>
        <v>1061982.4247039405</v>
      </c>
      <c r="N82" s="215">
        <f t="shared" si="63"/>
        <v>1099135.1830010503</v>
      </c>
      <c r="O82" s="215">
        <f t="shared" si="63"/>
        <v>1032567.8163928911</v>
      </c>
      <c r="P82" s="215">
        <f t="shared" si="63"/>
        <v>1053924.0097428015</v>
      </c>
      <c r="Q82" s="215">
        <f t="shared" si="63"/>
        <v>1110116.5898496991</v>
      </c>
      <c r="R82" s="215">
        <f t="shared" si="63"/>
        <v>951110.37724164641</v>
      </c>
      <c r="S82" s="215">
        <f t="shared" si="63"/>
        <v>974185.59970488446</v>
      </c>
      <c r="T82" s="215">
        <f t="shared" si="63"/>
        <v>997874.65812889975</v>
      </c>
      <c r="U82" s="215">
        <f t="shared" si="63"/>
        <v>1017295.8384070699</v>
      </c>
      <c r="V82" s="215">
        <f t="shared" si="63"/>
        <v>2004253.5214368142</v>
      </c>
      <c r="W82" s="215">
        <f t="shared" si="63"/>
        <v>2982105.8316163616</v>
      </c>
      <c r="X82" s="215">
        <f t="shared" si="63"/>
        <v>3001695.3852614211</v>
      </c>
      <c r="Y82" s="215">
        <f t="shared" si="63"/>
        <v>3025585.3784599937</v>
      </c>
      <c r="Z82" s="215">
        <f t="shared" si="63"/>
        <v>3049327.5763469622</v>
      </c>
      <c r="AA82" s="215">
        <f t="shared" si="63"/>
        <v>3300103.5943862577</v>
      </c>
      <c r="AB82" s="215">
        <f t="shared" si="63"/>
        <v>3318438.7563659153</v>
      </c>
      <c r="AC82" s="215">
        <f t="shared" si="63"/>
        <v>3336611.6395630161</v>
      </c>
      <c r="AD82" s="215">
        <f t="shared" si="63"/>
        <v>3349797.5851437012</v>
      </c>
      <c r="AE82" s="215">
        <f t="shared" si="63"/>
        <v>3367669.8827644261</v>
      </c>
      <c r="AF82" s="215">
        <f t="shared" si="63"/>
        <v>7558079.3980197748</v>
      </c>
      <c r="AG82" s="215">
        <f t="shared" si="63"/>
        <v>0</v>
      </c>
      <c r="AH82" s="215">
        <f t="shared" si="63"/>
        <v>0</v>
      </c>
      <c r="AI82" s="215">
        <f t="shared" si="63"/>
        <v>0</v>
      </c>
      <c r="AJ82" s="215">
        <f t="shared" si="63"/>
        <v>0</v>
      </c>
      <c r="AK82" s="215">
        <f t="shared" si="63"/>
        <v>0</v>
      </c>
      <c r="AL82" s="215">
        <f t="shared" si="63"/>
        <v>0</v>
      </c>
      <c r="AM82" s="215">
        <f t="shared" si="63"/>
        <v>0</v>
      </c>
      <c r="AN82" s="215">
        <f t="shared" si="63"/>
        <v>0</v>
      </c>
      <c r="AO82" s="215">
        <f t="shared" si="63"/>
        <v>0</v>
      </c>
      <c r="AP82" s="215">
        <f t="shared" si="63"/>
        <v>0</v>
      </c>
    </row>
    <row r="83" spans="1:42" ht="13.5" thickTop="1">
      <c r="B83" s="164"/>
      <c r="C83" s="164"/>
      <c r="D83" s="164"/>
      <c r="E83" s="164"/>
      <c r="F83" s="164"/>
      <c r="G83" s="208"/>
      <c r="H83" s="208"/>
      <c r="I83" s="208"/>
      <c r="J83" s="208"/>
      <c r="K83" s="208"/>
      <c r="L83" s="208"/>
      <c r="M83" s="208"/>
      <c r="N83" s="208"/>
      <c r="O83" s="208"/>
      <c r="P83" s="208"/>
      <c r="Q83" s="208"/>
      <c r="R83" s="208"/>
      <c r="S83" s="208"/>
      <c r="T83" s="208"/>
      <c r="U83" s="208"/>
      <c r="V83" s="208"/>
      <c r="W83" s="208"/>
      <c r="X83" s="208"/>
      <c r="Y83" s="208"/>
      <c r="Z83" s="208"/>
      <c r="AA83" s="208"/>
      <c r="AB83" s="208"/>
      <c r="AC83" s="208"/>
      <c r="AD83" s="208"/>
      <c r="AE83" s="208"/>
      <c r="AF83" s="208"/>
      <c r="AG83" s="208"/>
      <c r="AH83" s="208"/>
      <c r="AI83" s="208"/>
      <c r="AJ83" s="208"/>
      <c r="AK83" s="208"/>
      <c r="AL83" s="208"/>
      <c r="AM83" s="208"/>
      <c r="AN83" s="208"/>
      <c r="AO83" s="208"/>
      <c r="AP83" s="208"/>
    </row>
    <row r="84" spans="1:42">
      <c r="A84" s="201" t="s">
        <v>257</v>
      </c>
      <c r="B84" s="164"/>
      <c r="C84" s="164"/>
      <c r="D84" s="164"/>
      <c r="E84" s="164"/>
      <c r="F84" s="164"/>
      <c r="G84" s="208"/>
      <c r="H84" s="208"/>
      <c r="I84" s="208"/>
      <c r="J84" s="208"/>
      <c r="K84" s="208"/>
      <c r="L84" s="208"/>
      <c r="M84" s="208"/>
      <c r="N84" s="208"/>
      <c r="O84" s="208"/>
      <c r="P84" s="208"/>
      <c r="Q84" s="208"/>
      <c r="R84" s="208"/>
      <c r="S84" s="208"/>
      <c r="T84" s="208"/>
      <c r="U84" s="208"/>
      <c r="V84" s="208"/>
      <c r="W84" s="208"/>
      <c r="X84" s="208"/>
      <c r="Y84" s="208"/>
      <c r="Z84" s="208"/>
      <c r="AA84" s="208"/>
      <c r="AB84" s="208"/>
      <c r="AC84" s="208"/>
      <c r="AD84" s="208"/>
      <c r="AE84" s="208"/>
      <c r="AF84" s="208"/>
      <c r="AG84" s="208"/>
      <c r="AH84" s="208"/>
      <c r="AI84" s="208"/>
      <c r="AJ84" s="208"/>
      <c r="AK84" s="208"/>
      <c r="AL84" s="208"/>
      <c r="AM84" s="208"/>
      <c r="AN84" s="208"/>
      <c r="AO84" s="208"/>
      <c r="AP84" s="208"/>
    </row>
    <row r="85" spans="1:42">
      <c r="A85" s="217" t="s">
        <v>223</v>
      </c>
      <c r="B85" s="164"/>
      <c r="C85" s="164"/>
      <c r="D85" s="164"/>
      <c r="E85" s="164"/>
      <c r="F85" s="164"/>
      <c r="G85" s="208"/>
      <c r="H85" s="208"/>
      <c r="I85" s="208"/>
      <c r="J85" s="208"/>
      <c r="K85" s="208"/>
      <c r="L85" s="208"/>
      <c r="M85" s="208"/>
      <c r="N85" s="208"/>
      <c r="O85" s="208"/>
      <c r="P85" s="208"/>
      <c r="Q85" s="208"/>
      <c r="R85" s="208"/>
      <c r="S85" s="208"/>
      <c r="T85" s="208"/>
      <c r="U85" s="208"/>
      <c r="V85" s="208"/>
      <c r="W85" s="208"/>
      <c r="X85" s="208"/>
      <c r="Y85" s="208"/>
      <c r="Z85" s="208"/>
      <c r="AA85" s="208"/>
      <c r="AB85" s="208"/>
      <c r="AC85" s="208"/>
      <c r="AD85" s="208"/>
      <c r="AE85" s="208"/>
      <c r="AF85" s="208"/>
      <c r="AG85" s="208"/>
      <c r="AH85" s="208"/>
      <c r="AI85" s="208"/>
      <c r="AJ85" s="208"/>
      <c r="AK85" s="208"/>
      <c r="AL85" s="208"/>
      <c r="AM85" s="208"/>
      <c r="AN85" s="208"/>
      <c r="AO85" s="208"/>
      <c r="AP85" s="208"/>
    </row>
    <row r="86" spans="1:42">
      <c r="A86" s="202" t="s">
        <v>224</v>
      </c>
      <c r="B86" s="208">
        <f>-B79</f>
        <v>-9593586.8900522292</v>
      </c>
      <c r="C86" s="208">
        <f t="shared" ref="C86:AP86" si="64">-C79</f>
        <v>0</v>
      </c>
      <c r="D86" s="208">
        <f t="shared" si="64"/>
        <v>0</v>
      </c>
      <c r="E86" s="208">
        <f t="shared" si="64"/>
        <v>0</v>
      </c>
      <c r="F86" s="208">
        <f t="shared" si="64"/>
        <v>0</v>
      </c>
      <c r="G86" s="208">
        <f t="shared" si="64"/>
        <v>0</v>
      </c>
      <c r="H86" s="208">
        <f t="shared" si="64"/>
        <v>0</v>
      </c>
      <c r="I86" s="208">
        <f t="shared" si="64"/>
        <v>0</v>
      </c>
      <c r="J86" s="208">
        <f t="shared" si="64"/>
        <v>0</v>
      </c>
      <c r="K86" s="208">
        <f t="shared" si="64"/>
        <v>0</v>
      </c>
      <c r="L86" s="208">
        <f t="shared" si="64"/>
        <v>0</v>
      </c>
      <c r="M86" s="208">
        <f t="shared" si="64"/>
        <v>0</v>
      </c>
      <c r="N86" s="208">
        <f t="shared" si="64"/>
        <v>0</v>
      </c>
      <c r="O86" s="208">
        <f t="shared" si="64"/>
        <v>0</v>
      </c>
      <c r="P86" s="208">
        <f t="shared" si="64"/>
        <v>0</v>
      </c>
      <c r="Q86" s="208">
        <f t="shared" si="64"/>
        <v>0</v>
      </c>
      <c r="R86" s="208">
        <f t="shared" si="64"/>
        <v>0</v>
      </c>
      <c r="S86" s="208">
        <f t="shared" si="64"/>
        <v>0</v>
      </c>
      <c r="T86" s="208">
        <f t="shared" si="64"/>
        <v>0</v>
      </c>
      <c r="U86" s="208">
        <f t="shared" si="64"/>
        <v>0</v>
      </c>
      <c r="V86" s="208">
        <f t="shared" si="64"/>
        <v>0</v>
      </c>
      <c r="W86" s="208">
        <f t="shared" si="64"/>
        <v>0</v>
      </c>
      <c r="X86" s="208">
        <f t="shared" si="64"/>
        <v>0</v>
      </c>
      <c r="Y86" s="208">
        <f t="shared" si="64"/>
        <v>0</v>
      </c>
      <c r="Z86" s="208">
        <f t="shared" si="64"/>
        <v>0</v>
      </c>
      <c r="AA86" s="208">
        <f t="shared" si="64"/>
        <v>0</v>
      </c>
      <c r="AB86" s="208">
        <f t="shared" si="64"/>
        <v>0</v>
      </c>
      <c r="AC86" s="208">
        <f t="shared" si="64"/>
        <v>0</v>
      </c>
      <c r="AD86" s="208">
        <f t="shared" si="64"/>
        <v>0</v>
      </c>
      <c r="AE86" s="208">
        <f t="shared" si="64"/>
        <v>0</v>
      </c>
      <c r="AF86" s="208">
        <f t="shared" si="64"/>
        <v>0</v>
      </c>
      <c r="AG86" s="208">
        <f t="shared" si="64"/>
        <v>0</v>
      </c>
      <c r="AH86" s="208">
        <f t="shared" si="64"/>
        <v>0</v>
      </c>
      <c r="AI86" s="208">
        <f t="shared" si="64"/>
        <v>0</v>
      </c>
      <c r="AJ86" s="208">
        <f t="shared" si="64"/>
        <v>0</v>
      </c>
      <c r="AK86" s="208">
        <f t="shared" si="64"/>
        <v>0</v>
      </c>
      <c r="AL86" s="208">
        <f t="shared" si="64"/>
        <v>0</v>
      </c>
      <c r="AM86" s="208">
        <f t="shared" si="64"/>
        <v>0</v>
      </c>
      <c r="AN86" s="208">
        <f t="shared" si="64"/>
        <v>0</v>
      </c>
      <c r="AO86" s="208">
        <f t="shared" si="64"/>
        <v>0</v>
      </c>
      <c r="AP86" s="208">
        <f t="shared" si="64"/>
        <v>0</v>
      </c>
    </row>
    <row r="87" spans="1:42">
      <c r="A87" s="202" t="s">
        <v>225</v>
      </c>
      <c r="B87" s="209">
        <f>B82</f>
        <v>0</v>
      </c>
      <c r="C87" s="209">
        <f t="shared" ref="C87:AP87" si="65">C82</f>
        <v>862712.5322745298</v>
      </c>
      <c r="D87" s="209">
        <f t="shared" si="65"/>
        <v>883453.36776692187</v>
      </c>
      <c r="E87" s="209">
        <f t="shared" si="65"/>
        <v>904694.29829033138</v>
      </c>
      <c r="F87" s="209">
        <f t="shared" si="65"/>
        <v>922530.80415240396</v>
      </c>
      <c r="G87" s="209">
        <f t="shared" si="65"/>
        <v>943227.82669730205</v>
      </c>
      <c r="H87" s="209">
        <f t="shared" si="65"/>
        <v>964445.86677083909</v>
      </c>
      <c r="I87" s="209">
        <f t="shared" si="65"/>
        <v>982102.02677709307</v>
      </c>
      <c r="J87" s="209">
        <f t="shared" si="65"/>
        <v>1002747.3941123213</v>
      </c>
      <c r="K87" s="209">
        <f t="shared" si="65"/>
        <v>1023935.5783046546</v>
      </c>
      <c r="L87" s="209">
        <f t="shared" si="65"/>
        <v>1041397.1543114773</v>
      </c>
      <c r="M87" s="209">
        <f t="shared" si="65"/>
        <v>1061982.4247039405</v>
      </c>
      <c r="N87" s="209">
        <f t="shared" si="65"/>
        <v>1099135.1830010503</v>
      </c>
      <c r="O87" s="209">
        <f t="shared" si="65"/>
        <v>1032567.8163928911</v>
      </c>
      <c r="P87" s="209">
        <f t="shared" si="65"/>
        <v>1053924.0097428015</v>
      </c>
      <c r="Q87" s="209">
        <f t="shared" si="65"/>
        <v>1110116.5898496991</v>
      </c>
      <c r="R87" s="209">
        <f t="shared" si="65"/>
        <v>951110.37724164641</v>
      </c>
      <c r="S87" s="209">
        <f t="shared" si="65"/>
        <v>974185.59970488446</v>
      </c>
      <c r="T87" s="209">
        <f t="shared" si="65"/>
        <v>997874.65812889975</v>
      </c>
      <c r="U87" s="209">
        <f t="shared" si="65"/>
        <v>1017295.8384070699</v>
      </c>
      <c r="V87" s="209">
        <f t="shared" si="65"/>
        <v>2004253.5214368142</v>
      </c>
      <c r="W87" s="209">
        <f t="shared" si="65"/>
        <v>2982105.8316163616</v>
      </c>
      <c r="X87" s="209">
        <f t="shared" si="65"/>
        <v>3001695.3852614211</v>
      </c>
      <c r="Y87" s="209">
        <f t="shared" si="65"/>
        <v>3025585.3784599937</v>
      </c>
      <c r="Z87" s="209">
        <f t="shared" si="65"/>
        <v>3049327.5763469622</v>
      </c>
      <c r="AA87" s="209">
        <f t="shared" si="65"/>
        <v>3300103.5943862577</v>
      </c>
      <c r="AB87" s="209">
        <f t="shared" si="65"/>
        <v>3318438.7563659153</v>
      </c>
      <c r="AC87" s="209">
        <f t="shared" si="65"/>
        <v>3336611.6395630161</v>
      </c>
      <c r="AD87" s="209">
        <f t="shared" si="65"/>
        <v>3349797.5851437012</v>
      </c>
      <c r="AE87" s="209">
        <f t="shared" si="65"/>
        <v>3367669.8827644261</v>
      </c>
      <c r="AF87" s="209">
        <f t="shared" si="65"/>
        <v>7558079.3980197748</v>
      </c>
      <c r="AG87" s="209">
        <f t="shared" si="65"/>
        <v>0</v>
      </c>
      <c r="AH87" s="209">
        <f t="shared" si="65"/>
        <v>0</v>
      </c>
      <c r="AI87" s="209">
        <f t="shared" si="65"/>
        <v>0</v>
      </c>
      <c r="AJ87" s="209">
        <f t="shared" si="65"/>
        <v>0</v>
      </c>
      <c r="AK87" s="209">
        <f t="shared" si="65"/>
        <v>0</v>
      </c>
      <c r="AL87" s="209">
        <f t="shared" si="65"/>
        <v>0</v>
      </c>
      <c r="AM87" s="209">
        <f t="shared" si="65"/>
        <v>0</v>
      </c>
      <c r="AN87" s="209">
        <f t="shared" si="65"/>
        <v>0</v>
      </c>
      <c r="AO87" s="209">
        <f t="shared" si="65"/>
        <v>0</v>
      </c>
      <c r="AP87" s="209">
        <f t="shared" si="65"/>
        <v>0</v>
      </c>
    </row>
    <row r="88" spans="1:42">
      <c r="A88" s="202" t="s">
        <v>53</v>
      </c>
      <c r="B88" s="164">
        <f>SUM(B86:B87)</f>
        <v>-9593586.8900522292</v>
      </c>
      <c r="C88" s="164">
        <f t="shared" ref="C88:AP88" si="66">SUM(C86:C87)</f>
        <v>862712.5322745298</v>
      </c>
      <c r="D88" s="164">
        <f t="shared" si="66"/>
        <v>883453.36776692187</v>
      </c>
      <c r="E88" s="164">
        <f t="shared" si="66"/>
        <v>904694.29829033138</v>
      </c>
      <c r="F88" s="164">
        <f t="shared" si="66"/>
        <v>922530.80415240396</v>
      </c>
      <c r="G88" s="164">
        <f t="shared" si="66"/>
        <v>943227.82669730205</v>
      </c>
      <c r="H88" s="164">
        <f t="shared" si="66"/>
        <v>964445.86677083909</v>
      </c>
      <c r="I88" s="164">
        <f t="shared" si="66"/>
        <v>982102.02677709307</v>
      </c>
      <c r="J88" s="164">
        <f t="shared" si="66"/>
        <v>1002747.3941123213</v>
      </c>
      <c r="K88" s="164">
        <f t="shared" si="66"/>
        <v>1023935.5783046546</v>
      </c>
      <c r="L88" s="164">
        <f t="shared" si="66"/>
        <v>1041397.1543114773</v>
      </c>
      <c r="M88" s="164">
        <f t="shared" si="66"/>
        <v>1061982.4247039405</v>
      </c>
      <c r="N88" s="164">
        <f t="shared" si="66"/>
        <v>1099135.1830010503</v>
      </c>
      <c r="O88" s="164">
        <f t="shared" si="66"/>
        <v>1032567.8163928911</v>
      </c>
      <c r="P88" s="164">
        <f t="shared" si="66"/>
        <v>1053924.0097428015</v>
      </c>
      <c r="Q88" s="164">
        <f t="shared" si="66"/>
        <v>1110116.5898496991</v>
      </c>
      <c r="R88" s="164">
        <f t="shared" si="66"/>
        <v>951110.37724164641</v>
      </c>
      <c r="S88" s="164">
        <f t="shared" si="66"/>
        <v>974185.59970488446</v>
      </c>
      <c r="T88" s="164">
        <f t="shared" si="66"/>
        <v>997874.65812889975</v>
      </c>
      <c r="U88" s="164">
        <f t="shared" si="66"/>
        <v>1017295.8384070699</v>
      </c>
      <c r="V88" s="164">
        <f t="shared" si="66"/>
        <v>2004253.5214368142</v>
      </c>
      <c r="W88" s="164">
        <f t="shared" si="66"/>
        <v>2982105.8316163616</v>
      </c>
      <c r="X88" s="164">
        <f t="shared" si="66"/>
        <v>3001695.3852614211</v>
      </c>
      <c r="Y88" s="164">
        <f t="shared" si="66"/>
        <v>3025585.3784599937</v>
      </c>
      <c r="Z88" s="164">
        <f t="shared" si="66"/>
        <v>3049327.5763469622</v>
      </c>
      <c r="AA88" s="164">
        <f t="shared" si="66"/>
        <v>3300103.5943862577</v>
      </c>
      <c r="AB88" s="164">
        <f t="shared" si="66"/>
        <v>3318438.7563659153</v>
      </c>
      <c r="AC88" s="164">
        <f t="shared" si="66"/>
        <v>3336611.6395630161</v>
      </c>
      <c r="AD88" s="164">
        <f t="shared" si="66"/>
        <v>3349797.5851437012</v>
      </c>
      <c r="AE88" s="164">
        <f t="shared" si="66"/>
        <v>3367669.8827644261</v>
      </c>
      <c r="AF88" s="164">
        <f t="shared" si="66"/>
        <v>7558079.3980197748</v>
      </c>
      <c r="AG88" s="164">
        <f t="shared" si="66"/>
        <v>0</v>
      </c>
      <c r="AH88" s="164">
        <f t="shared" si="66"/>
        <v>0</v>
      </c>
      <c r="AI88" s="164">
        <f t="shared" si="66"/>
        <v>0</v>
      </c>
      <c r="AJ88" s="164">
        <f t="shared" si="66"/>
        <v>0</v>
      </c>
      <c r="AK88" s="164">
        <f t="shared" si="66"/>
        <v>0</v>
      </c>
      <c r="AL88" s="164">
        <f t="shared" si="66"/>
        <v>0</v>
      </c>
      <c r="AM88" s="164">
        <f t="shared" si="66"/>
        <v>0</v>
      </c>
      <c r="AN88" s="164">
        <f t="shared" si="66"/>
        <v>0</v>
      </c>
      <c r="AO88" s="164">
        <f t="shared" si="66"/>
        <v>0</v>
      </c>
      <c r="AP88" s="164">
        <f t="shared" si="66"/>
        <v>0</v>
      </c>
    </row>
    <row r="89" spans="1:42">
      <c r="A89" s="202"/>
      <c r="B89" s="164"/>
      <c r="C89" s="164"/>
      <c r="D89" s="164"/>
      <c r="E89" s="164"/>
      <c r="F89" s="164"/>
      <c r="G89" s="164"/>
      <c r="H89" s="164"/>
      <c r="I89" s="164"/>
      <c r="J89" s="164"/>
      <c r="K89" s="164"/>
      <c r="L89" s="164"/>
      <c r="M89" s="164"/>
      <c r="N89" s="164"/>
      <c r="O89" s="164"/>
      <c r="P89" s="164"/>
      <c r="Q89" s="164"/>
      <c r="R89" s="164"/>
      <c r="S89" s="164"/>
      <c r="T89" s="164"/>
      <c r="U89" s="164"/>
      <c r="V89" s="164"/>
      <c r="W89" s="164"/>
      <c r="X89" s="164"/>
      <c r="Y89" s="164"/>
      <c r="Z89" s="164"/>
      <c r="AA89" s="164"/>
      <c r="AB89" s="164"/>
      <c r="AC89" s="164"/>
      <c r="AD89" s="164"/>
      <c r="AE89" s="164"/>
      <c r="AF89" s="164"/>
      <c r="AG89" s="164"/>
      <c r="AH89" s="164"/>
      <c r="AI89" s="164"/>
      <c r="AJ89" s="164"/>
      <c r="AK89" s="164"/>
      <c r="AL89" s="164"/>
      <c r="AM89" s="164"/>
      <c r="AN89" s="164"/>
      <c r="AO89" s="164"/>
      <c r="AP89" s="164"/>
    </row>
    <row r="90" spans="1:42">
      <c r="A90" s="202" t="s">
        <v>418</v>
      </c>
      <c r="B90" s="223">
        <f>ROUND(IF(ISERROR(IRR($B88:B$88)),0,IRR($B88:B$88)),4)</f>
        <v>0</v>
      </c>
      <c r="C90" s="223">
        <f>ROUND(IF(ISERROR(IRR($B88:C$88)),0,IRR($B88:C$88)),4)</f>
        <v>0</v>
      </c>
      <c r="D90" s="223">
        <f>ROUND(IF(ISERROR(IRR($B88:D$88)),0,IRR($B88:D$88)),4)</f>
        <v>0</v>
      </c>
      <c r="E90" s="223">
        <f>ROUND(IF(ISERROR(IRR($B88:E$88)),0,IRR($B88:E$88)),4)</f>
        <v>0</v>
      </c>
      <c r="F90" s="223">
        <f>ROUND(IF(ISERROR(IRR($B88:F$88)),0,IRR($B88:F$88)),4)</f>
        <v>0</v>
      </c>
      <c r="G90" s="223">
        <f>ROUND(IF(ISERROR(IRR($B88:G$88)),0,IRR($B88:G$88)),4)</f>
        <v>-0.20569999999999999</v>
      </c>
      <c r="H90" s="223">
        <f>ROUND(IF(ISERROR(IRR($B88:H$88)),0,IRR($B88:H$88)),4)</f>
        <v>-0.13769999999999999</v>
      </c>
      <c r="I90" s="223">
        <f>ROUND(IF(ISERROR(IRR($B88:I$88)),0,IRR($B88:I$88)),4)</f>
        <v>-8.8400000000000006E-2</v>
      </c>
      <c r="J90" s="223">
        <f>ROUND(IF(ISERROR(IRR($B88:J$88)),0,IRR($B88:J$88)),4)</f>
        <v>-5.1400000000000001E-2</v>
      </c>
      <c r="K90" s="223">
        <f>ROUND(IF(ISERROR(IRR($B88:K$88)),0,IRR($B88:K$88)),4)</f>
        <v>-2.3099999999999999E-2</v>
      </c>
      <c r="L90" s="223">
        <f>ROUND(IF(ISERROR(IRR($B88:L$88)),0,IRR($B88:L$88)),4)</f>
        <v>-1.1000000000000001E-3</v>
      </c>
      <c r="M90" s="223">
        <f>ROUND(IF(ISERROR(IRR($B88:M$88)),0,IRR($B88:M$88)),4)</f>
        <v>1.6299999999999999E-2</v>
      </c>
      <c r="N90" s="223">
        <f>ROUND(IF(ISERROR(IRR($B88:N$88)),0,IRR($B88:N$88)),4)</f>
        <v>3.0599999999999999E-2</v>
      </c>
      <c r="O90" s="223">
        <f>ROUND(IF(ISERROR(IRR($B88:O$88)),0,IRR($B88:O$88)),4)</f>
        <v>4.1300000000000003E-2</v>
      </c>
      <c r="P90" s="223">
        <f>ROUND(IF(ISERROR(IRR($B88:P$88)),0,IRR($B88:P$88)),4)</f>
        <v>5.0299999999999997E-2</v>
      </c>
      <c r="Q90" s="223">
        <f>ROUND(IF(ISERROR(IRR($B88:Q$88)),0,IRR($B88:Q$88)),4)</f>
        <v>5.8000000000000003E-2</v>
      </c>
      <c r="R90" s="223">
        <f>ROUND(IF(ISERROR(IRR($B88:R$88)),0,IRR($B88:R$88)),4)</f>
        <v>6.3600000000000004E-2</v>
      </c>
      <c r="S90" s="223">
        <f>ROUND(IF(ISERROR(IRR($B88:S$88)),0,IRR($B88:S$88)),4)</f>
        <v>6.83E-2</v>
      </c>
      <c r="T90" s="223">
        <f>ROUND(IF(ISERROR(IRR($B88:T$88)),0,IRR($B88:T$88)),4)</f>
        <v>7.2499999999999995E-2</v>
      </c>
      <c r="U90" s="223">
        <f>ROUND(IF(ISERROR(IRR($B88:U$88)),0,IRR($B88:U$88)),4)</f>
        <v>7.6100000000000001E-2</v>
      </c>
      <c r="V90" s="223">
        <f>ROUND(IF(ISERROR(IRR($B88:V$88)),0,IRR($B88:V$88)),4)</f>
        <v>8.2000000000000003E-2</v>
      </c>
      <c r="W90" s="223">
        <f>ROUND(IF(ISERROR(IRR($B88:W$88)),0,IRR($B88:W$88)),4)</f>
        <v>8.8900000000000007E-2</v>
      </c>
      <c r="X90" s="223">
        <f>ROUND(IF(ISERROR(IRR($B88:X$88)),0,IRR($B88:X$88)),4)</f>
        <v>9.4299999999999995E-2</v>
      </c>
      <c r="Y90" s="223">
        <f>ROUND(IF(ISERROR(IRR($B88:Y$88)),0,IRR($B88:Y$88)),4)</f>
        <v>9.8599999999999993E-2</v>
      </c>
      <c r="Z90" s="223">
        <f>ROUND(IF(ISERROR(IRR($B88:Z$88)),0,IRR($B88:Z$88)),4)</f>
        <v>0.1022</v>
      </c>
      <c r="AA90" s="223">
        <f>ROUND(IF(ISERROR(IRR($B88:AA$88)),0,IRR($B88:AA$88)),4)</f>
        <v>0.10539999999999999</v>
      </c>
      <c r="AB90" s="223">
        <f>ROUND(IF(ISERROR(IRR($B88:AB$88)),0,IRR($B88:AB$88)),4)</f>
        <v>0.108</v>
      </c>
      <c r="AC90" s="223">
        <f>ROUND(IF(ISERROR(IRR($B88:AC$88)),0,IRR($B88:AC$88)),4)</f>
        <v>0.11020000000000001</v>
      </c>
      <c r="AD90" s="223">
        <f>ROUND(IF(ISERROR(IRR($B88:AD$88)),0,IRR($B88:AD$88)),4)</f>
        <v>0.11210000000000001</v>
      </c>
      <c r="AE90" s="223">
        <f>ROUND(IF(ISERROR(IRR($B88:AE$88)),0,IRR($B88:AE$88)),4)</f>
        <v>0.1137</v>
      </c>
      <c r="AF90" s="223">
        <f>ROUND(IF(ISERROR(IRR($B88:AF$88)),0,IRR($B88:AF$88)),4)</f>
        <v>0.1166</v>
      </c>
      <c r="AG90" s="223">
        <f>ROUND(IF(ISERROR(IRR($B88:AG$88)),0,IRR($B88:AG$88)),4)</f>
        <v>0.1166</v>
      </c>
      <c r="AH90" s="223">
        <f>ROUND(IF(ISERROR(IRR($B88:AH$88)),0,IRR($B88:AH$88)),4)</f>
        <v>0.1166</v>
      </c>
      <c r="AI90" s="223">
        <f>ROUND(IF(ISERROR(IRR($B88:AI$88)),0,IRR($B88:AI$88)),4)</f>
        <v>0.1166</v>
      </c>
      <c r="AJ90" s="223">
        <f>ROUND(IF(ISERROR(IRR($B88:AJ$88)),0,IRR($B88:AJ$88)),4)</f>
        <v>0.1166</v>
      </c>
      <c r="AK90" s="223">
        <f>ROUND(IF(ISERROR(IRR($B88:AK$88)),0,IRR($B88:AK$88)),4)</f>
        <v>0.1166</v>
      </c>
      <c r="AL90" s="223">
        <f>ROUND(IF(ISERROR(IRR($B88:AL$88)),0,IRR($B88:AL$88)),4)</f>
        <v>0.1166</v>
      </c>
      <c r="AM90" s="223">
        <f>ROUND(IF(ISERROR(IRR($B88:AM$88)),0,IRR($B88:AM$88)),4)</f>
        <v>0.1166</v>
      </c>
      <c r="AN90" s="223">
        <f>ROUND(IF(ISERROR(IRR($B88:AN$88)),0,IRR($B88:AN$88)),4)</f>
        <v>0.1166</v>
      </c>
      <c r="AO90" s="223">
        <f>ROUND(IF(ISERROR(IRR($B88:AO$88)),0,IRR($B88:AO$88)),4)</f>
        <v>0.1166</v>
      </c>
      <c r="AP90" s="223">
        <f>ROUND(IF(ISERROR(IRR($B88:AP$88)),0,IRR($B88:AP$88)),4)</f>
        <v>0.1166</v>
      </c>
    </row>
    <row r="91" spans="1:42">
      <c r="A91" s="202" t="s">
        <v>419</v>
      </c>
      <c r="B91" s="291">
        <f>B88</f>
        <v>-9593586.8900522292</v>
      </c>
      <c r="C91" s="291">
        <f>NPV(DiscountRate,$C88:C88)+$B$88</f>
        <v>-8794778.9897980355</v>
      </c>
      <c r="D91" s="291">
        <f>NPV(DiscountRate,$C88:D88)+$B$88</f>
        <v>-8037360.1216851044</v>
      </c>
      <c r="E91" s="291">
        <f>NPV(DiscountRate,$C88:E88)+$B$88</f>
        <v>-7319184.6194351213</v>
      </c>
      <c r="F91" s="291">
        <f>NPV(DiscountRate,$C88:F88)+$B$88</f>
        <v>-6641096.9382587858</v>
      </c>
      <c r="G91" s="291">
        <f>NPV(DiscountRate,$C88:G88)+$B$88</f>
        <v>-5999151.928433938</v>
      </c>
      <c r="H91" s="291">
        <f>NPV(DiscountRate,$C88:H88)+$B$88</f>
        <v>-5391387.4364220053</v>
      </c>
      <c r="I91" s="291">
        <f>NPV(DiscountRate,$C88:I88)+$B$88</f>
        <v>-4818340.3366300967</v>
      </c>
      <c r="J91" s="291">
        <f>NPV(DiscountRate,$C88:J88)+$B$88</f>
        <v>-4276587.1205757698</v>
      </c>
      <c r="K91" s="291">
        <f>NPV(DiscountRate,$C88:K88)+$B$88</f>
        <v>-3764364.4051197134</v>
      </c>
      <c r="L91" s="291">
        <f>NPV(DiscountRate,$C88:L88)+$B$88</f>
        <v>-3281996.0247327155</v>
      </c>
      <c r="M91" s="291">
        <f>NPV(DiscountRate,$C88:M88)+$B$88</f>
        <v>-2826529.9658593377</v>
      </c>
      <c r="N91" s="291">
        <f>NPV(DiscountRate,$C88:N88)+$B$88</f>
        <v>-2390048.2620777413</v>
      </c>
      <c r="O91" s="291">
        <f>NPV(DiscountRate,$C88:O88)+$B$88</f>
        <v>-2010375.2189067556</v>
      </c>
      <c r="P91" s="291">
        <f>NPV(DiscountRate,$C88:P88)+$B$88</f>
        <v>-1651555.153032084</v>
      </c>
      <c r="Q91" s="291">
        <f>NPV(DiscountRate,$C88:Q88)+$B$88</f>
        <v>-1301600.1065369453</v>
      </c>
      <c r="R91" s="291">
        <f>NPV(DiscountRate,$C88:R88)+$B$88</f>
        <v>-1023980.0538217537</v>
      </c>
      <c r="S91" s="291">
        <f>NPV(DiscountRate,$C88:S88)+$B$88</f>
        <v>-760687.93327632733</v>
      </c>
      <c r="T91" s="291">
        <f>NPV(DiscountRate,$C88:T88)+$B$88</f>
        <v>-510970.76890001819</v>
      </c>
      <c r="U91" s="291">
        <f>NPV(DiscountRate,$C88:U88)+$B$88</f>
        <v>-275251.05048778653</v>
      </c>
      <c r="V91" s="291">
        <f>NPV(DiscountRate,$C88:V88)+$B$88</f>
        <v>154757.94971974939</v>
      </c>
      <c r="W91" s="291">
        <f>NPV(DiscountRate,$C88:W88)+$B$88</f>
        <v>747170.41311092675</v>
      </c>
      <c r="X91" s="291">
        <f>NPV(DiscountRate,$C88:X88)+$B$88</f>
        <v>1299303.7842365</v>
      </c>
      <c r="Y91" s="291">
        <f>NPV(DiscountRate,$C88:Y88)+$B$88</f>
        <v>1814607.2181138583</v>
      </c>
      <c r="Z91" s="291">
        <f>NPV(DiscountRate,$C88:Z88)+$B$88</f>
        <v>2295484.1561325211</v>
      </c>
      <c r="AA91" s="291">
        <f>NPV(DiscountRate,$C88:AA88)+$B$88</f>
        <v>2777358.3689803798</v>
      </c>
      <c r="AB91" s="291">
        <f>NPV(DiscountRate,$C88:AB88)+$B$88</f>
        <v>3226017.141930718</v>
      </c>
      <c r="AC91" s="291">
        <f>NPV(DiscountRate,$C88:AC88)+$B$88</f>
        <v>3643716.9371270761</v>
      </c>
      <c r="AD91" s="291">
        <f>NPV(DiscountRate,$C88:AD88)+$B$88</f>
        <v>4032004.4387663547</v>
      </c>
      <c r="AE91" s="291">
        <f>NPV(DiscountRate,$C88:AE88)+$B$88</f>
        <v>4393448.0926123802</v>
      </c>
      <c r="AF91" s="291">
        <f>NPV(DiscountRate,$C88:AF88)+$B$88</f>
        <v>5144549.8623871934</v>
      </c>
      <c r="AG91" s="291">
        <f>NPV(DiscountRate,$C88:AG88)+$B$88</f>
        <v>5144549.8623871934</v>
      </c>
      <c r="AH91" s="291">
        <f>NPV(DiscountRate,$C88:AH88)+$B$88</f>
        <v>5144549.8623871934</v>
      </c>
      <c r="AI91" s="291">
        <f>NPV(DiscountRate,$C88:AI88)+$B$88</f>
        <v>5144549.8623871934</v>
      </c>
      <c r="AJ91" s="291">
        <f>NPV(DiscountRate,$C88:AJ88)+$B$88</f>
        <v>5144549.8623871934</v>
      </c>
      <c r="AK91" s="291">
        <f>NPV(DiscountRate,$C88:AK88)+$B$88</f>
        <v>5144549.8623871934</v>
      </c>
      <c r="AL91" s="291">
        <f>NPV(DiscountRate,$C88:AL88)+$B$88</f>
        <v>5144549.8623871934</v>
      </c>
      <c r="AM91" s="291">
        <f>NPV(DiscountRate,$C88:AM88)+$B$88</f>
        <v>5144549.8623871934</v>
      </c>
      <c r="AN91" s="291">
        <f>NPV(DiscountRate,$C88:AN88)+$B$88</f>
        <v>5144549.8623871934</v>
      </c>
      <c r="AO91" s="291">
        <f>NPV(DiscountRate,$C88:AO88)+$B$88</f>
        <v>5144549.8623871934</v>
      </c>
      <c r="AP91" s="291">
        <f>NPV(DiscountRate,$C88:AP88)+$B$88</f>
        <v>5144549.8623871934</v>
      </c>
    </row>
    <row r="92" spans="1:42">
      <c r="A92" s="202"/>
      <c r="B92" s="164"/>
      <c r="C92" s="164"/>
      <c r="D92" s="164"/>
      <c r="E92" s="164"/>
      <c r="F92" s="164"/>
      <c r="G92" s="208"/>
      <c r="H92" s="208"/>
      <c r="I92" s="208"/>
      <c r="J92" s="208"/>
      <c r="K92" s="208"/>
      <c r="L92" s="208"/>
      <c r="M92" s="208"/>
      <c r="N92" s="208"/>
      <c r="O92" s="208"/>
      <c r="P92" s="208"/>
      <c r="Q92" s="208"/>
      <c r="R92" s="208"/>
      <c r="S92" s="208"/>
      <c r="T92" s="208"/>
      <c r="U92" s="208"/>
      <c r="V92" s="208"/>
      <c r="W92" s="208"/>
      <c r="X92" s="208"/>
      <c r="Y92" s="208"/>
      <c r="Z92" s="208"/>
      <c r="AA92" s="208"/>
      <c r="AB92" s="208"/>
      <c r="AC92" s="208"/>
      <c r="AD92" s="208"/>
      <c r="AE92" s="208"/>
      <c r="AF92" s="208"/>
      <c r="AG92" s="208"/>
      <c r="AH92" s="208"/>
      <c r="AI92" s="208"/>
      <c r="AJ92" s="208"/>
      <c r="AK92" s="208"/>
      <c r="AL92" s="208"/>
      <c r="AM92" s="208"/>
      <c r="AN92" s="208"/>
      <c r="AO92" s="208"/>
      <c r="AP92" s="208"/>
    </row>
    <row r="93" spans="1:42">
      <c r="A93" s="217" t="s">
        <v>228</v>
      </c>
      <c r="B93" s="164"/>
      <c r="C93" s="164"/>
      <c r="D93" s="164"/>
      <c r="E93" s="164"/>
      <c r="F93" s="164"/>
      <c r="G93" s="208"/>
      <c r="H93" s="208"/>
      <c r="I93" s="208"/>
      <c r="J93" s="208"/>
      <c r="K93" s="208"/>
      <c r="L93" s="208"/>
      <c r="M93" s="208"/>
      <c r="N93" s="208"/>
      <c r="O93" s="208"/>
      <c r="P93" s="208"/>
      <c r="Q93" s="208"/>
      <c r="R93" s="208"/>
      <c r="S93" s="208"/>
      <c r="T93" s="208"/>
      <c r="U93" s="208"/>
      <c r="V93" s="208"/>
      <c r="W93" s="208"/>
      <c r="X93" s="208"/>
      <c r="Y93" s="208"/>
      <c r="Z93" s="208"/>
      <c r="AA93" s="208"/>
      <c r="AB93" s="208"/>
      <c r="AC93" s="208"/>
      <c r="AD93" s="208"/>
      <c r="AE93" s="208"/>
      <c r="AF93" s="208"/>
      <c r="AG93" s="208"/>
      <c r="AH93" s="208"/>
      <c r="AI93" s="208"/>
      <c r="AJ93" s="208"/>
      <c r="AK93" s="208"/>
      <c r="AL93" s="208"/>
      <c r="AM93" s="208"/>
      <c r="AN93" s="208"/>
      <c r="AO93" s="208"/>
      <c r="AP93" s="208"/>
    </row>
    <row r="94" spans="1:42" s="119" customFormat="1">
      <c r="A94" s="219" t="s">
        <v>229</v>
      </c>
      <c r="B94" s="220"/>
      <c r="C94" s="220"/>
      <c r="D94" s="220"/>
      <c r="E94" s="220"/>
      <c r="F94" s="220"/>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46"/>
      <c r="AK94" s="146"/>
      <c r="AL94" s="146"/>
      <c r="AM94" s="146"/>
      <c r="AN94" s="146"/>
      <c r="AO94" s="146"/>
      <c r="AP94" s="146"/>
    </row>
    <row r="95" spans="1:42">
      <c r="A95" s="206" t="s">
        <v>224</v>
      </c>
      <c r="B95" s="208">
        <f>B86</f>
        <v>-9593586.8900522292</v>
      </c>
      <c r="C95" s="208">
        <f t="shared" ref="C95:AP96" si="67">C86</f>
        <v>0</v>
      </c>
      <c r="D95" s="208">
        <f t="shared" si="67"/>
        <v>0</v>
      </c>
      <c r="E95" s="208">
        <f t="shared" si="67"/>
        <v>0</v>
      </c>
      <c r="F95" s="208">
        <f t="shared" si="67"/>
        <v>0</v>
      </c>
      <c r="G95" s="208">
        <f t="shared" si="67"/>
        <v>0</v>
      </c>
      <c r="H95" s="208">
        <f t="shared" si="67"/>
        <v>0</v>
      </c>
      <c r="I95" s="208">
        <f t="shared" si="67"/>
        <v>0</v>
      </c>
      <c r="J95" s="208">
        <f t="shared" si="67"/>
        <v>0</v>
      </c>
      <c r="K95" s="208">
        <f t="shared" si="67"/>
        <v>0</v>
      </c>
      <c r="L95" s="208">
        <f t="shared" si="67"/>
        <v>0</v>
      </c>
      <c r="M95" s="208">
        <f t="shared" si="67"/>
        <v>0</v>
      </c>
      <c r="N95" s="208">
        <f t="shared" si="67"/>
        <v>0</v>
      </c>
      <c r="O95" s="208">
        <f t="shared" si="67"/>
        <v>0</v>
      </c>
      <c r="P95" s="208">
        <f t="shared" si="67"/>
        <v>0</v>
      </c>
      <c r="Q95" s="208">
        <f t="shared" si="67"/>
        <v>0</v>
      </c>
      <c r="R95" s="208">
        <f t="shared" si="67"/>
        <v>0</v>
      </c>
      <c r="S95" s="208">
        <f t="shared" si="67"/>
        <v>0</v>
      </c>
      <c r="T95" s="208">
        <f t="shared" si="67"/>
        <v>0</v>
      </c>
      <c r="U95" s="208">
        <f t="shared" si="67"/>
        <v>0</v>
      </c>
      <c r="V95" s="208">
        <f t="shared" si="67"/>
        <v>0</v>
      </c>
      <c r="W95" s="208">
        <f t="shared" si="67"/>
        <v>0</v>
      </c>
      <c r="X95" s="208">
        <f t="shared" si="67"/>
        <v>0</v>
      </c>
      <c r="Y95" s="208">
        <f t="shared" si="67"/>
        <v>0</v>
      </c>
      <c r="Z95" s="208">
        <f t="shared" si="67"/>
        <v>0</v>
      </c>
      <c r="AA95" s="208">
        <f t="shared" si="67"/>
        <v>0</v>
      </c>
      <c r="AB95" s="208">
        <f t="shared" si="67"/>
        <v>0</v>
      </c>
      <c r="AC95" s="208">
        <f t="shared" si="67"/>
        <v>0</v>
      </c>
      <c r="AD95" s="208">
        <f t="shared" si="67"/>
        <v>0</v>
      </c>
      <c r="AE95" s="208">
        <f t="shared" si="67"/>
        <v>0</v>
      </c>
      <c r="AF95" s="208">
        <f t="shared" si="67"/>
        <v>0</v>
      </c>
      <c r="AG95" s="208">
        <f t="shared" si="67"/>
        <v>0</v>
      </c>
      <c r="AH95" s="208">
        <f t="shared" si="67"/>
        <v>0</v>
      </c>
      <c r="AI95" s="208">
        <f t="shared" si="67"/>
        <v>0</v>
      </c>
      <c r="AJ95" s="208">
        <f t="shared" si="67"/>
        <v>0</v>
      </c>
      <c r="AK95" s="208">
        <f t="shared" si="67"/>
        <v>0</v>
      </c>
      <c r="AL95" s="208">
        <f t="shared" si="67"/>
        <v>0</v>
      </c>
      <c r="AM95" s="208">
        <f t="shared" si="67"/>
        <v>0</v>
      </c>
      <c r="AN95" s="208">
        <f t="shared" si="67"/>
        <v>0</v>
      </c>
      <c r="AO95" s="208">
        <f t="shared" si="67"/>
        <v>0</v>
      </c>
      <c r="AP95" s="208">
        <f t="shared" si="67"/>
        <v>0</v>
      </c>
    </row>
    <row r="96" spans="1:42">
      <c r="A96" s="206" t="s">
        <v>225</v>
      </c>
      <c r="B96" s="209">
        <f>B87</f>
        <v>0</v>
      </c>
      <c r="C96" s="209">
        <f t="shared" si="67"/>
        <v>862712.5322745298</v>
      </c>
      <c r="D96" s="209">
        <f t="shared" si="67"/>
        <v>883453.36776692187</v>
      </c>
      <c r="E96" s="209">
        <f t="shared" si="67"/>
        <v>904694.29829033138</v>
      </c>
      <c r="F96" s="209">
        <f t="shared" si="67"/>
        <v>922530.80415240396</v>
      </c>
      <c r="G96" s="209">
        <f t="shared" si="67"/>
        <v>943227.82669730205</v>
      </c>
      <c r="H96" s="209">
        <f t="shared" si="67"/>
        <v>964445.86677083909</v>
      </c>
      <c r="I96" s="209">
        <f t="shared" si="67"/>
        <v>982102.02677709307</v>
      </c>
      <c r="J96" s="209">
        <f t="shared" si="67"/>
        <v>1002747.3941123213</v>
      </c>
      <c r="K96" s="209">
        <f t="shared" si="67"/>
        <v>1023935.5783046546</v>
      </c>
      <c r="L96" s="209">
        <f t="shared" si="67"/>
        <v>1041397.1543114773</v>
      </c>
      <c r="M96" s="209">
        <f t="shared" si="67"/>
        <v>1061982.4247039405</v>
      </c>
      <c r="N96" s="209">
        <f t="shared" si="67"/>
        <v>1099135.1830010503</v>
      </c>
      <c r="O96" s="209">
        <f t="shared" si="67"/>
        <v>1032567.8163928911</v>
      </c>
      <c r="P96" s="209">
        <f t="shared" si="67"/>
        <v>1053924.0097428015</v>
      </c>
      <c r="Q96" s="209">
        <f t="shared" si="67"/>
        <v>1110116.5898496991</v>
      </c>
      <c r="R96" s="209">
        <f t="shared" si="67"/>
        <v>951110.37724164641</v>
      </c>
      <c r="S96" s="209">
        <f t="shared" si="67"/>
        <v>974185.59970488446</v>
      </c>
      <c r="T96" s="209">
        <f t="shared" si="67"/>
        <v>997874.65812889975</v>
      </c>
      <c r="U96" s="209">
        <f t="shared" si="67"/>
        <v>1017295.8384070699</v>
      </c>
      <c r="V96" s="209">
        <f t="shared" si="67"/>
        <v>2004253.5214368142</v>
      </c>
      <c r="W96" s="209">
        <f t="shared" si="67"/>
        <v>2982105.8316163616</v>
      </c>
      <c r="X96" s="209">
        <f t="shared" si="67"/>
        <v>3001695.3852614211</v>
      </c>
      <c r="Y96" s="209">
        <f t="shared" si="67"/>
        <v>3025585.3784599937</v>
      </c>
      <c r="Z96" s="209">
        <f t="shared" si="67"/>
        <v>3049327.5763469622</v>
      </c>
      <c r="AA96" s="209">
        <f t="shared" si="67"/>
        <v>3300103.5943862577</v>
      </c>
      <c r="AB96" s="209">
        <f t="shared" si="67"/>
        <v>3318438.7563659153</v>
      </c>
      <c r="AC96" s="209">
        <f t="shared" si="67"/>
        <v>3336611.6395630161</v>
      </c>
      <c r="AD96" s="209">
        <f t="shared" si="67"/>
        <v>3349797.5851437012</v>
      </c>
      <c r="AE96" s="209">
        <f t="shared" si="67"/>
        <v>3367669.8827644261</v>
      </c>
      <c r="AF96" s="209">
        <f t="shared" si="67"/>
        <v>7558079.3980197748</v>
      </c>
      <c r="AG96" s="209">
        <f t="shared" si="67"/>
        <v>0</v>
      </c>
      <c r="AH96" s="209">
        <f t="shared" si="67"/>
        <v>0</v>
      </c>
      <c r="AI96" s="209">
        <f t="shared" si="67"/>
        <v>0</v>
      </c>
      <c r="AJ96" s="209">
        <f t="shared" si="67"/>
        <v>0</v>
      </c>
      <c r="AK96" s="209">
        <f t="shared" si="67"/>
        <v>0</v>
      </c>
      <c r="AL96" s="209">
        <f t="shared" si="67"/>
        <v>0</v>
      </c>
      <c r="AM96" s="209">
        <f t="shared" si="67"/>
        <v>0</v>
      </c>
      <c r="AN96" s="209">
        <f t="shared" si="67"/>
        <v>0</v>
      </c>
      <c r="AO96" s="209">
        <f t="shared" si="67"/>
        <v>0</v>
      </c>
      <c r="AP96" s="209">
        <f t="shared" si="67"/>
        <v>0</v>
      </c>
    </row>
    <row r="97" spans="1:42">
      <c r="A97" s="206" t="s">
        <v>230</v>
      </c>
      <c r="B97" s="164">
        <f>SUM(B95:B96)</f>
        <v>-9593586.8900522292</v>
      </c>
      <c r="C97" s="164">
        <f t="shared" ref="C97:AP97" si="68">SUM(C95:C96)</f>
        <v>862712.5322745298</v>
      </c>
      <c r="D97" s="164">
        <f t="shared" si="68"/>
        <v>883453.36776692187</v>
      </c>
      <c r="E97" s="164">
        <f t="shared" si="68"/>
        <v>904694.29829033138</v>
      </c>
      <c r="F97" s="164">
        <f t="shared" si="68"/>
        <v>922530.80415240396</v>
      </c>
      <c r="G97" s="164">
        <f t="shared" si="68"/>
        <v>943227.82669730205</v>
      </c>
      <c r="H97" s="164">
        <f t="shared" si="68"/>
        <v>964445.86677083909</v>
      </c>
      <c r="I97" s="164">
        <f t="shared" si="68"/>
        <v>982102.02677709307</v>
      </c>
      <c r="J97" s="164">
        <f t="shared" si="68"/>
        <v>1002747.3941123213</v>
      </c>
      <c r="K97" s="164">
        <f t="shared" si="68"/>
        <v>1023935.5783046546</v>
      </c>
      <c r="L97" s="164">
        <f t="shared" si="68"/>
        <v>1041397.1543114773</v>
      </c>
      <c r="M97" s="164">
        <f t="shared" si="68"/>
        <v>1061982.4247039405</v>
      </c>
      <c r="N97" s="164">
        <f t="shared" si="68"/>
        <v>1099135.1830010503</v>
      </c>
      <c r="O97" s="164">
        <f t="shared" si="68"/>
        <v>1032567.8163928911</v>
      </c>
      <c r="P97" s="164">
        <f t="shared" si="68"/>
        <v>1053924.0097428015</v>
      </c>
      <c r="Q97" s="164">
        <f t="shared" si="68"/>
        <v>1110116.5898496991</v>
      </c>
      <c r="R97" s="164">
        <f t="shared" si="68"/>
        <v>951110.37724164641</v>
      </c>
      <c r="S97" s="164">
        <f t="shared" si="68"/>
        <v>974185.59970488446</v>
      </c>
      <c r="T97" s="164">
        <f t="shared" si="68"/>
        <v>997874.65812889975</v>
      </c>
      <c r="U97" s="164">
        <f t="shared" si="68"/>
        <v>1017295.8384070699</v>
      </c>
      <c r="V97" s="164">
        <f t="shared" si="68"/>
        <v>2004253.5214368142</v>
      </c>
      <c r="W97" s="164">
        <f t="shared" si="68"/>
        <v>2982105.8316163616</v>
      </c>
      <c r="X97" s="164">
        <f t="shared" si="68"/>
        <v>3001695.3852614211</v>
      </c>
      <c r="Y97" s="164">
        <f t="shared" si="68"/>
        <v>3025585.3784599937</v>
      </c>
      <c r="Z97" s="164">
        <f t="shared" si="68"/>
        <v>3049327.5763469622</v>
      </c>
      <c r="AA97" s="164">
        <f t="shared" si="68"/>
        <v>3300103.5943862577</v>
      </c>
      <c r="AB97" s="164">
        <f t="shared" si="68"/>
        <v>3318438.7563659153</v>
      </c>
      <c r="AC97" s="164">
        <f t="shared" si="68"/>
        <v>3336611.6395630161</v>
      </c>
      <c r="AD97" s="164">
        <f t="shared" si="68"/>
        <v>3349797.5851437012</v>
      </c>
      <c r="AE97" s="164">
        <f t="shared" si="68"/>
        <v>3367669.8827644261</v>
      </c>
      <c r="AF97" s="164">
        <f t="shared" si="68"/>
        <v>7558079.3980197748</v>
      </c>
      <c r="AG97" s="164">
        <f t="shared" si="68"/>
        <v>0</v>
      </c>
      <c r="AH97" s="164">
        <f t="shared" si="68"/>
        <v>0</v>
      </c>
      <c r="AI97" s="164">
        <f t="shared" si="68"/>
        <v>0</v>
      </c>
      <c r="AJ97" s="164">
        <f t="shared" si="68"/>
        <v>0</v>
      </c>
      <c r="AK97" s="164">
        <f t="shared" si="68"/>
        <v>0</v>
      </c>
      <c r="AL97" s="164">
        <f t="shared" si="68"/>
        <v>0</v>
      </c>
      <c r="AM97" s="164">
        <f t="shared" si="68"/>
        <v>0</v>
      </c>
      <c r="AN97" s="164">
        <f t="shared" si="68"/>
        <v>0</v>
      </c>
      <c r="AO97" s="164">
        <f t="shared" si="68"/>
        <v>0</v>
      </c>
      <c r="AP97" s="164">
        <f t="shared" si="68"/>
        <v>0</v>
      </c>
    </row>
    <row r="98" spans="1:42">
      <c r="A98" s="202" t="s">
        <v>33</v>
      </c>
      <c r="B98" s="164"/>
      <c r="C98" s="164"/>
      <c r="D98" s="164"/>
      <c r="E98" s="164"/>
      <c r="F98" s="164"/>
      <c r="G98" s="208"/>
      <c r="H98" s="208"/>
      <c r="I98" s="208"/>
      <c r="J98" s="208"/>
      <c r="K98" s="208"/>
      <c r="L98" s="208"/>
      <c r="M98" s="208"/>
      <c r="N98" s="208"/>
      <c r="O98" s="208"/>
      <c r="P98" s="208"/>
      <c r="Q98" s="208"/>
      <c r="R98" s="208"/>
      <c r="S98" s="208"/>
      <c r="T98" s="208"/>
      <c r="U98" s="208"/>
      <c r="V98" s="208"/>
      <c r="W98" s="208"/>
      <c r="X98" s="208"/>
      <c r="Y98" s="208"/>
      <c r="Z98" s="208"/>
      <c r="AA98" s="208"/>
      <c r="AB98" s="208"/>
      <c r="AC98" s="208"/>
      <c r="AD98" s="208"/>
      <c r="AE98" s="208"/>
      <c r="AF98" s="208"/>
      <c r="AG98" s="208"/>
      <c r="AH98" s="208"/>
      <c r="AI98" s="208"/>
      <c r="AJ98" s="208"/>
      <c r="AK98" s="208"/>
      <c r="AL98" s="208"/>
      <c r="AM98" s="208"/>
      <c r="AN98" s="208"/>
      <c r="AO98" s="208"/>
      <c r="AP98" s="208"/>
    </row>
    <row r="99" spans="1:42">
      <c r="A99" s="206" t="s">
        <v>37</v>
      </c>
      <c r="B99" s="164">
        <v>0</v>
      </c>
      <c r="C99" s="164">
        <f>H481+J481</f>
        <v>20000</v>
      </c>
      <c r="D99" s="164">
        <v>0</v>
      </c>
      <c r="E99" s="164">
        <v>0</v>
      </c>
      <c r="F99" s="164">
        <v>0</v>
      </c>
      <c r="G99" s="164">
        <v>0</v>
      </c>
      <c r="H99" s="164">
        <v>0</v>
      </c>
      <c r="I99" s="164">
        <v>0</v>
      </c>
      <c r="J99" s="164">
        <v>0</v>
      </c>
      <c r="K99" s="164">
        <v>0</v>
      </c>
      <c r="L99" s="164">
        <v>0</v>
      </c>
      <c r="M99" s="164">
        <v>0</v>
      </c>
      <c r="N99" s="164">
        <v>0</v>
      </c>
      <c r="O99" s="164">
        <v>0</v>
      </c>
      <c r="P99" s="164">
        <v>0</v>
      </c>
      <c r="Q99" s="164">
        <v>0</v>
      </c>
      <c r="R99" s="164">
        <v>0</v>
      </c>
      <c r="S99" s="164">
        <v>0</v>
      </c>
      <c r="T99" s="164">
        <v>0</v>
      </c>
      <c r="U99" s="164">
        <v>0</v>
      </c>
      <c r="V99" s="164">
        <v>0</v>
      </c>
      <c r="W99" s="164">
        <v>0</v>
      </c>
      <c r="X99" s="164">
        <v>0</v>
      </c>
      <c r="Y99" s="164">
        <v>0</v>
      </c>
      <c r="Z99" s="164">
        <v>0</v>
      </c>
      <c r="AA99" s="164">
        <v>0</v>
      </c>
      <c r="AB99" s="164">
        <v>0</v>
      </c>
      <c r="AC99" s="164">
        <v>0</v>
      </c>
      <c r="AD99" s="164">
        <v>0</v>
      </c>
      <c r="AE99" s="164">
        <v>0</v>
      </c>
      <c r="AF99" s="164">
        <v>0</v>
      </c>
      <c r="AG99" s="164">
        <v>0</v>
      </c>
      <c r="AH99" s="164">
        <v>0</v>
      </c>
      <c r="AI99" s="164">
        <v>0</v>
      </c>
      <c r="AJ99" s="164">
        <v>0</v>
      </c>
      <c r="AK99" s="164">
        <v>0</v>
      </c>
      <c r="AL99" s="164">
        <v>0</v>
      </c>
      <c r="AM99" s="164">
        <v>0</v>
      </c>
      <c r="AN99" s="164">
        <v>0</v>
      </c>
      <c r="AO99" s="164">
        <v>0</v>
      </c>
      <c r="AP99" s="164">
        <v>0</v>
      </c>
    </row>
    <row r="100" spans="1:42">
      <c r="A100" s="206" t="s">
        <v>36</v>
      </c>
      <c r="B100" s="209">
        <v>0</v>
      </c>
      <c r="C100" s="209">
        <f>H516+J516</f>
        <v>10000</v>
      </c>
      <c r="D100" s="209">
        <v>0</v>
      </c>
      <c r="E100" s="209">
        <v>0</v>
      </c>
      <c r="F100" s="209">
        <v>0</v>
      </c>
      <c r="G100" s="209">
        <v>0</v>
      </c>
      <c r="H100" s="209">
        <v>0</v>
      </c>
      <c r="I100" s="209">
        <v>0</v>
      </c>
      <c r="J100" s="209">
        <v>0</v>
      </c>
      <c r="K100" s="209">
        <v>0</v>
      </c>
      <c r="L100" s="209">
        <v>0</v>
      </c>
      <c r="M100" s="209">
        <v>0</v>
      </c>
      <c r="N100" s="209">
        <v>0</v>
      </c>
      <c r="O100" s="209">
        <v>0</v>
      </c>
      <c r="P100" s="209">
        <v>0</v>
      </c>
      <c r="Q100" s="209">
        <v>0</v>
      </c>
      <c r="R100" s="209">
        <v>0</v>
      </c>
      <c r="S100" s="209">
        <v>0</v>
      </c>
      <c r="T100" s="209">
        <v>0</v>
      </c>
      <c r="U100" s="209">
        <v>0</v>
      </c>
      <c r="V100" s="209">
        <v>0</v>
      </c>
      <c r="W100" s="209">
        <v>0</v>
      </c>
      <c r="X100" s="209">
        <v>0</v>
      </c>
      <c r="Y100" s="209">
        <v>0</v>
      </c>
      <c r="Z100" s="209">
        <v>0</v>
      </c>
      <c r="AA100" s="209">
        <v>0</v>
      </c>
      <c r="AB100" s="209">
        <v>0</v>
      </c>
      <c r="AC100" s="209">
        <v>0</v>
      </c>
      <c r="AD100" s="209">
        <v>0</v>
      </c>
      <c r="AE100" s="209">
        <v>0</v>
      </c>
      <c r="AF100" s="209">
        <v>0</v>
      </c>
      <c r="AG100" s="209">
        <v>0</v>
      </c>
      <c r="AH100" s="209">
        <v>0</v>
      </c>
      <c r="AI100" s="209">
        <v>0</v>
      </c>
      <c r="AJ100" s="209">
        <v>0</v>
      </c>
      <c r="AK100" s="209">
        <v>0</v>
      </c>
      <c r="AL100" s="209">
        <v>0</v>
      </c>
      <c r="AM100" s="209">
        <v>0</v>
      </c>
      <c r="AN100" s="209">
        <v>0</v>
      </c>
      <c r="AO100" s="209">
        <v>0</v>
      </c>
      <c r="AP100" s="209">
        <v>0</v>
      </c>
    </row>
    <row r="101" spans="1:42">
      <c r="A101" s="206" t="s">
        <v>53</v>
      </c>
      <c r="B101" s="164">
        <f>SUM(B99:B100)</f>
        <v>0</v>
      </c>
      <c r="C101" s="164">
        <f>SUM(C99:C100)</f>
        <v>30000</v>
      </c>
      <c r="D101" s="164">
        <f>SUM(D99:D100)</f>
        <v>0</v>
      </c>
      <c r="E101" s="164">
        <f t="shared" ref="E101:AP101" si="69">SUM(E99:E100)</f>
        <v>0</v>
      </c>
      <c r="F101" s="164">
        <f t="shared" si="69"/>
        <v>0</v>
      </c>
      <c r="G101" s="164">
        <f t="shared" si="69"/>
        <v>0</v>
      </c>
      <c r="H101" s="164">
        <f t="shared" si="69"/>
        <v>0</v>
      </c>
      <c r="I101" s="164">
        <f t="shared" si="69"/>
        <v>0</v>
      </c>
      <c r="J101" s="164">
        <f t="shared" si="69"/>
        <v>0</v>
      </c>
      <c r="K101" s="164">
        <f t="shared" si="69"/>
        <v>0</v>
      </c>
      <c r="L101" s="164">
        <f t="shared" si="69"/>
        <v>0</v>
      </c>
      <c r="M101" s="164">
        <f t="shared" si="69"/>
        <v>0</v>
      </c>
      <c r="N101" s="164">
        <f t="shared" si="69"/>
        <v>0</v>
      </c>
      <c r="O101" s="164">
        <f t="shared" si="69"/>
        <v>0</v>
      </c>
      <c r="P101" s="164">
        <f t="shared" si="69"/>
        <v>0</v>
      </c>
      <c r="Q101" s="164">
        <f t="shared" si="69"/>
        <v>0</v>
      </c>
      <c r="R101" s="164">
        <f t="shared" si="69"/>
        <v>0</v>
      </c>
      <c r="S101" s="164">
        <f t="shared" si="69"/>
        <v>0</v>
      </c>
      <c r="T101" s="164">
        <f t="shared" si="69"/>
        <v>0</v>
      </c>
      <c r="U101" s="164">
        <f t="shared" si="69"/>
        <v>0</v>
      </c>
      <c r="V101" s="164">
        <f t="shared" si="69"/>
        <v>0</v>
      </c>
      <c r="W101" s="164">
        <f t="shared" si="69"/>
        <v>0</v>
      </c>
      <c r="X101" s="164">
        <f t="shared" si="69"/>
        <v>0</v>
      </c>
      <c r="Y101" s="164">
        <f t="shared" si="69"/>
        <v>0</v>
      </c>
      <c r="Z101" s="164">
        <f t="shared" si="69"/>
        <v>0</v>
      </c>
      <c r="AA101" s="164">
        <f t="shared" si="69"/>
        <v>0</v>
      </c>
      <c r="AB101" s="164">
        <f t="shared" si="69"/>
        <v>0</v>
      </c>
      <c r="AC101" s="164">
        <f t="shared" si="69"/>
        <v>0</v>
      </c>
      <c r="AD101" s="164">
        <f t="shared" si="69"/>
        <v>0</v>
      </c>
      <c r="AE101" s="164">
        <f t="shared" si="69"/>
        <v>0</v>
      </c>
      <c r="AF101" s="164">
        <f t="shared" si="69"/>
        <v>0</v>
      </c>
      <c r="AG101" s="164">
        <f t="shared" si="69"/>
        <v>0</v>
      </c>
      <c r="AH101" s="164">
        <f t="shared" si="69"/>
        <v>0</v>
      </c>
      <c r="AI101" s="164">
        <f t="shared" si="69"/>
        <v>0</v>
      </c>
      <c r="AJ101" s="164">
        <f t="shared" si="69"/>
        <v>0</v>
      </c>
      <c r="AK101" s="164">
        <f t="shared" si="69"/>
        <v>0</v>
      </c>
      <c r="AL101" s="164">
        <f t="shared" si="69"/>
        <v>0</v>
      </c>
      <c r="AM101" s="164">
        <f t="shared" si="69"/>
        <v>0</v>
      </c>
      <c r="AN101" s="164">
        <f t="shared" si="69"/>
        <v>0</v>
      </c>
      <c r="AO101" s="164">
        <f t="shared" si="69"/>
        <v>0</v>
      </c>
      <c r="AP101" s="164">
        <f t="shared" si="69"/>
        <v>0</v>
      </c>
    </row>
    <row r="102" spans="1:42">
      <c r="A102" s="202" t="s">
        <v>38</v>
      </c>
      <c r="B102" s="164"/>
      <c r="C102" s="164"/>
      <c r="D102" s="164"/>
      <c r="E102" s="164"/>
      <c r="F102" s="164"/>
      <c r="G102" s="208"/>
      <c r="H102" s="208"/>
      <c r="I102" s="208"/>
      <c r="J102" s="208"/>
      <c r="K102" s="208"/>
      <c r="L102" s="208"/>
      <c r="M102" s="208"/>
      <c r="N102" s="208"/>
      <c r="O102" s="208"/>
      <c r="P102" s="208"/>
      <c r="Q102" s="208"/>
      <c r="R102" s="208"/>
      <c r="S102" s="208"/>
      <c r="T102" s="208"/>
      <c r="U102" s="208"/>
      <c r="V102" s="208"/>
      <c r="W102" s="208"/>
      <c r="X102" s="208"/>
      <c r="Y102" s="208"/>
      <c r="Z102" s="208"/>
      <c r="AA102" s="208"/>
      <c r="AB102" s="208"/>
      <c r="AC102" s="208"/>
      <c r="AD102" s="208"/>
      <c r="AE102" s="208"/>
      <c r="AF102" s="208"/>
      <c r="AG102" s="208"/>
      <c r="AH102" s="208"/>
      <c r="AI102" s="208"/>
      <c r="AJ102" s="208"/>
      <c r="AK102" s="208"/>
      <c r="AL102" s="208"/>
      <c r="AM102" s="208"/>
      <c r="AN102" s="208"/>
      <c r="AO102" s="208"/>
      <c r="AP102" s="208"/>
    </row>
    <row r="103" spans="1:42">
      <c r="A103" s="206" t="s">
        <v>37</v>
      </c>
      <c r="B103" s="164">
        <f>B546</f>
        <v>0</v>
      </c>
      <c r="C103" s="164">
        <f t="shared" ref="C103:AO103" si="70">C546</f>
        <v>0</v>
      </c>
      <c r="D103" s="164">
        <f t="shared" si="70"/>
        <v>0</v>
      </c>
      <c r="E103" s="164">
        <f t="shared" si="70"/>
        <v>0</v>
      </c>
      <c r="F103" s="164">
        <f t="shared" si="70"/>
        <v>0</v>
      </c>
      <c r="G103" s="164">
        <f t="shared" si="70"/>
        <v>0</v>
      </c>
      <c r="H103" s="164">
        <f t="shared" si="70"/>
        <v>0</v>
      </c>
      <c r="I103" s="164">
        <f t="shared" si="70"/>
        <v>0</v>
      </c>
      <c r="J103" s="164">
        <f t="shared" si="70"/>
        <v>0</v>
      </c>
      <c r="K103" s="164">
        <f t="shared" si="70"/>
        <v>0</v>
      </c>
      <c r="L103" s="164">
        <f t="shared" si="70"/>
        <v>0</v>
      </c>
      <c r="M103" s="164">
        <f t="shared" si="70"/>
        <v>0</v>
      </c>
      <c r="N103" s="164">
        <f t="shared" si="70"/>
        <v>0</v>
      </c>
      <c r="O103" s="164">
        <f t="shared" si="70"/>
        <v>0</v>
      </c>
      <c r="P103" s="164">
        <f t="shared" si="70"/>
        <v>0</v>
      </c>
      <c r="Q103" s="164">
        <f t="shared" si="70"/>
        <v>0</v>
      </c>
      <c r="R103" s="164">
        <f t="shared" si="70"/>
        <v>0</v>
      </c>
      <c r="S103" s="164">
        <f t="shared" si="70"/>
        <v>0</v>
      </c>
      <c r="T103" s="164">
        <f t="shared" si="70"/>
        <v>0</v>
      </c>
      <c r="U103" s="164">
        <f t="shared" si="70"/>
        <v>0</v>
      </c>
      <c r="V103" s="164">
        <f t="shared" si="70"/>
        <v>0</v>
      </c>
      <c r="W103" s="164">
        <f t="shared" si="70"/>
        <v>0</v>
      </c>
      <c r="X103" s="164">
        <f t="shared" si="70"/>
        <v>0</v>
      </c>
      <c r="Y103" s="164">
        <f t="shared" si="70"/>
        <v>0</v>
      </c>
      <c r="Z103" s="164">
        <f t="shared" si="70"/>
        <v>0</v>
      </c>
      <c r="AA103" s="164">
        <f t="shared" si="70"/>
        <v>0</v>
      </c>
      <c r="AB103" s="164">
        <f t="shared" si="70"/>
        <v>0</v>
      </c>
      <c r="AC103" s="164">
        <f t="shared" si="70"/>
        <v>0</v>
      </c>
      <c r="AD103" s="164">
        <f t="shared" si="70"/>
        <v>0</v>
      </c>
      <c r="AE103" s="164">
        <f t="shared" si="70"/>
        <v>0</v>
      </c>
      <c r="AF103" s="164">
        <f t="shared" si="70"/>
        <v>0</v>
      </c>
      <c r="AG103" s="164">
        <f t="shared" si="70"/>
        <v>0</v>
      </c>
      <c r="AH103" s="164">
        <f t="shared" si="70"/>
        <v>0</v>
      </c>
      <c r="AI103" s="164">
        <f t="shared" si="70"/>
        <v>0</v>
      </c>
      <c r="AJ103" s="164">
        <f t="shared" si="70"/>
        <v>0</v>
      </c>
      <c r="AK103" s="164">
        <f t="shared" si="70"/>
        <v>0</v>
      </c>
      <c r="AL103" s="164">
        <f t="shared" si="70"/>
        <v>0</v>
      </c>
      <c r="AM103" s="164">
        <f t="shared" si="70"/>
        <v>0</v>
      </c>
      <c r="AN103" s="164">
        <f t="shared" si="70"/>
        <v>0</v>
      </c>
      <c r="AO103" s="164">
        <f t="shared" si="70"/>
        <v>0</v>
      </c>
      <c r="AP103" s="164">
        <f>AP546</f>
        <v>0</v>
      </c>
    </row>
    <row r="104" spans="1:42">
      <c r="A104" s="206" t="s">
        <v>36</v>
      </c>
      <c r="B104" s="209">
        <f>B552</f>
        <v>0</v>
      </c>
      <c r="C104" s="209">
        <f t="shared" ref="C104:AO104" si="71">C552</f>
        <v>0</v>
      </c>
      <c r="D104" s="209">
        <f t="shared" si="71"/>
        <v>0</v>
      </c>
      <c r="E104" s="209">
        <f t="shared" si="71"/>
        <v>0</v>
      </c>
      <c r="F104" s="209">
        <f t="shared" si="71"/>
        <v>0</v>
      </c>
      <c r="G104" s="209">
        <f t="shared" si="71"/>
        <v>0</v>
      </c>
      <c r="H104" s="209">
        <f t="shared" si="71"/>
        <v>0</v>
      </c>
      <c r="I104" s="209">
        <f t="shared" si="71"/>
        <v>0</v>
      </c>
      <c r="J104" s="209">
        <f t="shared" si="71"/>
        <v>0</v>
      </c>
      <c r="K104" s="209">
        <f t="shared" si="71"/>
        <v>0</v>
      </c>
      <c r="L104" s="209">
        <f t="shared" si="71"/>
        <v>0</v>
      </c>
      <c r="M104" s="209">
        <f t="shared" si="71"/>
        <v>0</v>
      </c>
      <c r="N104" s="209">
        <f t="shared" si="71"/>
        <v>0</v>
      </c>
      <c r="O104" s="209">
        <f t="shared" si="71"/>
        <v>0</v>
      </c>
      <c r="P104" s="209">
        <f t="shared" si="71"/>
        <v>0</v>
      </c>
      <c r="Q104" s="209">
        <f t="shared" si="71"/>
        <v>0</v>
      </c>
      <c r="R104" s="209">
        <f t="shared" si="71"/>
        <v>0</v>
      </c>
      <c r="S104" s="209">
        <f t="shared" si="71"/>
        <v>0</v>
      </c>
      <c r="T104" s="209">
        <f t="shared" si="71"/>
        <v>0</v>
      </c>
      <c r="U104" s="209">
        <f t="shared" si="71"/>
        <v>0</v>
      </c>
      <c r="V104" s="209">
        <f t="shared" si="71"/>
        <v>0</v>
      </c>
      <c r="W104" s="209">
        <f t="shared" si="71"/>
        <v>0</v>
      </c>
      <c r="X104" s="209">
        <f t="shared" si="71"/>
        <v>0</v>
      </c>
      <c r="Y104" s="209">
        <f t="shared" si="71"/>
        <v>0</v>
      </c>
      <c r="Z104" s="209">
        <f t="shared" si="71"/>
        <v>0</v>
      </c>
      <c r="AA104" s="209">
        <f t="shared" si="71"/>
        <v>0</v>
      </c>
      <c r="AB104" s="209">
        <f t="shared" si="71"/>
        <v>0</v>
      </c>
      <c r="AC104" s="209">
        <f t="shared" si="71"/>
        <v>0</v>
      </c>
      <c r="AD104" s="209">
        <f t="shared" si="71"/>
        <v>0</v>
      </c>
      <c r="AE104" s="209">
        <f t="shared" si="71"/>
        <v>0</v>
      </c>
      <c r="AF104" s="209">
        <f t="shared" si="71"/>
        <v>0</v>
      </c>
      <c r="AG104" s="209">
        <f t="shared" si="71"/>
        <v>0</v>
      </c>
      <c r="AH104" s="209">
        <f t="shared" si="71"/>
        <v>0</v>
      </c>
      <c r="AI104" s="209">
        <f t="shared" si="71"/>
        <v>0</v>
      </c>
      <c r="AJ104" s="209">
        <f t="shared" si="71"/>
        <v>0</v>
      </c>
      <c r="AK104" s="209">
        <f t="shared" si="71"/>
        <v>0</v>
      </c>
      <c r="AL104" s="209">
        <f t="shared" si="71"/>
        <v>0</v>
      </c>
      <c r="AM104" s="209">
        <f t="shared" si="71"/>
        <v>0</v>
      </c>
      <c r="AN104" s="209">
        <f t="shared" si="71"/>
        <v>0</v>
      </c>
      <c r="AO104" s="209">
        <f t="shared" si="71"/>
        <v>0</v>
      </c>
      <c r="AP104" s="209">
        <f>AP552</f>
        <v>0</v>
      </c>
    </row>
    <row r="105" spans="1:42">
      <c r="A105" s="206" t="s">
        <v>53</v>
      </c>
      <c r="B105" s="164">
        <f>SUM(B103:B104)</f>
        <v>0</v>
      </c>
      <c r="C105" s="164">
        <f>SUM(C103:C104)</f>
        <v>0</v>
      </c>
      <c r="D105" s="164">
        <f>SUM(D103:D104)</f>
        <v>0</v>
      </c>
      <c r="E105" s="164">
        <f t="shared" ref="E105:AP105" si="72">SUM(E103:E104)</f>
        <v>0</v>
      </c>
      <c r="F105" s="164">
        <f t="shared" si="72"/>
        <v>0</v>
      </c>
      <c r="G105" s="164">
        <f t="shared" si="72"/>
        <v>0</v>
      </c>
      <c r="H105" s="164">
        <f t="shared" si="72"/>
        <v>0</v>
      </c>
      <c r="I105" s="164">
        <f t="shared" si="72"/>
        <v>0</v>
      </c>
      <c r="J105" s="164">
        <f t="shared" si="72"/>
        <v>0</v>
      </c>
      <c r="K105" s="164">
        <f t="shared" si="72"/>
        <v>0</v>
      </c>
      <c r="L105" s="164">
        <f t="shared" si="72"/>
        <v>0</v>
      </c>
      <c r="M105" s="164">
        <f t="shared" si="72"/>
        <v>0</v>
      </c>
      <c r="N105" s="164">
        <f t="shared" si="72"/>
        <v>0</v>
      </c>
      <c r="O105" s="164">
        <f t="shared" si="72"/>
        <v>0</v>
      </c>
      <c r="P105" s="164">
        <f t="shared" si="72"/>
        <v>0</v>
      </c>
      <c r="Q105" s="164">
        <f t="shared" si="72"/>
        <v>0</v>
      </c>
      <c r="R105" s="164">
        <f t="shared" si="72"/>
        <v>0</v>
      </c>
      <c r="S105" s="164">
        <f t="shared" si="72"/>
        <v>0</v>
      </c>
      <c r="T105" s="164">
        <f t="shared" si="72"/>
        <v>0</v>
      </c>
      <c r="U105" s="164">
        <f t="shared" si="72"/>
        <v>0</v>
      </c>
      <c r="V105" s="164">
        <f t="shared" si="72"/>
        <v>0</v>
      </c>
      <c r="W105" s="164">
        <f t="shared" si="72"/>
        <v>0</v>
      </c>
      <c r="X105" s="164">
        <f t="shared" si="72"/>
        <v>0</v>
      </c>
      <c r="Y105" s="164">
        <f t="shared" si="72"/>
        <v>0</v>
      </c>
      <c r="Z105" s="164">
        <f t="shared" si="72"/>
        <v>0</v>
      </c>
      <c r="AA105" s="164">
        <f t="shared" si="72"/>
        <v>0</v>
      </c>
      <c r="AB105" s="164">
        <f t="shared" si="72"/>
        <v>0</v>
      </c>
      <c r="AC105" s="164">
        <f t="shared" si="72"/>
        <v>0</v>
      </c>
      <c r="AD105" s="164">
        <f t="shared" si="72"/>
        <v>0</v>
      </c>
      <c r="AE105" s="164">
        <f t="shared" si="72"/>
        <v>0</v>
      </c>
      <c r="AF105" s="164">
        <f t="shared" si="72"/>
        <v>0</v>
      </c>
      <c r="AG105" s="164">
        <f t="shared" si="72"/>
        <v>0</v>
      </c>
      <c r="AH105" s="164">
        <f t="shared" si="72"/>
        <v>0</v>
      </c>
      <c r="AI105" s="164">
        <f t="shared" si="72"/>
        <v>0</v>
      </c>
      <c r="AJ105" s="164">
        <f t="shared" si="72"/>
        <v>0</v>
      </c>
      <c r="AK105" s="164">
        <f t="shared" si="72"/>
        <v>0</v>
      </c>
      <c r="AL105" s="164">
        <f t="shared" si="72"/>
        <v>0</v>
      </c>
      <c r="AM105" s="164">
        <f t="shared" si="72"/>
        <v>0</v>
      </c>
      <c r="AN105" s="164">
        <f t="shared" si="72"/>
        <v>0</v>
      </c>
      <c r="AO105" s="164">
        <f t="shared" si="72"/>
        <v>0</v>
      </c>
      <c r="AP105" s="164">
        <f t="shared" si="72"/>
        <v>0</v>
      </c>
    </row>
    <row r="106" spans="1:42">
      <c r="A106" s="202" t="s">
        <v>233</v>
      </c>
      <c r="B106" s="164"/>
      <c r="C106" s="164"/>
      <c r="D106" s="164"/>
      <c r="E106" s="164"/>
      <c r="F106" s="164"/>
      <c r="G106" s="164"/>
      <c r="H106" s="164"/>
      <c r="I106" s="164"/>
      <c r="J106" s="164"/>
      <c r="K106" s="164"/>
      <c r="L106" s="164"/>
      <c r="M106" s="164"/>
      <c r="N106" s="164"/>
      <c r="O106" s="164"/>
      <c r="P106" s="164"/>
      <c r="Q106" s="164"/>
      <c r="R106" s="164"/>
      <c r="S106" s="164"/>
      <c r="T106" s="164"/>
      <c r="U106" s="164"/>
      <c r="V106" s="164"/>
      <c r="W106" s="164"/>
      <c r="X106" s="164"/>
      <c r="Y106" s="164"/>
      <c r="Z106" s="164"/>
      <c r="AA106" s="164"/>
      <c r="AB106" s="164"/>
      <c r="AC106" s="164"/>
      <c r="AD106" s="164"/>
      <c r="AE106" s="164"/>
      <c r="AF106" s="164"/>
      <c r="AG106" s="164"/>
      <c r="AH106" s="164"/>
      <c r="AI106" s="164"/>
      <c r="AJ106" s="164"/>
      <c r="AK106" s="164"/>
      <c r="AL106" s="164"/>
      <c r="AM106" s="164"/>
      <c r="AN106" s="164"/>
      <c r="AO106" s="164"/>
      <c r="AP106" s="164"/>
    </row>
    <row r="107" spans="1:42">
      <c r="A107" s="206" t="s">
        <v>37</v>
      </c>
      <c r="B107" s="164">
        <f>B161</f>
        <v>0</v>
      </c>
      <c r="C107" s="164">
        <f>C161</f>
        <v>-353782.2703240164</v>
      </c>
      <c r="D107" s="164">
        <f t="shared" ref="D107:AP107" si="73">D161</f>
        <v>541176.36429520417</v>
      </c>
      <c r="E107" s="164">
        <f t="shared" si="73"/>
        <v>282264.70884818485</v>
      </c>
      <c r="F107" s="164">
        <f t="shared" si="73"/>
        <v>125291.90276286435</v>
      </c>
      <c r="G107" s="164">
        <f t="shared" si="73"/>
        <v>120304.52314919471</v>
      </c>
      <c r="H107" s="164">
        <f t="shared" si="73"/>
        <v>1389.3222727238294</v>
      </c>
      <c r="I107" s="164">
        <f t="shared" si="73"/>
        <v>-117539.69429011305</v>
      </c>
      <c r="J107" s="164">
        <f t="shared" si="73"/>
        <v>-123247.69193692126</v>
      </c>
      <c r="K107" s="164">
        <f t="shared" si="73"/>
        <v>-127636.91704594002</v>
      </c>
      <c r="L107" s="164">
        <f t="shared" si="73"/>
        <v>-131905.72927265524</v>
      </c>
      <c r="M107" s="164">
        <f t="shared" si="73"/>
        <v>-138413.28596027588</v>
      </c>
      <c r="N107" s="164">
        <f t="shared" si="73"/>
        <v>-111225.19330179012</v>
      </c>
      <c r="O107" s="164">
        <f t="shared" si="73"/>
        <v>-94025.775181980309</v>
      </c>
      <c r="P107" s="164">
        <f t="shared" si="73"/>
        <v>-122195.02403989859</v>
      </c>
      <c r="Q107" s="164">
        <f t="shared" si="73"/>
        <v>-72968.353682713408</v>
      </c>
      <c r="R107" s="164">
        <f t="shared" si="73"/>
        <v>-35384.662263201033</v>
      </c>
      <c r="S107" s="164">
        <f t="shared" si="73"/>
        <v>-99491.282726530306</v>
      </c>
      <c r="T107" s="164">
        <f t="shared" si="73"/>
        <v>-141915.27509063075</v>
      </c>
      <c r="U107" s="164">
        <f t="shared" si="73"/>
        <v>-148980.64124761807</v>
      </c>
      <c r="V107" s="164">
        <f t="shared" si="73"/>
        <v>-178292.80755449497</v>
      </c>
      <c r="W107" s="164">
        <f t="shared" si="73"/>
        <v>-206795.22194344553</v>
      </c>
      <c r="X107" s="164">
        <f t="shared" si="73"/>
        <v>-208559.29063573078</v>
      </c>
      <c r="Y107" s="164">
        <f t="shared" si="73"/>
        <v>-211229.47102708279</v>
      </c>
      <c r="Z107" s="164">
        <f t="shared" si="73"/>
        <v>-173232.66168460975</v>
      </c>
      <c r="AA107" s="164">
        <f t="shared" si="73"/>
        <v>-146837.87850341195</v>
      </c>
      <c r="AB107" s="164">
        <f t="shared" si="73"/>
        <v>-174051.93151634725</v>
      </c>
      <c r="AC107" s="164">
        <f t="shared" si="73"/>
        <v>-189325.5045331888</v>
      </c>
      <c r="AD107" s="164">
        <f t="shared" si="73"/>
        <v>-189202.07337443827</v>
      </c>
      <c r="AE107" s="164">
        <f t="shared" si="73"/>
        <v>-202822.3582029001</v>
      </c>
      <c r="AF107" s="164">
        <f t="shared" si="73"/>
        <v>-350874.56822835724</v>
      </c>
      <c r="AG107" s="164">
        <f t="shared" si="73"/>
        <v>0</v>
      </c>
      <c r="AH107" s="164">
        <f t="shared" si="73"/>
        <v>0</v>
      </c>
      <c r="AI107" s="164">
        <f t="shared" si="73"/>
        <v>0</v>
      </c>
      <c r="AJ107" s="164">
        <f t="shared" si="73"/>
        <v>0</v>
      </c>
      <c r="AK107" s="164">
        <f t="shared" si="73"/>
        <v>0</v>
      </c>
      <c r="AL107" s="164">
        <f t="shared" si="73"/>
        <v>0</v>
      </c>
      <c r="AM107" s="164">
        <f t="shared" si="73"/>
        <v>0</v>
      </c>
      <c r="AN107" s="164">
        <f t="shared" si="73"/>
        <v>0</v>
      </c>
      <c r="AO107" s="164">
        <f t="shared" si="73"/>
        <v>0</v>
      </c>
      <c r="AP107" s="164">
        <f t="shared" si="73"/>
        <v>0</v>
      </c>
    </row>
    <row r="108" spans="1:42">
      <c r="A108" s="206" t="s">
        <v>36</v>
      </c>
      <c r="B108" s="209">
        <f>B198</f>
        <v>0</v>
      </c>
      <c r="C108" s="209">
        <f>C198</f>
        <v>-1590993.6867632384</v>
      </c>
      <c r="D108" s="209">
        <f t="shared" ref="D108:AP108" si="74">D198</f>
        <v>3040528.1679193219</v>
      </c>
      <c r="E108" s="209">
        <f t="shared" si="74"/>
        <v>1569091.4999725723</v>
      </c>
      <c r="F108" s="209">
        <f t="shared" si="74"/>
        <v>676452.45212709077</v>
      </c>
      <c r="G108" s="209">
        <f t="shared" si="74"/>
        <v>646460.16472306836</v>
      </c>
      <c r="H108" s="209">
        <f t="shared" si="74"/>
        <v>-30148.866258368693</v>
      </c>
      <c r="I108" s="209">
        <f t="shared" si="74"/>
        <v>-706840.97975372523</v>
      </c>
      <c r="J108" s="209">
        <f t="shared" si="74"/>
        <v>-741166.80196612177</v>
      </c>
      <c r="K108" s="209">
        <f t="shared" si="74"/>
        <v>-767562.00568990281</v>
      </c>
      <c r="L108" s="209">
        <f t="shared" si="74"/>
        <v>-793233.09012601315</v>
      </c>
      <c r="M108" s="209">
        <f t="shared" si="74"/>
        <v>-832367.16966111364</v>
      </c>
      <c r="N108" s="209">
        <f t="shared" si="74"/>
        <v>-668867.86699212866</v>
      </c>
      <c r="O108" s="209">
        <f t="shared" si="74"/>
        <v>-565436.82075345423</v>
      </c>
      <c r="P108" s="209">
        <f t="shared" si="74"/>
        <v>-734836.44002175378</v>
      </c>
      <c r="Q108" s="209">
        <f t="shared" si="74"/>
        <v>-438805.14510104468</v>
      </c>
      <c r="R108" s="209">
        <f t="shared" si="74"/>
        <v>-212790.49170097709</v>
      </c>
      <c r="S108" s="209">
        <f t="shared" si="74"/>
        <v>-598304.39566908905</v>
      </c>
      <c r="T108" s="209">
        <f t="shared" si="74"/>
        <v>-853426.85884047486</v>
      </c>
      <c r="U108" s="209">
        <f t="shared" si="74"/>
        <v>-895915.40168453963</v>
      </c>
      <c r="V108" s="209">
        <f t="shared" si="74"/>
        <v>-1072188.1108845309</v>
      </c>
      <c r="W108" s="209">
        <f t="shared" si="74"/>
        <v>-1243591.2665053564</v>
      </c>
      <c r="X108" s="209">
        <f t="shared" si="74"/>
        <v>-1254199.7341412355</v>
      </c>
      <c r="Y108" s="209">
        <f t="shared" si="74"/>
        <v>-1270257.2280401387</v>
      </c>
      <c r="Z108" s="209">
        <f t="shared" si="74"/>
        <v>-1041758.2336760849</v>
      </c>
      <c r="AA108" s="209">
        <f t="shared" si="74"/>
        <v>-883029.60572733625</v>
      </c>
      <c r="AB108" s="209">
        <f t="shared" si="74"/>
        <v>-1046685.0245278517</v>
      </c>
      <c r="AC108" s="209">
        <f t="shared" si="74"/>
        <v>-1138534.7386245853</v>
      </c>
      <c r="AD108" s="209">
        <f t="shared" si="74"/>
        <v>-1137792.4685199175</v>
      </c>
      <c r="AE108" s="209">
        <f t="shared" si="74"/>
        <v>-1219699.9086474399</v>
      </c>
      <c r="AF108" s="209">
        <f t="shared" si="74"/>
        <v>-2110032.0625732574</v>
      </c>
      <c r="AG108" s="209">
        <f t="shared" si="74"/>
        <v>0</v>
      </c>
      <c r="AH108" s="209">
        <f t="shared" si="74"/>
        <v>0</v>
      </c>
      <c r="AI108" s="209">
        <f t="shared" si="74"/>
        <v>0</v>
      </c>
      <c r="AJ108" s="209">
        <f t="shared" si="74"/>
        <v>0</v>
      </c>
      <c r="AK108" s="209">
        <f t="shared" si="74"/>
        <v>0</v>
      </c>
      <c r="AL108" s="209">
        <f t="shared" si="74"/>
        <v>0</v>
      </c>
      <c r="AM108" s="209">
        <f t="shared" si="74"/>
        <v>0</v>
      </c>
      <c r="AN108" s="209">
        <f t="shared" si="74"/>
        <v>0</v>
      </c>
      <c r="AO108" s="209">
        <f t="shared" si="74"/>
        <v>0</v>
      </c>
      <c r="AP108" s="209">
        <f t="shared" si="74"/>
        <v>0</v>
      </c>
    </row>
    <row r="109" spans="1:42">
      <c r="A109" s="206" t="s">
        <v>53</v>
      </c>
      <c r="B109" s="216">
        <f>SUM(B107:B108)</f>
        <v>0</v>
      </c>
      <c r="C109" s="216">
        <f>SUM(C107:C108)</f>
        <v>-1944775.9570872549</v>
      </c>
      <c r="D109" s="216">
        <f>SUM(D107:D108)</f>
        <v>3581704.5322145261</v>
      </c>
      <c r="E109" s="216">
        <f t="shared" ref="E109:AP109" si="75">SUM(E107:E108)</f>
        <v>1851356.2088207572</v>
      </c>
      <c r="F109" s="216">
        <f t="shared" si="75"/>
        <v>801744.35488995514</v>
      </c>
      <c r="G109" s="216">
        <f t="shared" si="75"/>
        <v>766764.68787226302</v>
      </c>
      <c r="H109" s="216">
        <f t="shared" si="75"/>
        <v>-28759.543985644865</v>
      </c>
      <c r="I109" s="216">
        <f t="shared" si="75"/>
        <v>-824380.67404383828</v>
      </c>
      <c r="J109" s="216">
        <f t="shared" si="75"/>
        <v>-864414.49390304298</v>
      </c>
      <c r="K109" s="216">
        <f t="shared" si="75"/>
        <v>-895198.92273584288</v>
      </c>
      <c r="L109" s="216">
        <f t="shared" si="75"/>
        <v>-925138.81939866836</v>
      </c>
      <c r="M109" s="216">
        <f t="shared" si="75"/>
        <v>-970780.45562138956</v>
      </c>
      <c r="N109" s="216">
        <f t="shared" si="75"/>
        <v>-780093.06029391882</v>
      </c>
      <c r="O109" s="216">
        <f t="shared" si="75"/>
        <v>-659462.59593543457</v>
      </c>
      <c r="P109" s="216">
        <f t="shared" si="75"/>
        <v>-857031.46406165231</v>
      </c>
      <c r="Q109" s="216">
        <f t="shared" si="75"/>
        <v>-511773.49878375808</v>
      </c>
      <c r="R109" s="216">
        <f t="shared" si="75"/>
        <v>-248175.15396417811</v>
      </c>
      <c r="S109" s="216">
        <f t="shared" si="75"/>
        <v>-697795.67839561938</v>
      </c>
      <c r="T109" s="216">
        <f t="shared" si="75"/>
        <v>-995342.13393110561</v>
      </c>
      <c r="U109" s="216">
        <f t="shared" si="75"/>
        <v>-1044896.0429321576</v>
      </c>
      <c r="V109" s="216">
        <f t="shared" si="75"/>
        <v>-1250480.918439026</v>
      </c>
      <c r="W109" s="216">
        <f t="shared" si="75"/>
        <v>-1450386.4884488019</v>
      </c>
      <c r="X109" s="216">
        <f t="shared" si="75"/>
        <v>-1462759.0247769663</v>
      </c>
      <c r="Y109" s="216">
        <f t="shared" si="75"/>
        <v>-1481486.6990672215</v>
      </c>
      <c r="Z109" s="216">
        <f t="shared" si="75"/>
        <v>-1214990.8953606947</v>
      </c>
      <c r="AA109" s="216">
        <f t="shared" si="75"/>
        <v>-1029867.4842307481</v>
      </c>
      <c r="AB109" s="216">
        <f t="shared" si="75"/>
        <v>-1220736.9560441989</v>
      </c>
      <c r="AC109" s="216">
        <f t="shared" si="75"/>
        <v>-1327860.2431577742</v>
      </c>
      <c r="AD109" s="216">
        <f t="shared" si="75"/>
        <v>-1326994.5418943558</v>
      </c>
      <c r="AE109" s="216">
        <f t="shared" si="75"/>
        <v>-1422522.2668503399</v>
      </c>
      <c r="AF109" s="216">
        <f t="shared" si="75"/>
        <v>-2460906.6308016144</v>
      </c>
      <c r="AG109" s="216">
        <f t="shared" si="75"/>
        <v>0</v>
      </c>
      <c r="AH109" s="216">
        <f t="shared" si="75"/>
        <v>0</v>
      </c>
      <c r="AI109" s="216">
        <f t="shared" si="75"/>
        <v>0</v>
      </c>
      <c r="AJ109" s="216">
        <f t="shared" si="75"/>
        <v>0</v>
      </c>
      <c r="AK109" s="216">
        <f t="shared" si="75"/>
        <v>0</v>
      </c>
      <c r="AL109" s="216">
        <f t="shared" si="75"/>
        <v>0</v>
      </c>
      <c r="AM109" s="216">
        <f t="shared" si="75"/>
        <v>0</v>
      </c>
      <c r="AN109" s="216">
        <f t="shared" si="75"/>
        <v>0</v>
      </c>
      <c r="AO109" s="216">
        <f t="shared" si="75"/>
        <v>0</v>
      </c>
      <c r="AP109" s="216">
        <f t="shared" si="75"/>
        <v>0</v>
      </c>
    </row>
    <row r="110" spans="1:42">
      <c r="A110" s="202" t="s">
        <v>53</v>
      </c>
      <c r="B110" s="164">
        <f>B97+B101+B105+B109</f>
        <v>-9593586.8900522292</v>
      </c>
      <c r="C110" s="164">
        <f t="shared" ref="C110:AP110" si="76">C97+C101+C105+C109</f>
        <v>-1052063.424812725</v>
      </c>
      <c r="D110" s="164">
        <f t="shared" si="76"/>
        <v>4465157.8999814484</v>
      </c>
      <c r="E110" s="164">
        <f t="shared" si="76"/>
        <v>2756050.5071110884</v>
      </c>
      <c r="F110" s="164">
        <f t="shared" si="76"/>
        <v>1724275.1590423591</v>
      </c>
      <c r="G110" s="164">
        <f t="shared" si="76"/>
        <v>1709992.5145695652</v>
      </c>
      <c r="H110" s="164">
        <f t="shared" si="76"/>
        <v>935686.32278519426</v>
      </c>
      <c r="I110" s="164">
        <f t="shared" si="76"/>
        <v>157721.35273325478</v>
      </c>
      <c r="J110" s="164">
        <f t="shared" si="76"/>
        <v>138332.90020927833</v>
      </c>
      <c r="K110" s="164">
        <f t="shared" si="76"/>
        <v>128736.65556881169</v>
      </c>
      <c r="L110" s="164">
        <f t="shared" si="76"/>
        <v>116258.33491280896</v>
      </c>
      <c r="M110" s="164">
        <f t="shared" si="76"/>
        <v>91201.969082550961</v>
      </c>
      <c r="N110" s="164">
        <f t="shared" si="76"/>
        <v>319042.12270713144</v>
      </c>
      <c r="O110" s="164">
        <f t="shared" si="76"/>
        <v>373105.22045745654</v>
      </c>
      <c r="P110" s="164">
        <f t="shared" si="76"/>
        <v>196892.54568114923</v>
      </c>
      <c r="Q110" s="164">
        <f t="shared" si="76"/>
        <v>598343.09106594091</v>
      </c>
      <c r="R110" s="164">
        <f t="shared" si="76"/>
        <v>702935.22327746823</v>
      </c>
      <c r="S110" s="164">
        <f t="shared" si="76"/>
        <v>276389.92130926508</v>
      </c>
      <c r="T110" s="164">
        <f t="shared" si="76"/>
        <v>2532.5241977941478</v>
      </c>
      <c r="U110" s="164">
        <f t="shared" si="76"/>
        <v>-27600.204525087727</v>
      </c>
      <c r="V110" s="164">
        <f t="shared" si="76"/>
        <v>753772.60299778823</v>
      </c>
      <c r="W110" s="164">
        <f t="shared" si="76"/>
        <v>1531719.3431675597</v>
      </c>
      <c r="X110" s="164">
        <f t="shared" si="76"/>
        <v>1538936.3604844548</v>
      </c>
      <c r="Y110" s="164">
        <f t="shared" si="76"/>
        <v>1544098.6793927723</v>
      </c>
      <c r="Z110" s="164">
        <f t="shared" si="76"/>
        <v>1834336.6809862675</v>
      </c>
      <c r="AA110" s="164">
        <f t="shared" si="76"/>
        <v>2270236.1101555098</v>
      </c>
      <c r="AB110" s="164">
        <f t="shared" si="76"/>
        <v>2097701.8003217163</v>
      </c>
      <c r="AC110" s="164">
        <f t="shared" si="76"/>
        <v>2008751.3964052419</v>
      </c>
      <c r="AD110" s="164">
        <f t="shared" si="76"/>
        <v>2022803.0432493454</v>
      </c>
      <c r="AE110" s="164">
        <f t="shared" si="76"/>
        <v>1945147.6159140861</v>
      </c>
      <c r="AF110" s="164">
        <f t="shared" si="76"/>
        <v>5097172.7672181604</v>
      </c>
      <c r="AG110" s="164">
        <f t="shared" si="76"/>
        <v>0</v>
      </c>
      <c r="AH110" s="164">
        <f t="shared" si="76"/>
        <v>0</v>
      </c>
      <c r="AI110" s="164">
        <f t="shared" si="76"/>
        <v>0</v>
      </c>
      <c r="AJ110" s="164">
        <f t="shared" si="76"/>
        <v>0</v>
      </c>
      <c r="AK110" s="164">
        <f t="shared" si="76"/>
        <v>0</v>
      </c>
      <c r="AL110" s="164">
        <f t="shared" si="76"/>
        <v>0</v>
      </c>
      <c r="AM110" s="164">
        <f t="shared" si="76"/>
        <v>0</v>
      </c>
      <c r="AN110" s="164">
        <f t="shared" si="76"/>
        <v>0</v>
      </c>
      <c r="AO110" s="164">
        <f t="shared" si="76"/>
        <v>0</v>
      </c>
      <c r="AP110" s="164">
        <f t="shared" si="76"/>
        <v>0</v>
      </c>
    </row>
    <row r="111" spans="1:42">
      <c r="A111" s="206"/>
      <c r="B111" s="164"/>
      <c r="C111" s="164"/>
      <c r="D111" s="164"/>
      <c r="E111" s="164"/>
      <c r="F111" s="164"/>
      <c r="G111" s="164"/>
      <c r="H111" s="164"/>
      <c r="I111" s="164"/>
      <c r="J111" s="164"/>
      <c r="K111" s="164"/>
      <c r="L111" s="164"/>
      <c r="M111" s="164"/>
      <c r="N111" s="164"/>
      <c r="O111" s="164"/>
      <c r="P111" s="164"/>
      <c r="Q111" s="164"/>
      <c r="R111" s="164"/>
      <c r="S111" s="164"/>
      <c r="T111" s="164"/>
      <c r="U111" s="164"/>
      <c r="V111" s="164"/>
      <c r="W111" s="164"/>
      <c r="X111" s="164"/>
      <c r="Y111" s="164"/>
      <c r="Z111" s="164"/>
      <c r="AA111" s="164"/>
      <c r="AB111" s="164"/>
      <c r="AC111" s="164"/>
      <c r="AD111" s="164"/>
      <c r="AE111" s="164"/>
      <c r="AF111" s="164"/>
      <c r="AG111" s="164"/>
      <c r="AH111" s="164"/>
      <c r="AI111" s="164"/>
      <c r="AJ111" s="164"/>
      <c r="AK111" s="164"/>
      <c r="AL111" s="164"/>
      <c r="AM111" s="164"/>
      <c r="AN111" s="164"/>
      <c r="AO111" s="164"/>
      <c r="AP111" s="164"/>
    </row>
    <row r="112" spans="1:42">
      <c r="A112" s="202" t="s">
        <v>418</v>
      </c>
      <c r="B112" s="312">
        <f>ROUND(IF(ISERROR(IRR($B110:B110)),0,IRR($B110:B110)),4)</f>
        <v>0</v>
      </c>
      <c r="C112" s="312">
        <f>ROUND(IF(ISERROR(IRR($B110:C110)),0,IRR($B110:C110)),4)</f>
        <v>0</v>
      </c>
      <c r="D112" s="312">
        <f>ROUND(IF(ISERROR(IRR($B110:D110)),0,IRR($B110:D110)),4)</f>
        <v>0</v>
      </c>
      <c r="E112" s="312">
        <f>ROUND(IF(ISERROR(IRR($B110:E110)),0,IRR($B110:E110)),4)</f>
        <v>-0.15559999999999999</v>
      </c>
      <c r="F112" s="312">
        <f>ROUND(IF(ISERROR(IRR($B110:F110)),0,IRR($B110:F110)),4)</f>
        <v>-6.4399999999999999E-2</v>
      </c>
      <c r="G112" s="312">
        <f>ROUND(IF(ISERROR(IRR($B110:G110)),0,IRR($B110:G110)),4)</f>
        <v>2.9999999999999997E-4</v>
      </c>
      <c r="H112" s="312">
        <f>ROUND(IF(ISERROR(IRR($B110:H110)),0,IRR($B110:H110)),4)</f>
        <v>2.7099999999999999E-2</v>
      </c>
      <c r="I112" s="312">
        <f>ROUND(IF(ISERROR(IRR($B110:I110)),0,IRR($B110:I110)),4)</f>
        <v>3.1099999999999999E-2</v>
      </c>
      <c r="J112" s="312">
        <f>ROUND(IF(ISERROR(IRR($B110:J110)),0,IRR($B110:J110)),4)</f>
        <v>3.4299999999999997E-2</v>
      </c>
      <c r="K112" s="312">
        <f>ROUND(IF(ISERROR(IRR($B110:K110)),0,IRR($B110:K110)),4)</f>
        <v>3.7100000000000001E-2</v>
      </c>
      <c r="L112" s="312">
        <f>ROUND(IF(ISERROR(IRR($B110:L110)),0,IRR($B110:L110)),4)</f>
        <v>3.95E-2</v>
      </c>
      <c r="M112" s="312">
        <f>ROUND(IF(ISERROR(IRR($B110:M110)),0,IRR($B110:M110)),4)</f>
        <v>4.1200000000000001E-2</v>
      </c>
      <c r="N112" s="312">
        <f>ROUND(IF(ISERROR(IRR($B110:N110)),0,IRR($B110:N110)),4)</f>
        <v>4.6699999999999998E-2</v>
      </c>
      <c r="O112" s="312">
        <f>ROUND(IF(ISERROR(IRR($B110:O110)),0,IRR($B110:O110)),4)</f>
        <v>5.2200000000000003E-2</v>
      </c>
      <c r="P112" s="312">
        <f>ROUND(IF(ISERROR(IRR($B110:P110)),0,IRR($B110:P110)),4)</f>
        <v>5.4699999999999999E-2</v>
      </c>
      <c r="Q112" s="312">
        <f>ROUND(IF(ISERROR(IRR($B110:Q110)),0,IRR($B110:Q110)),4)</f>
        <v>6.1400000000000003E-2</v>
      </c>
      <c r="R112" s="312">
        <f>ROUND(IF(ISERROR(IRR($B110:R110)),0,IRR($B110:R110)),4)</f>
        <v>6.7799999999999999E-2</v>
      </c>
      <c r="S112" s="312">
        <f>ROUND(IF(ISERROR(IRR($B110:S110)),0,IRR($B110:S110)),4)</f>
        <v>6.9900000000000004E-2</v>
      </c>
      <c r="T112" s="312">
        <f>ROUND(IF(ISERROR(IRR($B110:T110)),0,IRR($B110:T110)),4)</f>
        <v>7.0000000000000007E-2</v>
      </c>
      <c r="U112" s="312">
        <f>ROUND(IF(ISERROR(IRR($B110:U110)),0,IRR($B110:U110)),4)</f>
        <v>6.9800000000000001E-2</v>
      </c>
      <c r="V112" s="312">
        <f>ROUND(IF(ISERROR(IRR($B110:V110)),0,IRR($B110:V110)),4)</f>
        <v>7.4099999999999999E-2</v>
      </c>
      <c r="W112" s="312">
        <f>ROUND(IF(ISERROR(IRR($B110:W110)),0,IRR($B110:W110)),4)</f>
        <v>8.1100000000000005E-2</v>
      </c>
      <c r="X112" s="312">
        <f>ROUND(IF(ISERROR(IRR($B110:X110)),0,IRR($B110:X110)),4)</f>
        <v>8.6499999999999994E-2</v>
      </c>
      <c r="Y112" s="312">
        <f>ROUND(IF(ISERROR(IRR($B110:Y110)),0,IRR($B110:Y110)),4)</f>
        <v>9.0800000000000006E-2</v>
      </c>
      <c r="Z112" s="312">
        <f>ROUND(IF(ISERROR(IRR($B110:Z110)),0,IRR($B110:Z110)),4)</f>
        <v>9.4899999999999998E-2</v>
      </c>
      <c r="AA112" s="312">
        <f>ROUND(IF(ISERROR(IRR($B110:AA110)),0,IRR($B110:AA110)),4)</f>
        <v>9.8900000000000002E-2</v>
      </c>
      <c r="AB112" s="312">
        <f>ROUND(IF(ISERROR(IRR($B110:AB110)),0,IRR($B110:AB110)),4)</f>
        <v>0.10199999999999999</v>
      </c>
      <c r="AC112" s="312">
        <f>ROUND(IF(ISERROR(IRR($B110:AC110)),0,IRR($B110:AC110)),4)</f>
        <v>0.10440000000000001</v>
      </c>
      <c r="AD112" s="312">
        <f>ROUND(IF(ISERROR(IRR($B110:AD110)),0,IRR($B110:AD110)),4)</f>
        <v>0.10639999999999999</v>
      </c>
      <c r="AE112" s="312">
        <f>ROUND(IF(ISERROR(IRR($B110:AE110)),0,IRR($B110:AE110)),4)</f>
        <v>0.108</v>
      </c>
      <c r="AF112" s="312">
        <f>ROUND(IF(ISERROR(IRR($B110:AF110)),0,IRR($B110:AF110)),4)</f>
        <v>0.1115</v>
      </c>
      <c r="AG112" s="312">
        <f>ROUND(IF(ISERROR(IRR($B110:AG110)),0,IRR($B110:AG110)),4)</f>
        <v>0.1115</v>
      </c>
      <c r="AH112" s="312">
        <f>ROUND(IF(ISERROR(IRR($B110:AH110)),0,IRR($B110:AH110)),4)</f>
        <v>0.1115</v>
      </c>
      <c r="AI112" s="312">
        <f>ROUND(IF(ISERROR(IRR($B110:AI110)),0,IRR($B110:AI110)),4)</f>
        <v>0.1115</v>
      </c>
      <c r="AJ112" s="312">
        <f>ROUND(IF(ISERROR(IRR($B110:AJ110)),0,IRR($B110:AJ110)),4)</f>
        <v>0.1115</v>
      </c>
      <c r="AK112" s="312">
        <f>ROUND(IF(ISERROR(IRR($B110:AK110)),0,IRR($B110:AK110)),4)</f>
        <v>0.1115</v>
      </c>
      <c r="AL112" s="312">
        <f>ROUND(IF(ISERROR(IRR($B110:AL110)),0,IRR($B110:AL110)),4)</f>
        <v>0.1115</v>
      </c>
      <c r="AM112" s="312">
        <f>ROUND(IF(ISERROR(IRR($B110:AM110)),0,IRR($B110:AM110)),4)</f>
        <v>0.1115</v>
      </c>
      <c r="AN112" s="312">
        <f>ROUND(IF(ISERROR(IRR($B110:AN110)),0,IRR($B110:AN110)),4)</f>
        <v>0.1115</v>
      </c>
      <c r="AO112" s="312">
        <f>ROUND(IF(ISERROR(IRR($B110:AO110)),0,IRR($B110:AO110)),4)</f>
        <v>0.1115</v>
      </c>
      <c r="AP112" s="312">
        <f>ROUND(IF(ISERROR(IRR($B110:AP110)),0,IRR($B110:AP110)),4)</f>
        <v>0.1115</v>
      </c>
    </row>
    <row r="113" spans="1:42" s="315" customFormat="1">
      <c r="A113" s="313" t="s">
        <v>410</v>
      </c>
      <c r="B113" s="314">
        <f>MAX($B$112:B112)</f>
        <v>0</v>
      </c>
      <c r="C113" s="314">
        <f>MAX($B$112:C112)</f>
        <v>0</v>
      </c>
      <c r="D113" s="314">
        <f>MAX($B$112:D112)</f>
        <v>0</v>
      </c>
      <c r="E113" s="314">
        <f>MAX($B$112:E112)</f>
        <v>0</v>
      </c>
      <c r="F113" s="314">
        <f>MAX($B$112:F112)</f>
        <v>0</v>
      </c>
      <c r="G113" s="314">
        <f>MAX($B$112:G112)</f>
        <v>2.9999999999999997E-4</v>
      </c>
      <c r="H113" s="314">
        <f>MAX($B$112:H112)</f>
        <v>2.7099999999999999E-2</v>
      </c>
      <c r="I113" s="314">
        <f>MAX($B$112:I112)</f>
        <v>3.1099999999999999E-2</v>
      </c>
      <c r="J113" s="314">
        <f>MAX($B$112:J112)</f>
        <v>3.4299999999999997E-2</v>
      </c>
      <c r="K113" s="314">
        <f>MAX($B$112:K112)</f>
        <v>3.7100000000000001E-2</v>
      </c>
      <c r="L113" s="314">
        <f>MAX($B$112:L112)</f>
        <v>3.95E-2</v>
      </c>
      <c r="M113" s="314">
        <f>MAX($B$112:M112)</f>
        <v>4.1200000000000001E-2</v>
      </c>
      <c r="N113" s="314">
        <f>MAX($B$112:N112)</f>
        <v>4.6699999999999998E-2</v>
      </c>
      <c r="O113" s="314">
        <f>MAX($B$112:O112)</f>
        <v>5.2200000000000003E-2</v>
      </c>
      <c r="P113" s="314">
        <f>MAX($B$112:P112)</f>
        <v>5.4699999999999999E-2</v>
      </c>
      <c r="Q113" s="314">
        <f>MAX($B$112:Q112)</f>
        <v>6.1400000000000003E-2</v>
      </c>
      <c r="R113" s="314">
        <f>MAX($B$112:R112)</f>
        <v>6.7799999999999999E-2</v>
      </c>
      <c r="S113" s="314">
        <f>MAX($B$112:S112)</f>
        <v>6.9900000000000004E-2</v>
      </c>
      <c r="T113" s="314">
        <f>MAX($B$112:T112)</f>
        <v>7.0000000000000007E-2</v>
      </c>
      <c r="U113" s="314">
        <f>MAX($B$112:U112)</f>
        <v>7.0000000000000007E-2</v>
      </c>
      <c r="V113" s="314">
        <f>MAX($B$112:V112)</f>
        <v>7.4099999999999999E-2</v>
      </c>
      <c r="W113" s="314">
        <f>MAX($B$112:W112)</f>
        <v>8.1100000000000005E-2</v>
      </c>
      <c r="X113" s="314">
        <f>MAX($B$112:X112)</f>
        <v>8.6499999999999994E-2</v>
      </c>
      <c r="Y113" s="314">
        <f>MAX($B$112:Y112)</f>
        <v>9.0800000000000006E-2</v>
      </c>
      <c r="Z113" s="314">
        <f>MAX($B$112:Z112)</f>
        <v>9.4899999999999998E-2</v>
      </c>
      <c r="AA113" s="314">
        <f>MAX($B$112:AA112)</f>
        <v>9.8900000000000002E-2</v>
      </c>
      <c r="AB113" s="314">
        <f>MAX($B$112:AB112)</f>
        <v>0.10199999999999999</v>
      </c>
      <c r="AC113" s="314">
        <f>MAX($B$112:AC112)</f>
        <v>0.10440000000000001</v>
      </c>
      <c r="AD113" s="314">
        <f>MAX($B$112:AD112)</f>
        <v>0.10639999999999999</v>
      </c>
      <c r="AE113" s="314">
        <f>MAX($B$112:AE112)</f>
        <v>0.108</v>
      </c>
      <c r="AF113" s="314">
        <f>MAX($B$112:AF112)</f>
        <v>0.1115</v>
      </c>
      <c r="AG113" s="314">
        <f>MAX($B$112:AG112)</f>
        <v>0.1115</v>
      </c>
      <c r="AH113" s="314">
        <f>MAX($B$112:AH112)</f>
        <v>0.1115</v>
      </c>
      <c r="AI113" s="314">
        <f>MAX($B$112:AI112)</f>
        <v>0.1115</v>
      </c>
      <c r="AJ113" s="314">
        <f>MAX($B$112:AJ112)</f>
        <v>0.1115</v>
      </c>
      <c r="AK113" s="314">
        <f>MAX($B$112:AK112)</f>
        <v>0.1115</v>
      </c>
      <c r="AL113" s="314">
        <f>MAX($B$112:AL112)</f>
        <v>0.1115</v>
      </c>
      <c r="AM113" s="314">
        <f>MAX($B$112:AM112)</f>
        <v>0.1115</v>
      </c>
      <c r="AN113" s="314">
        <f>MAX($B$112:AN112)</f>
        <v>0.1115</v>
      </c>
      <c r="AO113" s="314">
        <f>MAX($B$112:AO112)</f>
        <v>0.1115</v>
      </c>
      <c r="AP113" s="314">
        <f>MAX($B$112:AP112)</f>
        <v>0.1115</v>
      </c>
    </row>
    <row r="114" spans="1:42">
      <c r="A114" s="202" t="s">
        <v>419</v>
      </c>
      <c r="B114" s="291">
        <f>B110</f>
        <v>-9593586.8900522292</v>
      </c>
      <c r="C114" s="291">
        <f>NPV(DiscountRate,$C110:C110)+$B110</f>
        <v>-10567719.690804752</v>
      </c>
      <c r="D114" s="291">
        <f>NPV(DiscountRate,$C110:D110)+$B110</f>
        <v>-6739566.4843734689</v>
      </c>
      <c r="E114" s="291">
        <f>NPV(DiscountRate,$C110:E110)+$B110</f>
        <v>-4551724.7339487001</v>
      </c>
      <c r="F114" s="291">
        <f>NPV(DiscountRate,$C110:F110)+$B110</f>
        <v>-3284331.0176172135</v>
      </c>
      <c r="G114" s="291">
        <f>NPV(DiscountRate,$C110:G110)+$B110</f>
        <v>-2120538.845147673</v>
      </c>
      <c r="H114" s="291">
        <f>NPV(DiscountRate,$C110:H110)+$B110</f>
        <v>-1530897.7442385023</v>
      </c>
      <c r="I114" s="291">
        <f>NPV(DiscountRate,$C110:I110)+$B110</f>
        <v>-1438868.8497908963</v>
      </c>
      <c r="J114" s="291">
        <f>NPV(DiscountRate,$C110:J110)+$B110</f>
        <v>-1364131.8881049063</v>
      </c>
      <c r="K114" s="291">
        <f>NPV(DiscountRate,$C110:K110)+$B110</f>
        <v>-1299731.5091246497</v>
      </c>
      <c r="L114" s="291">
        <f>NPV(DiscountRate,$C110:L110)+$B110</f>
        <v>-1245881.4054574678</v>
      </c>
      <c r="M114" s="291">
        <f>NPV(DiscountRate,$C110:M110)+$B110</f>
        <v>-1206766.4441801179</v>
      </c>
      <c r="N114" s="291">
        <f>NPV(DiscountRate,$C110:N110)+$B110</f>
        <v>-1080070.4276654944</v>
      </c>
      <c r="O114" s="291">
        <f>NPV(DiscountRate,$C110:O110)+$B110</f>
        <v>-942880.41241891868</v>
      </c>
      <c r="P114" s="291">
        <f>NPV(DiscountRate,$C110:P110)+$B110</f>
        <v>-875846.17127967067</v>
      </c>
      <c r="Q114" s="291">
        <f>NPV(DiscountRate,$C110:Q110)+$B110</f>
        <v>-687223.47509748116</v>
      </c>
      <c r="R114" s="291">
        <f>NPV(DiscountRate,$C110:R110)+$B110</f>
        <v>-482043.38410991803</v>
      </c>
      <c r="S114" s="291">
        <f>NPV(DiscountRate,$C110:S110)+$B110</f>
        <v>-407343.76988759264</v>
      </c>
      <c r="T114" s="291">
        <f>NPV(DiscountRate,$C110:T110)+$B110</f>
        <v>-406710.0081658829</v>
      </c>
      <c r="U114" s="291">
        <f>NPV(DiscountRate,$C110:U110)+$B110</f>
        <v>-413105.30852311291</v>
      </c>
      <c r="V114" s="291">
        <f>NPV(DiscountRate,$C110:V110)+$B110</f>
        <v>-251384.74775964767</v>
      </c>
      <c r="W114" s="291">
        <f>NPV(DiscountRate,$C110:W110)+$B110</f>
        <v>52900.103465091437</v>
      </c>
      <c r="X114" s="291">
        <f>NPV(DiscountRate,$C110:X110)+$B110</f>
        <v>335972.83790513128</v>
      </c>
      <c r="Y114" s="291">
        <f>NPV(DiscountRate,$C110:Y110)+$B110</f>
        <v>598956.44345837831</v>
      </c>
      <c r="Z114" s="291">
        <f>NPV(DiscountRate,$C110:Z110)+$B110</f>
        <v>888230.12244590186</v>
      </c>
      <c r="AA114" s="291">
        <f>NPV(DiscountRate,$C110:AA110)+$B110</f>
        <v>1219725.2429084498</v>
      </c>
      <c r="AB114" s="291">
        <f>NPV(DiscountRate,$C110:AB110)+$B110</f>
        <v>1503338.2262556944</v>
      </c>
      <c r="AC114" s="291">
        <f>NPV(DiscountRate,$C110:AC110)+$B110</f>
        <v>1754807.4224096574</v>
      </c>
      <c r="AD114" s="291">
        <f>NPV(DiscountRate,$C110:AD110)+$B110</f>
        <v>1989278.049367832</v>
      </c>
      <c r="AE114" s="291">
        <f>NPV(DiscountRate,$C110:AE110)+$B110</f>
        <v>2198045.917371789</v>
      </c>
      <c r="AF114" s="291">
        <f>NPV(DiscountRate,$C110:AF110)+$B110</f>
        <v>2704589.3505234178</v>
      </c>
      <c r="AG114" s="291">
        <f>NPV(DiscountRate,$C110:AG110)+$B110</f>
        <v>2704589.3505234178</v>
      </c>
      <c r="AH114" s="291">
        <f>NPV(DiscountRate,$C110:AH110)+$B110</f>
        <v>2704589.3505234178</v>
      </c>
      <c r="AI114" s="291">
        <f>NPV(DiscountRate,$C110:AI110)+$B110</f>
        <v>2704589.3505234178</v>
      </c>
      <c r="AJ114" s="291">
        <f>NPV(DiscountRate,$C110:AJ110)+$B110</f>
        <v>2704589.3505234178</v>
      </c>
      <c r="AK114" s="291">
        <f>NPV(DiscountRate,$C110:AK110)+$B110</f>
        <v>2704589.3505234178</v>
      </c>
      <c r="AL114" s="291">
        <f>NPV(DiscountRate,$C110:AL110)+$B110</f>
        <v>2704589.3505234178</v>
      </c>
      <c r="AM114" s="291">
        <f>NPV(DiscountRate,$C110:AM110)+$B110</f>
        <v>2704589.3505234178</v>
      </c>
      <c r="AN114" s="291">
        <f>NPV(DiscountRate,$C110:AN110)+$B110</f>
        <v>2704589.3505234178</v>
      </c>
      <c r="AO114" s="291">
        <f>NPV(DiscountRate,$C110:AO110)+$B110</f>
        <v>2704589.3505234178</v>
      </c>
      <c r="AP114" s="291">
        <f>NPV(DiscountRate,$C110:AP110)+$B110</f>
        <v>2704589.3505234178</v>
      </c>
    </row>
    <row r="115" spans="1:42">
      <c r="A115" s="206"/>
      <c r="B115" s="164"/>
      <c r="C115" s="164"/>
      <c r="D115" s="164"/>
      <c r="E115" s="164"/>
      <c r="F115" s="164"/>
      <c r="G115" s="164"/>
      <c r="H115" s="164"/>
      <c r="I115" s="164"/>
      <c r="J115" s="164"/>
      <c r="K115" s="164"/>
      <c r="L115" s="164"/>
      <c r="M115" s="164"/>
      <c r="N115" s="164"/>
      <c r="O115" s="164"/>
      <c r="P115" s="164"/>
      <c r="Q115" s="164"/>
      <c r="R115" s="164"/>
      <c r="S115" s="164"/>
      <c r="T115" s="164"/>
      <c r="U115" s="164"/>
      <c r="V115" s="164"/>
      <c r="W115" s="164"/>
      <c r="X115" s="164"/>
      <c r="Y115" s="164"/>
      <c r="Z115" s="164"/>
      <c r="AA115" s="164"/>
      <c r="AB115" s="164"/>
      <c r="AC115" s="164"/>
      <c r="AD115" s="164"/>
      <c r="AE115" s="164"/>
      <c r="AF115" s="164"/>
      <c r="AG115" s="164"/>
      <c r="AH115" s="164"/>
      <c r="AI115" s="164"/>
      <c r="AJ115" s="164"/>
      <c r="AK115" s="164"/>
      <c r="AL115" s="164"/>
      <c r="AM115" s="164"/>
      <c r="AN115" s="164"/>
      <c r="AO115" s="164"/>
      <c r="AP115" s="164"/>
    </row>
    <row r="116" spans="1:42">
      <c r="A116" s="37" t="s">
        <v>409</v>
      </c>
      <c r="B116" s="218">
        <f>SUM(C116:AP116)</f>
        <v>0</v>
      </c>
      <c r="C116" s="164">
        <f t="shared" ref="C116:AP116" si="77">IF(AND(B113&lt;SOReturnTarget,C113&gt;=SOReturnTarget),C$2,0)</f>
        <v>0</v>
      </c>
      <c r="D116" s="164">
        <f t="shared" si="77"/>
        <v>0</v>
      </c>
      <c r="E116" s="164">
        <f t="shared" si="77"/>
        <v>0</v>
      </c>
      <c r="F116" s="164">
        <f t="shared" si="77"/>
        <v>0</v>
      </c>
      <c r="G116" s="164">
        <f t="shared" si="77"/>
        <v>0</v>
      </c>
      <c r="H116" s="164">
        <f t="shared" si="77"/>
        <v>0</v>
      </c>
      <c r="I116" s="164">
        <f t="shared" si="77"/>
        <v>0</v>
      </c>
      <c r="J116" s="164">
        <f t="shared" si="77"/>
        <v>0</v>
      </c>
      <c r="K116" s="164">
        <f t="shared" si="77"/>
        <v>0</v>
      </c>
      <c r="L116" s="164">
        <f t="shared" si="77"/>
        <v>0</v>
      </c>
      <c r="M116" s="164">
        <f t="shared" si="77"/>
        <v>0</v>
      </c>
      <c r="N116" s="164">
        <f t="shared" si="77"/>
        <v>0</v>
      </c>
      <c r="O116" s="164">
        <f t="shared" si="77"/>
        <v>0</v>
      </c>
      <c r="P116" s="164">
        <f t="shared" si="77"/>
        <v>0</v>
      </c>
      <c r="Q116" s="164">
        <f t="shared" si="77"/>
        <v>0</v>
      </c>
      <c r="R116" s="164">
        <f t="shared" si="77"/>
        <v>0</v>
      </c>
      <c r="S116" s="164">
        <f t="shared" si="77"/>
        <v>0</v>
      </c>
      <c r="T116" s="164">
        <f t="shared" si="77"/>
        <v>0</v>
      </c>
      <c r="U116" s="164">
        <f t="shared" si="77"/>
        <v>0</v>
      </c>
      <c r="V116" s="164">
        <f t="shared" si="77"/>
        <v>0</v>
      </c>
      <c r="W116" s="164">
        <f t="shared" si="77"/>
        <v>0</v>
      </c>
      <c r="X116" s="164">
        <f t="shared" si="77"/>
        <v>0</v>
      </c>
      <c r="Y116" s="164">
        <f t="shared" si="77"/>
        <v>0</v>
      </c>
      <c r="Z116" s="164">
        <f t="shared" si="77"/>
        <v>0</v>
      </c>
      <c r="AA116" s="164">
        <f t="shared" si="77"/>
        <v>0</v>
      </c>
      <c r="AB116" s="164">
        <f t="shared" si="77"/>
        <v>0</v>
      </c>
      <c r="AC116" s="164">
        <f t="shared" si="77"/>
        <v>0</v>
      </c>
      <c r="AD116" s="164">
        <f t="shared" si="77"/>
        <v>0</v>
      </c>
      <c r="AE116" s="164">
        <f t="shared" si="77"/>
        <v>0</v>
      </c>
      <c r="AF116" s="164">
        <f t="shared" si="77"/>
        <v>0</v>
      </c>
      <c r="AG116" s="164">
        <f t="shared" si="77"/>
        <v>0</v>
      </c>
      <c r="AH116" s="164">
        <f t="shared" si="77"/>
        <v>0</v>
      </c>
      <c r="AI116" s="164">
        <f t="shared" si="77"/>
        <v>0</v>
      </c>
      <c r="AJ116" s="164">
        <f t="shared" si="77"/>
        <v>0</v>
      </c>
      <c r="AK116" s="164">
        <f t="shared" si="77"/>
        <v>0</v>
      </c>
      <c r="AL116" s="164">
        <f t="shared" si="77"/>
        <v>0</v>
      </c>
      <c r="AM116" s="164">
        <f t="shared" si="77"/>
        <v>0</v>
      </c>
      <c r="AN116" s="164">
        <f t="shared" si="77"/>
        <v>0</v>
      </c>
      <c r="AO116" s="164">
        <f t="shared" si="77"/>
        <v>0</v>
      </c>
      <c r="AP116" s="164">
        <f t="shared" si="77"/>
        <v>0</v>
      </c>
    </row>
    <row r="117" spans="1:42">
      <c r="A117" s="206"/>
      <c r="B117" s="164"/>
      <c r="C117" s="164"/>
      <c r="D117" s="164"/>
      <c r="E117" s="164"/>
      <c r="F117" s="164"/>
      <c r="G117" s="164"/>
      <c r="H117" s="164"/>
      <c r="I117" s="164"/>
      <c r="J117" s="164"/>
      <c r="K117" s="164"/>
      <c r="L117" s="164"/>
      <c r="M117" s="164"/>
      <c r="N117" s="164"/>
      <c r="O117" s="164"/>
      <c r="P117" s="164"/>
      <c r="Q117" s="164"/>
      <c r="R117" s="164"/>
      <c r="S117" s="164"/>
      <c r="T117" s="164"/>
      <c r="U117" s="164"/>
      <c r="V117" s="164"/>
      <c r="W117" s="164"/>
      <c r="X117" s="164"/>
      <c r="Y117" s="164"/>
      <c r="Z117" s="164"/>
      <c r="AA117" s="164"/>
      <c r="AB117" s="164"/>
      <c r="AC117" s="164"/>
      <c r="AD117" s="164"/>
      <c r="AE117" s="164"/>
      <c r="AF117" s="164"/>
      <c r="AG117" s="164"/>
      <c r="AH117" s="164"/>
      <c r="AI117" s="164"/>
      <c r="AJ117" s="164"/>
      <c r="AK117" s="164"/>
      <c r="AL117" s="164"/>
      <c r="AM117" s="164"/>
      <c r="AN117" s="164"/>
      <c r="AO117" s="164"/>
      <c r="AP117" s="164"/>
    </row>
    <row r="118" spans="1:42">
      <c r="A118" s="201" t="s">
        <v>261</v>
      </c>
      <c r="B118" s="164"/>
      <c r="C118" s="164"/>
      <c r="D118" s="164"/>
      <c r="E118" s="164"/>
      <c r="F118" s="164"/>
      <c r="G118" s="208"/>
      <c r="H118" s="208"/>
      <c r="I118" s="208"/>
      <c r="J118" s="208"/>
      <c r="K118" s="208"/>
      <c r="L118" s="208"/>
      <c r="M118" s="208"/>
      <c r="N118" s="208"/>
      <c r="O118" s="208"/>
      <c r="P118" s="208"/>
      <c r="Q118" s="208"/>
      <c r="R118" s="208"/>
      <c r="S118" s="208"/>
      <c r="T118" s="208"/>
      <c r="U118" s="208"/>
      <c r="V118" s="208"/>
      <c r="W118" s="208"/>
      <c r="X118" s="208"/>
      <c r="Y118" s="208"/>
      <c r="Z118" s="208"/>
      <c r="AA118" s="208"/>
      <c r="AB118" s="208"/>
      <c r="AC118" s="208"/>
      <c r="AD118" s="208"/>
      <c r="AE118" s="208"/>
      <c r="AF118" s="208"/>
      <c r="AG118" s="208"/>
      <c r="AH118" s="208"/>
      <c r="AI118" s="208"/>
      <c r="AJ118" s="208"/>
      <c r="AK118" s="208"/>
      <c r="AL118" s="208"/>
      <c r="AM118" s="208"/>
      <c r="AN118" s="208"/>
      <c r="AO118" s="208"/>
      <c r="AP118" s="208"/>
    </row>
    <row r="119" spans="1:42">
      <c r="A119" s="202" t="s">
        <v>459</v>
      </c>
      <c r="B119" s="218">
        <f>SUM(C119:AP119)</f>
        <v>129943780.4944014</v>
      </c>
      <c r="C119" s="164">
        <f t="shared" ref="C119:AP119" si="78">C12</f>
        <v>4028497.3628674769</v>
      </c>
      <c r="D119" s="164">
        <f t="shared" si="78"/>
        <v>4048438.424813671</v>
      </c>
      <c r="E119" s="164">
        <f t="shared" si="78"/>
        <v>4068478.1950164987</v>
      </c>
      <c r="F119" s="164">
        <f t="shared" si="78"/>
        <v>4088617.1620818297</v>
      </c>
      <c r="G119" s="164">
        <f t="shared" si="78"/>
        <v>4108855.8170341346</v>
      </c>
      <c r="H119" s="164">
        <f t="shared" si="78"/>
        <v>4129194.6533284532</v>
      </c>
      <c r="I119" s="164">
        <f t="shared" si="78"/>
        <v>4149634.1668624305</v>
      </c>
      <c r="J119" s="164">
        <f t="shared" si="78"/>
        <v>4170174.8559883987</v>
      </c>
      <c r="K119" s="164">
        <f t="shared" si="78"/>
        <v>4190817.221525542</v>
      </c>
      <c r="L119" s="164">
        <f t="shared" si="78"/>
        <v>4211561.7667720942</v>
      </c>
      <c r="M119" s="164">
        <f t="shared" si="78"/>
        <v>4232408.9975176165</v>
      </c>
      <c r="N119" s="164">
        <f t="shared" si="78"/>
        <v>4253359.4220553273</v>
      </c>
      <c r="O119" s="164">
        <f t="shared" si="78"/>
        <v>4274413.5511945011</v>
      </c>
      <c r="P119" s="164">
        <f t="shared" si="78"/>
        <v>4295571.8982729139</v>
      </c>
      <c r="Q119" s="164">
        <f t="shared" si="78"/>
        <v>4316834.9791693659</v>
      </c>
      <c r="R119" s="164">
        <f t="shared" si="78"/>
        <v>4338203.3123162528</v>
      </c>
      <c r="S119" s="164">
        <f t="shared" si="78"/>
        <v>4359677.4187122192</v>
      </c>
      <c r="T119" s="164">
        <f t="shared" si="78"/>
        <v>4381257.8219348453</v>
      </c>
      <c r="U119" s="164">
        <f t="shared" si="78"/>
        <v>4402945.0481534228</v>
      </c>
      <c r="V119" s="164">
        <f t="shared" si="78"/>
        <v>4424739.626141781</v>
      </c>
      <c r="W119" s="164">
        <f t="shared" si="78"/>
        <v>4446642.087291183</v>
      </c>
      <c r="X119" s="164">
        <f t="shared" si="78"/>
        <v>4468652.9656232735</v>
      </c>
      <c r="Y119" s="164">
        <f t="shared" si="78"/>
        <v>4490772.7978031095</v>
      </c>
      <c r="Z119" s="164">
        <f t="shared" si="78"/>
        <v>4513002.1231522346</v>
      </c>
      <c r="AA119" s="164">
        <f t="shared" si="78"/>
        <v>4535341.4836618397</v>
      </c>
      <c r="AB119" s="164">
        <f t="shared" si="78"/>
        <v>4557791.4240059666</v>
      </c>
      <c r="AC119" s="164">
        <f t="shared" si="78"/>
        <v>4580352.4915547948</v>
      </c>
      <c r="AD119" s="164">
        <f t="shared" si="78"/>
        <v>4603025.2363879895</v>
      </c>
      <c r="AE119" s="164">
        <f t="shared" si="78"/>
        <v>4625810.2113081105</v>
      </c>
      <c r="AF119" s="164">
        <f t="shared" si="78"/>
        <v>4648707.9718540851</v>
      </c>
      <c r="AG119" s="164">
        <f t="shared" si="78"/>
        <v>0</v>
      </c>
      <c r="AH119" s="164">
        <f t="shared" si="78"/>
        <v>0</v>
      </c>
      <c r="AI119" s="164">
        <f t="shared" si="78"/>
        <v>0</v>
      </c>
      <c r="AJ119" s="164">
        <f t="shared" si="78"/>
        <v>0</v>
      </c>
      <c r="AK119" s="164">
        <f t="shared" si="78"/>
        <v>0</v>
      </c>
      <c r="AL119" s="164">
        <f t="shared" si="78"/>
        <v>0</v>
      </c>
      <c r="AM119" s="164">
        <f t="shared" si="78"/>
        <v>0</v>
      </c>
      <c r="AN119" s="164">
        <f t="shared" si="78"/>
        <v>0</v>
      </c>
      <c r="AO119" s="164">
        <f t="shared" si="78"/>
        <v>0</v>
      </c>
      <c r="AP119" s="164">
        <f t="shared" si="78"/>
        <v>0</v>
      </c>
    </row>
    <row r="120" spans="1:42">
      <c r="A120" s="202" t="s">
        <v>128</v>
      </c>
      <c r="B120" s="218">
        <f>SUM(C120:AP120)</f>
        <v>474693747.49003303</v>
      </c>
      <c r="C120" s="164">
        <f t="shared" ref="C120:AP120" si="79">C5</f>
        <v>17000000</v>
      </c>
      <c r="D120" s="164">
        <f t="shared" si="79"/>
        <v>16915000</v>
      </c>
      <c r="E120" s="164">
        <f t="shared" si="79"/>
        <v>16830425</v>
      </c>
      <c r="F120" s="164">
        <f t="shared" si="79"/>
        <v>16746272.875</v>
      </c>
      <c r="G120" s="164">
        <f t="shared" si="79"/>
        <v>16662541.510624999</v>
      </c>
      <c r="H120" s="164">
        <f t="shared" si="79"/>
        <v>16579228.803071873</v>
      </c>
      <c r="I120" s="164">
        <f t="shared" si="79"/>
        <v>16496332.659056515</v>
      </c>
      <c r="J120" s="164">
        <f t="shared" si="79"/>
        <v>16413850.995761232</v>
      </c>
      <c r="K120" s="164">
        <f t="shared" si="79"/>
        <v>16331781.740782427</v>
      </c>
      <c r="L120" s="164">
        <f t="shared" si="79"/>
        <v>16250122.832078515</v>
      </c>
      <c r="M120" s="164">
        <f t="shared" si="79"/>
        <v>16168872.217918122</v>
      </c>
      <c r="N120" s="164">
        <f t="shared" si="79"/>
        <v>16088027.856828531</v>
      </c>
      <c r="O120" s="164">
        <f t="shared" si="79"/>
        <v>16007587.717544388</v>
      </c>
      <c r="P120" s="164">
        <f t="shared" si="79"/>
        <v>15927549.778956667</v>
      </c>
      <c r="Q120" s="164">
        <f t="shared" si="79"/>
        <v>15847912.030061884</v>
      </c>
      <c r="R120" s="164">
        <f t="shared" si="79"/>
        <v>15768672.469911573</v>
      </c>
      <c r="S120" s="164">
        <f t="shared" si="79"/>
        <v>15689829.107562015</v>
      </c>
      <c r="T120" s="164">
        <f t="shared" si="79"/>
        <v>15611379.962024204</v>
      </c>
      <c r="U120" s="164">
        <f t="shared" si="79"/>
        <v>15533323.062214084</v>
      </c>
      <c r="V120" s="164">
        <f t="shared" si="79"/>
        <v>15455656.446903013</v>
      </c>
      <c r="W120" s="164">
        <f t="shared" si="79"/>
        <v>15378378.164668497</v>
      </c>
      <c r="X120" s="164">
        <f t="shared" si="79"/>
        <v>15301486.273845155</v>
      </c>
      <c r="Y120" s="164">
        <f t="shared" si="79"/>
        <v>15224978.842475928</v>
      </c>
      <c r="Z120" s="164">
        <f t="shared" si="79"/>
        <v>15148853.948263548</v>
      </c>
      <c r="AA120" s="164">
        <f t="shared" si="79"/>
        <v>15073109.678522231</v>
      </c>
      <c r="AB120" s="164">
        <f t="shared" si="79"/>
        <v>14997744.13012962</v>
      </c>
      <c r="AC120" s="164">
        <f t="shared" si="79"/>
        <v>14922755.409478972</v>
      </c>
      <c r="AD120" s="164">
        <f t="shared" si="79"/>
        <v>14848141.632431576</v>
      </c>
      <c r="AE120" s="164">
        <f t="shared" si="79"/>
        <v>14773900.924269417</v>
      </c>
      <c r="AF120" s="164">
        <f t="shared" si="79"/>
        <v>14700031.41964807</v>
      </c>
      <c r="AG120" s="164">
        <f t="shared" si="79"/>
        <v>0</v>
      </c>
      <c r="AH120" s="164">
        <f t="shared" si="79"/>
        <v>0</v>
      </c>
      <c r="AI120" s="164">
        <f t="shared" si="79"/>
        <v>0</v>
      </c>
      <c r="AJ120" s="164">
        <f t="shared" si="79"/>
        <v>0</v>
      </c>
      <c r="AK120" s="164">
        <f t="shared" si="79"/>
        <v>0</v>
      </c>
      <c r="AL120" s="164">
        <f t="shared" si="79"/>
        <v>0</v>
      </c>
      <c r="AM120" s="164">
        <f t="shared" si="79"/>
        <v>0</v>
      </c>
      <c r="AN120" s="164">
        <f t="shared" si="79"/>
        <v>0</v>
      </c>
      <c r="AO120" s="164">
        <f t="shared" si="79"/>
        <v>0</v>
      </c>
      <c r="AP120" s="164">
        <f t="shared" si="79"/>
        <v>0</v>
      </c>
    </row>
    <row r="121" spans="1:42">
      <c r="B121" s="164"/>
      <c r="C121" s="164"/>
      <c r="D121" s="164"/>
      <c r="E121" s="164"/>
      <c r="F121" s="164"/>
      <c r="G121" s="208"/>
      <c r="H121" s="208"/>
      <c r="I121" s="208"/>
      <c r="J121" s="208"/>
      <c r="K121" s="208"/>
      <c r="L121" s="208"/>
      <c r="M121" s="208"/>
      <c r="N121" s="208"/>
      <c r="O121" s="208"/>
      <c r="P121" s="208"/>
      <c r="Q121" s="208"/>
      <c r="R121" s="208"/>
      <c r="S121" s="208"/>
      <c r="T121" s="208"/>
      <c r="U121" s="208"/>
      <c r="V121" s="208"/>
      <c r="W121" s="208"/>
      <c r="X121" s="208"/>
      <c r="Y121" s="208"/>
      <c r="Z121" s="208"/>
      <c r="AA121" s="208"/>
      <c r="AB121" s="208"/>
      <c r="AC121" s="208"/>
      <c r="AD121" s="208"/>
      <c r="AE121" s="208"/>
      <c r="AF121" s="208"/>
      <c r="AG121" s="208"/>
      <c r="AH121" s="208"/>
      <c r="AI121" s="208"/>
      <c r="AJ121" s="208"/>
      <c r="AK121" s="208"/>
      <c r="AL121" s="208"/>
      <c r="AM121" s="208"/>
      <c r="AN121" s="208"/>
      <c r="AO121" s="208"/>
      <c r="AP121" s="208"/>
    </row>
    <row r="122" spans="1:42">
      <c r="A122" s="37" t="s">
        <v>457</v>
      </c>
      <c r="B122" s="218">
        <f>NPV(DiscountRate,C119:AP119)</f>
        <v>47491464.125800028</v>
      </c>
      <c r="C122" s="164"/>
      <c r="D122" s="164"/>
      <c r="E122" s="164"/>
      <c r="F122" s="164"/>
      <c r="G122" s="208"/>
      <c r="H122" s="208"/>
      <c r="I122" s="208"/>
      <c r="J122" s="208"/>
      <c r="K122" s="208"/>
      <c r="L122" s="208"/>
      <c r="M122" s="208"/>
      <c r="N122" s="208"/>
      <c r="O122" s="208"/>
      <c r="P122" s="208"/>
      <c r="Q122" s="208"/>
      <c r="R122" s="208"/>
      <c r="S122" s="208"/>
      <c r="T122" s="208"/>
      <c r="U122" s="208"/>
      <c r="V122" s="208"/>
      <c r="W122" s="208"/>
      <c r="X122" s="208"/>
      <c r="Y122" s="208"/>
      <c r="Z122" s="208"/>
      <c r="AA122" s="208"/>
      <c r="AB122" s="208"/>
      <c r="AC122" s="208"/>
      <c r="AD122" s="208"/>
      <c r="AE122" s="208"/>
      <c r="AF122" s="208"/>
      <c r="AG122" s="208"/>
      <c r="AH122" s="208"/>
      <c r="AI122" s="208"/>
      <c r="AJ122" s="208"/>
      <c r="AK122" s="208"/>
      <c r="AL122" s="208"/>
      <c r="AM122" s="208"/>
      <c r="AN122" s="208"/>
      <c r="AO122" s="208"/>
      <c r="AP122" s="208"/>
    </row>
    <row r="123" spans="1:42">
      <c r="A123" s="37" t="s">
        <v>458</v>
      </c>
      <c r="B123" s="218">
        <f>NPV(DiscountRate,C120:AP120)</f>
        <v>182899462.80790007</v>
      </c>
      <c r="C123" s="164"/>
      <c r="D123" s="164"/>
      <c r="E123" s="164"/>
      <c r="F123" s="164"/>
      <c r="G123" s="208"/>
      <c r="H123" s="208"/>
      <c r="I123" s="208"/>
      <c r="J123" s="208"/>
      <c r="K123" s="208"/>
      <c r="L123" s="208"/>
      <c r="M123" s="208"/>
      <c r="N123" s="208"/>
      <c r="O123" s="208"/>
      <c r="P123" s="208"/>
      <c r="Q123" s="208"/>
      <c r="R123" s="208"/>
      <c r="S123" s="208"/>
      <c r="T123" s="208"/>
      <c r="U123" s="208"/>
      <c r="V123" s="208"/>
      <c r="W123" s="208"/>
      <c r="X123" s="208"/>
      <c r="Y123" s="208"/>
      <c r="Z123" s="208"/>
      <c r="AA123" s="208"/>
      <c r="AB123" s="208"/>
      <c r="AC123" s="208"/>
      <c r="AD123" s="208"/>
      <c r="AE123" s="208"/>
      <c r="AF123" s="208"/>
      <c r="AG123" s="208"/>
      <c r="AH123" s="208"/>
      <c r="AI123" s="208"/>
      <c r="AJ123" s="208"/>
      <c r="AK123" s="208"/>
      <c r="AL123" s="208"/>
      <c r="AM123" s="208"/>
      <c r="AN123" s="208"/>
      <c r="AO123" s="208"/>
      <c r="AP123" s="208"/>
    </row>
    <row r="124" spans="1:42">
      <c r="A124" s="37" t="s">
        <v>389</v>
      </c>
      <c r="B124" s="221">
        <f>B122/B123</f>
        <v>0.25965884971286368</v>
      </c>
      <c r="C124" s="164"/>
      <c r="D124" s="164"/>
      <c r="E124" s="164"/>
      <c r="F124" s="164"/>
      <c r="G124" s="208"/>
      <c r="H124" s="208"/>
      <c r="I124" s="208"/>
      <c r="J124" s="208"/>
      <c r="K124" s="208"/>
      <c r="L124" s="208"/>
      <c r="M124" s="208"/>
      <c r="N124" s="208"/>
      <c r="O124" s="208"/>
      <c r="P124" s="208"/>
      <c r="Q124" s="208"/>
      <c r="R124" s="208"/>
      <c r="S124" s="208"/>
      <c r="T124" s="208"/>
      <c r="U124" s="208"/>
      <c r="V124" s="208"/>
      <c r="W124" s="208"/>
      <c r="X124" s="208"/>
      <c r="Y124" s="208"/>
      <c r="Z124" s="208"/>
      <c r="AA124" s="208"/>
      <c r="AB124" s="208"/>
      <c r="AC124" s="208"/>
      <c r="AD124" s="208"/>
      <c r="AE124" s="208"/>
      <c r="AF124" s="208"/>
      <c r="AG124" s="208"/>
      <c r="AH124" s="208"/>
      <c r="AI124" s="208"/>
      <c r="AJ124" s="208"/>
      <c r="AK124" s="208"/>
      <c r="AL124" s="208"/>
      <c r="AM124" s="208"/>
      <c r="AN124" s="208"/>
      <c r="AO124" s="208"/>
      <c r="AP124" s="208"/>
    </row>
    <row r="125" spans="1:42">
      <c r="B125" s="164"/>
      <c r="C125" s="164"/>
      <c r="D125" s="164"/>
      <c r="E125" s="164"/>
      <c r="F125" s="164"/>
      <c r="G125" s="208"/>
      <c r="H125" s="208"/>
      <c r="I125" s="208"/>
      <c r="J125" s="208"/>
      <c r="K125" s="208"/>
      <c r="L125" s="208"/>
      <c r="M125" s="208"/>
      <c r="N125" s="208"/>
      <c r="O125" s="208"/>
      <c r="P125" s="208"/>
      <c r="Q125" s="208"/>
      <c r="R125" s="208"/>
      <c r="S125" s="208"/>
      <c r="T125" s="208"/>
      <c r="U125" s="208"/>
      <c r="V125" s="208"/>
      <c r="W125" s="208"/>
      <c r="X125" s="208"/>
      <c r="Y125" s="208"/>
      <c r="Z125" s="208"/>
      <c r="AA125" s="208"/>
      <c r="AB125" s="208"/>
      <c r="AC125" s="208"/>
      <c r="AD125" s="208"/>
      <c r="AE125" s="208"/>
      <c r="AF125" s="208"/>
      <c r="AG125" s="208"/>
      <c r="AH125" s="208"/>
      <c r="AI125" s="208"/>
      <c r="AJ125" s="208"/>
      <c r="AK125" s="208"/>
      <c r="AL125" s="208"/>
      <c r="AM125" s="208"/>
      <c r="AN125" s="208"/>
      <c r="AO125" s="208"/>
      <c r="AP125" s="208"/>
    </row>
    <row r="126" spans="1:42">
      <c r="A126" s="201" t="s">
        <v>116</v>
      </c>
    </row>
    <row r="127" spans="1:42" s="119" customFormat="1">
      <c r="A127" s="217" t="s">
        <v>134</v>
      </c>
    </row>
    <row r="128" spans="1:42" s="119" customFormat="1">
      <c r="A128" s="42" t="s">
        <v>117</v>
      </c>
      <c r="C128" s="220">
        <f t="shared" ref="C128:AP128" si="80">C43</f>
        <v>3251243.1691174768</v>
      </c>
      <c r="D128" s="220">
        <f t="shared" si="80"/>
        <v>3276707.5795011711</v>
      </c>
      <c r="E128" s="220">
        <f t="shared" si="80"/>
        <v>3302101.9565130612</v>
      </c>
      <c r="F128" s="220">
        <f t="shared" si="80"/>
        <v>3327423.3895670958</v>
      </c>
      <c r="G128" s="220">
        <f t="shared" si="80"/>
        <v>3352668.8994461317</v>
      </c>
      <c r="H128" s="220">
        <f t="shared" si="80"/>
        <v>3377835.4367891513</v>
      </c>
      <c r="I128" s="220">
        <f t="shared" si="80"/>
        <v>3402919.8805452073</v>
      </c>
      <c r="J128" s="220">
        <f t="shared" si="80"/>
        <v>3427919.0363933449</v>
      </c>
      <c r="K128" s="220">
        <f t="shared" si="80"/>
        <v>3452829.6351277819</v>
      </c>
      <c r="L128" s="220">
        <f t="shared" si="80"/>
        <v>3477648.3310075202</v>
      </c>
      <c r="M128" s="220">
        <f t="shared" si="80"/>
        <v>3502371.7000696524</v>
      </c>
      <c r="N128" s="220">
        <f t="shared" si="80"/>
        <v>3526996.2384055275</v>
      </c>
      <c r="O128" s="220">
        <f t="shared" si="80"/>
        <v>3551518.3603989678</v>
      </c>
      <c r="P128" s="220">
        <f t="shared" si="80"/>
        <v>3575934.3969256682</v>
      </c>
      <c r="Q128" s="220">
        <f t="shared" si="80"/>
        <v>3600240.593512957</v>
      </c>
      <c r="R128" s="220">
        <f t="shared" si="80"/>
        <v>3624433.1084589958</v>
      </c>
      <c r="S128" s="220">
        <f t="shared" si="80"/>
        <v>3648508.0109105594</v>
      </c>
      <c r="T128" s="220">
        <f t="shared" si="80"/>
        <v>3672461.2788984231</v>
      </c>
      <c r="U128" s="220">
        <f t="shared" si="80"/>
        <v>3696288.7973294733</v>
      </c>
      <c r="V128" s="220">
        <f t="shared" si="80"/>
        <v>3719986.3559345393</v>
      </c>
      <c r="W128" s="220">
        <f t="shared" si="80"/>
        <v>3743549.6471709791</v>
      </c>
      <c r="X128" s="220">
        <f t="shared" si="80"/>
        <v>3752643.3418914988</v>
      </c>
      <c r="Y128" s="220">
        <f t="shared" si="80"/>
        <v>3761593.8537157071</v>
      </c>
      <c r="Z128" s="220">
        <f t="shared" si="80"/>
        <v>3770396.5702283112</v>
      </c>
      <c r="AA128" s="220">
        <f t="shared" si="80"/>
        <v>3779046.7728779251</v>
      </c>
      <c r="AB128" s="220">
        <f t="shared" si="80"/>
        <v>3787539.6346378447</v>
      </c>
      <c r="AC128" s="220">
        <f t="shared" si="80"/>
        <v>3795870.2176152072</v>
      </c>
      <c r="AD128" s="220">
        <f t="shared" si="80"/>
        <v>3804033.4706073655</v>
      </c>
      <c r="AE128" s="220">
        <f t="shared" si="80"/>
        <v>3812024.2266042968</v>
      </c>
      <c r="AF128" s="220">
        <f t="shared" si="80"/>
        <v>7842552.200235853</v>
      </c>
      <c r="AG128" s="220">
        <f t="shared" si="80"/>
        <v>0</v>
      </c>
      <c r="AH128" s="220">
        <f t="shared" si="80"/>
        <v>0</v>
      </c>
      <c r="AI128" s="220">
        <f t="shared" si="80"/>
        <v>0</v>
      </c>
      <c r="AJ128" s="220">
        <f t="shared" si="80"/>
        <v>0</v>
      </c>
      <c r="AK128" s="220">
        <f t="shared" si="80"/>
        <v>0</v>
      </c>
      <c r="AL128" s="220">
        <f t="shared" si="80"/>
        <v>0</v>
      </c>
      <c r="AM128" s="220">
        <f t="shared" si="80"/>
        <v>0</v>
      </c>
      <c r="AN128" s="220">
        <f t="shared" si="80"/>
        <v>0</v>
      </c>
      <c r="AO128" s="220">
        <f t="shared" si="80"/>
        <v>0</v>
      </c>
      <c r="AP128" s="220">
        <f t="shared" si="80"/>
        <v>0</v>
      </c>
    </row>
    <row r="129" spans="1:42" s="119" customFormat="1">
      <c r="A129" s="42" t="s">
        <v>130</v>
      </c>
      <c r="C129" s="220">
        <f t="shared" ref="C129:AP129" si="81">C731</f>
        <v>17563.647870967223</v>
      </c>
      <c r="D129" s="220">
        <f t="shared" si="81"/>
        <v>29793.002111526275</v>
      </c>
      <c r="E129" s="220">
        <f t="shared" si="81"/>
        <v>42021.947824083138</v>
      </c>
      <c r="F129" s="220">
        <f t="shared" si="81"/>
        <v>52438.423918352775</v>
      </c>
      <c r="G129" s="220">
        <f t="shared" si="81"/>
        <v>64693.952324900536</v>
      </c>
      <c r="H129" s="220">
        <f t="shared" si="81"/>
        <v>76949.020058321534</v>
      </c>
      <c r="I129" s="220">
        <f t="shared" si="81"/>
        <v>87308.793570160487</v>
      </c>
      <c r="J129" s="220">
        <f t="shared" si="81"/>
        <v>99591.589918109399</v>
      </c>
      <c r="K129" s="220">
        <f t="shared" si="81"/>
        <v>111873.86968289503</v>
      </c>
      <c r="L129" s="220">
        <f t="shared" si="81"/>
        <v>122174.2459196077</v>
      </c>
      <c r="M129" s="220">
        <f t="shared" si="81"/>
        <v>134485.44971594127</v>
      </c>
      <c r="N129" s="220">
        <f t="shared" si="81"/>
        <v>146796.07699970502</v>
      </c>
      <c r="O129" s="220">
        <f t="shared" si="81"/>
        <v>105218.93347930389</v>
      </c>
      <c r="P129" s="220">
        <f t="shared" si="81"/>
        <v>118399.83467384437</v>
      </c>
      <c r="Q129" s="220">
        <f t="shared" si="81"/>
        <v>131580.09513540493</v>
      </c>
      <c r="R129" s="220">
        <f t="shared" si="81"/>
        <v>34215.227185495583</v>
      </c>
      <c r="S129" s="220">
        <f t="shared" si="81"/>
        <v>49224.937343645164</v>
      </c>
      <c r="T129" s="220">
        <f t="shared" si="81"/>
        <v>64233.937967423168</v>
      </c>
      <c r="U129" s="220">
        <f t="shared" si="81"/>
        <v>76976.729397272138</v>
      </c>
      <c r="V129" s="220">
        <f t="shared" si="81"/>
        <v>92018.558610464446</v>
      </c>
      <c r="W129" s="220">
        <f t="shared" si="81"/>
        <v>90190.096140396621</v>
      </c>
      <c r="X129" s="220">
        <f t="shared" si="81"/>
        <v>102736.69333359678</v>
      </c>
      <c r="Y129" s="220">
        <f t="shared" si="81"/>
        <v>117676.17470796108</v>
      </c>
      <c r="Z129" s="220">
        <f t="shared" si="81"/>
        <v>132615.65608232541</v>
      </c>
      <c r="AA129" s="220">
        <f t="shared" si="81"/>
        <v>83473.976921940499</v>
      </c>
      <c r="AB129" s="220">
        <f t="shared" si="81"/>
        <v>93316.277141678642</v>
      </c>
      <c r="AC129" s="220">
        <f t="shared" si="81"/>
        <v>103158.57736141678</v>
      </c>
      <c r="AD129" s="220">
        <f t="shared" si="81"/>
        <v>110423.63589592067</v>
      </c>
      <c r="AE129" s="220">
        <f t="shared" si="81"/>
        <v>120305.1775197134</v>
      </c>
      <c r="AF129" s="220">
        <f t="shared" si="81"/>
        <v>130186.71914350611</v>
      </c>
      <c r="AG129" s="220">
        <f t="shared" si="81"/>
        <v>0</v>
      </c>
      <c r="AH129" s="220">
        <f t="shared" si="81"/>
        <v>0</v>
      </c>
      <c r="AI129" s="220">
        <f t="shared" si="81"/>
        <v>0</v>
      </c>
      <c r="AJ129" s="220">
        <f t="shared" si="81"/>
        <v>0</v>
      </c>
      <c r="AK129" s="220">
        <f t="shared" si="81"/>
        <v>0</v>
      </c>
      <c r="AL129" s="220">
        <f t="shared" si="81"/>
        <v>0</v>
      </c>
      <c r="AM129" s="220">
        <f t="shared" si="81"/>
        <v>0</v>
      </c>
      <c r="AN129" s="220">
        <f t="shared" si="81"/>
        <v>0</v>
      </c>
      <c r="AO129" s="220">
        <f t="shared" si="81"/>
        <v>0</v>
      </c>
      <c r="AP129" s="220">
        <f t="shared" si="81"/>
        <v>0</v>
      </c>
    </row>
    <row r="130" spans="1:42" s="119" customFormat="1">
      <c r="A130" s="42" t="s">
        <v>118</v>
      </c>
      <c r="C130" s="220">
        <f>-C610</f>
        <v>-1341808.6066802128</v>
      </c>
      <c r="D130" s="220">
        <f t="shared" ref="D130:AP130" si="82">-D610</f>
        <v>-1316226.0261800899</v>
      </c>
      <c r="E130" s="220">
        <f t="shared" si="82"/>
        <v>-1287664.3258937194</v>
      </c>
      <c r="F130" s="220">
        <f t="shared" si="82"/>
        <v>-1255918.2356600815</v>
      </c>
      <c r="G130" s="220">
        <f t="shared" si="82"/>
        <v>-1220841.455129165</v>
      </c>
      <c r="H130" s="220">
        <f t="shared" si="82"/>
        <v>-1182131.1761667295</v>
      </c>
      <c r="I130" s="220">
        <f t="shared" si="82"/>
        <v>-1139536.7392675825</v>
      </c>
      <c r="J130" s="220">
        <f t="shared" si="82"/>
        <v>-1092866.6310944296</v>
      </c>
      <c r="K130" s="220">
        <f t="shared" si="82"/>
        <v>-1041762.988076243</v>
      </c>
      <c r="L130" s="220">
        <f t="shared" si="82"/>
        <v>-985919.59543917619</v>
      </c>
      <c r="M130" s="220">
        <f t="shared" si="82"/>
        <v>-925089.0027221574</v>
      </c>
      <c r="N130" s="220">
        <f t="shared" si="82"/>
        <v>-858846.51129204768</v>
      </c>
      <c r="O130" s="220">
        <f t="shared" si="82"/>
        <v>-786817.90033948957</v>
      </c>
      <c r="P130" s="220">
        <f t="shared" si="82"/>
        <v>-710926.89471743896</v>
      </c>
      <c r="Q130" s="220">
        <f t="shared" si="82"/>
        <v>-628584.1036639323</v>
      </c>
      <c r="R130" s="220">
        <f t="shared" si="82"/>
        <v>-539343.02806260658</v>
      </c>
      <c r="S130" s="220">
        <f t="shared" si="82"/>
        <v>-447608.22357138823</v>
      </c>
      <c r="T130" s="220">
        <f t="shared" si="82"/>
        <v>-348328.48731804494</v>
      </c>
      <c r="U130" s="220">
        <f t="shared" si="82"/>
        <v>-240981.35035420067</v>
      </c>
      <c r="V130" s="220">
        <f t="shared" si="82"/>
        <v>-125099.48354938658</v>
      </c>
      <c r="W130" s="220">
        <f t="shared" si="82"/>
        <v>0</v>
      </c>
      <c r="X130" s="220">
        <f t="shared" si="82"/>
        <v>0</v>
      </c>
      <c r="Y130" s="220">
        <f t="shared" si="82"/>
        <v>0</v>
      </c>
      <c r="Z130" s="220">
        <f t="shared" si="82"/>
        <v>0</v>
      </c>
      <c r="AA130" s="220">
        <f t="shared" si="82"/>
        <v>0</v>
      </c>
      <c r="AB130" s="220">
        <f t="shared" si="82"/>
        <v>0</v>
      </c>
      <c r="AC130" s="220">
        <f t="shared" si="82"/>
        <v>0</v>
      </c>
      <c r="AD130" s="220">
        <f t="shared" si="82"/>
        <v>0</v>
      </c>
      <c r="AE130" s="220">
        <f t="shared" si="82"/>
        <v>0</v>
      </c>
      <c r="AF130" s="220">
        <f t="shared" si="82"/>
        <v>0</v>
      </c>
      <c r="AG130" s="220">
        <f t="shared" si="82"/>
        <v>0</v>
      </c>
      <c r="AH130" s="220">
        <f t="shared" si="82"/>
        <v>0</v>
      </c>
      <c r="AI130" s="220">
        <f t="shared" si="82"/>
        <v>0</v>
      </c>
      <c r="AJ130" s="220">
        <f t="shared" si="82"/>
        <v>0</v>
      </c>
      <c r="AK130" s="220">
        <f t="shared" si="82"/>
        <v>0</v>
      </c>
      <c r="AL130" s="220">
        <f t="shared" si="82"/>
        <v>0</v>
      </c>
      <c r="AM130" s="220">
        <f t="shared" si="82"/>
        <v>0</v>
      </c>
      <c r="AN130" s="220">
        <f t="shared" si="82"/>
        <v>0</v>
      </c>
      <c r="AO130" s="220">
        <f t="shared" si="82"/>
        <v>0</v>
      </c>
      <c r="AP130" s="220">
        <f t="shared" si="82"/>
        <v>0</v>
      </c>
    </row>
    <row r="131" spans="1:42" s="42" customFormat="1">
      <c r="A131" s="42" t="s">
        <v>121</v>
      </c>
      <c r="B131" s="119"/>
      <c r="C131" s="225">
        <f t="shared" ref="C131:AP131" si="83">IF(C$2&lt;=AnalysisPeriod,-C251-C281-C307-C333,0)</f>
        <v>-9285823.0453261156</v>
      </c>
      <c r="D131" s="225">
        <f t="shared" si="83"/>
        <v>-11829844.81534541</v>
      </c>
      <c r="E131" s="225">
        <f t="shared" si="83"/>
        <v>-7188545.1938649677</v>
      </c>
      <c r="F131" s="225">
        <f t="shared" si="83"/>
        <v>-4401978.1735138102</v>
      </c>
      <c r="G131" s="225">
        <f t="shared" si="83"/>
        <v>-4383876.3629908618</v>
      </c>
      <c r="H131" s="225">
        <f t="shared" si="83"/>
        <v>-2297913.6856393586</v>
      </c>
      <c r="I131" s="225">
        <f t="shared" si="83"/>
        <v>-213606.58411845687</v>
      </c>
      <c r="J131" s="225">
        <f t="shared" si="83"/>
        <v>-193776.86909118391</v>
      </c>
      <c r="K131" s="225">
        <f t="shared" si="83"/>
        <v>-202269.29771734285</v>
      </c>
      <c r="L131" s="225">
        <f t="shared" si="83"/>
        <v>-215616.99471240171</v>
      </c>
      <c r="M131" s="225">
        <f t="shared" si="83"/>
        <v>-195162.94778569261</v>
      </c>
      <c r="N131" s="225">
        <f t="shared" si="83"/>
        <v>-792669.56226245523</v>
      </c>
      <c r="O131" s="225">
        <f t="shared" si="83"/>
        <v>-1160359.844775504</v>
      </c>
      <c r="P131" s="225">
        <f t="shared" si="83"/>
        <v>-761679.62706573529</v>
      </c>
      <c r="Q131" s="225">
        <f t="shared" si="83"/>
        <v>-1776539.2452987309</v>
      </c>
      <c r="R131" s="225">
        <f t="shared" si="83"/>
        <v>-2475947.8118873206</v>
      </c>
      <c r="S131" s="225">
        <f t="shared" si="83"/>
        <v>-1441192.311473175</v>
      </c>
      <c r="T131" s="225">
        <f t="shared" si="83"/>
        <v>-808089.00062724261</v>
      </c>
      <c r="U131" s="225">
        <f t="shared" si="83"/>
        <v>-823545.24459767051</v>
      </c>
      <c r="V131" s="225">
        <f t="shared" si="83"/>
        <v>-445218.02091389045</v>
      </c>
      <c r="W131" s="225">
        <f t="shared" si="83"/>
        <v>-73826.617066911742</v>
      </c>
      <c r="X131" s="225">
        <f t="shared" si="83"/>
        <v>-63392.93275726353</v>
      </c>
      <c r="Y131" s="225">
        <f t="shared" si="83"/>
        <v>-38734.191567617454</v>
      </c>
      <c r="Z131" s="225">
        <f t="shared" si="83"/>
        <v>-753327.46840864141</v>
      </c>
      <c r="AA131" s="225">
        <f t="shared" si="83"/>
        <v>-1192741.1406469215</v>
      </c>
      <c r="AB131" s="225">
        <f t="shared" si="83"/>
        <v>-716275.33875502762</v>
      </c>
      <c r="AC131" s="225">
        <f t="shared" si="83"/>
        <v>-456746.89437319152</v>
      </c>
      <c r="AD131" s="225">
        <f t="shared" si="83"/>
        <v>-474419.40878622641</v>
      </c>
      <c r="AE131" s="225">
        <f t="shared" si="83"/>
        <v>-244650.16407128138</v>
      </c>
      <c r="AF131" s="225">
        <f t="shared" si="83"/>
        <v>-1593201.3152274087</v>
      </c>
      <c r="AG131" s="225">
        <f t="shared" si="83"/>
        <v>0</v>
      </c>
      <c r="AH131" s="225">
        <f t="shared" si="83"/>
        <v>0</v>
      </c>
      <c r="AI131" s="225">
        <f t="shared" si="83"/>
        <v>0</v>
      </c>
      <c r="AJ131" s="225">
        <f t="shared" si="83"/>
        <v>0</v>
      </c>
      <c r="AK131" s="225">
        <f t="shared" si="83"/>
        <v>0</v>
      </c>
      <c r="AL131" s="225">
        <f t="shared" si="83"/>
        <v>0</v>
      </c>
      <c r="AM131" s="225">
        <f t="shared" si="83"/>
        <v>0</v>
      </c>
      <c r="AN131" s="225">
        <f t="shared" si="83"/>
        <v>0</v>
      </c>
      <c r="AO131" s="225">
        <f t="shared" si="83"/>
        <v>0</v>
      </c>
      <c r="AP131" s="225">
        <f t="shared" si="83"/>
        <v>0</v>
      </c>
    </row>
    <row r="132" spans="1:42" s="119" customFormat="1">
      <c r="A132" s="42" t="s">
        <v>119</v>
      </c>
      <c r="C132" s="220">
        <f t="shared" ref="C132:AP132" si="84">SUM(C128:C131)</f>
        <v>-7358824.8350178842</v>
      </c>
      <c r="D132" s="220">
        <f t="shared" si="84"/>
        <v>-9839570.2599128038</v>
      </c>
      <c r="E132" s="220">
        <f t="shared" si="84"/>
        <v>-5132085.6154215429</v>
      </c>
      <c r="F132" s="220">
        <f t="shared" si="84"/>
        <v>-2278034.5956884427</v>
      </c>
      <c r="G132" s="220">
        <f t="shared" si="84"/>
        <v>-2187354.9663489945</v>
      </c>
      <c r="H132" s="220">
        <f t="shared" si="84"/>
        <v>-25260.40495861508</v>
      </c>
      <c r="I132" s="220">
        <f t="shared" si="84"/>
        <v>2137085.3507293281</v>
      </c>
      <c r="J132" s="220">
        <f t="shared" si="84"/>
        <v>2240867.1261258409</v>
      </c>
      <c r="K132" s="220">
        <f t="shared" si="84"/>
        <v>2320671.2190170912</v>
      </c>
      <c r="L132" s="220">
        <f t="shared" si="84"/>
        <v>2398285.9867755501</v>
      </c>
      <c r="M132" s="220">
        <f t="shared" si="84"/>
        <v>2516605.1992777432</v>
      </c>
      <c r="N132" s="220">
        <f t="shared" si="84"/>
        <v>2022276.2418507293</v>
      </c>
      <c r="O132" s="220">
        <f t="shared" si="84"/>
        <v>1709559.5487632784</v>
      </c>
      <c r="P132" s="220">
        <f t="shared" si="84"/>
        <v>2221727.709816338</v>
      </c>
      <c r="Q132" s="220">
        <f t="shared" si="84"/>
        <v>1326697.3396856983</v>
      </c>
      <c r="R132" s="220">
        <f t="shared" si="84"/>
        <v>643357.49569456419</v>
      </c>
      <c r="S132" s="220">
        <f t="shared" si="84"/>
        <v>1808932.4132096418</v>
      </c>
      <c r="T132" s="220">
        <f t="shared" si="84"/>
        <v>2580277.7289205589</v>
      </c>
      <c r="U132" s="220">
        <f t="shared" si="84"/>
        <v>2708738.9317748742</v>
      </c>
      <c r="V132" s="220">
        <f t="shared" si="84"/>
        <v>3241687.4100817265</v>
      </c>
      <c r="W132" s="220">
        <f t="shared" si="84"/>
        <v>3759913.126244464</v>
      </c>
      <c r="X132" s="220">
        <f t="shared" si="84"/>
        <v>3791987.1024678322</v>
      </c>
      <c r="Y132" s="220">
        <f t="shared" si="84"/>
        <v>3840535.8368560509</v>
      </c>
      <c r="Z132" s="220">
        <f t="shared" si="84"/>
        <v>3149684.7579019954</v>
      </c>
      <c r="AA132" s="220">
        <f t="shared" si="84"/>
        <v>2669779.6091529443</v>
      </c>
      <c r="AB132" s="220">
        <f t="shared" si="84"/>
        <v>3164580.5730244955</v>
      </c>
      <c r="AC132" s="220">
        <f t="shared" si="84"/>
        <v>3442281.9006034327</v>
      </c>
      <c r="AD132" s="220">
        <f t="shared" si="84"/>
        <v>3440037.6977170594</v>
      </c>
      <c r="AE132" s="220">
        <f t="shared" si="84"/>
        <v>3687679.2400527289</v>
      </c>
      <c r="AF132" s="220">
        <f t="shared" si="84"/>
        <v>6379537.6041519502</v>
      </c>
      <c r="AG132" s="220">
        <f t="shared" si="84"/>
        <v>0</v>
      </c>
      <c r="AH132" s="220">
        <f t="shared" si="84"/>
        <v>0</v>
      </c>
      <c r="AI132" s="220">
        <f t="shared" si="84"/>
        <v>0</v>
      </c>
      <c r="AJ132" s="220">
        <f t="shared" si="84"/>
        <v>0</v>
      </c>
      <c r="AK132" s="220">
        <f t="shared" si="84"/>
        <v>0</v>
      </c>
      <c r="AL132" s="220">
        <f t="shared" si="84"/>
        <v>0</v>
      </c>
      <c r="AM132" s="220">
        <f t="shared" si="84"/>
        <v>0</v>
      </c>
      <c r="AN132" s="220">
        <f t="shared" si="84"/>
        <v>0</v>
      </c>
      <c r="AO132" s="220">
        <f t="shared" si="84"/>
        <v>0</v>
      </c>
      <c r="AP132" s="220">
        <f t="shared" si="84"/>
        <v>0</v>
      </c>
    </row>
    <row r="133" spans="1:42" s="119" customFormat="1">
      <c r="A133" s="42" t="str">
        <f>'Inputs &amp; Results'!A48</f>
        <v>Investment Based Incentive (IBI)</v>
      </c>
    </row>
    <row r="134" spans="1:42" s="119" customFormat="1">
      <c r="A134" s="226" t="str">
        <f>'Inputs &amp; Results'!A49</f>
        <v>Fixed Amount ($)</v>
      </c>
    </row>
    <row r="135" spans="1:42" s="119" customFormat="1">
      <c r="A135" s="227" t="str">
        <f>'Inputs &amp; Results'!A50</f>
        <v>Federal</v>
      </c>
      <c r="C135" s="220">
        <f>IF(IBIFedFixedStateTax="Yes",C556,0)</f>
        <v>1000</v>
      </c>
    </row>
    <row r="136" spans="1:42" s="119" customFormat="1">
      <c r="A136" s="227" t="str">
        <f>'Inputs &amp; Results'!A51</f>
        <v>State</v>
      </c>
      <c r="C136" s="220">
        <f>IF(IBIStateFixedStateTax="Yes",C557,0)</f>
        <v>2000</v>
      </c>
    </row>
    <row r="137" spans="1:42" s="119" customFormat="1">
      <c r="A137" s="227" t="str">
        <f>'Inputs &amp; Results'!A52</f>
        <v>Utility</v>
      </c>
      <c r="C137" s="220">
        <f>IF(IBIUtilityFixedStateTax="Yes",C558,0)</f>
        <v>500</v>
      </c>
    </row>
    <row r="138" spans="1:42">
      <c r="A138" s="227" t="str">
        <f>'Inputs &amp; Results'!A53</f>
        <v>Other</v>
      </c>
      <c r="C138" s="225">
        <f>IF(IBIOtherFixedStateTax="Yes",C559,0)</f>
        <v>250</v>
      </c>
      <c r="D138" s="208"/>
      <c r="E138" s="208"/>
      <c r="F138" s="208"/>
      <c r="G138" s="208"/>
      <c r="H138" s="208"/>
      <c r="I138" s="208"/>
      <c r="J138" s="208"/>
      <c r="K138" s="208"/>
      <c r="L138" s="208"/>
      <c r="M138" s="208"/>
      <c r="N138" s="208"/>
      <c r="O138" s="208"/>
      <c r="P138" s="208"/>
      <c r="Q138" s="208"/>
      <c r="R138" s="208"/>
      <c r="S138" s="208"/>
      <c r="T138" s="208"/>
      <c r="U138" s="208"/>
      <c r="V138" s="208"/>
      <c r="W138" s="208"/>
      <c r="X138" s="208"/>
      <c r="Y138" s="208"/>
      <c r="Z138" s="208"/>
      <c r="AA138" s="208"/>
      <c r="AB138" s="208"/>
      <c r="AC138" s="208"/>
      <c r="AD138" s="208"/>
      <c r="AE138" s="208"/>
      <c r="AF138" s="208"/>
      <c r="AG138" s="208"/>
      <c r="AH138" s="208"/>
      <c r="AI138" s="208"/>
      <c r="AJ138" s="208"/>
      <c r="AK138" s="208"/>
      <c r="AL138" s="208"/>
      <c r="AM138" s="208"/>
      <c r="AN138" s="208"/>
      <c r="AO138" s="208"/>
      <c r="AP138" s="208"/>
    </row>
    <row r="139" spans="1:42">
      <c r="A139" s="227" t="s">
        <v>53</v>
      </c>
      <c r="C139" s="208">
        <f>SUM(C135:C138)</f>
        <v>3750</v>
      </c>
      <c r="D139" s="208"/>
      <c r="E139" s="208"/>
      <c r="F139" s="208"/>
      <c r="G139" s="208"/>
      <c r="H139" s="208"/>
      <c r="I139" s="208"/>
      <c r="J139" s="208"/>
      <c r="K139" s="208"/>
      <c r="L139" s="208"/>
      <c r="M139" s="208"/>
      <c r="N139" s="208"/>
      <c r="O139" s="208"/>
      <c r="P139" s="208"/>
      <c r="Q139" s="208"/>
      <c r="R139" s="208"/>
      <c r="S139" s="208"/>
      <c r="T139" s="208"/>
      <c r="U139" s="208"/>
      <c r="V139" s="208"/>
      <c r="W139" s="208"/>
      <c r="X139" s="208"/>
      <c r="Y139" s="208"/>
      <c r="Z139" s="208"/>
      <c r="AA139" s="208"/>
      <c r="AB139" s="208"/>
      <c r="AC139" s="208"/>
      <c r="AD139" s="208"/>
      <c r="AE139" s="208"/>
      <c r="AF139" s="208"/>
      <c r="AG139" s="208"/>
      <c r="AH139" s="208"/>
      <c r="AI139" s="208"/>
      <c r="AJ139" s="208"/>
      <c r="AK139" s="208"/>
      <c r="AL139" s="208"/>
      <c r="AM139" s="208"/>
      <c r="AN139" s="208"/>
      <c r="AO139" s="208"/>
      <c r="AP139" s="208"/>
    </row>
    <row r="140" spans="1:42">
      <c r="A140" s="226" t="str">
        <f>'Inputs &amp; Results'!A54</f>
        <v>Percentage of Pre-Financing Costs</v>
      </c>
      <c r="C140" s="208"/>
      <c r="D140" s="208"/>
      <c r="E140" s="208"/>
      <c r="F140" s="208"/>
      <c r="G140" s="208"/>
      <c r="H140" s="208"/>
      <c r="I140" s="208"/>
      <c r="J140" s="208"/>
      <c r="K140" s="208"/>
      <c r="L140" s="208"/>
      <c r="M140" s="208"/>
      <c r="N140" s="208"/>
      <c r="O140" s="208"/>
      <c r="P140" s="208"/>
      <c r="Q140" s="208"/>
      <c r="R140" s="208"/>
      <c r="S140" s="208"/>
      <c r="T140" s="208"/>
      <c r="U140" s="208"/>
      <c r="V140" s="208"/>
      <c r="W140" s="208"/>
      <c r="X140" s="208"/>
      <c r="Y140" s="208"/>
      <c r="Z140" s="208"/>
      <c r="AA140" s="208"/>
      <c r="AB140" s="208"/>
      <c r="AC140" s="208"/>
      <c r="AD140" s="208"/>
      <c r="AE140" s="208"/>
      <c r="AF140" s="208"/>
      <c r="AG140" s="208"/>
      <c r="AH140" s="208"/>
      <c r="AI140" s="208"/>
      <c r="AJ140" s="208"/>
      <c r="AK140" s="208"/>
      <c r="AL140" s="208"/>
      <c r="AM140" s="208"/>
      <c r="AN140" s="208"/>
      <c r="AO140" s="208"/>
      <c r="AP140" s="208"/>
    </row>
    <row r="141" spans="1:42">
      <c r="A141" s="227" t="str">
        <f>'Inputs &amp; Results'!A55</f>
        <v>Federal</v>
      </c>
      <c r="C141" s="220">
        <f>IF(IBIFedPercentStateTax="Yes",C562,0)</f>
        <v>2011357.5</v>
      </c>
      <c r="D141" s="208"/>
      <c r="E141" s="208"/>
      <c r="F141" s="208"/>
      <c r="G141" s="208"/>
      <c r="H141" s="208"/>
      <c r="I141" s="208"/>
      <c r="J141" s="208"/>
      <c r="K141" s="208"/>
      <c r="L141" s="208"/>
      <c r="M141" s="208"/>
      <c r="N141" s="208"/>
      <c r="O141" s="208"/>
      <c r="P141" s="208"/>
      <c r="Q141" s="208"/>
      <c r="R141" s="208"/>
      <c r="S141" s="208"/>
      <c r="T141" s="208"/>
      <c r="U141" s="208"/>
      <c r="V141" s="208"/>
      <c r="W141" s="208"/>
      <c r="X141" s="208"/>
      <c r="Y141" s="208"/>
      <c r="Z141" s="208"/>
      <c r="AA141" s="208"/>
      <c r="AB141" s="208"/>
      <c r="AC141" s="208"/>
      <c r="AD141" s="208"/>
      <c r="AE141" s="208"/>
      <c r="AF141" s="208"/>
      <c r="AG141" s="208"/>
      <c r="AH141" s="208"/>
      <c r="AI141" s="208"/>
      <c r="AJ141" s="208"/>
      <c r="AK141" s="208"/>
      <c r="AL141" s="208"/>
      <c r="AM141" s="208"/>
      <c r="AN141" s="208"/>
      <c r="AO141" s="208"/>
      <c r="AP141" s="208"/>
    </row>
    <row r="142" spans="1:42">
      <c r="A142" s="227" t="str">
        <f>'Inputs &amp; Results'!A56</f>
        <v>State</v>
      </c>
      <c r="C142" s="220">
        <f>IF(IBIStatePercentStateTax="Yes",C563,0)</f>
        <v>4022715</v>
      </c>
      <c r="D142" s="208"/>
      <c r="E142" s="208"/>
      <c r="F142" s="208"/>
      <c r="G142" s="208"/>
      <c r="H142" s="208"/>
      <c r="I142" s="208"/>
      <c r="J142" s="208"/>
      <c r="K142" s="208"/>
      <c r="L142" s="208"/>
      <c r="M142" s="208"/>
      <c r="N142" s="208"/>
      <c r="O142" s="208"/>
      <c r="P142" s="208"/>
      <c r="Q142" s="208"/>
      <c r="R142" s="208"/>
      <c r="S142" s="208"/>
      <c r="T142" s="208"/>
      <c r="U142" s="208"/>
      <c r="V142" s="208"/>
      <c r="W142" s="208"/>
      <c r="X142" s="208"/>
      <c r="Y142" s="208"/>
      <c r="Z142" s="208"/>
      <c r="AA142" s="208"/>
      <c r="AB142" s="208"/>
      <c r="AC142" s="208"/>
      <c r="AD142" s="208"/>
      <c r="AE142" s="208"/>
      <c r="AF142" s="208"/>
      <c r="AG142" s="208"/>
      <c r="AH142" s="208"/>
      <c r="AI142" s="208"/>
      <c r="AJ142" s="208"/>
      <c r="AK142" s="208"/>
      <c r="AL142" s="208"/>
      <c r="AM142" s="208"/>
      <c r="AN142" s="208"/>
      <c r="AO142" s="208"/>
      <c r="AP142" s="208"/>
    </row>
    <row r="143" spans="1:42">
      <c r="A143" s="227" t="str">
        <f>'Inputs &amp; Results'!A57</f>
        <v>Utility</v>
      </c>
      <c r="C143" s="220">
        <f>IF(IBIUtilityPercentStateTax="Yes",C564,0)</f>
        <v>402271.5</v>
      </c>
      <c r="D143" s="208"/>
      <c r="E143" s="208"/>
      <c r="F143" s="208"/>
      <c r="G143" s="208"/>
      <c r="H143" s="208"/>
      <c r="I143" s="208"/>
      <c r="J143" s="208"/>
      <c r="K143" s="208"/>
      <c r="L143" s="208"/>
      <c r="M143" s="208"/>
      <c r="N143" s="208"/>
      <c r="O143" s="208"/>
      <c r="P143" s="208"/>
      <c r="Q143" s="208"/>
      <c r="R143" s="208"/>
      <c r="S143" s="208"/>
      <c r="T143" s="208"/>
      <c r="U143" s="208"/>
      <c r="V143" s="208"/>
      <c r="W143" s="208"/>
      <c r="X143" s="208"/>
      <c r="Y143" s="208"/>
      <c r="Z143" s="208"/>
      <c r="AA143" s="208"/>
      <c r="AB143" s="208"/>
      <c r="AC143" s="208"/>
      <c r="AD143" s="208"/>
      <c r="AE143" s="208"/>
      <c r="AF143" s="208"/>
      <c r="AG143" s="208"/>
      <c r="AH143" s="208"/>
      <c r="AI143" s="208"/>
      <c r="AJ143" s="208"/>
      <c r="AK143" s="208"/>
      <c r="AL143" s="208"/>
      <c r="AM143" s="208"/>
      <c r="AN143" s="208"/>
      <c r="AO143" s="208"/>
      <c r="AP143" s="208"/>
    </row>
    <row r="144" spans="1:42">
      <c r="A144" s="227" t="str">
        <f>'Inputs &amp; Results'!A58</f>
        <v>Other</v>
      </c>
      <c r="C144" s="225">
        <f>IF(IBIOtherPercentStateTax="Yes",C565,0)</f>
        <v>201135.75</v>
      </c>
      <c r="D144" s="208"/>
      <c r="E144" s="208"/>
      <c r="F144" s="208"/>
      <c r="G144" s="208"/>
      <c r="H144" s="208"/>
      <c r="I144" s="208"/>
      <c r="J144" s="208"/>
      <c r="K144" s="208"/>
      <c r="L144" s="208"/>
      <c r="M144" s="208"/>
      <c r="N144" s="208"/>
      <c r="O144" s="208"/>
      <c r="P144" s="208"/>
      <c r="Q144" s="208"/>
      <c r="R144" s="208"/>
      <c r="S144" s="208"/>
      <c r="T144" s="208"/>
      <c r="U144" s="208"/>
      <c r="V144" s="208"/>
      <c r="W144" s="208"/>
      <c r="X144" s="208"/>
      <c r="Y144" s="208"/>
      <c r="Z144" s="208"/>
      <c r="AA144" s="208"/>
      <c r="AB144" s="208"/>
      <c r="AC144" s="208"/>
      <c r="AD144" s="208"/>
      <c r="AE144" s="208"/>
      <c r="AF144" s="208"/>
      <c r="AG144" s="208"/>
      <c r="AH144" s="208"/>
      <c r="AI144" s="208"/>
      <c r="AJ144" s="208"/>
      <c r="AK144" s="208"/>
      <c r="AL144" s="208"/>
      <c r="AM144" s="208"/>
      <c r="AN144" s="208"/>
      <c r="AO144" s="208"/>
      <c r="AP144" s="208"/>
    </row>
    <row r="145" spans="1:42">
      <c r="A145" s="227" t="s">
        <v>53</v>
      </c>
      <c r="C145" s="208">
        <f>SUM(C141:C144)</f>
        <v>6637479.75</v>
      </c>
      <c r="D145" s="208"/>
      <c r="E145" s="208"/>
      <c r="F145" s="208"/>
      <c r="G145" s="208"/>
      <c r="H145" s="208"/>
      <c r="I145" s="208"/>
      <c r="J145" s="208"/>
      <c r="K145" s="208"/>
      <c r="L145" s="208"/>
      <c r="M145" s="208"/>
      <c r="N145" s="208"/>
      <c r="O145" s="208"/>
      <c r="P145" s="208"/>
      <c r="Q145" s="208"/>
      <c r="R145" s="208"/>
      <c r="S145" s="208"/>
      <c r="T145" s="208"/>
      <c r="U145" s="208"/>
      <c r="V145" s="208"/>
      <c r="W145" s="208"/>
      <c r="X145" s="208"/>
      <c r="Y145" s="208"/>
      <c r="Z145" s="208"/>
      <c r="AA145" s="208"/>
      <c r="AB145" s="208"/>
      <c r="AC145" s="208"/>
      <c r="AD145" s="208"/>
      <c r="AE145" s="208"/>
      <c r="AF145" s="208"/>
      <c r="AG145" s="208"/>
      <c r="AH145" s="208"/>
      <c r="AI145" s="208"/>
      <c r="AJ145" s="208"/>
      <c r="AK145" s="208"/>
      <c r="AL145" s="208"/>
      <c r="AM145" s="208"/>
      <c r="AN145" s="208"/>
      <c r="AO145" s="208"/>
      <c r="AP145" s="208"/>
    </row>
    <row r="146" spans="1:42">
      <c r="A146" s="219" t="str">
        <f>'Inputs &amp; Results'!A59</f>
        <v>Capacity Based Incentive (CBI) ($/DC-Watt)</v>
      </c>
      <c r="C146" s="208"/>
      <c r="D146" s="208"/>
      <c r="E146" s="208"/>
      <c r="F146" s="208"/>
      <c r="G146" s="208"/>
      <c r="H146" s="208"/>
      <c r="I146" s="208"/>
      <c r="J146" s="208"/>
      <c r="K146" s="208"/>
      <c r="L146" s="208"/>
      <c r="M146" s="208"/>
      <c r="N146" s="208"/>
      <c r="O146" s="208"/>
      <c r="P146" s="208"/>
      <c r="Q146" s="208"/>
      <c r="R146" s="208"/>
      <c r="S146" s="208"/>
      <c r="T146" s="208"/>
      <c r="U146" s="208"/>
      <c r="V146" s="208"/>
      <c r="W146" s="208"/>
      <c r="X146" s="208"/>
      <c r="Y146" s="208"/>
      <c r="Z146" s="208"/>
      <c r="AA146" s="208"/>
      <c r="AB146" s="208"/>
      <c r="AC146" s="208"/>
      <c r="AD146" s="208"/>
      <c r="AE146" s="208"/>
      <c r="AF146" s="208"/>
      <c r="AG146" s="208"/>
      <c r="AH146" s="208"/>
      <c r="AI146" s="208"/>
      <c r="AJ146" s="208"/>
      <c r="AK146" s="208"/>
      <c r="AL146" s="208"/>
      <c r="AM146" s="208"/>
      <c r="AN146" s="208"/>
      <c r="AO146" s="208"/>
      <c r="AP146" s="208"/>
    </row>
    <row r="147" spans="1:42">
      <c r="A147" s="226" t="str">
        <f>'Inputs &amp; Results'!A60</f>
        <v>Federal</v>
      </c>
      <c r="C147" s="146">
        <f>IF(CBIFedStateTax="Yes",C568,0)</f>
        <v>5000000</v>
      </c>
      <c r="D147" s="208"/>
      <c r="E147" s="208"/>
      <c r="F147" s="208"/>
      <c r="G147" s="208"/>
      <c r="H147" s="208"/>
      <c r="I147" s="208"/>
      <c r="J147" s="208"/>
      <c r="K147" s="208"/>
      <c r="L147" s="208"/>
      <c r="M147" s="208"/>
      <c r="N147" s="208"/>
      <c r="O147" s="208"/>
      <c r="P147" s="208"/>
      <c r="Q147" s="208"/>
      <c r="R147" s="208"/>
      <c r="S147" s="208"/>
      <c r="T147" s="208"/>
      <c r="U147" s="208"/>
      <c r="V147" s="208"/>
      <c r="W147" s="208"/>
      <c r="X147" s="208"/>
      <c r="Y147" s="208"/>
      <c r="Z147" s="208"/>
      <c r="AA147" s="208"/>
      <c r="AB147" s="208"/>
      <c r="AC147" s="208"/>
      <c r="AD147" s="208"/>
      <c r="AE147" s="208"/>
      <c r="AF147" s="208"/>
      <c r="AG147" s="208"/>
      <c r="AH147" s="208"/>
      <c r="AI147" s="208"/>
      <c r="AJ147" s="208"/>
      <c r="AK147" s="208"/>
      <c r="AL147" s="208"/>
      <c r="AM147" s="208"/>
      <c r="AN147" s="208"/>
      <c r="AO147" s="208"/>
      <c r="AP147" s="208"/>
    </row>
    <row r="148" spans="1:42">
      <c r="A148" s="226" t="str">
        <f>'Inputs &amp; Results'!A61</f>
        <v>State</v>
      </c>
      <c r="C148" s="146">
        <f>IF(CBIStateStateTax="Yes",C569,0)</f>
        <v>2000000</v>
      </c>
      <c r="D148" s="208"/>
      <c r="E148" s="208"/>
      <c r="F148" s="208"/>
      <c r="G148" s="208"/>
      <c r="H148" s="208"/>
      <c r="I148" s="208"/>
      <c r="J148" s="208"/>
      <c r="K148" s="208"/>
      <c r="L148" s="208"/>
      <c r="M148" s="208"/>
      <c r="N148" s="208"/>
      <c r="O148" s="208"/>
      <c r="P148" s="208"/>
      <c r="Q148" s="208"/>
      <c r="R148" s="208"/>
      <c r="S148" s="208"/>
      <c r="T148" s="208"/>
      <c r="U148" s="208"/>
      <c r="V148" s="208"/>
      <c r="W148" s="208"/>
      <c r="X148" s="208"/>
      <c r="Y148" s="208"/>
      <c r="Z148" s="208"/>
      <c r="AA148" s="208"/>
      <c r="AB148" s="208"/>
      <c r="AC148" s="208"/>
      <c r="AD148" s="208"/>
      <c r="AE148" s="208"/>
      <c r="AF148" s="208"/>
      <c r="AG148" s="208"/>
      <c r="AH148" s="208"/>
      <c r="AI148" s="208"/>
      <c r="AJ148" s="208"/>
      <c r="AK148" s="208"/>
      <c r="AL148" s="208"/>
      <c r="AM148" s="208"/>
      <c r="AN148" s="208"/>
      <c r="AO148" s="208"/>
      <c r="AP148" s="208"/>
    </row>
    <row r="149" spans="1:42">
      <c r="A149" s="226" t="str">
        <f>'Inputs &amp; Results'!A62</f>
        <v>Utility</v>
      </c>
      <c r="C149" s="146">
        <f>IF(CBIUtilityStateTax="Yes",C570,0)</f>
        <v>100000</v>
      </c>
      <c r="D149" s="208"/>
      <c r="E149" s="208"/>
      <c r="F149" s="208"/>
      <c r="G149" s="208"/>
      <c r="H149" s="208"/>
      <c r="I149" s="208"/>
      <c r="J149" s="208"/>
      <c r="K149" s="208"/>
      <c r="L149" s="208"/>
      <c r="M149" s="208"/>
      <c r="N149" s="208"/>
      <c r="O149" s="208"/>
      <c r="P149" s="208"/>
      <c r="Q149" s="208"/>
      <c r="R149" s="208"/>
      <c r="S149" s="208"/>
      <c r="T149" s="208"/>
      <c r="U149" s="208"/>
      <c r="V149" s="208"/>
      <c r="W149" s="208"/>
      <c r="X149" s="208"/>
      <c r="Y149" s="208"/>
      <c r="Z149" s="208"/>
      <c r="AA149" s="208"/>
      <c r="AB149" s="208"/>
      <c r="AC149" s="208"/>
      <c r="AD149" s="208"/>
      <c r="AE149" s="208"/>
      <c r="AF149" s="208"/>
      <c r="AG149" s="208"/>
      <c r="AH149" s="208"/>
      <c r="AI149" s="208"/>
      <c r="AJ149" s="208"/>
      <c r="AK149" s="208"/>
      <c r="AL149" s="208"/>
      <c r="AM149" s="208"/>
      <c r="AN149" s="208"/>
      <c r="AO149" s="208"/>
      <c r="AP149" s="208"/>
    </row>
    <row r="150" spans="1:42">
      <c r="A150" s="226" t="str">
        <f>'Inputs &amp; Results'!A63</f>
        <v>Other</v>
      </c>
      <c r="C150" s="225">
        <f>IF(CBIOtherStateTax="Yes",C571,0)</f>
        <v>50000</v>
      </c>
      <c r="D150" s="208"/>
      <c r="E150" s="208"/>
      <c r="F150" s="208"/>
      <c r="G150" s="208"/>
      <c r="H150" s="208"/>
      <c r="I150" s="208"/>
      <c r="J150" s="208"/>
      <c r="K150" s="208"/>
      <c r="L150" s="208"/>
      <c r="M150" s="208"/>
      <c r="N150" s="208"/>
      <c r="O150" s="208"/>
      <c r="P150" s="208"/>
      <c r="Q150" s="208"/>
      <c r="R150" s="208"/>
      <c r="S150" s="208"/>
      <c r="T150" s="208"/>
      <c r="U150" s="208"/>
      <c r="V150" s="208"/>
      <c r="W150" s="208"/>
      <c r="X150" s="208"/>
      <c r="Y150" s="208"/>
      <c r="Z150" s="208"/>
      <c r="AA150" s="208"/>
      <c r="AB150" s="208"/>
      <c r="AC150" s="208"/>
      <c r="AD150" s="208"/>
      <c r="AE150" s="208"/>
      <c r="AF150" s="208"/>
      <c r="AG150" s="208"/>
      <c r="AH150" s="208"/>
      <c r="AI150" s="208"/>
      <c r="AJ150" s="208"/>
      <c r="AK150" s="208"/>
      <c r="AL150" s="208"/>
      <c r="AM150" s="208"/>
      <c r="AN150" s="208"/>
      <c r="AO150" s="208"/>
      <c r="AP150" s="208"/>
    </row>
    <row r="151" spans="1:42">
      <c r="A151" s="226" t="s">
        <v>53</v>
      </c>
      <c r="C151" s="208">
        <f>SUM(C147:C150)</f>
        <v>7150000</v>
      </c>
      <c r="D151" s="208"/>
      <c r="E151" s="208"/>
      <c r="F151" s="208"/>
      <c r="G151" s="208"/>
      <c r="H151" s="208"/>
      <c r="I151" s="208"/>
      <c r="J151" s="208"/>
      <c r="K151" s="208"/>
      <c r="L151" s="208"/>
      <c r="M151" s="208"/>
      <c r="N151" s="208"/>
      <c r="O151" s="208"/>
      <c r="P151" s="208"/>
      <c r="Q151" s="208"/>
      <c r="R151" s="208"/>
      <c r="S151" s="208"/>
      <c r="T151" s="208"/>
      <c r="U151" s="208"/>
      <c r="V151" s="208"/>
      <c r="W151" s="208"/>
      <c r="X151" s="208"/>
      <c r="Y151" s="208"/>
      <c r="Z151" s="208"/>
      <c r="AA151" s="208"/>
      <c r="AB151" s="208"/>
      <c r="AC151" s="208"/>
      <c r="AD151" s="208"/>
      <c r="AE151" s="208"/>
      <c r="AF151" s="208"/>
      <c r="AG151" s="208"/>
      <c r="AH151" s="208"/>
      <c r="AI151" s="208"/>
      <c r="AJ151" s="208"/>
      <c r="AK151" s="208"/>
      <c r="AL151" s="208"/>
      <c r="AM151" s="208"/>
      <c r="AN151" s="208"/>
      <c r="AO151" s="208"/>
      <c r="AP151" s="208"/>
    </row>
    <row r="152" spans="1:42">
      <c r="A152" s="219" t="str">
        <f>'Inputs &amp; Results'!A64</f>
        <v>Production Based Incentive (PBI) ($/kWh)</v>
      </c>
      <c r="C152" s="208"/>
      <c r="D152" s="208"/>
      <c r="E152" s="208"/>
      <c r="F152" s="208"/>
      <c r="G152" s="208"/>
      <c r="H152" s="208"/>
      <c r="I152" s="208"/>
      <c r="J152" s="208"/>
      <c r="K152" s="208"/>
      <c r="L152" s="208"/>
      <c r="M152" s="208"/>
      <c r="N152" s="208"/>
      <c r="O152" s="208"/>
      <c r="P152" s="208"/>
      <c r="Q152" s="208"/>
      <c r="R152" s="208"/>
      <c r="S152" s="208"/>
      <c r="T152" s="208"/>
      <c r="U152" s="208"/>
      <c r="V152" s="208"/>
      <c r="W152" s="208"/>
      <c r="X152" s="208"/>
      <c r="Y152" s="208"/>
      <c r="Z152" s="208"/>
      <c r="AA152" s="208"/>
      <c r="AB152" s="208"/>
      <c r="AC152" s="208"/>
      <c r="AD152" s="208"/>
      <c r="AE152" s="208"/>
      <c r="AF152" s="208"/>
      <c r="AG152" s="208"/>
      <c r="AH152" s="208"/>
      <c r="AI152" s="208"/>
      <c r="AJ152" s="208"/>
      <c r="AK152" s="208"/>
      <c r="AL152" s="208"/>
      <c r="AM152" s="208"/>
      <c r="AN152" s="208"/>
      <c r="AO152" s="208"/>
      <c r="AP152" s="208"/>
    </row>
    <row r="153" spans="1:42">
      <c r="A153" s="226" t="str">
        <f>'Inputs &amp; Results'!A65</f>
        <v>Federal</v>
      </c>
      <c r="C153" s="146">
        <f t="shared" ref="C153:AP153" si="85">IF(AND(PBIFedStateTax="Yes",PBIFedDebtSwitch="No"),C578,0)</f>
        <v>0</v>
      </c>
      <c r="D153" s="146">
        <f t="shared" si="85"/>
        <v>0</v>
      </c>
      <c r="E153" s="146">
        <f t="shared" si="85"/>
        <v>0</v>
      </c>
      <c r="F153" s="146">
        <f t="shared" si="85"/>
        <v>0</v>
      </c>
      <c r="G153" s="146">
        <f t="shared" si="85"/>
        <v>0</v>
      </c>
      <c r="H153" s="146">
        <f t="shared" si="85"/>
        <v>0</v>
      </c>
      <c r="I153" s="146">
        <f t="shared" si="85"/>
        <v>0</v>
      </c>
      <c r="J153" s="146">
        <f t="shared" si="85"/>
        <v>0</v>
      </c>
      <c r="K153" s="146">
        <f t="shared" si="85"/>
        <v>0</v>
      </c>
      <c r="L153" s="146">
        <f t="shared" si="85"/>
        <v>0</v>
      </c>
      <c r="M153" s="146">
        <f t="shared" si="85"/>
        <v>0</v>
      </c>
      <c r="N153" s="146">
        <f t="shared" si="85"/>
        <v>0</v>
      </c>
      <c r="O153" s="146">
        <f t="shared" si="85"/>
        <v>0</v>
      </c>
      <c r="P153" s="146">
        <f t="shared" si="85"/>
        <v>0</v>
      </c>
      <c r="Q153" s="146">
        <f t="shared" si="85"/>
        <v>0</v>
      </c>
      <c r="R153" s="146">
        <f t="shared" si="85"/>
        <v>0</v>
      </c>
      <c r="S153" s="146">
        <f t="shared" si="85"/>
        <v>0</v>
      </c>
      <c r="T153" s="146">
        <f t="shared" si="85"/>
        <v>0</v>
      </c>
      <c r="U153" s="146">
        <f t="shared" si="85"/>
        <v>0</v>
      </c>
      <c r="V153" s="146">
        <f t="shared" si="85"/>
        <v>0</v>
      </c>
      <c r="W153" s="146">
        <f t="shared" si="85"/>
        <v>0</v>
      </c>
      <c r="X153" s="146">
        <f t="shared" si="85"/>
        <v>0</v>
      </c>
      <c r="Y153" s="146">
        <f t="shared" si="85"/>
        <v>0</v>
      </c>
      <c r="Z153" s="146">
        <f t="shared" si="85"/>
        <v>0</v>
      </c>
      <c r="AA153" s="146">
        <f t="shared" si="85"/>
        <v>0</v>
      </c>
      <c r="AB153" s="146">
        <f t="shared" si="85"/>
        <v>0</v>
      </c>
      <c r="AC153" s="146">
        <f t="shared" si="85"/>
        <v>0</v>
      </c>
      <c r="AD153" s="146">
        <f t="shared" si="85"/>
        <v>0</v>
      </c>
      <c r="AE153" s="146">
        <f t="shared" si="85"/>
        <v>0</v>
      </c>
      <c r="AF153" s="146">
        <f t="shared" si="85"/>
        <v>0</v>
      </c>
      <c r="AG153" s="146">
        <f t="shared" si="85"/>
        <v>0</v>
      </c>
      <c r="AH153" s="146">
        <f t="shared" si="85"/>
        <v>0</v>
      </c>
      <c r="AI153" s="146">
        <f t="shared" si="85"/>
        <v>0</v>
      </c>
      <c r="AJ153" s="146">
        <f t="shared" si="85"/>
        <v>0</v>
      </c>
      <c r="AK153" s="146">
        <f t="shared" si="85"/>
        <v>0</v>
      </c>
      <c r="AL153" s="146">
        <f t="shared" si="85"/>
        <v>0</v>
      </c>
      <c r="AM153" s="146">
        <f t="shared" si="85"/>
        <v>0</v>
      </c>
      <c r="AN153" s="146">
        <f t="shared" si="85"/>
        <v>0</v>
      </c>
      <c r="AO153" s="146">
        <f t="shared" si="85"/>
        <v>0</v>
      </c>
      <c r="AP153" s="146">
        <f t="shared" si="85"/>
        <v>0</v>
      </c>
    </row>
    <row r="154" spans="1:42">
      <c r="A154" s="226" t="str">
        <f>'Inputs &amp; Results'!A66</f>
        <v>State</v>
      </c>
      <c r="C154" s="146">
        <f t="shared" ref="C154:AP154" si="86">IF(AND(PBIStateStateTax="Yes",PBIStateDebtSwitch="No"),C582,0)</f>
        <v>0</v>
      </c>
      <c r="D154" s="146">
        <f t="shared" si="86"/>
        <v>0</v>
      </c>
      <c r="E154" s="146">
        <f t="shared" si="86"/>
        <v>0</v>
      </c>
      <c r="F154" s="146">
        <f t="shared" si="86"/>
        <v>0</v>
      </c>
      <c r="G154" s="146">
        <f t="shared" si="86"/>
        <v>0</v>
      </c>
      <c r="H154" s="146">
        <f t="shared" si="86"/>
        <v>0</v>
      </c>
      <c r="I154" s="146">
        <f t="shared" si="86"/>
        <v>0</v>
      </c>
      <c r="J154" s="146">
        <f t="shared" si="86"/>
        <v>0</v>
      </c>
      <c r="K154" s="146">
        <f t="shared" si="86"/>
        <v>0</v>
      </c>
      <c r="L154" s="146">
        <f t="shared" si="86"/>
        <v>0</v>
      </c>
      <c r="M154" s="146">
        <f t="shared" si="86"/>
        <v>0</v>
      </c>
      <c r="N154" s="146">
        <f t="shared" si="86"/>
        <v>0</v>
      </c>
      <c r="O154" s="146">
        <f t="shared" si="86"/>
        <v>0</v>
      </c>
      <c r="P154" s="146">
        <f t="shared" si="86"/>
        <v>0</v>
      </c>
      <c r="Q154" s="146">
        <f t="shared" si="86"/>
        <v>0</v>
      </c>
      <c r="R154" s="146">
        <f t="shared" si="86"/>
        <v>0</v>
      </c>
      <c r="S154" s="146">
        <f t="shared" si="86"/>
        <v>0</v>
      </c>
      <c r="T154" s="146">
        <f t="shared" si="86"/>
        <v>0</v>
      </c>
      <c r="U154" s="146">
        <f t="shared" si="86"/>
        <v>0</v>
      </c>
      <c r="V154" s="146">
        <f t="shared" si="86"/>
        <v>0</v>
      </c>
      <c r="W154" s="146">
        <f t="shared" si="86"/>
        <v>0</v>
      </c>
      <c r="X154" s="146">
        <f t="shared" si="86"/>
        <v>0</v>
      </c>
      <c r="Y154" s="146">
        <f t="shared" si="86"/>
        <v>0</v>
      </c>
      <c r="Z154" s="146">
        <f t="shared" si="86"/>
        <v>0</v>
      </c>
      <c r="AA154" s="146">
        <f t="shared" si="86"/>
        <v>0</v>
      </c>
      <c r="AB154" s="146">
        <f t="shared" si="86"/>
        <v>0</v>
      </c>
      <c r="AC154" s="146">
        <f t="shared" si="86"/>
        <v>0</v>
      </c>
      <c r="AD154" s="146">
        <f t="shared" si="86"/>
        <v>0</v>
      </c>
      <c r="AE154" s="146">
        <f t="shared" si="86"/>
        <v>0</v>
      </c>
      <c r="AF154" s="146">
        <f t="shared" si="86"/>
        <v>0</v>
      </c>
      <c r="AG154" s="146">
        <f t="shared" si="86"/>
        <v>0</v>
      </c>
      <c r="AH154" s="146">
        <f t="shared" si="86"/>
        <v>0</v>
      </c>
      <c r="AI154" s="146">
        <f t="shared" si="86"/>
        <v>0</v>
      </c>
      <c r="AJ154" s="146">
        <f t="shared" si="86"/>
        <v>0</v>
      </c>
      <c r="AK154" s="146">
        <f t="shared" si="86"/>
        <v>0</v>
      </c>
      <c r="AL154" s="146">
        <f t="shared" si="86"/>
        <v>0</v>
      </c>
      <c r="AM154" s="146">
        <f t="shared" si="86"/>
        <v>0</v>
      </c>
      <c r="AN154" s="146">
        <f t="shared" si="86"/>
        <v>0</v>
      </c>
      <c r="AO154" s="146">
        <f t="shared" si="86"/>
        <v>0</v>
      </c>
      <c r="AP154" s="146">
        <f t="shared" si="86"/>
        <v>0</v>
      </c>
    </row>
    <row r="155" spans="1:42">
      <c r="A155" s="226" t="str">
        <f>'Inputs &amp; Results'!A67</f>
        <v>Utility</v>
      </c>
      <c r="C155" s="146">
        <f t="shared" ref="C155:AP155" si="87">IF(AND(PBIUtilityStateTax="Yes",PBIUtilityDebtSwitch="No"),C586,0)</f>
        <v>0</v>
      </c>
      <c r="D155" s="146">
        <f t="shared" si="87"/>
        <v>0</v>
      </c>
      <c r="E155" s="146">
        <f t="shared" si="87"/>
        <v>0</v>
      </c>
      <c r="F155" s="146">
        <f t="shared" si="87"/>
        <v>0</v>
      </c>
      <c r="G155" s="146">
        <f t="shared" si="87"/>
        <v>0</v>
      </c>
      <c r="H155" s="146">
        <f t="shared" si="87"/>
        <v>0</v>
      </c>
      <c r="I155" s="146">
        <f t="shared" si="87"/>
        <v>0</v>
      </c>
      <c r="J155" s="146">
        <f t="shared" si="87"/>
        <v>0</v>
      </c>
      <c r="K155" s="146">
        <f t="shared" si="87"/>
        <v>0</v>
      </c>
      <c r="L155" s="146">
        <f t="shared" si="87"/>
        <v>0</v>
      </c>
      <c r="M155" s="146">
        <f t="shared" si="87"/>
        <v>0</v>
      </c>
      <c r="N155" s="146">
        <f t="shared" si="87"/>
        <v>0</v>
      </c>
      <c r="O155" s="146">
        <f t="shared" si="87"/>
        <v>0</v>
      </c>
      <c r="P155" s="146">
        <f t="shared" si="87"/>
        <v>0</v>
      </c>
      <c r="Q155" s="146">
        <f t="shared" si="87"/>
        <v>0</v>
      </c>
      <c r="R155" s="146">
        <f t="shared" si="87"/>
        <v>0</v>
      </c>
      <c r="S155" s="146">
        <f t="shared" si="87"/>
        <v>0</v>
      </c>
      <c r="T155" s="146">
        <f t="shared" si="87"/>
        <v>0</v>
      </c>
      <c r="U155" s="146">
        <f t="shared" si="87"/>
        <v>0</v>
      </c>
      <c r="V155" s="146">
        <f t="shared" si="87"/>
        <v>0</v>
      </c>
      <c r="W155" s="146">
        <f t="shared" si="87"/>
        <v>0</v>
      </c>
      <c r="X155" s="146">
        <f t="shared" si="87"/>
        <v>0</v>
      </c>
      <c r="Y155" s="146">
        <f t="shared" si="87"/>
        <v>0</v>
      </c>
      <c r="Z155" s="146">
        <f t="shared" si="87"/>
        <v>0</v>
      </c>
      <c r="AA155" s="146">
        <f t="shared" si="87"/>
        <v>0</v>
      </c>
      <c r="AB155" s="146">
        <f t="shared" si="87"/>
        <v>0</v>
      </c>
      <c r="AC155" s="146">
        <f t="shared" si="87"/>
        <v>0</v>
      </c>
      <c r="AD155" s="146">
        <f t="shared" si="87"/>
        <v>0</v>
      </c>
      <c r="AE155" s="146">
        <f t="shared" si="87"/>
        <v>0</v>
      </c>
      <c r="AF155" s="146">
        <f t="shared" si="87"/>
        <v>0</v>
      </c>
      <c r="AG155" s="146">
        <f t="shared" si="87"/>
        <v>0</v>
      </c>
      <c r="AH155" s="146">
        <f t="shared" si="87"/>
        <v>0</v>
      </c>
      <c r="AI155" s="146">
        <f t="shared" si="87"/>
        <v>0</v>
      </c>
      <c r="AJ155" s="146">
        <f t="shared" si="87"/>
        <v>0</v>
      </c>
      <c r="AK155" s="146">
        <f t="shared" si="87"/>
        <v>0</v>
      </c>
      <c r="AL155" s="146">
        <f t="shared" si="87"/>
        <v>0</v>
      </c>
      <c r="AM155" s="146">
        <f t="shared" si="87"/>
        <v>0</v>
      </c>
      <c r="AN155" s="146">
        <f t="shared" si="87"/>
        <v>0</v>
      </c>
      <c r="AO155" s="146">
        <f t="shared" si="87"/>
        <v>0</v>
      </c>
      <c r="AP155" s="146">
        <f t="shared" si="87"/>
        <v>0</v>
      </c>
    </row>
    <row r="156" spans="1:42">
      <c r="A156" s="226" t="str">
        <f>'Inputs &amp; Results'!A68</f>
        <v>Other</v>
      </c>
      <c r="C156" s="225">
        <f t="shared" ref="C156:AP156" si="88">IF(AND(PBIOtherStateTax="Yes",PBIOtherDebtSwitch="No"),C590,0)</f>
        <v>0</v>
      </c>
      <c r="D156" s="225">
        <f t="shared" si="88"/>
        <v>0</v>
      </c>
      <c r="E156" s="225">
        <f t="shared" si="88"/>
        <v>0</v>
      </c>
      <c r="F156" s="225">
        <f t="shared" si="88"/>
        <v>0</v>
      </c>
      <c r="G156" s="225">
        <f t="shared" si="88"/>
        <v>0</v>
      </c>
      <c r="H156" s="225">
        <f t="shared" si="88"/>
        <v>0</v>
      </c>
      <c r="I156" s="225">
        <f t="shared" si="88"/>
        <v>0</v>
      </c>
      <c r="J156" s="225">
        <f t="shared" si="88"/>
        <v>0</v>
      </c>
      <c r="K156" s="225">
        <f t="shared" si="88"/>
        <v>0</v>
      </c>
      <c r="L156" s="225">
        <f t="shared" si="88"/>
        <v>0</v>
      </c>
      <c r="M156" s="225">
        <f t="shared" si="88"/>
        <v>0</v>
      </c>
      <c r="N156" s="225">
        <f t="shared" si="88"/>
        <v>0</v>
      </c>
      <c r="O156" s="225">
        <f t="shared" si="88"/>
        <v>0</v>
      </c>
      <c r="P156" s="225">
        <f t="shared" si="88"/>
        <v>0</v>
      </c>
      <c r="Q156" s="225">
        <f t="shared" si="88"/>
        <v>0</v>
      </c>
      <c r="R156" s="225">
        <f t="shared" si="88"/>
        <v>0</v>
      </c>
      <c r="S156" s="225">
        <f t="shared" si="88"/>
        <v>0</v>
      </c>
      <c r="T156" s="225">
        <f t="shared" si="88"/>
        <v>0</v>
      </c>
      <c r="U156" s="225">
        <f t="shared" si="88"/>
        <v>0</v>
      </c>
      <c r="V156" s="225">
        <f t="shared" si="88"/>
        <v>0</v>
      </c>
      <c r="W156" s="225">
        <f t="shared" si="88"/>
        <v>0</v>
      </c>
      <c r="X156" s="225">
        <f t="shared" si="88"/>
        <v>0</v>
      </c>
      <c r="Y156" s="225">
        <f t="shared" si="88"/>
        <v>0</v>
      </c>
      <c r="Z156" s="225">
        <f t="shared" si="88"/>
        <v>0</v>
      </c>
      <c r="AA156" s="225">
        <f t="shared" si="88"/>
        <v>0</v>
      </c>
      <c r="AB156" s="225">
        <f t="shared" si="88"/>
        <v>0</v>
      </c>
      <c r="AC156" s="225">
        <f t="shared" si="88"/>
        <v>0</v>
      </c>
      <c r="AD156" s="225">
        <f t="shared" si="88"/>
        <v>0</v>
      </c>
      <c r="AE156" s="225">
        <f t="shared" si="88"/>
        <v>0</v>
      </c>
      <c r="AF156" s="225">
        <f t="shared" si="88"/>
        <v>0</v>
      </c>
      <c r="AG156" s="225">
        <f t="shared" si="88"/>
        <v>0</v>
      </c>
      <c r="AH156" s="225">
        <f t="shared" si="88"/>
        <v>0</v>
      </c>
      <c r="AI156" s="225">
        <f t="shared" si="88"/>
        <v>0</v>
      </c>
      <c r="AJ156" s="225">
        <f t="shared" si="88"/>
        <v>0</v>
      </c>
      <c r="AK156" s="225">
        <f t="shared" si="88"/>
        <v>0</v>
      </c>
      <c r="AL156" s="225">
        <f t="shared" si="88"/>
        <v>0</v>
      </c>
      <c r="AM156" s="225">
        <f t="shared" si="88"/>
        <v>0</v>
      </c>
      <c r="AN156" s="225">
        <f t="shared" si="88"/>
        <v>0</v>
      </c>
      <c r="AO156" s="225">
        <f t="shared" si="88"/>
        <v>0</v>
      </c>
      <c r="AP156" s="225">
        <f t="shared" si="88"/>
        <v>0</v>
      </c>
    </row>
    <row r="157" spans="1:42">
      <c r="A157" s="226" t="s">
        <v>53</v>
      </c>
      <c r="C157" s="216">
        <f>SUM(C153:C156)</f>
        <v>0</v>
      </c>
      <c r="D157" s="216">
        <f t="shared" ref="D157:AL157" si="89">SUM(D153:D156)</f>
        <v>0</v>
      </c>
      <c r="E157" s="216">
        <f t="shared" si="89"/>
        <v>0</v>
      </c>
      <c r="F157" s="216">
        <f t="shared" si="89"/>
        <v>0</v>
      </c>
      <c r="G157" s="216">
        <f t="shared" si="89"/>
        <v>0</v>
      </c>
      <c r="H157" s="216">
        <f t="shared" si="89"/>
        <v>0</v>
      </c>
      <c r="I157" s="216">
        <f t="shared" si="89"/>
        <v>0</v>
      </c>
      <c r="J157" s="216">
        <f t="shared" si="89"/>
        <v>0</v>
      </c>
      <c r="K157" s="216">
        <f t="shared" si="89"/>
        <v>0</v>
      </c>
      <c r="L157" s="216">
        <f t="shared" si="89"/>
        <v>0</v>
      </c>
      <c r="M157" s="216">
        <f t="shared" si="89"/>
        <v>0</v>
      </c>
      <c r="N157" s="216">
        <f t="shared" si="89"/>
        <v>0</v>
      </c>
      <c r="O157" s="216">
        <f t="shared" si="89"/>
        <v>0</v>
      </c>
      <c r="P157" s="216">
        <f t="shared" si="89"/>
        <v>0</v>
      </c>
      <c r="Q157" s="216">
        <f t="shared" si="89"/>
        <v>0</v>
      </c>
      <c r="R157" s="216">
        <f t="shared" si="89"/>
        <v>0</v>
      </c>
      <c r="S157" s="216">
        <f t="shared" si="89"/>
        <v>0</v>
      </c>
      <c r="T157" s="216">
        <f t="shared" si="89"/>
        <v>0</v>
      </c>
      <c r="U157" s="216">
        <f t="shared" si="89"/>
        <v>0</v>
      </c>
      <c r="V157" s="216">
        <f t="shared" si="89"/>
        <v>0</v>
      </c>
      <c r="W157" s="216">
        <f t="shared" si="89"/>
        <v>0</v>
      </c>
      <c r="X157" s="216">
        <f t="shared" si="89"/>
        <v>0</v>
      </c>
      <c r="Y157" s="216">
        <f t="shared" si="89"/>
        <v>0</v>
      </c>
      <c r="Z157" s="216">
        <f t="shared" si="89"/>
        <v>0</v>
      </c>
      <c r="AA157" s="216">
        <f t="shared" si="89"/>
        <v>0</v>
      </c>
      <c r="AB157" s="216">
        <f t="shared" si="89"/>
        <v>0</v>
      </c>
      <c r="AC157" s="216">
        <f t="shared" si="89"/>
        <v>0</v>
      </c>
      <c r="AD157" s="216">
        <f t="shared" si="89"/>
        <v>0</v>
      </c>
      <c r="AE157" s="216">
        <f t="shared" si="89"/>
        <v>0</v>
      </c>
      <c r="AF157" s="216">
        <f t="shared" si="89"/>
        <v>0</v>
      </c>
      <c r="AG157" s="216">
        <f t="shared" si="89"/>
        <v>0</v>
      </c>
      <c r="AH157" s="216">
        <f t="shared" si="89"/>
        <v>0</v>
      </c>
      <c r="AI157" s="216">
        <f t="shared" si="89"/>
        <v>0</v>
      </c>
      <c r="AJ157" s="216">
        <f t="shared" si="89"/>
        <v>0</v>
      </c>
      <c r="AK157" s="216">
        <f t="shared" si="89"/>
        <v>0</v>
      </c>
      <c r="AL157" s="216">
        <f t="shared" si="89"/>
        <v>0</v>
      </c>
      <c r="AM157" s="216">
        <f>SUM(AM153:AM156)</f>
        <v>0</v>
      </c>
      <c r="AN157" s="216">
        <f t="shared" ref="AN157:AP157" si="90">SUM(AN153:AN156)</f>
        <v>0</v>
      </c>
      <c r="AO157" s="216">
        <f t="shared" si="90"/>
        <v>0</v>
      </c>
      <c r="AP157" s="216">
        <f t="shared" si="90"/>
        <v>0</v>
      </c>
    </row>
    <row r="158" spans="1:42">
      <c r="A158" s="219" t="s">
        <v>132</v>
      </c>
      <c r="C158" s="208">
        <f>C139+C145+C151+C157</f>
        <v>13791229.75</v>
      </c>
      <c r="D158" s="208">
        <f t="shared" ref="D158:AP158" si="91">D139+D145+D151+D157</f>
        <v>0</v>
      </c>
      <c r="E158" s="208">
        <f t="shared" si="91"/>
        <v>0</v>
      </c>
      <c r="F158" s="208">
        <f t="shared" si="91"/>
        <v>0</v>
      </c>
      <c r="G158" s="208">
        <f t="shared" si="91"/>
        <v>0</v>
      </c>
      <c r="H158" s="208">
        <f t="shared" si="91"/>
        <v>0</v>
      </c>
      <c r="I158" s="208">
        <f t="shared" si="91"/>
        <v>0</v>
      </c>
      <c r="J158" s="208">
        <f t="shared" si="91"/>
        <v>0</v>
      </c>
      <c r="K158" s="208">
        <f t="shared" si="91"/>
        <v>0</v>
      </c>
      <c r="L158" s="208">
        <f t="shared" si="91"/>
        <v>0</v>
      </c>
      <c r="M158" s="208">
        <f t="shared" si="91"/>
        <v>0</v>
      </c>
      <c r="N158" s="208">
        <f t="shared" si="91"/>
        <v>0</v>
      </c>
      <c r="O158" s="208">
        <f t="shared" si="91"/>
        <v>0</v>
      </c>
      <c r="P158" s="208">
        <f t="shared" si="91"/>
        <v>0</v>
      </c>
      <c r="Q158" s="208">
        <f t="shared" si="91"/>
        <v>0</v>
      </c>
      <c r="R158" s="208">
        <f t="shared" si="91"/>
        <v>0</v>
      </c>
      <c r="S158" s="208">
        <f t="shared" si="91"/>
        <v>0</v>
      </c>
      <c r="T158" s="208">
        <f t="shared" si="91"/>
        <v>0</v>
      </c>
      <c r="U158" s="208">
        <f t="shared" si="91"/>
        <v>0</v>
      </c>
      <c r="V158" s="208">
        <f t="shared" si="91"/>
        <v>0</v>
      </c>
      <c r="W158" s="208">
        <f t="shared" si="91"/>
        <v>0</v>
      </c>
      <c r="X158" s="208">
        <f t="shared" si="91"/>
        <v>0</v>
      </c>
      <c r="Y158" s="208">
        <f t="shared" si="91"/>
        <v>0</v>
      </c>
      <c r="Z158" s="208">
        <f t="shared" si="91"/>
        <v>0</v>
      </c>
      <c r="AA158" s="208">
        <f t="shared" si="91"/>
        <v>0</v>
      </c>
      <c r="AB158" s="208">
        <f t="shared" si="91"/>
        <v>0</v>
      </c>
      <c r="AC158" s="208">
        <f t="shared" si="91"/>
        <v>0</v>
      </c>
      <c r="AD158" s="208">
        <f t="shared" si="91"/>
        <v>0</v>
      </c>
      <c r="AE158" s="208">
        <f t="shared" si="91"/>
        <v>0</v>
      </c>
      <c r="AF158" s="208">
        <f t="shared" si="91"/>
        <v>0</v>
      </c>
      <c r="AG158" s="208">
        <f t="shared" si="91"/>
        <v>0</v>
      </c>
      <c r="AH158" s="208">
        <f t="shared" si="91"/>
        <v>0</v>
      </c>
      <c r="AI158" s="208">
        <f t="shared" si="91"/>
        <v>0</v>
      </c>
      <c r="AJ158" s="208">
        <f t="shared" si="91"/>
        <v>0</v>
      </c>
      <c r="AK158" s="208">
        <f t="shared" si="91"/>
        <v>0</v>
      </c>
      <c r="AL158" s="208">
        <f t="shared" si="91"/>
        <v>0</v>
      </c>
      <c r="AM158" s="208">
        <f t="shared" si="91"/>
        <v>0</v>
      </c>
      <c r="AN158" s="208">
        <f t="shared" si="91"/>
        <v>0</v>
      </c>
      <c r="AO158" s="208">
        <f t="shared" si="91"/>
        <v>0</v>
      </c>
      <c r="AP158" s="208">
        <f t="shared" si="91"/>
        <v>0</v>
      </c>
    </row>
    <row r="159" spans="1:42">
      <c r="A159" s="226"/>
      <c r="C159" s="208"/>
      <c r="D159" s="208"/>
      <c r="E159" s="208"/>
      <c r="F159" s="208"/>
      <c r="G159" s="208"/>
      <c r="H159" s="208"/>
      <c r="I159" s="208"/>
      <c r="J159" s="208"/>
      <c r="K159" s="208"/>
      <c r="L159" s="208"/>
      <c r="M159" s="208"/>
      <c r="N159" s="208"/>
      <c r="O159" s="208"/>
      <c r="P159" s="208"/>
      <c r="Q159" s="208"/>
      <c r="R159" s="208"/>
      <c r="S159" s="208"/>
      <c r="T159" s="208"/>
      <c r="U159" s="208"/>
      <c r="V159" s="208"/>
      <c r="W159" s="208"/>
      <c r="X159" s="208"/>
      <c r="Y159" s="208"/>
      <c r="Z159" s="208"/>
      <c r="AA159" s="208"/>
      <c r="AB159" s="208"/>
      <c r="AC159" s="208"/>
      <c r="AD159" s="208"/>
      <c r="AE159" s="208"/>
      <c r="AF159" s="208"/>
      <c r="AG159" s="208"/>
      <c r="AH159" s="208"/>
      <c r="AI159" s="208"/>
      <c r="AJ159" s="208"/>
      <c r="AK159" s="208"/>
      <c r="AL159" s="208"/>
      <c r="AM159" s="208"/>
      <c r="AN159" s="208"/>
      <c r="AO159" s="208"/>
      <c r="AP159" s="208"/>
    </row>
    <row r="160" spans="1:42">
      <c r="A160" s="219" t="s">
        <v>133</v>
      </c>
      <c r="C160" s="208">
        <f>C132+C158</f>
        <v>6432404.9149821158</v>
      </c>
      <c r="D160" s="208">
        <f t="shared" ref="D160:AP160" si="92">D132+D158</f>
        <v>-9839570.2599128038</v>
      </c>
      <c r="E160" s="208">
        <f t="shared" si="92"/>
        <v>-5132085.6154215429</v>
      </c>
      <c r="F160" s="208">
        <f t="shared" si="92"/>
        <v>-2278034.5956884427</v>
      </c>
      <c r="G160" s="208">
        <f t="shared" si="92"/>
        <v>-2187354.9663489945</v>
      </c>
      <c r="H160" s="208">
        <f t="shared" si="92"/>
        <v>-25260.40495861508</v>
      </c>
      <c r="I160" s="208">
        <f t="shared" si="92"/>
        <v>2137085.3507293281</v>
      </c>
      <c r="J160" s="208">
        <f t="shared" si="92"/>
        <v>2240867.1261258409</v>
      </c>
      <c r="K160" s="208">
        <f t="shared" si="92"/>
        <v>2320671.2190170912</v>
      </c>
      <c r="L160" s="208">
        <f t="shared" si="92"/>
        <v>2398285.9867755501</v>
      </c>
      <c r="M160" s="208">
        <f t="shared" si="92"/>
        <v>2516605.1992777432</v>
      </c>
      <c r="N160" s="208">
        <f t="shared" si="92"/>
        <v>2022276.2418507293</v>
      </c>
      <c r="O160" s="208">
        <f t="shared" si="92"/>
        <v>1709559.5487632784</v>
      </c>
      <c r="P160" s="208">
        <f t="shared" si="92"/>
        <v>2221727.709816338</v>
      </c>
      <c r="Q160" s="208">
        <f t="shared" si="92"/>
        <v>1326697.3396856983</v>
      </c>
      <c r="R160" s="208">
        <f t="shared" si="92"/>
        <v>643357.49569456419</v>
      </c>
      <c r="S160" s="208">
        <f t="shared" si="92"/>
        <v>1808932.4132096418</v>
      </c>
      <c r="T160" s="208">
        <f t="shared" si="92"/>
        <v>2580277.7289205589</v>
      </c>
      <c r="U160" s="208">
        <f t="shared" si="92"/>
        <v>2708738.9317748742</v>
      </c>
      <c r="V160" s="208">
        <f t="shared" si="92"/>
        <v>3241687.4100817265</v>
      </c>
      <c r="W160" s="208">
        <f t="shared" si="92"/>
        <v>3759913.126244464</v>
      </c>
      <c r="X160" s="208">
        <f t="shared" si="92"/>
        <v>3791987.1024678322</v>
      </c>
      <c r="Y160" s="208">
        <f t="shared" si="92"/>
        <v>3840535.8368560509</v>
      </c>
      <c r="Z160" s="208">
        <f t="shared" si="92"/>
        <v>3149684.7579019954</v>
      </c>
      <c r="AA160" s="208">
        <f t="shared" si="92"/>
        <v>2669779.6091529443</v>
      </c>
      <c r="AB160" s="208">
        <f t="shared" si="92"/>
        <v>3164580.5730244955</v>
      </c>
      <c r="AC160" s="208">
        <f t="shared" si="92"/>
        <v>3442281.9006034327</v>
      </c>
      <c r="AD160" s="208">
        <f t="shared" si="92"/>
        <v>3440037.6977170594</v>
      </c>
      <c r="AE160" s="208">
        <f t="shared" si="92"/>
        <v>3687679.2400527289</v>
      </c>
      <c r="AF160" s="208">
        <f t="shared" si="92"/>
        <v>6379537.6041519502</v>
      </c>
      <c r="AG160" s="208">
        <f t="shared" si="92"/>
        <v>0</v>
      </c>
      <c r="AH160" s="208">
        <f t="shared" si="92"/>
        <v>0</v>
      </c>
      <c r="AI160" s="208">
        <f t="shared" si="92"/>
        <v>0</v>
      </c>
      <c r="AJ160" s="208">
        <f t="shared" si="92"/>
        <v>0</v>
      </c>
      <c r="AK160" s="208">
        <f t="shared" si="92"/>
        <v>0</v>
      </c>
      <c r="AL160" s="208">
        <f t="shared" si="92"/>
        <v>0</v>
      </c>
      <c r="AM160" s="208">
        <f t="shared" si="92"/>
        <v>0</v>
      </c>
      <c r="AN160" s="208">
        <f t="shared" si="92"/>
        <v>0</v>
      </c>
      <c r="AO160" s="208">
        <f t="shared" si="92"/>
        <v>0</v>
      </c>
      <c r="AP160" s="208">
        <f t="shared" si="92"/>
        <v>0</v>
      </c>
    </row>
    <row r="161" spans="1:42">
      <c r="A161" s="219" t="s">
        <v>131</v>
      </c>
      <c r="C161" s="216">
        <f t="shared" ref="C161:AP161" si="93">C160*-StateTax</f>
        <v>-353782.2703240164</v>
      </c>
      <c r="D161" s="216">
        <f t="shared" si="93"/>
        <v>541176.36429520417</v>
      </c>
      <c r="E161" s="216">
        <f t="shared" si="93"/>
        <v>282264.70884818485</v>
      </c>
      <c r="F161" s="216">
        <f t="shared" si="93"/>
        <v>125291.90276286435</v>
      </c>
      <c r="G161" s="216">
        <f t="shared" si="93"/>
        <v>120304.52314919471</v>
      </c>
      <c r="H161" s="216">
        <f t="shared" si="93"/>
        <v>1389.3222727238294</v>
      </c>
      <c r="I161" s="216">
        <f t="shared" si="93"/>
        <v>-117539.69429011305</v>
      </c>
      <c r="J161" s="216">
        <f t="shared" si="93"/>
        <v>-123247.69193692126</v>
      </c>
      <c r="K161" s="216">
        <f t="shared" si="93"/>
        <v>-127636.91704594002</v>
      </c>
      <c r="L161" s="216">
        <f t="shared" si="93"/>
        <v>-131905.72927265524</v>
      </c>
      <c r="M161" s="216">
        <f t="shared" si="93"/>
        <v>-138413.28596027588</v>
      </c>
      <c r="N161" s="216">
        <f t="shared" si="93"/>
        <v>-111225.19330179012</v>
      </c>
      <c r="O161" s="216">
        <f t="shared" si="93"/>
        <v>-94025.775181980309</v>
      </c>
      <c r="P161" s="216">
        <f t="shared" si="93"/>
        <v>-122195.02403989859</v>
      </c>
      <c r="Q161" s="216">
        <f t="shared" si="93"/>
        <v>-72968.353682713408</v>
      </c>
      <c r="R161" s="216">
        <f t="shared" si="93"/>
        <v>-35384.662263201033</v>
      </c>
      <c r="S161" s="216">
        <f t="shared" si="93"/>
        <v>-99491.282726530306</v>
      </c>
      <c r="T161" s="216">
        <f t="shared" si="93"/>
        <v>-141915.27509063075</v>
      </c>
      <c r="U161" s="216">
        <f t="shared" si="93"/>
        <v>-148980.64124761807</v>
      </c>
      <c r="V161" s="216">
        <f t="shared" si="93"/>
        <v>-178292.80755449497</v>
      </c>
      <c r="W161" s="216">
        <f t="shared" si="93"/>
        <v>-206795.22194344553</v>
      </c>
      <c r="X161" s="216">
        <f t="shared" si="93"/>
        <v>-208559.29063573078</v>
      </c>
      <c r="Y161" s="216">
        <f t="shared" si="93"/>
        <v>-211229.47102708279</v>
      </c>
      <c r="Z161" s="216">
        <f t="shared" si="93"/>
        <v>-173232.66168460975</v>
      </c>
      <c r="AA161" s="216">
        <f t="shared" si="93"/>
        <v>-146837.87850341195</v>
      </c>
      <c r="AB161" s="216">
        <f t="shared" si="93"/>
        <v>-174051.93151634725</v>
      </c>
      <c r="AC161" s="216">
        <f t="shared" si="93"/>
        <v>-189325.5045331888</v>
      </c>
      <c r="AD161" s="216">
        <f t="shared" si="93"/>
        <v>-189202.07337443827</v>
      </c>
      <c r="AE161" s="216">
        <f t="shared" si="93"/>
        <v>-202822.3582029001</v>
      </c>
      <c r="AF161" s="216">
        <f t="shared" si="93"/>
        <v>-350874.56822835724</v>
      </c>
      <c r="AG161" s="216">
        <f t="shared" si="93"/>
        <v>0</v>
      </c>
      <c r="AH161" s="216">
        <f t="shared" si="93"/>
        <v>0</v>
      </c>
      <c r="AI161" s="216">
        <f t="shared" si="93"/>
        <v>0</v>
      </c>
      <c r="AJ161" s="216">
        <f t="shared" si="93"/>
        <v>0</v>
      </c>
      <c r="AK161" s="216">
        <f t="shared" si="93"/>
        <v>0</v>
      </c>
      <c r="AL161" s="216">
        <f t="shared" si="93"/>
        <v>0</v>
      </c>
      <c r="AM161" s="216">
        <f t="shared" si="93"/>
        <v>0</v>
      </c>
      <c r="AN161" s="216">
        <f t="shared" si="93"/>
        <v>0</v>
      </c>
      <c r="AO161" s="216">
        <f t="shared" si="93"/>
        <v>0</v>
      </c>
      <c r="AP161" s="216">
        <f t="shared" si="93"/>
        <v>0</v>
      </c>
    </row>
    <row r="162" spans="1:42" s="119" customFormat="1">
      <c r="A162" s="42"/>
    </row>
    <row r="163" spans="1:42" s="119" customFormat="1">
      <c r="A163" s="217" t="s">
        <v>120</v>
      </c>
    </row>
    <row r="164" spans="1:42" s="119" customFormat="1">
      <c r="A164" s="42" t="s">
        <v>117</v>
      </c>
      <c r="C164" s="220">
        <f>C$43</f>
        <v>3251243.1691174768</v>
      </c>
      <c r="D164" s="220">
        <f t="shared" ref="D164:AP164" si="94">D$43</f>
        <v>3276707.5795011711</v>
      </c>
      <c r="E164" s="220">
        <f t="shared" si="94"/>
        <v>3302101.9565130612</v>
      </c>
      <c r="F164" s="220">
        <f t="shared" si="94"/>
        <v>3327423.3895670958</v>
      </c>
      <c r="G164" s="220">
        <f t="shared" si="94"/>
        <v>3352668.8994461317</v>
      </c>
      <c r="H164" s="220">
        <f t="shared" si="94"/>
        <v>3377835.4367891513</v>
      </c>
      <c r="I164" s="220">
        <f t="shared" si="94"/>
        <v>3402919.8805452073</v>
      </c>
      <c r="J164" s="220">
        <f t="shared" si="94"/>
        <v>3427919.0363933449</v>
      </c>
      <c r="K164" s="220">
        <f t="shared" si="94"/>
        <v>3452829.6351277819</v>
      </c>
      <c r="L164" s="220">
        <f t="shared" si="94"/>
        <v>3477648.3310075202</v>
      </c>
      <c r="M164" s="220">
        <f t="shared" si="94"/>
        <v>3502371.7000696524</v>
      </c>
      <c r="N164" s="220">
        <f t="shared" si="94"/>
        <v>3526996.2384055275</v>
      </c>
      <c r="O164" s="220">
        <f t="shared" si="94"/>
        <v>3551518.3603989678</v>
      </c>
      <c r="P164" s="220">
        <f t="shared" si="94"/>
        <v>3575934.3969256682</v>
      </c>
      <c r="Q164" s="220">
        <f t="shared" si="94"/>
        <v>3600240.593512957</v>
      </c>
      <c r="R164" s="220">
        <f t="shared" si="94"/>
        <v>3624433.1084589958</v>
      </c>
      <c r="S164" s="220">
        <f t="shared" si="94"/>
        <v>3648508.0109105594</v>
      </c>
      <c r="T164" s="220">
        <f t="shared" si="94"/>
        <v>3672461.2788984231</v>
      </c>
      <c r="U164" s="220">
        <f t="shared" si="94"/>
        <v>3696288.7973294733</v>
      </c>
      <c r="V164" s="220">
        <f t="shared" si="94"/>
        <v>3719986.3559345393</v>
      </c>
      <c r="W164" s="220">
        <f t="shared" si="94"/>
        <v>3743549.6471709791</v>
      </c>
      <c r="X164" s="220">
        <f t="shared" si="94"/>
        <v>3752643.3418914988</v>
      </c>
      <c r="Y164" s="220">
        <f t="shared" si="94"/>
        <v>3761593.8537157071</v>
      </c>
      <c r="Z164" s="220">
        <f t="shared" si="94"/>
        <v>3770396.5702283112</v>
      </c>
      <c r="AA164" s="220">
        <f t="shared" si="94"/>
        <v>3779046.7728779251</v>
      </c>
      <c r="AB164" s="220">
        <f t="shared" si="94"/>
        <v>3787539.6346378447</v>
      </c>
      <c r="AC164" s="220">
        <f t="shared" si="94"/>
        <v>3795870.2176152072</v>
      </c>
      <c r="AD164" s="220">
        <f t="shared" si="94"/>
        <v>3804033.4706073655</v>
      </c>
      <c r="AE164" s="220">
        <f t="shared" si="94"/>
        <v>3812024.2266042968</v>
      </c>
      <c r="AF164" s="220">
        <f t="shared" si="94"/>
        <v>7842552.200235853</v>
      </c>
      <c r="AG164" s="220">
        <f t="shared" si="94"/>
        <v>0</v>
      </c>
      <c r="AH164" s="220">
        <f t="shared" si="94"/>
        <v>0</v>
      </c>
      <c r="AI164" s="220">
        <f t="shared" si="94"/>
        <v>0</v>
      </c>
      <c r="AJ164" s="220">
        <f t="shared" si="94"/>
        <v>0</v>
      </c>
      <c r="AK164" s="220">
        <f t="shared" si="94"/>
        <v>0</v>
      </c>
      <c r="AL164" s="220">
        <f t="shared" si="94"/>
        <v>0</v>
      </c>
      <c r="AM164" s="220">
        <f t="shared" si="94"/>
        <v>0</v>
      </c>
      <c r="AN164" s="220">
        <f t="shared" si="94"/>
        <v>0</v>
      </c>
      <c r="AO164" s="220">
        <f t="shared" si="94"/>
        <v>0</v>
      </c>
      <c r="AP164" s="220">
        <f t="shared" si="94"/>
        <v>0</v>
      </c>
    </row>
    <row r="165" spans="1:42" s="119" customFormat="1">
      <c r="A165" s="42" t="s">
        <v>130</v>
      </c>
      <c r="C165" s="220">
        <f t="shared" ref="C165:AP165" si="95">C731</f>
        <v>17563.647870967223</v>
      </c>
      <c r="D165" s="220">
        <f t="shared" si="95"/>
        <v>29793.002111526275</v>
      </c>
      <c r="E165" s="220">
        <f t="shared" si="95"/>
        <v>42021.947824083138</v>
      </c>
      <c r="F165" s="220">
        <f t="shared" si="95"/>
        <v>52438.423918352775</v>
      </c>
      <c r="G165" s="220">
        <f t="shared" si="95"/>
        <v>64693.952324900536</v>
      </c>
      <c r="H165" s="220">
        <f t="shared" si="95"/>
        <v>76949.020058321534</v>
      </c>
      <c r="I165" s="220">
        <f t="shared" si="95"/>
        <v>87308.793570160487</v>
      </c>
      <c r="J165" s="220">
        <f t="shared" si="95"/>
        <v>99591.589918109399</v>
      </c>
      <c r="K165" s="220">
        <f t="shared" si="95"/>
        <v>111873.86968289503</v>
      </c>
      <c r="L165" s="220">
        <f t="shared" si="95"/>
        <v>122174.2459196077</v>
      </c>
      <c r="M165" s="220">
        <f t="shared" si="95"/>
        <v>134485.44971594127</v>
      </c>
      <c r="N165" s="220">
        <f t="shared" si="95"/>
        <v>146796.07699970502</v>
      </c>
      <c r="O165" s="220">
        <f t="shared" si="95"/>
        <v>105218.93347930389</v>
      </c>
      <c r="P165" s="220">
        <f t="shared" si="95"/>
        <v>118399.83467384437</v>
      </c>
      <c r="Q165" s="220">
        <f t="shared" si="95"/>
        <v>131580.09513540493</v>
      </c>
      <c r="R165" s="220">
        <f t="shared" si="95"/>
        <v>34215.227185495583</v>
      </c>
      <c r="S165" s="220">
        <f t="shared" si="95"/>
        <v>49224.937343645164</v>
      </c>
      <c r="T165" s="220">
        <f t="shared" si="95"/>
        <v>64233.937967423168</v>
      </c>
      <c r="U165" s="220">
        <f t="shared" si="95"/>
        <v>76976.729397272138</v>
      </c>
      <c r="V165" s="220">
        <f t="shared" si="95"/>
        <v>92018.558610464446</v>
      </c>
      <c r="W165" s="220">
        <f t="shared" si="95"/>
        <v>90190.096140396621</v>
      </c>
      <c r="X165" s="220">
        <f t="shared" si="95"/>
        <v>102736.69333359678</v>
      </c>
      <c r="Y165" s="220">
        <f t="shared" si="95"/>
        <v>117676.17470796108</v>
      </c>
      <c r="Z165" s="220">
        <f t="shared" si="95"/>
        <v>132615.65608232541</v>
      </c>
      <c r="AA165" s="220">
        <f t="shared" si="95"/>
        <v>83473.976921940499</v>
      </c>
      <c r="AB165" s="220">
        <f t="shared" si="95"/>
        <v>93316.277141678642</v>
      </c>
      <c r="AC165" s="220">
        <f t="shared" si="95"/>
        <v>103158.57736141678</v>
      </c>
      <c r="AD165" s="220">
        <f t="shared" si="95"/>
        <v>110423.63589592067</v>
      </c>
      <c r="AE165" s="220">
        <f t="shared" si="95"/>
        <v>120305.1775197134</v>
      </c>
      <c r="AF165" s="220">
        <f t="shared" si="95"/>
        <v>130186.71914350611</v>
      </c>
      <c r="AG165" s="220">
        <f t="shared" si="95"/>
        <v>0</v>
      </c>
      <c r="AH165" s="220">
        <f t="shared" si="95"/>
        <v>0</v>
      </c>
      <c r="AI165" s="220">
        <f t="shared" si="95"/>
        <v>0</v>
      </c>
      <c r="AJ165" s="220">
        <f t="shared" si="95"/>
        <v>0</v>
      </c>
      <c r="AK165" s="220">
        <f t="shared" si="95"/>
        <v>0</v>
      </c>
      <c r="AL165" s="220">
        <f t="shared" si="95"/>
        <v>0</v>
      </c>
      <c r="AM165" s="220">
        <f t="shared" si="95"/>
        <v>0</v>
      </c>
      <c r="AN165" s="220">
        <f t="shared" si="95"/>
        <v>0</v>
      </c>
      <c r="AO165" s="220">
        <f t="shared" si="95"/>
        <v>0</v>
      </c>
      <c r="AP165" s="220">
        <f t="shared" si="95"/>
        <v>0</v>
      </c>
    </row>
    <row r="166" spans="1:42" s="119" customFormat="1">
      <c r="A166" s="42" t="s">
        <v>118</v>
      </c>
      <c r="C166" s="220">
        <f>-C610</f>
        <v>-1341808.6066802128</v>
      </c>
      <c r="D166" s="220">
        <f t="shared" ref="D166:AP166" si="96">-D610</f>
        <v>-1316226.0261800899</v>
      </c>
      <c r="E166" s="220">
        <f t="shared" si="96"/>
        <v>-1287664.3258937194</v>
      </c>
      <c r="F166" s="220">
        <f t="shared" si="96"/>
        <v>-1255918.2356600815</v>
      </c>
      <c r="G166" s="220">
        <f t="shared" si="96"/>
        <v>-1220841.455129165</v>
      </c>
      <c r="H166" s="220">
        <f t="shared" si="96"/>
        <v>-1182131.1761667295</v>
      </c>
      <c r="I166" s="220">
        <f t="shared" si="96"/>
        <v>-1139536.7392675825</v>
      </c>
      <c r="J166" s="220">
        <f t="shared" si="96"/>
        <v>-1092866.6310944296</v>
      </c>
      <c r="K166" s="220">
        <f t="shared" si="96"/>
        <v>-1041762.988076243</v>
      </c>
      <c r="L166" s="220">
        <f t="shared" si="96"/>
        <v>-985919.59543917619</v>
      </c>
      <c r="M166" s="220">
        <f t="shared" si="96"/>
        <v>-925089.0027221574</v>
      </c>
      <c r="N166" s="220">
        <f t="shared" si="96"/>
        <v>-858846.51129204768</v>
      </c>
      <c r="O166" s="220">
        <f t="shared" si="96"/>
        <v>-786817.90033948957</v>
      </c>
      <c r="P166" s="220">
        <f t="shared" si="96"/>
        <v>-710926.89471743896</v>
      </c>
      <c r="Q166" s="220">
        <f t="shared" si="96"/>
        <v>-628584.1036639323</v>
      </c>
      <c r="R166" s="220">
        <f t="shared" si="96"/>
        <v>-539343.02806260658</v>
      </c>
      <c r="S166" s="220">
        <f t="shared" si="96"/>
        <v>-447608.22357138823</v>
      </c>
      <c r="T166" s="220">
        <f t="shared" si="96"/>
        <v>-348328.48731804494</v>
      </c>
      <c r="U166" s="220">
        <f t="shared" si="96"/>
        <v>-240981.35035420067</v>
      </c>
      <c r="V166" s="220">
        <f t="shared" si="96"/>
        <v>-125099.48354938658</v>
      </c>
      <c r="W166" s="220">
        <f t="shared" si="96"/>
        <v>0</v>
      </c>
      <c r="X166" s="220">
        <f t="shared" si="96"/>
        <v>0</v>
      </c>
      <c r="Y166" s="220">
        <f t="shared" si="96"/>
        <v>0</v>
      </c>
      <c r="Z166" s="220">
        <f t="shared" si="96"/>
        <v>0</v>
      </c>
      <c r="AA166" s="220">
        <f t="shared" si="96"/>
        <v>0</v>
      </c>
      <c r="AB166" s="220">
        <f t="shared" si="96"/>
        <v>0</v>
      </c>
      <c r="AC166" s="220">
        <f t="shared" si="96"/>
        <v>0</v>
      </c>
      <c r="AD166" s="220">
        <f t="shared" si="96"/>
        <v>0</v>
      </c>
      <c r="AE166" s="220">
        <f t="shared" si="96"/>
        <v>0</v>
      </c>
      <c r="AF166" s="220">
        <f t="shared" si="96"/>
        <v>0</v>
      </c>
      <c r="AG166" s="220">
        <f t="shared" si="96"/>
        <v>0</v>
      </c>
      <c r="AH166" s="220">
        <f t="shared" si="96"/>
        <v>0</v>
      </c>
      <c r="AI166" s="220">
        <f t="shared" si="96"/>
        <v>0</v>
      </c>
      <c r="AJ166" s="220">
        <f t="shared" si="96"/>
        <v>0</v>
      </c>
      <c r="AK166" s="220">
        <f t="shared" si="96"/>
        <v>0</v>
      </c>
      <c r="AL166" s="220">
        <f t="shared" si="96"/>
        <v>0</v>
      </c>
      <c r="AM166" s="220">
        <f t="shared" si="96"/>
        <v>0</v>
      </c>
      <c r="AN166" s="220">
        <f t="shared" si="96"/>
        <v>0</v>
      </c>
      <c r="AO166" s="220">
        <f t="shared" si="96"/>
        <v>0</v>
      </c>
      <c r="AP166" s="220">
        <f t="shared" si="96"/>
        <v>0</v>
      </c>
    </row>
    <row r="167" spans="1:42" s="42" customFormat="1">
      <c r="A167" s="42" t="s">
        <v>121</v>
      </c>
      <c r="B167" s="119"/>
      <c r="C167" s="146">
        <f t="shared" ref="C167:AP167" si="97">IF(C$2&lt;=AnalysisPeriod,-C385-C416-C442-C468,0)</f>
        <v>-10818749.442089248</v>
      </c>
      <c r="D167" s="146">
        <f t="shared" si="97"/>
        <v>-11218674.25664016</v>
      </c>
      <c r="E167" s="146">
        <f t="shared" si="97"/>
        <v>-6821842.8586418163</v>
      </c>
      <c r="F167" s="146">
        <f t="shared" si="97"/>
        <v>-4181956.7723799199</v>
      </c>
      <c r="G167" s="146">
        <f t="shared" si="97"/>
        <v>-4163854.9618569715</v>
      </c>
      <c r="H167" s="146">
        <f t="shared" si="97"/>
        <v>-2187902.9850724139</v>
      </c>
      <c r="I167" s="146">
        <f t="shared" si="97"/>
        <v>-213606.58411845687</v>
      </c>
      <c r="J167" s="146">
        <f t="shared" si="97"/>
        <v>-193776.86909118391</v>
      </c>
      <c r="K167" s="146">
        <f t="shared" si="97"/>
        <v>-202269.29771734285</v>
      </c>
      <c r="L167" s="146">
        <f t="shared" si="97"/>
        <v>-215616.99471240171</v>
      </c>
      <c r="M167" s="146">
        <f t="shared" si="97"/>
        <v>-195162.94778569261</v>
      </c>
      <c r="N167" s="146">
        <f t="shared" si="97"/>
        <v>-792669.56226245523</v>
      </c>
      <c r="O167" s="146">
        <f t="shared" si="97"/>
        <v>-1160359.844775504</v>
      </c>
      <c r="P167" s="146">
        <f t="shared" si="97"/>
        <v>-761679.62706573529</v>
      </c>
      <c r="Q167" s="146">
        <f t="shared" si="97"/>
        <v>-1776539.2452987309</v>
      </c>
      <c r="R167" s="146">
        <f t="shared" si="97"/>
        <v>-2475947.8118873206</v>
      </c>
      <c r="S167" s="146">
        <f t="shared" si="97"/>
        <v>-1441192.311473175</v>
      </c>
      <c r="T167" s="146">
        <f t="shared" si="97"/>
        <v>-808089.00062724261</v>
      </c>
      <c r="U167" s="146">
        <f t="shared" si="97"/>
        <v>-823545.24459767051</v>
      </c>
      <c r="V167" s="146">
        <f t="shared" si="97"/>
        <v>-445218.02091389045</v>
      </c>
      <c r="W167" s="146">
        <f t="shared" si="97"/>
        <v>-73826.617066911742</v>
      </c>
      <c r="X167" s="146">
        <f t="shared" si="97"/>
        <v>-63392.93275726353</v>
      </c>
      <c r="Y167" s="146">
        <f t="shared" si="97"/>
        <v>-38734.191567617454</v>
      </c>
      <c r="Z167" s="146">
        <f t="shared" si="97"/>
        <v>-753327.46840864141</v>
      </c>
      <c r="AA167" s="146">
        <f t="shared" si="97"/>
        <v>-1192741.1406469215</v>
      </c>
      <c r="AB167" s="146">
        <f t="shared" si="97"/>
        <v>-716275.33875502762</v>
      </c>
      <c r="AC167" s="146">
        <f t="shared" si="97"/>
        <v>-456746.89437319152</v>
      </c>
      <c r="AD167" s="146">
        <f t="shared" si="97"/>
        <v>-474419.40878622641</v>
      </c>
      <c r="AE167" s="146">
        <f t="shared" si="97"/>
        <v>-244650.16407128138</v>
      </c>
      <c r="AF167" s="146">
        <f t="shared" si="97"/>
        <v>-1593201.3152274087</v>
      </c>
      <c r="AG167" s="146">
        <f t="shared" si="97"/>
        <v>0</v>
      </c>
      <c r="AH167" s="146">
        <f t="shared" si="97"/>
        <v>0</v>
      </c>
      <c r="AI167" s="146">
        <f t="shared" si="97"/>
        <v>0</v>
      </c>
      <c r="AJ167" s="146">
        <f t="shared" si="97"/>
        <v>0</v>
      </c>
      <c r="AK167" s="146">
        <f t="shared" si="97"/>
        <v>0</v>
      </c>
      <c r="AL167" s="146">
        <f t="shared" si="97"/>
        <v>0</v>
      </c>
      <c r="AM167" s="146">
        <f t="shared" si="97"/>
        <v>0</v>
      </c>
      <c r="AN167" s="146">
        <f t="shared" si="97"/>
        <v>0</v>
      </c>
      <c r="AO167" s="146">
        <f t="shared" si="97"/>
        <v>0</v>
      </c>
      <c r="AP167" s="146">
        <f t="shared" si="97"/>
        <v>0</v>
      </c>
    </row>
    <row r="168" spans="1:42" s="119" customFormat="1">
      <c r="A168" s="42" t="s">
        <v>131</v>
      </c>
      <c r="C168" s="225">
        <f>C161</f>
        <v>-353782.2703240164</v>
      </c>
      <c r="D168" s="225">
        <f t="shared" ref="D168:AP168" si="98">D161</f>
        <v>541176.36429520417</v>
      </c>
      <c r="E168" s="225">
        <f t="shared" si="98"/>
        <v>282264.70884818485</v>
      </c>
      <c r="F168" s="225">
        <f t="shared" si="98"/>
        <v>125291.90276286435</v>
      </c>
      <c r="G168" s="225">
        <f t="shared" si="98"/>
        <v>120304.52314919471</v>
      </c>
      <c r="H168" s="225">
        <f t="shared" si="98"/>
        <v>1389.3222727238294</v>
      </c>
      <c r="I168" s="225">
        <f t="shared" si="98"/>
        <v>-117539.69429011305</v>
      </c>
      <c r="J168" s="225">
        <f t="shared" si="98"/>
        <v>-123247.69193692126</v>
      </c>
      <c r="K168" s="225">
        <f t="shared" si="98"/>
        <v>-127636.91704594002</v>
      </c>
      <c r="L168" s="225">
        <f t="shared" si="98"/>
        <v>-131905.72927265524</v>
      </c>
      <c r="M168" s="225">
        <f t="shared" si="98"/>
        <v>-138413.28596027588</v>
      </c>
      <c r="N168" s="225">
        <f t="shared" si="98"/>
        <v>-111225.19330179012</v>
      </c>
      <c r="O168" s="225">
        <f t="shared" si="98"/>
        <v>-94025.775181980309</v>
      </c>
      <c r="P168" s="225">
        <f t="shared" si="98"/>
        <v>-122195.02403989859</v>
      </c>
      <c r="Q168" s="225">
        <f t="shared" si="98"/>
        <v>-72968.353682713408</v>
      </c>
      <c r="R168" s="225">
        <f t="shared" si="98"/>
        <v>-35384.662263201033</v>
      </c>
      <c r="S168" s="225">
        <f t="shared" si="98"/>
        <v>-99491.282726530306</v>
      </c>
      <c r="T168" s="225">
        <f t="shared" si="98"/>
        <v>-141915.27509063075</v>
      </c>
      <c r="U168" s="225">
        <f t="shared" si="98"/>
        <v>-148980.64124761807</v>
      </c>
      <c r="V168" s="225">
        <f t="shared" si="98"/>
        <v>-178292.80755449497</v>
      </c>
      <c r="W168" s="225">
        <f t="shared" si="98"/>
        <v>-206795.22194344553</v>
      </c>
      <c r="X168" s="225">
        <f t="shared" si="98"/>
        <v>-208559.29063573078</v>
      </c>
      <c r="Y168" s="225">
        <f t="shared" si="98"/>
        <v>-211229.47102708279</v>
      </c>
      <c r="Z168" s="225">
        <f t="shared" si="98"/>
        <v>-173232.66168460975</v>
      </c>
      <c r="AA168" s="225">
        <f t="shared" si="98"/>
        <v>-146837.87850341195</v>
      </c>
      <c r="AB168" s="225">
        <f t="shared" si="98"/>
        <v>-174051.93151634725</v>
      </c>
      <c r="AC168" s="225">
        <f t="shared" si="98"/>
        <v>-189325.5045331888</v>
      </c>
      <c r="AD168" s="225">
        <f t="shared" si="98"/>
        <v>-189202.07337443827</v>
      </c>
      <c r="AE168" s="225">
        <f t="shared" si="98"/>
        <v>-202822.3582029001</v>
      </c>
      <c r="AF168" s="225">
        <f t="shared" si="98"/>
        <v>-350874.56822835724</v>
      </c>
      <c r="AG168" s="225">
        <f t="shared" si="98"/>
        <v>0</v>
      </c>
      <c r="AH168" s="225">
        <f t="shared" si="98"/>
        <v>0</v>
      </c>
      <c r="AI168" s="225">
        <f t="shared" si="98"/>
        <v>0</v>
      </c>
      <c r="AJ168" s="225">
        <f t="shared" si="98"/>
        <v>0</v>
      </c>
      <c r="AK168" s="225">
        <f t="shared" si="98"/>
        <v>0</v>
      </c>
      <c r="AL168" s="225">
        <f t="shared" si="98"/>
        <v>0</v>
      </c>
      <c r="AM168" s="225">
        <f t="shared" si="98"/>
        <v>0</v>
      </c>
      <c r="AN168" s="225">
        <f t="shared" si="98"/>
        <v>0</v>
      </c>
      <c r="AO168" s="225">
        <f t="shared" si="98"/>
        <v>0</v>
      </c>
      <c r="AP168" s="225">
        <f t="shared" si="98"/>
        <v>0</v>
      </c>
    </row>
    <row r="169" spans="1:42" s="119" customFormat="1">
      <c r="A169" s="42" t="s">
        <v>119</v>
      </c>
      <c r="C169" s="220">
        <f>SUM(C164:C168)</f>
        <v>-9245533.502105033</v>
      </c>
      <c r="D169" s="220">
        <f t="shared" ref="D169:AP169" si="99">SUM(D164:D168)</f>
        <v>-8687223.3369123489</v>
      </c>
      <c r="E169" s="220">
        <f t="shared" si="99"/>
        <v>-4483118.5713502066</v>
      </c>
      <c r="F169" s="220">
        <f t="shared" si="99"/>
        <v>-1932721.2917916882</v>
      </c>
      <c r="G169" s="220">
        <f t="shared" si="99"/>
        <v>-1847029.0420659096</v>
      </c>
      <c r="H169" s="220">
        <f t="shared" si="99"/>
        <v>86139.617881053418</v>
      </c>
      <c r="I169" s="220">
        <f t="shared" si="99"/>
        <v>2019545.6564392149</v>
      </c>
      <c r="J169" s="220">
        <f t="shared" si="99"/>
        <v>2117619.4341889196</v>
      </c>
      <c r="K169" s="220">
        <f t="shared" si="99"/>
        <v>2193034.301971151</v>
      </c>
      <c r="L169" s="220">
        <f t="shared" si="99"/>
        <v>2266380.2575028948</v>
      </c>
      <c r="M169" s="220">
        <f t="shared" si="99"/>
        <v>2378191.9133174676</v>
      </c>
      <c r="N169" s="220">
        <f t="shared" si="99"/>
        <v>1911051.0485489392</v>
      </c>
      <c r="O169" s="220">
        <f t="shared" si="99"/>
        <v>1615533.7735812981</v>
      </c>
      <c r="P169" s="220">
        <f t="shared" si="99"/>
        <v>2099532.6857764395</v>
      </c>
      <c r="Q169" s="220">
        <f t="shared" si="99"/>
        <v>1253728.9860029849</v>
      </c>
      <c r="R169" s="220">
        <f t="shared" si="99"/>
        <v>607972.83343136311</v>
      </c>
      <c r="S169" s="220">
        <f t="shared" si="99"/>
        <v>1709441.1304831116</v>
      </c>
      <c r="T169" s="220">
        <f t="shared" si="99"/>
        <v>2438362.4538299283</v>
      </c>
      <c r="U169" s="220">
        <f t="shared" si="99"/>
        <v>2559758.2905272562</v>
      </c>
      <c r="V169" s="220">
        <f t="shared" si="99"/>
        <v>3063394.6025272314</v>
      </c>
      <c r="W169" s="220">
        <f t="shared" si="99"/>
        <v>3553117.9043010185</v>
      </c>
      <c r="X169" s="220">
        <f t="shared" si="99"/>
        <v>3583427.8118321015</v>
      </c>
      <c r="Y169" s="220">
        <f t="shared" si="99"/>
        <v>3629306.3658289681</v>
      </c>
      <c r="Z169" s="220">
        <f t="shared" si="99"/>
        <v>2976452.0962173855</v>
      </c>
      <c r="AA169" s="220">
        <f t="shared" si="99"/>
        <v>2522941.7306495323</v>
      </c>
      <c r="AB169" s="220">
        <f t="shared" si="99"/>
        <v>2990528.6415081481</v>
      </c>
      <c r="AC169" s="220">
        <f t="shared" si="99"/>
        <v>3252956.3960702438</v>
      </c>
      <c r="AD169" s="220">
        <f t="shared" si="99"/>
        <v>3250835.6243426213</v>
      </c>
      <c r="AE169" s="220">
        <f t="shared" si="99"/>
        <v>3484856.8818498286</v>
      </c>
      <c r="AF169" s="220">
        <f t="shared" si="99"/>
        <v>6028663.0359235927</v>
      </c>
      <c r="AG169" s="220">
        <f t="shared" si="99"/>
        <v>0</v>
      </c>
      <c r="AH169" s="220">
        <f t="shared" si="99"/>
        <v>0</v>
      </c>
      <c r="AI169" s="220">
        <f t="shared" si="99"/>
        <v>0</v>
      </c>
      <c r="AJ169" s="220">
        <f t="shared" si="99"/>
        <v>0</v>
      </c>
      <c r="AK169" s="220">
        <f t="shared" si="99"/>
        <v>0</v>
      </c>
      <c r="AL169" s="220">
        <f t="shared" si="99"/>
        <v>0</v>
      </c>
      <c r="AM169" s="220">
        <f t="shared" si="99"/>
        <v>0</v>
      </c>
      <c r="AN169" s="220">
        <f t="shared" si="99"/>
        <v>0</v>
      </c>
      <c r="AO169" s="220">
        <f t="shared" si="99"/>
        <v>0</v>
      </c>
      <c r="AP169" s="220">
        <f t="shared" si="99"/>
        <v>0</v>
      </c>
    </row>
    <row r="170" spans="1:42" s="119" customFormat="1">
      <c r="A170" s="42" t="str">
        <f>'Inputs &amp; Results'!A48</f>
        <v>Investment Based Incentive (IBI)</v>
      </c>
    </row>
    <row r="171" spans="1:42" s="119" customFormat="1">
      <c r="A171" s="226" t="str">
        <f>'Inputs &amp; Results'!A49</f>
        <v>Fixed Amount ($)</v>
      </c>
    </row>
    <row r="172" spans="1:42" s="119" customFormat="1">
      <c r="A172" s="227" t="str">
        <f>'Inputs &amp; Results'!A50</f>
        <v>Federal</v>
      </c>
      <c r="C172" s="220">
        <f>IF(IBIFedFixedFedTax="Yes",C556,0)</f>
        <v>1000</v>
      </c>
    </row>
    <row r="173" spans="1:42" s="119" customFormat="1">
      <c r="A173" s="227" t="str">
        <f>'Inputs &amp; Results'!A51</f>
        <v>State</v>
      </c>
      <c r="C173" s="220">
        <f>IF(IBIStateFixedFedTax="Yes",C557,0)</f>
        <v>2000</v>
      </c>
    </row>
    <row r="174" spans="1:42" s="119" customFormat="1">
      <c r="A174" s="227" t="str">
        <f>'Inputs &amp; Results'!A52</f>
        <v>Utility</v>
      </c>
      <c r="C174" s="220">
        <f>IF(IBIUtilityFixedFedTax="Yes",C558,0)</f>
        <v>500</v>
      </c>
    </row>
    <row r="175" spans="1:42">
      <c r="A175" s="227" t="str">
        <f>'Inputs &amp; Results'!A53</f>
        <v>Other</v>
      </c>
      <c r="C175" s="225">
        <f>IF(IBIOtherFixedFedTax="Yes",C559,0)</f>
        <v>250</v>
      </c>
      <c r="D175" s="208"/>
      <c r="E175" s="208"/>
      <c r="F175" s="208"/>
      <c r="G175" s="208"/>
      <c r="H175" s="208"/>
      <c r="I175" s="208"/>
      <c r="J175" s="208"/>
      <c r="K175" s="208"/>
      <c r="L175" s="208"/>
      <c r="M175" s="208"/>
      <c r="N175" s="208"/>
      <c r="O175" s="208"/>
      <c r="P175" s="208"/>
      <c r="Q175" s="208"/>
      <c r="R175" s="208"/>
      <c r="S175" s="208"/>
      <c r="T175" s="208"/>
      <c r="U175" s="208"/>
      <c r="V175" s="208"/>
      <c r="W175" s="208"/>
      <c r="X175" s="208"/>
      <c r="Y175" s="208"/>
      <c r="Z175" s="208"/>
      <c r="AA175" s="208"/>
      <c r="AB175" s="208"/>
      <c r="AC175" s="208"/>
      <c r="AD175" s="208"/>
      <c r="AE175" s="208"/>
      <c r="AF175" s="208"/>
      <c r="AG175" s="208"/>
      <c r="AH175" s="208"/>
      <c r="AI175" s="208"/>
      <c r="AJ175" s="208"/>
      <c r="AK175" s="208"/>
      <c r="AL175" s="208"/>
      <c r="AM175" s="208"/>
      <c r="AN175" s="208"/>
      <c r="AO175" s="208"/>
      <c r="AP175" s="208"/>
    </row>
    <row r="176" spans="1:42">
      <c r="A176" s="227" t="s">
        <v>53</v>
      </c>
      <c r="C176" s="208">
        <f>SUM(C172:C175)</f>
        <v>3750</v>
      </c>
      <c r="D176" s="208"/>
      <c r="E176" s="208"/>
      <c r="F176" s="208"/>
      <c r="G176" s="208"/>
      <c r="H176" s="208"/>
      <c r="I176" s="208"/>
      <c r="J176" s="208"/>
      <c r="K176" s="208"/>
      <c r="L176" s="208"/>
      <c r="M176" s="208"/>
      <c r="N176" s="208"/>
      <c r="O176" s="208"/>
      <c r="P176" s="208"/>
      <c r="Q176" s="208"/>
      <c r="R176" s="208"/>
      <c r="S176" s="208"/>
      <c r="T176" s="208"/>
      <c r="U176" s="208"/>
      <c r="V176" s="208"/>
      <c r="W176" s="208"/>
      <c r="X176" s="208"/>
      <c r="Y176" s="208"/>
      <c r="Z176" s="208"/>
      <c r="AA176" s="208"/>
      <c r="AB176" s="208"/>
      <c r="AC176" s="208"/>
      <c r="AD176" s="208"/>
      <c r="AE176" s="208"/>
      <c r="AF176" s="208"/>
      <c r="AG176" s="208"/>
      <c r="AH176" s="208"/>
      <c r="AI176" s="208"/>
      <c r="AJ176" s="208"/>
      <c r="AK176" s="208"/>
      <c r="AL176" s="208"/>
      <c r="AM176" s="208"/>
      <c r="AN176" s="208"/>
      <c r="AO176" s="208"/>
      <c r="AP176" s="208"/>
    </row>
    <row r="177" spans="1:42">
      <c r="A177" s="226" t="str">
        <f>'Inputs &amp; Results'!A54</f>
        <v>Percentage of Pre-Financing Costs</v>
      </c>
      <c r="C177" s="208"/>
      <c r="D177" s="208"/>
      <c r="E177" s="208"/>
      <c r="F177" s="208"/>
      <c r="G177" s="208"/>
      <c r="H177" s="208"/>
      <c r="I177" s="208"/>
      <c r="J177" s="208"/>
      <c r="K177" s="208"/>
      <c r="L177" s="208"/>
      <c r="M177" s="208"/>
      <c r="N177" s="208"/>
      <c r="O177" s="208"/>
      <c r="P177" s="208"/>
      <c r="Q177" s="208"/>
      <c r="R177" s="208"/>
      <c r="S177" s="208"/>
      <c r="T177" s="208"/>
      <c r="U177" s="208"/>
      <c r="V177" s="208"/>
      <c r="W177" s="208"/>
      <c r="X177" s="208"/>
      <c r="Y177" s="208"/>
      <c r="Z177" s="208"/>
      <c r="AA177" s="208"/>
      <c r="AB177" s="208"/>
      <c r="AC177" s="208"/>
      <c r="AD177" s="208"/>
      <c r="AE177" s="208"/>
      <c r="AF177" s="208"/>
      <c r="AG177" s="208"/>
      <c r="AH177" s="208"/>
      <c r="AI177" s="208"/>
      <c r="AJ177" s="208"/>
      <c r="AK177" s="208"/>
      <c r="AL177" s="208"/>
      <c r="AM177" s="208"/>
      <c r="AN177" s="208"/>
      <c r="AO177" s="208"/>
      <c r="AP177" s="208"/>
    </row>
    <row r="178" spans="1:42">
      <c r="A178" s="227" t="str">
        <f>'Inputs &amp; Results'!A55</f>
        <v>Federal</v>
      </c>
      <c r="C178" s="220">
        <f>IF(IBIFedPercentFedTax="Yes",C562,0)</f>
        <v>2011357.5</v>
      </c>
      <c r="D178" s="208"/>
      <c r="E178" s="208"/>
      <c r="F178" s="208"/>
      <c r="G178" s="208"/>
      <c r="H178" s="208"/>
      <c r="I178" s="208"/>
      <c r="J178" s="208"/>
      <c r="K178" s="208"/>
      <c r="L178" s="208"/>
      <c r="M178" s="208"/>
      <c r="N178" s="208"/>
      <c r="O178" s="208"/>
      <c r="P178" s="208"/>
      <c r="Q178" s="208"/>
      <c r="R178" s="208"/>
      <c r="S178" s="208"/>
      <c r="T178" s="208"/>
      <c r="U178" s="208"/>
      <c r="V178" s="208"/>
      <c r="W178" s="208"/>
      <c r="X178" s="208"/>
      <c r="Y178" s="208"/>
      <c r="Z178" s="208"/>
      <c r="AA178" s="208"/>
      <c r="AB178" s="208"/>
      <c r="AC178" s="208"/>
      <c r="AD178" s="208"/>
      <c r="AE178" s="208"/>
      <c r="AF178" s="208"/>
      <c r="AG178" s="208"/>
      <c r="AH178" s="208"/>
      <c r="AI178" s="208"/>
      <c r="AJ178" s="208"/>
      <c r="AK178" s="208"/>
      <c r="AL178" s="208"/>
      <c r="AM178" s="208"/>
      <c r="AN178" s="208"/>
      <c r="AO178" s="208"/>
      <c r="AP178" s="208"/>
    </row>
    <row r="179" spans="1:42">
      <c r="A179" s="227" t="str">
        <f>'Inputs &amp; Results'!A56</f>
        <v>State</v>
      </c>
      <c r="C179" s="220">
        <f>IF(IBIStatePercentFedTax="Yes",C563,0)</f>
        <v>4022715</v>
      </c>
      <c r="D179" s="208"/>
      <c r="E179" s="208"/>
      <c r="F179" s="208"/>
      <c r="G179" s="208"/>
      <c r="H179" s="208"/>
      <c r="I179" s="208"/>
      <c r="J179" s="208"/>
      <c r="K179" s="208"/>
      <c r="L179" s="208"/>
      <c r="M179" s="208"/>
      <c r="N179" s="208"/>
      <c r="O179" s="208"/>
      <c r="P179" s="208"/>
      <c r="Q179" s="208"/>
      <c r="R179" s="208"/>
      <c r="S179" s="208"/>
      <c r="T179" s="208"/>
      <c r="U179" s="208"/>
      <c r="V179" s="208"/>
      <c r="W179" s="208"/>
      <c r="X179" s="208"/>
      <c r="Y179" s="208"/>
      <c r="Z179" s="208"/>
      <c r="AA179" s="208"/>
      <c r="AB179" s="208"/>
      <c r="AC179" s="208"/>
      <c r="AD179" s="208"/>
      <c r="AE179" s="208"/>
      <c r="AF179" s="208"/>
      <c r="AG179" s="208"/>
      <c r="AH179" s="208"/>
      <c r="AI179" s="208"/>
      <c r="AJ179" s="208"/>
      <c r="AK179" s="208"/>
      <c r="AL179" s="208"/>
      <c r="AM179" s="208"/>
      <c r="AN179" s="208"/>
      <c r="AO179" s="208"/>
      <c r="AP179" s="208"/>
    </row>
    <row r="180" spans="1:42">
      <c r="A180" s="227" t="str">
        <f>'Inputs &amp; Results'!A57</f>
        <v>Utility</v>
      </c>
      <c r="C180" s="220">
        <f>IF(IBIUtilityPercentFedTax="Yes",C564,0)</f>
        <v>402271.5</v>
      </c>
      <c r="D180" s="208"/>
      <c r="E180" s="208"/>
      <c r="F180" s="208"/>
      <c r="G180" s="208"/>
      <c r="H180" s="208"/>
      <c r="I180" s="208"/>
      <c r="J180" s="208"/>
      <c r="K180" s="208"/>
      <c r="L180" s="208"/>
      <c r="M180" s="208"/>
      <c r="N180" s="208"/>
      <c r="O180" s="208"/>
      <c r="P180" s="208"/>
      <c r="Q180" s="208"/>
      <c r="R180" s="208"/>
      <c r="S180" s="208"/>
      <c r="T180" s="208"/>
      <c r="U180" s="208"/>
      <c r="V180" s="208"/>
      <c r="W180" s="208"/>
      <c r="X180" s="208"/>
      <c r="Y180" s="208"/>
      <c r="Z180" s="208"/>
      <c r="AA180" s="208"/>
      <c r="AB180" s="208"/>
      <c r="AC180" s="208"/>
      <c r="AD180" s="208"/>
      <c r="AE180" s="208"/>
      <c r="AF180" s="208"/>
      <c r="AG180" s="208"/>
      <c r="AH180" s="208"/>
      <c r="AI180" s="208"/>
      <c r="AJ180" s="208"/>
      <c r="AK180" s="208"/>
      <c r="AL180" s="208"/>
      <c r="AM180" s="208"/>
      <c r="AN180" s="208"/>
      <c r="AO180" s="208"/>
      <c r="AP180" s="208"/>
    </row>
    <row r="181" spans="1:42">
      <c r="A181" s="227" t="str">
        <f>'Inputs &amp; Results'!A58</f>
        <v>Other</v>
      </c>
      <c r="C181" s="225">
        <f>IF(IBIOtherPercentFedTax="Yes",C565,0)</f>
        <v>201135.75</v>
      </c>
      <c r="D181" s="208"/>
      <c r="E181" s="208"/>
      <c r="F181" s="208"/>
      <c r="G181" s="208"/>
      <c r="H181" s="208"/>
      <c r="I181" s="208"/>
      <c r="J181" s="208"/>
      <c r="K181" s="208"/>
      <c r="L181" s="208"/>
      <c r="M181" s="208"/>
      <c r="N181" s="208"/>
      <c r="O181" s="208"/>
      <c r="P181" s="208"/>
      <c r="Q181" s="208"/>
      <c r="R181" s="208"/>
      <c r="S181" s="208"/>
      <c r="T181" s="208"/>
      <c r="U181" s="208"/>
      <c r="V181" s="208"/>
      <c r="W181" s="208"/>
      <c r="X181" s="208"/>
      <c r="Y181" s="208"/>
      <c r="Z181" s="208"/>
      <c r="AA181" s="208"/>
      <c r="AB181" s="208"/>
      <c r="AC181" s="208"/>
      <c r="AD181" s="208"/>
      <c r="AE181" s="208"/>
      <c r="AF181" s="208"/>
      <c r="AG181" s="208"/>
      <c r="AH181" s="208"/>
      <c r="AI181" s="208"/>
      <c r="AJ181" s="208"/>
      <c r="AK181" s="208"/>
      <c r="AL181" s="208"/>
      <c r="AM181" s="208"/>
      <c r="AN181" s="208"/>
      <c r="AO181" s="208"/>
      <c r="AP181" s="208"/>
    </row>
    <row r="182" spans="1:42">
      <c r="A182" s="227" t="s">
        <v>53</v>
      </c>
      <c r="C182" s="208">
        <f>SUM(C178:C181)</f>
        <v>6637479.75</v>
      </c>
      <c r="D182" s="208"/>
      <c r="E182" s="208"/>
      <c r="F182" s="208"/>
      <c r="G182" s="208"/>
      <c r="H182" s="208"/>
      <c r="I182" s="208"/>
      <c r="J182" s="208"/>
      <c r="K182" s="208"/>
      <c r="L182" s="208"/>
      <c r="M182" s="208"/>
      <c r="N182" s="208"/>
      <c r="O182" s="208"/>
      <c r="P182" s="208"/>
      <c r="Q182" s="208"/>
      <c r="R182" s="208"/>
      <c r="S182" s="208"/>
      <c r="T182" s="208"/>
      <c r="U182" s="208"/>
      <c r="V182" s="208"/>
      <c r="W182" s="208"/>
      <c r="X182" s="208"/>
      <c r="Y182" s="208"/>
      <c r="Z182" s="208"/>
      <c r="AA182" s="208"/>
      <c r="AB182" s="208"/>
      <c r="AC182" s="208"/>
      <c r="AD182" s="208"/>
      <c r="AE182" s="208"/>
      <c r="AF182" s="208"/>
      <c r="AG182" s="208"/>
      <c r="AH182" s="208"/>
      <c r="AI182" s="208"/>
      <c r="AJ182" s="208"/>
      <c r="AK182" s="208"/>
      <c r="AL182" s="208"/>
      <c r="AM182" s="208"/>
      <c r="AN182" s="208"/>
      <c r="AO182" s="208"/>
      <c r="AP182" s="208"/>
    </row>
    <row r="183" spans="1:42">
      <c r="A183" s="219" t="str">
        <f>'Inputs &amp; Results'!A59</f>
        <v>Capacity Based Incentive (CBI) ($/DC-Watt)</v>
      </c>
      <c r="C183" s="208"/>
      <c r="D183" s="208"/>
      <c r="E183" s="208"/>
      <c r="F183" s="208"/>
      <c r="G183" s="208"/>
      <c r="H183" s="208"/>
      <c r="I183" s="208"/>
      <c r="J183" s="208"/>
      <c r="K183" s="208"/>
      <c r="L183" s="208"/>
      <c r="M183" s="208"/>
      <c r="N183" s="208"/>
      <c r="O183" s="208"/>
      <c r="P183" s="208"/>
      <c r="Q183" s="208"/>
      <c r="R183" s="208"/>
      <c r="S183" s="208"/>
      <c r="T183" s="208"/>
      <c r="U183" s="208"/>
      <c r="V183" s="208"/>
      <c r="W183" s="208"/>
      <c r="X183" s="208"/>
      <c r="Y183" s="208"/>
      <c r="Z183" s="208"/>
      <c r="AA183" s="208"/>
      <c r="AB183" s="208"/>
      <c r="AC183" s="208"/>
      <c r="AD183" s="208"/>
      <c r="AE183" s="208"/>
      <c r="AF183" s="208"/>
      <c r="AG183" s="208"/>
      <c r="AH183" s="208"/>
      <c r="AI183" s="208"/>
      <c r="AJ183" s="208"/>
      <c r="AK183" s="208"/>
      <c r="AL183" s="208"/>
      <c r="AM183" s="208"/>
      <c r="AN183" s="208"/>
      <c r="AO183" s="208"/>
      <c r="AP183" s="208"/>
    </row>
    <row r="184" spans="1:42">
      <c r="A184" s="226" t="str">
        <f>'Inputs &amp; Results'!A60</f>
        <v>Federal</v>
      </c>
      <c r="C184" s="146">
        <f>IF(CBIFedFedTax="Yes",C568,0)</f>
        <v>5000000</v>
      </c>
      <c r="D184" s="208"/>
      <c r="E184" s="208"/>
      <c r="F184" s="208"/>
      <c r="G184" s="208"/>
      <c r="H184" s="208"/>
      <c r="I184" s="208"/>
      <c r="J184" s="208"/>
      <c r="K184" s="208"/>
      <c r="L184" s="208"/>
      <c r="M184" s="208"/>
      <c r="N184" s="208"/>
      <c r="O184" s="208"/>
      <c r="P184" s="208"/>
      <c r="Q184" s="208"/>
      <c r="R184" s="208"/>
      <c r="S184" s="208"/>
      <c r="T184" s="208"/>
      <c r="U184" s="208"/>
      <c r="V184" s="208"/>
      <c r="W184" s="208"/>
      <c r="X184" s="208"/>
      <c r="Y184" s="208"/>
      <c r="Z184" s="208"/>
      <c r="AA184" s="208"/>
      <c r="AB184" s="208"/>
      <c r="AC184" s="208"/>
      <c r="AD184" s="208"/>
      <c r="AE184" s="208"/>
      <c r="AF184" s="208"/>
      <c r="AG184" s="208"/>
      <c r="AH184" s="208"/>
      <c r="AI184" s="208"/>
      <c r="AJ184" s="208"/>
      <c r="AK184" s="208"/>
      <c r="AL184" s="208"/>
      <c r="AM184" s="208"/>
      <c r="AN184" s="208"/>
      <c r="AO184" s="208"/>
      <c r="AP184" s="208"/>
    </row>
    <row r="185" spans="1:42">
      <c r="A185" s="226" t="str">
        <f>'Inputs &amp; Results'!A61</f>
        <v>State</v>
      </c>
      <c r="C185" s="146">
        <f>IF(CBIStateFedTax="Yes",C569,0)</f>
        <v>2000000</v>
      </c>
      <c r="D185" s="208"/>
      <c r="E185" s="208"/>
      <c r="F185" s="208"/>
      <c r="G185" s="208"/>
      <c r="H185" s="208"/>
      <c r="I185" s="208"/>
      <c r="J185" s="208"/>
      <c r="K185" s="208"/>
      <c r="L185" s="208"/>
      <c r="M185" s="208"/>
      <c r="N185" s="208"/>
      <c r="O185" s="208"/>
      <c r="P185" s="208"/>
      <c r="Q185" s="208"/>
      <c r="R185" s="208"/>
      <c r="S185" s="208"/>
      <c r="T185" s="208"/>
      <c r="U185" s="208"/>
      <c r="V185" s="208"/>
      <c r="W185" s="208"/>
      <c r="X185" s="208"/>
      <c r="Y185" s="208"/>
      <c r="Z185" s="208"/>
      <c r="AA185" s="208"/>
      <c r="AB185" s="208"/>
      <c r="AC185" s="208"/>
      <c r="AD185" s="208"/>
      <c r="AE185" s="208"/>
      <c r="AF185" s="208"/>
      <c r="AG185" s="208"/>
      <c r="AH185" s="208"/>
      <c r="AI185" s="208"/>
      <c r="AJ185" s="208"/>
      <c r="AK185" s="208"/>
      <c r="AL185" s="208"/>
      <c r="AM185" s="208"/>
      <c r="AN185" s="208"/>
      <c r="AO185" s="208"/>
      <c r="AP185" s="208"/>
    </row>
    <row r="186" spans="1:42">
      <c r="A186" s="226" t="str">
        <f>'Inputs &amp; Results'!A62</f>
        <v>Utility</v>
      </c>
      <c r="C186" s="146">
        <f>IF(CBIUtilityFedTax="Yes",C570,0)</f>
        <v>100000</v>
      </c>
      <c r="D186" s="208"/>
      <c r="E186" s="208"/>
      <c r="F186" s="208"/>
      <c r="G186" s="208"/>
      <c r="H186" s="208"/>
      <c r="I186" s="208"/>
      <c r="J186" s="208"/>
      <c r="K186" s="208"/>
      <c r="L186" s="208"/>
      <c r="M186" s="208"/>
      <c r="N186" s="208"/>
      <c r="O186" s="208"/>
      <c r="P186" s="208"/>
      <c r="Q186" s="208"/>
      <c r="R186" s="208"/>
      <c r="S186" s="208"/>
      <c r="T186" s="208"/>
      <c r="U186" s="208"/>
      <c r="V186" s="208"/>
      <c r="W186" s="208"/>
      <c r="X186" s="208"/>
      <c r="Y186" s="208"/>
      <c r="Z186" s="208"/>
      <c r="AA186" s="208"/>
      <c r="AB186" s="208"/>
      <c r="AC186" s="208"/>
      <c r="AD186" s="208"/>
      <c r="AE186" s="208"/>
      <c r="AF186" s="208"/>
      <c r="AG186" s="208"/>
      <c r="AH186" s="208"/>
      <c r="AI186" s="208"/>
      <c r="AJ186" s="208"/>
      <c r="AK186" s="208"/>
      <c r="AL186" s="208"/>
      <c r="AM186" s="208"/>
      <c r="AN186" s="208"/>
      <c r="AO186" s="208"/>
      <c r="AP186" s="208"/>
    </row>
    <row r="187" spans="1:42">
      <c r="A187" s="226" t="str">
        <f>'Inputs &amp; Results'!A63</f>
        <v>Other</v>
      </c>
      <c r="C187" s="225">
        <f>IF(CBIOtherFedTax="Yes",C571,0)</f>
        <v>50000</v>
      </c>
      <c r="D187" s="208"/>
      <c r="E187" s="208"/>
      <c r="F187" s="208"/>
      <c r="G187" s="208"/>
      <c r="H187" s="208"/>
      <c r="I187" s="208"/>
      <c r="J187" s="208"/>
      <c r="K187" s="208"/>
      <c r="L187" s="208"/>
      <c r="M187" s="208"/>
      <c r="N187" s="208"/>
      <c r="O187" s="208"/>
      <c r="P187" s="208"/>
      <c r="Q187" s="208"/>
      <c r="R187" s="208"/>
      <c r="S187" s="208"/>
      <c r="T187" s="208"/>
      <c r="U187" s="208"/>
      <c r="V187" s="208"/>
      <c r="W187" s="208"/>
      <c r="X187" s="208"/>
      <c r="Y187" s="208"/>
      <c r="Z187" s="208"/>
      <c r="AA187" s="208"/>
      <c r="AB187" s="208"/>
      <c r="AC187" s="208"/>
      <c r="AD187" s="208"/>
      <c r="AE187" s="208"/>
      <c r="AF187" s="208"/>
      <c r="AG187" s="208"/>
      <c r="AH187" s="208"/>
      <c r="AI187" s="208"/>
      <c r="AJ187" s="208"/>
      <c r="AK187" s="208"/>
      <c r="AL187" s="208"/>
      <c r="AM187" s="208"/>
      <c r="AN187" s="208"/>
      <c r="AO187" s="208"/>
      <c r="AP187" s="208"/>
    </row>
    <row r="188" spans="1:42">
      <c r="A188" s="226" t="s">
        <v>53</v>
      </c>
      <c r="C188" s="208">
        <f>SUM(C184:C187)</f>
        <v>7150000</v>
      </c>
      <c r="D188" s="208"/>
      <c r="E188" s="208"/>
      <c r="F188" s="208"/>
      <c r="G188" s="208"/>
      <c r="H188" s="208"/>
      <c r="I188" s="208"/>
      <c r="J188" s="208"/>
      <c r="K188" s="208"/>
      <c r="L188" s="208"/>
      <c r="M188" s="208"/>
      <c r="N188" s="208"/>
      <c r="O188" s="208"/>
      <c r="P188" s="208"/>
      <c r="Q188" s="208"/>
      <c r="R188" s="208"/>
      <c r="S188" s="208"/>
      <c r="T188" s="208"/>
      <c r="U188" s="208"/>
      <c r="V188" s="208"/>
      <c r="W188" s="208"/>
      <c r="X188" s="208"/>
      <c r="Y188" s="208"/>
      <c r="Z188" s="208"/>
      <c r="AA188" s="208"/>
      <c r="AB188" s="208"/>
      <c r="AC188" s="208"/>
      <c r="AD188" s="208"/>
      <c r="AE188" s="208"/>
      <c r="AF188" s="208"/>
      <c r="AG188" s="208"/>
      <c r="AH188" s="208"/>
      <c r="AI188" s="208"/>
      <c r="AJ188" s="208"/>
      <c r="AK188" s="208"/>
      <c r="AL188" s="208"/>
      <c r="AM188" s="208"/>
      <c r="AN188" s="208"/>
      <c r="AO188" s="208"/>
      <c r="AP188" s="208"/>
    </row>
    <row r="189" spans="1:42">
      <c r="A189" s="219" t="str">
        <f>'Inputs &amp; Results'!A64</f>
        <v>Production Based Incentive (PBI) ($/kWh)</v>
      </c>
      <c r="C189" s="208"/>
      <c r="D189" s="208"/>
      <c r="E189" s="208"/>
      <c r="F189" s="208"/>
      <c r="G189" s="208"/>
      <c r="H189" s="208"/>
      <c r="I189" s="208"/>
      <c r="J189" s="208"/>
      <c r="K189" s="208"/>
      <c r="L189" s="208"/>
      <c r="M189" s="208"/>
      <c r="N189" s="208"/>
      <c r="O189" s="208"/>
      <c r="P189" s="208"/>
      <c r="Q189" s="208"/>
      <c r="R189" s="208"/>
      <c r="S189" s="208"/>
      <c r="T189" s="208"/>
      <c r="U189" s="208"/>
      <c r="V189" s="208"/>
      <c r="W189" s="208"/>
      <c r="X189" s="208"/>
      <c r="Y189" s="208"/>
      <c r="Z189" s="208"/>
      <c r="AA189" s="208"/>
      <c r="AB189" s="208"/>
      <c r="AC189" s="208"/>
      <c r="AD189" s="208"/>
      <c r="AE189" s="208"/>
      <c r="AF189" s="208"/>
      <c r="AG189" s="208"/>
      <c r="AH189" s="208"/>
      <c r="AI189" s="208"/>
      <c r="AJ189" s="208"/>
      <c r="AK189" s="208"/>
      <c r="AL189" s="208"/>
      <c r="AM189" s="208"/>
      <c r="AN189" s="208"/>
      <c r="AO189" s="208"/>
      <c r="AP189" s="208"/>
    </row>
    <row r="190" spans="1:42">
      <c r="A190" s="226" t="str">
        <f>'Inputs &amp; Results'!A65</f>
        <v>Federal</v>
      </c>
      <c r="C190" s="146">
        <f t="shared" ref="C190:AP190" si="100">IF(AND(PBIFedFedTax="Yes",PBIFedDebtSwitch="No"),C578,0)</f>
        <v>0</v>
      </c>
      <c r="D190" s="146">
        <f t="shared" si="100"/>
        <v>0</v>
      </c>
      <c r="E190" s="146">
        <f t="shared" si="100"/>
        <v>0</v>
      </c>
      <c r="F190" s="146">
        <f t="shared" si="100"/>
        <v>0</v>
      </c>
      <c r="G190" s="146">
        <f t="shared" si="100"/>
        <v>0</v>
      </c>
      <c r="H190" s="146">
        <f t="shared" si="100"/>
        <v>0</v>
      </c>
      <c r="I190" s="146">
        <f t="shared" si="100"/>
        <v>0</v>
      </c>
      <c r="J190" s="146">
        <f t="shared" si="100"/>
        <v>0</v>
      </c>
      <c r="K190" s="146">
        <f t="shared" si="100"/>
        <v>0</v>
      </c>
      <c r="L190" s="146">
        <f t="shared" si="100"/>
        <v>0</v>
      </c>
      <c r="M190" s="146">
        <f t="shared" si="100"/>
        <v>0</v>
      </c>
      <c r="N190" s="146">
        <f t="shared" si="100"/>
        <v>0</v>
      </c>
      <c r="O190" s="146">
        <f t="shared" si="100"/>
        <v>0</v>
      </c>
      <c r="P190" s="146">
        <f t="shared" si="100"/>
        <v>0</v>
      </c>
      <c r="Q190" s="146">
        <f t="shared" si="100"/>
        <v>0</v>
      </c>
      <c r="R190" s="146">
        <f t="shared" si="100"/>
        <v>0</v>
      </c>
      <c r="S190" s="146">
        <f t="shared" si="100"/>
        <v>0</v>
      </c>
      <c r="T190" s="146">
        <f t="shared" si="100"/>
        <v>0</v>
      </c>
      <c r="U190" s="146">
        <f t="shared" si="100"/>
        <v>0</v>
      </c>
      <c r="V190" s="146">
        <f t="shared" si="100"/>
        <v>0</v>
      </c>
      <c r="W190" s="146">
        <f t="shared" si="100"/>
        <v>0</v>
      </c>
      <c r="X190" s="146">
        <f t="shared" si="100"/>
        <v>0</v>
      </c>
      <c r="Y190" s="146">
        <f t="shared" si="100"/>
        <v>0</v>
      </c>
      <c r="Z190" s="146">
        <f t="shared" si="100"/>
        <v>0</v>
      </c>
      <c r="AA190" s="146">
        <f t="shared" si="100"/>
        <v>0</v>
      </c>
      <c r="AB190" s="146">
        <f t="shared" si="100"/>
        <v>0</v>
      </c>
      <c r="AC190" s="146">
        <f t="shared" si="100"/>
        <v>0</v>
      </c>
      <c r="AD190" s="146">
        <f t="shared" si="100"/>
        <v>0</v>
      </c>
      <c r="AE190" s="146">
        <f t="shared" si="100"/>
        <v>0</v>
      </c>
      <c r="AF190" s="146">
        <f t="shared" si="100"/>
        <v>0</v>
      </c>
      <c r="AG190" s="146">
        <f t="shared" si="100"/>
        <v>0</v>
      </c>
      <c r="AH190" s="146">
        <f t="shared" si="100"/>
        <v>0</v>
      </c>
      <c r="AI190" s="146">
        <f t="shared" si="100"/>
        <v>0</v>
      </c>
      <c r="AJ190" s="146">
        <f t="shared" si="100"/>
        <v>0</v>
      </c>
      <c r="AK190" s="146">
        <f t="shared" si="100"/>
        <v>0</v>
      </c>
      <c r="AL190" s="146">
        <f t="shared" si="100"/>
        <v>0</v>
      </c>
      <c r="AM190" s="146">
        <f t="shared" si="100"/>
        <v>0</v>
      </c>
      <c r="AN190" s="146">
        <f t="shared" si="100"/>
        <v>0</v>
      </c>
      <c r="AO190" s="146">
        <f t="shared" si="100"/>
        <v>0</v>
      </c>
      <c r="AP190" s="146">
        <f t="shared" si="100"/>
        <v>0</v>
      </c>
    </row>
    <row r="191" spans="1:42">
      <c r="A191" s="226" t="str">
        <f>'Inputs &amp; Results'!A66</f>
        <v>State</v>
      </c>
      <c r="C191" s="146">
        <f t="shared" ref="C191:AP191" si="101">IF(AND(PBIStateFedTax="Yes",PBIStateDebtSwitch="No"),C582,0)</f>
        <v>0</v>
      </c>
      <c r="D191" s="146">
        <f t="shared" si="101"/>
        <v>0</v>
      </c>
      <c r="E191" s="146">
        <f t="shared" si="101"/>
        <v>0</v>
      </c>
      <c r="F191" s="146">
        <f t="shared" si="101"/>
        <v>0</v>
      </c>
      <c r="G191" s="146">
        <f t="shared" si="101"/>
        <v>0</v>
      </c>
      <c r="H191" s="146">
        <f t="shared" si="101"/>
        <v>0</v>
      </c>
      <c r="I191" s="146">
        <f t="shared" si="101"/>
        <v>0</v>
      </c>
      <c r="J191" s="146">
        <f t="shared" si="101"/>
        <v>0</v>
      </c>
      <c r="K191" s="146">
        <f t="shared" si="101"/>
        <v>0</v>
      </c>
      <c r="L191" s="146">
        <f t="shared" si="101"/>
        <v>0</v>
      </c>
      <c r="M191" s="146">
        <f t="shared" si="101"/>
        <v>0</v>
      </c>
      <c r="N191" s="146">
        <f t="shared" si="101"/>
        <v>0</v>
      </c>
      <c r="O191" s="146">
        <f t="shared" si="101"/>
        <v>0</v>
      </c>
      <c r="P191" s="146">
        <f t="shared" si="101"/>
        <v>0</v>
      </c>
      <c r="Q191" s="146">
        <f t="shared" si="101"/>
        <v>0</v>
      </c>
      <c r="R191" s="146">
        <f t="shared" si="101"/>
        <v>0</v>
      </c>
      <c r="S191" s="146">
        <f t="shared" si="101"/>
        <v>0</v>
      </c>
      <c r="T191" s="146">
        <f t="shared" si="101"/>
        <v>0</v>
      </c>
      <c r="U191" s="146">
        <f t="shared" si="101"/>
        <v>0</v>
      </c>
      <c r="V191" s="146">
        <f t="shared" si="101"/>
        <v>0</v>
      </c>
      <c r="W191" s="146">
        <f t="shared" si="101"/>
        <v>0</v>
      </c>
      <c r="X191" s="146">
        <f t="shared" si="101"/>
        <v>0</v>
      </c>
      <c r="Y191" s="146">
        <f t="shared" si="101"/>
        <v>0</v>
      </c>
      <c r="Z191" s="146">
        <f t="shared" si="101"/>
        <v>0</v>
      </c>
      <c r="AA191" s="146">
        <f t="shared" si="101"/>
        <v>0</v>
      </c>
      <c r="AB191" s="146">
        <f t="shared" si="101"/>
        <v>0</v>
      </c>
      <c r="AC191" s="146">
        <f t="shared" si="101"/>
        <v>0</v>
      </c>
      <c r="AD191" s="146">
        <f t="shared" si="101"/>
        <v>0</v>
      </c>
      <c r="AE191" s="146">
        <f t="shared" si="101"/>
        <v>0</v>
      </c>
      <c r="AF191" s="146">
        <f t="shared" si="101"/>
        <v>0</v>
      </c>
      <c r="AG191" s="146">
        <f t="shared" si="101"/>
        <v>0</v>
      </c>
      <c r="AH191" s="146">
        <f t="shared" si="101"/>
        <v>0</v>
      </c>
      <c r="AI191" s="146">
        <f t="shared" si="101"/>
        <v>0</v>
      </c>
      <c r="AJ191" s="146">
        <f t="shared" si="101"/>
        <v>0</v>
      </c>
      <c r="AK191" s="146">
        <f t="shared" si="101"/>
        <v>0</v>
      </c>
      <c r="AL191" s="146">
        <f t="shared" si="101"/>
        <v>0</v>
      </c>
      <c r="AM191" s="146">
        <f t="shared" si="101"/>
        <v>0</v>
      </c>
      <c r="AN191" s="146">
        <f t="shared" si="101"/>
        <v>0</v>
      </c>
      <c r="AO191" s="146">
        <f t="shared" si="101"/>
        <v>0</v>
      </c>
      <c r="AP191" s="146">
        <f t="shared" si="101"/>
        <v>0</v>
      </c>
    </row>
    <row r="192" spans="1:42">
      <c r="A192" s="226" t="str">
        <f>'Inputs &amp; Results'!A67</f>
        <v>Utility</v>
      </c>
      <c r="C192" s="146">
        <f t="shared" ref="C192:AP192" si="102">IF(AND(PBIUtilityFedTax="Yes",PBIUtilityDebtSwitch="No"),C586,0)</f>
        <v>0</v>
      </c>
      <c r="D192" s="146">
        <f t="shared" si="102"/>
        <v>0</v>
      </c>
      <c r="E192" s="146">
        <f t="shared" si="102"/>
        <v>0</v>
      </c>
      <c r="F192" s="146">
        <f t="shared" si="102"/>
        <v>0</v>
      </c>
      <c r="G192" s="146">
        <f t="shared" si="102"/>
        <v>0</v>
      </c>
      <c r="H192" s="146">
        <f t="shared" si="102"/>
        <v>0</v>
      </c>
      <c r="I192" s="146">
        <f t="shared" si="102"/>
        <v>0</v>
      </c>
      <c r="J192" s="146">
        <f t="shared" si="102"/>
        <v>0</v>
      </c>
      <c r="K192" s="146">
        <f t="shared" si="102"/>
        <v>0</v>
      </c>
      <c r="L192" s="146">
        <f t="shared" si="102"/>
        <v>0</v>
      </c>
      <c r="M192" s="146">
        <f t="shared" si="102"/>
        <v>0</v>
      </c>
      <c r="N192" s="146">
        <f t="shared" si="102"/>
        <v>0</v>
      </c>
      <c r="O192" s="146">
        <f t="shared" si="102"/>
        <v>0</v>
      </c>
      <c r="P192" s="146">
        <f t="shared" si="102"/>
        <v>0</v>
      </c>
      <c r="Q192" s="146">
        <f t="shared" si="102"/>
        <v>0</v>
      </c>
      <c r="R192" s="146">
        <f t="shared" si="102"/>
        <v>0</v>
      </c>
      <c r="S192" s="146">
        <f t="shared" si="102"/>
        <v>0</v>
      </c>
      <c r="T192" s="146">
        <f t="shared" si="102"/>
        <v>0</v>
      </c>
      <c r="U192" s="146">
        <f t="shared" si="102"/>
        <v>0</v>
      </c>
      <c r="V192" s="146">
        <f t="shared" si="102"/>
        <v>0</v>
      </c>
      <c r="W192" s="146">
        <f t="shared" si="102"/>
        <v>0</v>
      </c>
      <c r="X192" s="146">
        <f t="shared" si="102"/>
        <v>0</v>
      </c>
      <c r="Y192" s="146">
        <f t="shared" si="102"/>
        <v>0</v>
      </c>
      <c r="Z192" s="146">
        <f t="shared" si="102"/>
        <v>0</v>
      </c>
      <c r="AA192" s="146">
        <f t="shared" si="102"/>
        <v>0</v>
      </c>
      <c r="AB192" s="146">
        <f t="shared" si="102"/>
        <v>0</v>
      </c>
      <c r="AC192" s="146">
        <f t="shared" si="102"/>
        <v>0</v>
      </c>
      <c r="AD192" s="146">
        <f t="shared" si="102"/>
        <v>0</v>
      </c>
      <c r="AE192" s="146">
        <f t="shared" si="102"/>
        <v>0</v>
      </c>
      <c r="AF192" s="146">
        <f t="shared" si="102"/>
        <v>0</v>
      </c>
      <c r="AG192" s="146">
        <f t="shared" si="102"/>
        <v>0</v>
      </c>
      <c r="AH192" s="146">
        <f t="shared" si="102"/>
        <v>0</v>
      </c>
      <c r="AI192" s="146">
        <f t="shared" si="102"/>
        <v>0</v>
      </c>
      <c r="AJ192" s="146">
        <f t="shared" si="102"/>
        <v>0</v>
      </c>
      <c r="AK192" s="146">
        <f t="shared" si="102"/>
        <v>0</v>
      </c>
      <c r="AL192" s="146">
        <f t="shared" si="102"/>
        <v>0</v>
      </c>
      <c r="AM192" s="146">
        <f t="shared" si="102"/>
        <v>0</v>
      </c>
      <c r="AN192" s="146">
        <f t="shared" si="102"/>
        <v>0</v>
      </c>
      <c r="AO192" s="146">
        <f t="shared" si="102"/>
        <v>0</v>
      </c>
      <c r="AP192" s="146">
        <f t="shared" si="102"/>
        <v>0</v>
      </c>
    </row>
    <row r="193" spans="1:42">
      <c r="A193" s="226" t="str">
        <f>'Inputs &amp; Results'!A68</f>
        <v>Other</v>
      </c>
      <c r="C193" s="225">
        <f t="shared" ref="C193:AP193" si="103">IF(AND(PBIOtherFedTax="Yes",PBIOtherDebtSwitch="No"),C590,0)</f>
        <v>0</v>
      </c>
      <c r="D193" s="225">
        <f t="shared" si="103"/>
        <v>0</v>
      </c>
      <c r="E193" s="225">
        <f t="shared" si="103"/>
        <v>0</v>
      </c>
      <c r="F193" s="225">
        <f t="shared" si="103"/>
        <v>0</v>
      </c>
      <c r="G193" s="225">
        <f t="shared" si="103"/>
        <v>0</v>
      </c>
      <c r="H193" s="225">
        <f t="shared" si="103"/>
        <v>0</v>
      </c>
      <c r="I193" s="225">
        <f t="shared" si="103"/>
        <v>0</v>
      </c>
      <c r="J193" s="225">
        <f t="shared" si="103"/>
        <v>0</v>
      </c>
      <c r="K193" s="225">
        <f t="shared" si="103"/>
        <v>0</v>
      </c>
      <c r="L193" s="225">
        <f t="shared" si="103"/>
        <v>0</v>
      </c>
      <c r="M193" s="225">
        <f t="shared" si="103"/>
        <v>0</v>
      </c>
      <c r="N193" s="225">
        <f t="shared" si="103"/>
        <v>0</v>
      </c>
      <c r="O193" s="225">
        <f t="shared" si="103"/>
        <v>0</v>
      </c>
      <c r="P193" s="225">
        <f t="shared" si="103"/>
        <v>0</v>
      </c>
      <c r="Q193" s="225">
        <f t="shared" si="103"/>
        <v>0</v>
      </c>
      <c r="R193" s="225">
        <f t="shared" si="103"/>
        <v>0</v>
      </c>
      <c r="S193" s="225">
        <f t="shared" si="103"/>
        <v>0</v>
      </c>
      <c r="T193" s="225">
        <f t="shared" si="103"/>
        <v>0</v>
      </c>
      <c r="U193" s="225">
        <f t="shared" si="103"/>
        <v>0</v>
      </c>
      <c r="V193" s="225">
        <f t="shared" si="103"/>
        <v>0</v>
      </c>
      <c r="W193" s="225">
        <f t="shared" si="103"/>
        <v>0</v>
      </c>
      <c r="X193" s="225">
        <f t="shared" si="103"/>
        <v>0</v>
      </c>
      <c r="Y193" s="225">
        <f t="shared" si="103"/>
        <v>0</v>
      </c>
      <c r="Z193" s="225">
        <f t="shared" si="103"/>
        <v>0</v>
      </c>
      <c r="AA193" s="225">
        <f t="shared" si="103"/>
        <v>0</v>
      </c>
      <c r="AB193" s="225">
        <f t="shared" si="103"/>
        <v>0</v>
      </c>
      <c r="AC193" s="225">
        <f t="shared" si="103"/>
        <v>0</v>
      </c>
      <c r="AD193" s="225">
        <f t="shared" si="103"/>
        <v>0</v>
      </c>
      <c r="AE193" s="225">
        <f t="shared" si="103"/>
        <v>0</v>
      </c>
      <c r="AF193" s="225">
        <f t="shared" si="103"/>
        <v>0</v>
      </c>
      <c r="AG193" s="225">
        <f t="shared" si="103"/>
        <v>0</v>
      </c>
      <c r="AH193" s="225">
        <f t="shared" si="103"/>
        <v>0</v>
      </c>
      <c r="AI193" s="225">
        <f t="shared" si="103"/>
        <v>0</v>
      </c>
      <c r="AJ193" s="225">
        <f t="shared" si="103"/>
        <v>0</v>
      </c>
      <c r="AK193" s="225">
        <f t="shared" si="103"/>
        <v>0</v>
      </c>
      <c r="AL193" s="225">
        <f t="shared" si="103"/>
        <v>0</v>
      </c>
      <c r="AM193" s="225">
        <f t="shared" si="103"/>
        <v>0</v>
      </c>
      <c r="AN193" s="225">
        <f t="shared" si="103"/>
        <v>0</v>
      </c>
      <c r="AO193" s="225">
        <f t="shared" si="103"/>
        <v>0</v>
      </c>
      <c r="AP193" s="225">
        <f t="shared" si="103"/>
        <v>0</v>
      </c>
    </row>
    <row r="194" spans="1:42">
      <c r="A194" s="226" t="s">
        <v>53</v>
      </c>
      <c r="C194" s="216">
        <f>SUM(C190:C193)</f>
        <v>0</v>
      </c>
      <c r="D194" s="216">
        <f t="shared" ref="D194:AL194" si="104">SUM(D190:D193)</f>
        <v>0</v>
      </c>
      <c r="E194" s="216">
        <f t="shared" si="104"/>
        <v>0</v>
      </c>
      <c r="F194" s="216">
        <f t="shared" si="104"/>
        <v>0</v>
      </c>
      <c r="G194" s="216">
        <f t="shared" si="104"/>
        <v>0</v>
      </c>
      <c r="H194" s="216">
        <f t="shared" si="104"/>
        <v>0</v>
      </c>
      <c r="I194" s="216">
        <f t="shared" si="104"/>
        <v>0</v>
      </c>
      <c r="J194" s="216">
        <f t="shared" si="104"/>
        <v>0</v>
      </c>
      <c r="K194" s="216">
        <f t="shared" si="104"/>
        <v>0</v>
      </c>
      <c r="L194" s="216">
        <f t="shared" si="104"/>
        <v>0</v>
      </c>
      <c r="M194" s="216">
        <f t="shared" si="104"/>
        <v>0</v>
      </c>
      <c r="N194" s="216">
        <f t="shared" si="104"/>
        <v>0</v>
      </c>
      <c r="O194" s="216">
        <f t="shared" si="104"/>
        <v>0</v>
      </c>
      <c r="P194" s="216">
        <f t="shared" si="104"/>
        <v>0</v>
      </c>
      <c r="Q194" s="216">
        <f t="shared" si="104"/>
        <v>0</v>
      </c>
      <c r="R194" s="216">
        <f t="shared" si="104"/>
        <v>0</v>
      </c>
      <c r="S194" s="216">
        <f t="shared" si="104"/>
        <v>0</v>
      </c>
      <c r="T194" s="216">
        <f t="shared" si="104"/>
        <v>0</v>
      </c>
      <c r="U194" s="216">
        <f t="shared" si="104"/>
        <v>0</v>
      </c>
      <c r="V194" s="216">
        <f t="shared" si="104"/>
        <v>0</v>
      </c>
      <c r="W194" s="216">
        <f t="shared" si="104"/>
        <v>0</v>
      </c>
      <c r="X194" s="216">
        <f t="shared" si="104"/>
        <v>0</v>
      </c>
      <c r="Y194" s="216">
        <f t="shared" si="104"/>
        <v>0</v>
      </c>
      <c r="Z194" s="216">
        <f t="shared" si="104"/>
        <v>0</v>
      </c>
      <c r="AA194" s="216">
        <f t="shared" si="104"/>
        <v>0</v>
      </c>
      <c r="AB194" s="216">
        <f t="shared" si="104"/>
        <v>0</v>
      </c>
      <c r="AC194" s="216">
        <f t="shared" si="104"/>
        <v>0</v>
      </c>
      <c r="AD194" s="216">
        <f t="shared" si="104"/>
        <v>0</v>
      </c>
      <c r="AE194" s="216">
        <f t="shared" si="104"/>
        <v>0</v>
      </c>
      <c r="AF194" s="216">
        <f t="shared" si="104"/>
        <v>0</v>
      </c>
      <c r="AG194" s="216">
        <f t="shared" si="104"/>
        <v>0</v>
      </c>
      <c r="AH194" s="216">
        <f t="shared" si="104"/>
        <v>0</v>
      </c>
      <c r="AI194" s="216">
        <f t="shared" si="104"/>
        <v>0</v>
      </c>
      <c r="AJ194" s="216">
        <f t="shared" si="104"/>
        <v>0</v>
      </c>
      <c r="AK194" s="216">
        <f t="shared" si="104"/>
        <v>0</v>
      </c>
      <c r="AL194" s="216">
        <f t="shared" si="104"/>
        <v>0</v>
      </c>
      <c r="AM194" s="216">
        <f>SUM(AM190:AM193)</f>
        <v>0</v>
      </c>
      <c r="AN194" s="216">
        <f t="shared" ref="AN194:AP194" si="105">SUM(AN190:AN193)</f>
        <v>0</v>
      </c>
      <c r="AO194" s="216">
        <f t="shared" si="105"/>
        <v>0</v>
      </c>
      <c r="AP194" s="216">
        <f t="shared" si="105"/>
        <v>0</v>
      </c>
    </row>
    <row r="195" spans="1:42">
      <c r="A195" s="219" t="s">
        <v>132</v>
      </c>
      <c r="C195" s="208">
        <f>C176+C182+C188+C194</f>
        <v>13791229.75</v>
      </c>
      <c r="D195" s="208">
        <f t="shared" ref="D195:AP195" si="106">D176+D182+D188+D194</f>
        <v>0</v>
      </c>
      <c r="E195" s="208">
        <f t="shared" si="106"/>
        <v>0</v>
      </c>
      <c r="F195" s="208">
        <f t="shared" si="106"/>
        <v>0</v>
      </c>
      <c r="G195" s="208">
        <f t="shared" si="106"/>
        <v>0</v>
      </c>
      <c r="H195" s="208">
        <f t="shared" si="106"/>
        <v>0</v>
      </c>
      <c r="I195" s="208">
        <f t="shared" si="106"/>
        <v>0</v>
      </c>
      <c r="J195" s="208">
        <f t="shared" si="106"/>
        <v>0</v>
      </c>
      <c r="K195" s="208">
        <f t="shared" si="106"/>
        <v>0</v>
      </c>
      <c r="L195" s="208">
        <f t="shared" si="106"/>
        <v>0</v>
      </c>
      <c r="M195" s="208">
        <f t="shared" si="106"/>
        <v>0</v>
      </c>
      <c r="N195" s="208">
        <f t="shared" si="106"/>
        <v>0</v>
      </c>
      <c r="O195" s="208">
        <f t="shared" si="106"/>
        <v>0</v>
      </c>
      <c r="P195" s="208">
        <f t="shared" si="106"/>
        <v>0</v>
      </c>
      <c r="Q195" s="208">
        <f t="shared" si="106"/>
        <v>0</v>
      </c>
      <c r="R195" s="208">
        <f t="shared" si="106"/>
        <v>0</v>
      </c>
      <c r="S195" s="208">
        <f t="shared" si="106"/>
        <v>0</v>
      </c>
      <c r="T195" s="208">
        <f t="shared" si="106"/>
        <v>0</v>
      </c>
      <c r="U195" s="208">
        <f t="shared" si="106"/>
        <v>0</v>
      </c>
      <c r="V195" s="208">
        <f t="shared" si="106"/>
        <v>0</v>
      </c>
      <c r="W195" s="208">
        <f t="shared" si="106"/>
        <v>0</v>
      </c>
      <c r="X195" s="208">
        <f t="shared" si="106"/>
        <v>0</v>
      </c>
      <c r="Y195" s="208">
        <f t="shared" si="106"/>
        <v>0</v>
      </c>
      <c r="Z195" s="208">
        <f t="shared" si="106"/>
        <v>0</v>
      </c>
      <c r="AA195" s="208">
        <f t="shared" si="106"/>
        <v>0</v>
      </c>
      <c r="AB195" s="208">
        <f t="shared" si="106"/>
        <v>0</v>
      </c>
      <c r="AC195" s="208">
        <f t="shared" si="106"/>
        <v>0</v>
      </c>
      <c r="AD195" s="208">
        <f t="shared" si="106"/>
        <v>0</v>
      </c>
      <c r="AE195" s="208">
        <f t="shared" si="106"/>
        <v>0</v>
      </c>
      <c r="AF195" s="208">
        <f t="shared" si="106"/>
        <v>0</v>
      </c>
      <c r="AG195" s="208">
        <f t="shared" si="106"/>
        <v>0</v>
      </c>
      <c r="AH195" s="208">
        <f t="shared" si="106"/>
        <v>0</v>
      </c>
      <c r="AI195" s="208">
        <f t="shared" si="106"/>
        <v>0</v>
      </c>
      <c r="AJ195" s="208">
        <f t="shared" si="106"/>
        <v>0</v>
      </c>
      <c r="AK195" s="208">
        <f t="shared" si="106"/>
        <v>0</v>
      </c>
      <c r="AL195" s="208">
        <f t="shared" si="106"/>
        <v>0</v>
      </c>
      <c r="AM195" s="208">
        <f t="shared" si="106"/>
        <v>0</v>
      </c>
      <c r="AN195" s="208">
        <f t="shared" si="106"/>
        <v>0</v>
      </c>
      <c r="AO195" s="208">
        <f t="shared" si="106"/>
        <v>0</v>
      </c>
      <c r="AP195" s="208">
        <f t="shared" si="106"/>
        <v>0</v>
      </c>
    </row>
    <row r="196" spans="1:42">
      <c r="A196" s="226"/>
      <c r="C196" s="208"/>
      <c r="D196" s="208"/>
      <c r="E196" s="208"/>
      <c r="F196" s="208"/>
      <c r="G196" s="208"/>
      <c r="H196" s="208"/>
      <c r="I196" s="208"/>
      <c r="J196" s="208"/>
      <c r="K196" s="208"/>
      <c r="L196" s="208"/>
      <c r="M196" s="208"/>
      <c r="N196" s="208"/>
      <c r="O196" s="208"/>
      <c r="P196" s="208"/>
      <c r="Q196" s="208"/>
      <c r="R196" s="208"/>
      <c r="S196" s="208"/>
      <c r="T196" s="208"/>
      <c r="U196" s="208"/>
      <c r="V196" s="208"/>
      <c r="W196" s="208"/>
      <c r="X196" s="208"/>
      <c r="Y196" s="208"/>
      <c r="Z196" s="208"/>
      <c r="AA196" s="208"/>
      <c r="AB196" s="208"/>
      <c r="AC196" s="208"/>
      <c r="AD196" s="208"/>
      <c r="AE196" s="208"/>
      <c r="AF196" s="208"/>
      <c r="AG196" s="208"/>
      <c r="AH196" s="208"/>
      <c r="AI196" s="208"/>
      <c r="AJ196" s="208"/>
      <c r="AK196" s="208"/>
      <c r="AL196" s="208"/>
      <c r="AM196" s="208"/>
      <c r="AN196" s="208"/>
      <c r="AO196" s="208"/>
      <c r="AP196" s="208"/>
    </row>
    <row r="197" spans="1:42">
      <c r="A197" s="219" t="s">
        <v>133</v>
      </c>
      <c r="C197" s="216">
        <f>C169+C195</f>
        <v>4545696.247894967</v>
      </c>
      <c r="D197" s="216">
        <f t="shared" ref="D197:AP197" si="107">D169+D195</f>
        <v>-8687223.3369123489</v>
      </c>
      <c r="E197" s="216">
        <f t="shared" si="107"/>
        <v>-4483118.5713502066</v>
      </c>
      <c r="F197" s="216">
        <f t="shared" si="107"/>
        <v>-1932721.2917916882</v>
      </c>
      <c r="G197" s="216">
        <f t="shared" si="107"/>
        <v>-1847029.0420659096</v>
      </c>
      <c r="H197" s="216">
        <f t="shared" si="107"/>
        <v>86139.617881053418</v>
      </c>
      <c r="I197" s="216">
        <f t="shared" si="107"/>
        <v>2019545.6564392149</v>
      </c>
      <c r="J197" s="216">
        <f t="shared" si="107"/>
        <v>2117619.4341889196</v>
      </c>
      <c r="K197" s="216">
        <f t="shared" si="107"/>
        <v>2193034.301971151</v>
      </c>
      <c r="L197" s="216">
        <f t="shared" si="107"/>
        <v>2266380.2575028948</v>
      </c>
      <c r="M197" s="216">
        <f t="shared" si="107"/>
        <v>2378191.9133174676</v>
      </c>
      <c r="N197" s="216">
        <f t="shared" si="107"/>
        <v>1911051.0485489392</v>
      </c>
      <c r="O197" s="216">
        <f t="shared" si="107"/>
        <v>1615533.7735812981</v>
      </c>
      <c r="P197" s="216">
        <f t="shared" si="107"/>
        <v>2099532.6857764395</v>
      </c>
      <c r="Q197" s="216">
        <f t="shared" si="107"/>
        <v>1253728.9860029849</v>
      </c>
      <c r="R197" s="216">
        <f t="shared" si="107"/>
        <v>607972.83343136311</v>
      </c>
      <c r="S197" s="216">
        <f t="shared" si="107"/>
        <v>1709441.1304831116</v>
      </c>
      <c r="T197" s="216">
        <f t="shared" si="107"/>
        <v>2438362.4538299283</v>
      </c>
      <c r="U197" s="216">
        <f t="shared" si="107"/>
        <v>2559758.2905272562</v>
      </c>
      <c r="V197" s="216">
        <f t="shared" si="107"/>
        <v>3063394.6025272314</v>
      </c>
      <c r="W197" s="216">
        <f t="shared" si="107"/>
        <v>3553117.9043010185</v>
      </c>
      <c r="X197" s="216">
        <f t="shared" si="107"/>
        <v>3583427.8118321015</v>
      </c>
      <c r="Y197" s="216">
        <f t="shared" si="107"/>
        <v>3629306.3658289681</v>
      </c>
      <c r="Z197" s="216">
        <f t="shared" si="107"/>
        <v>2976452.0962173855</v>
      </c>
      <c r="AA197" s="216">
        <f t="shared" si="107"/>
        <v>2522941.7306495323</v>
      </c>
      <c r="AB197" s="216">
        <f t="shared" si="107"/>
        <v>2990528.6415081481</v>
      </c>
      <c r="AC197" s="216">
        <f t="shared" si="107"/>
        <v>3252956.3960702438</v>
      </c>
      <c r="AD197" s="216">
        <f t="shared" si="107"/>
        <v>3250835.6243426213</v>
      </c>
      <c r="AE197" s="216">
        <f t="shared" si="107"/>
        <v>3484856.8818498286</v>
      </c>
      <c r="AF197" s="216">
        <f t="shared" si="107"/>
        <v>6028663.0359235927</v>
      </c>
      <c r="AG197" s="216">
        <f t="shared" si="107"/>
        <v>0</v>
      </c>
      <c r="AH197" s="216">
        <f t="shared" si="107"/>
        <v>0</v>
      </c>
      <c r="AI197" s="216">
        <f t="shared" si="107"/>
        <v>0</v>
      </c>
      <c r="AJ197" s="216">
        <f t="shared" si="107"/>
        <v>0</v>
      </c>
      <c r="AK197" s="216">
        <f t="shared" si="107"/>
        <v>0</v>
      </c>
      <c r="AL197" s="216">
        <f t="shared" si="107"/>
        <v>0</v>
      </c>
      <c r="AM197" s="216">
        <f t="shared" si="107"/>
        <v>0</v>
      </c>
      <c r="AN197" s="216">
        <f t="shared" si="107"/>
        <v>0</v>
      </c>
      <c r="AO197" s="216">
        <f t="shared" si="107"/>
        <v>0</v>
      </c>
      <c r="AP197" s="216">
        <f t="shared" si="107"/>
        <v>0</v>
      </c>
    </row>
    <row r="198" spans="1:42">
      <c r="A198" s="219" t="s">
        <v>234</v>
      </c>
      <c r="C198" s="216">
        <f t="shared" ref="C198:AP198" si="108">C197*-FedTax</f>
        <v>-1590993.6867632384</v>
      </c>
      <c r="D198" s="216">
        <f t="shared" si="108"/>
        <v>3040528.1679193219</v>
      </c>
      <c r="E198" s="216">
        <f t="shared" si="108"/>
        <v>1569091.4999725723</v>
      </c>
      <c r="F198" s="216">
        <f t="shared" si="108"/>
        <v>676452.45212709077</v>
      </c>
      <c r="G198" s="216">
        <f t="shared" si="108"/>
        <v>646460.16472306836</v>
      </c>
      <c r="H198" s="216">
        <f t="shared" si="108"/>
        <v>-30148.866258368693</v>
      </c>
      <c r="I198" s="216">
        <f t="shared" si="108"/>
        <v>-706840.97975372523</v>
      </c>
      <c r="J198" s="216">
        <f t="shared" si="108"/>
        <v>-741166.80196612177</v>
      </c>
      <c r="K198" s="216">
        <f t="shared" si="108"/>
        <v>-767562.00568990281</v>
      </c>
      <c r="L198" s="216">
        <f t="shared" si="108"/>
        <v>-793233.09012601315</v>
      </c>
      <c r="M198" s="216">
        <f t="shared" si="108"/>
        <v>-832367.16966111364</v>
      </c>
      <c r="N198" s="216">
        <f t="shared" si="108"/>
        <v>-668867.86699212866</v>
      </c>
      <c r="O198" s="216">
        <f t="shared" si="108"/>
        <v>-565436.82075345423</v>
      </c>
      <c r="P198" s="216">
        <f t="shared" si="108"/>
        <v>-734836.44002175378</v>
      </c>
      <c r="Q198" s="216">
        <f t="shared" si="108"/>
        <v>-438805.14510104468</v>
      </c>
      <c r="R198" s="216">
        <f t="shared" si="108"/>
        <v>-212790.49170097709</v>
      </c>
      <c r="S198" s="216">
        <f t="shared" si="108"/>
        <v>-598304.39566908905</v>
      </c>
      <c r="T198" s="216">
        <f t="shared" si="108"/>
        <v>-853426.85884047486</v>
      </c>
      <c r="U198" s="216">
        <f t="shared" si="108"/>
        <v>-895915.40168453963</v>
      </c>
      <c r="V198" s="216">
        <f t="shared" si="108"/>
        <v>-1072188.1108845309</v>
      </c>
      <c r="W198" s="216">
        <f t="shared" si="108"/>
        <v>-1243591.2665053564</v>
      </c>
      <c r="X198" s="216">
        <f t="shared" si="108"/>
        <v>-1254199.7341412355</v>
      </c>
      <c r="Y198" s="216">
        <f t="shared" si="108"/>
        <v>-1270257.2280401387</v>
      </c>
      <c r="Z198" s="216">
        <f t="shared" si="108"/>
        <v>-1041758.2336760849</v>
      </c>
      <c r="AA198" s="216">
        <f t="shared" si="108"/>
        <v>-883029.60572733625</v>
      </c>
      <c r="AB198" s="216">
        <f t="shared" si="108"/>
        <v>-1046685.0245278517</v>
      </c>
      <c r="AC198" s="216">
        <f t="shared" si="108"/>
        <v>-1138534.7386245853</v>
      </c>
      <c r="AD198" s="216">
        <f t="shared" si="108"/>
        <v>-1137792.4685199175</v>
      </c>
      <c r="AE198" s="216">
        <f t="shared" si="108"/>
        <v>-1219699.9086474399</v>
      </c>
      <c r="AF198" s="216">
        <f t="shared" si="108"/>
        <v>-2110032.0625732574</v>
      </c>
      <c r="AG198" s="216">
        <f t="shared" si="108"/>
        <v>0</v>
      </c>
      <c r="AH198" s="216">
        <f t="shared" si="108"/>
        <v>0</v>
      </c>
      <c r="AI198" s="216">
        <f t="shared" si="108"/>
        <v>0</v>
      </c>
      <c r="AJ198" s="216">
        <f t="shared" si="108"/>
        <v>0</v>
      </c>
      <c r="AK198" s="216">
        <f t="shared" si="108"/>
        <v>0</v>
      </c>
      <c r="AL198" s="216">
        <f t="shared" si="108"/>
        <v>0</v>
      </c>
      <c r="AM198" s="216">
        <f t="shared" si="108"/>
        <v>0</v>
      </c>
      <c r="AN198" s="216">
        <f t="shared" si="108"/>
        <v>0</v>
      </c>
      <c r="AO198" s="216">
        <f t="shared" si="108"/>
        <v>0</v>
      </c>
      <c r="AP198" s="216">
        <f t="shared" si="108"/>
        <v>0</v>
      </c>
    </row>
    <row r="199" spans="1:42">
      <c r="A199" s="226"/>
      <c r="C199" s="208"/>
      <c r="D199" s="208"/>
      <c r="E199" s="208"/>
      <c r="F199" s="208"/>
      <c r="G199" s="208"/>
      <c r="H199" s="208"/>
      <c r="I199" s="208"/>
      <c r="J199" s="208"/>
      <c r="K199" s="208"/>
      <c r="L199" s="208"/>
      <c r="M199" s="208"/>
      <c r="N199" s="208"/>
      <c r="O199" s="208"/>
      <c r="P199" s="208"/>
      <c r="Q199" s="208"/>
      <c r="R199" s="208"/>
      <c r="S199" s="208"/>
      <c r="T199" s="208"/>
      <c r="U199" s="208"/>
      <c r="V199" s="208"/>
      <c r="W199" s="208"/>
      <c r="X199" s="208"/>
      <c r="Y199" s="208"/>
      <c r="Z199" s="208"/>
      <c r="AA199" s="208"/>
      <c r="AB199" s="208"/>
      <c r="AC199" s="208"/>
      <c r="AD199" s="208"/>
      <c r="AE199" s="208"/>
      <c r="AF199" s="208"/>
      <c r="AG199" s="208"/>
      <c r="AH199" s="208"/>
      <c r="AI199" s="208"/>
      <c r="AJ199" s="208"/>
      <c r="AK199" s="208"/>
      <c r="AL199" s="208"/>
      <c r="AM199" s="208"/>
      <c r="AN199" s="208"/>
      <c r="AO199" s="208"/>
      <c r="AP199" s="208"/>
    </row>
    <row r="200" spans="1:42">
      <c r="A200" s="201" t="s">
        <v>139</v>
      </c>
    </row>
    <row r="201" spans="1:42">
      <c r="A201" s="217" t="s">
        <v>140</v>
      </c>
    </row>
    <row r="202" spans="1:42">
      <c r="A202" s="37" t="s">
        <v>83</v>
      </c>
    </row>
    <row r="203" spans="1:42" ht="51">
      <c r="B203" s="133" t="s">
        <v>157</v>
      </c>
      <c r="C203" s="133" t="s">
        <v>153</v>
      </c>
      <c r="D203" s="133" t="s">
        <v>155</v>
      </c>
      <c r="E203" s="228" t="s">
        <v>156</v>
      </c>
      <c r="F203" s="133" t="s">
        <v>158</v>
      </c>
      <c r="G203" s="229" t="s">
        <v>175</v>
      </c>
      <c r="H203" s="229" t="s">
        <v>176</v>
      </c>
      <c r="I203" s="133" t="s">
        <v>159</v>
      </c>
      <c r="J203" s="230" t="s">
        <v>332</v>
      </c>
      <c r="K203" s="133" t="s">
        <v>337</v>
      </c>
    </row>
    <row r="204" spans="1:42">
      <c r="A204" s="206" t="str">
        <f>'Inputs &amp; Results'!A212</f>
        <v>5-yr MACRS</v>
      </c>
      <c r="B204" s="231">
        <f t="shared" ref="B204:B209" si="109">C204/$C$211</f>
        <v>0.92783505154639179</v>
      </c>
      <c r="C204" s="208">
        <f>'Inputs &amp; Results'!E221</f>
        <v>38298159.919078313</v>
      </c>
      <c r="D204" s="208">
        <f t="shared" ref="D204:E209" si="110">$B204*D$211</f>
        <v>0</v>
      </c>
      <c r="E204" s="208">
        <f t="shared" si="110"/>
        <v>0</v>
      </c>
      <c r="F204" s="165">
        <f>C204-D204-E204</f>
        <v>38298159.919078313</v>
      </c>
      <c r="G204" s="208">
        <f t="shared" ref="G204:G209" si="111">IF(ITCStateFixedStateDeprec="Yes",K474,0)+IF(ITCStatePercentStateDeprec="Yes",I474,0)</f>
        <v>10000</v>
      </c>
      <c r="H204" s="208">
        <f t="shared" ref="H204:H209" si="112">IF(ITCFedFixedStateDeprec="Yes",K509,0)+IF(ITCFedPercentStateDeprec="Yes",I509,0)</f>
        <v>0</v>
      </c>
      <c r="I204" s="232">
        <f>F204-G204-H204</f>
        <v>38288159.919078313</v>
      </c>
      <c r="J204" s="208">
        <f>IF('Inputs &amp; Results'!B233="Yes",I204*StateBonusDeprec,0)</f>
        <v>1914407.9959539156</v>
      </c>
      <c r="K204" s="165">
        <f>I204-J204</f>
        <v>36373751.923124395</v>
      </c>
    </row>
    <row r="205" spans="1:42">
      <c r="A205" s="206" t="str">
        <f>'Inputs &amp; Results'!A213</f>
        <v>15-yr MACRS</v>
      </c>
      <c r="B205" s="231">
        <f t="shared" si="109"/>
        <v>1.5463917525773195E-2</v>
      </c>
      <c r="C205" s="208">
        <f>'Inputs &amp; Results'!E222</f>
        <v>638302.66531797184</v>
      </c>
      <c r="D205" s="208">
        <f t="shared" si="110"/>
        <v>0</v>
      </c>
      <c r="E205" s="208">
        <f t="shared" si="110"/>
        <v>0</v>
      </c>
      <c r="F205" s="165">
        <f t="shared" ref="F205:F209" si="113">C205-D205-E205</f>
        <v>638302.66531797184</v>
      </c>
      <c r="G205" s="208">
        <f t="shared" si="111"/>
        <v>0</v>
      </c>
      <c r="H205" s="208">
        <f t="shared" si="112"/>
        <v>0</v>
      </c>
      <c r="I205" s="165">
        <f t="shared" ref="I205:I209" si="114">F205-G205-H205</f>
        <v>638302.66531797184</v>
      </c>
      <c r="J205" s="208">
        <f>IF('Inputs &amp; Results'!B234="Yes",I205*StateBonusDeprec,0)</f>
        <v>0</v>
      </c>
      <c r="K205" s="165">
        <f t="shared" ref="K205:K209" si="115">I205-J205</f>
        <v>638302.66531797184</v>
      </c>
    </row>
    <row r="206" spans="1:42">
      <c r="A206" s="206" t="str">
        <f>'Inputs &amp; Results'!A214</f>
        <v>5-yr SL</v>
      </c>
      <c r="B206" s="231">
        <f t="shared" si="109"/>
        <v>0</v>
      </c>
      <c r="C206" s="208">
        <f>'Inputs &amp; Results'!E223</f>
        <v>0</v>
      </c>
      <c r="D206" s="208">
        <f t="shared" si="110"/>
        <v>0</v>
      </c>
      <c r="E206" s="208">
        <f t="shared" si="110"/>
        <v>0</v>
      </c>
      <c r="F206" s="165">
        <f t="shared" si="113"/>
        <v>0</v>
      </c>
      <c r="G206" s="208">
        <f t="shared" si="111"/>
        <v>0</v>
      </c>
      <c r="H206" s="208">
        <f t="shared" si="112"/>
        <v>0</v>
      </c>
      <c r="I206" s="165">
        <f t="shared" si="114"/>
        <v>0</v>
      </c>
      <c r="J206" s="208">
        <f>IF('Inputs &amp; Results'!B235="Yes",I206*StateBonusDeprec,0)</f>
        <v>0</v>
      </c>
      <c r="K206" s="165">
        <f t="shared" si="115"/>
        <v>0</v>
      </c>
    </row>
    <row r="207" spans="1:42">
      <c r="A207" s="206" t="str">
        <f>'Inputs &amp; Results'!A215</f>
        <v>15-yr SL</v>
      </c>
      <c r="B207" s="231">
        <f t="shared" si="109"/>
        <v>2.5773195876288662E-2</v>
      </c>
      <c r="C207" s="208">
        <f>'Inputs &amp; Results'!E224</f>
        <v>1063837.7755299532</v>
      </c>
      <c r="D207" s="208">
        <f t="shared" si="110"/>
        <v>0</v>
      </c>
      <c r="E207" s="208">
        <f t="shared" si="110"/>
        <v>0</v>
      </c>
      <c r="F207" s="165">
        <f t="shared" si="113"/>
        <v>1063837.7755299532</v>
      </c>
      <c r="G207" s="208">
        <f t="shared" si="111"/>
        <v>0</v>
      </c>
      <c r="H207" s="208">
        <f t="shared" si="112"/>
        <v>0</v>
      </c>
      <c r="I207" s="165">
        <f t="shared" si="114"/>
        <v>1063837.7755299532</v>
      </c>
      <c r="J207" s="208">
        <f>IF('Inputs &amp; Results'!B236="Yes",I207*StateBonusDeprec,0)</f>
        <v>0</v>
      </c>
      <c r="K207" s="165">
        <f t="shared" si="115"/>
        <v>1063837.7755299532</v>
      </c>
    </row>
    <row r="208" spans="1:42">
      <c r="A208" s="206" t="str">
        <f>'Inputs &amp; Results'!A216</f>
        <v>20-yr SL</v>
      </c>
      <c r="B208" s="231">
        <f t="shared" si="109"/>
        <v>2.5773195876288662E-2</v>
      </c>
      <c r="C208" s="208">
        <f>'Inputs &amp; Results'!E225</f>
        <v>1063837.7755299532</v>
      </c>
      <c r="D208" s="208">
        <f t="shared" si="110"/>
        <v>0</v>
      </c>
      <c r="E208" s="208">
        <f t="shared" si="110"/>
        <v>0</v>
      </c>
      <c r="F208" s="165">
        <f t="shared" si="113"/>
        <v>1063837.7755299532</v>
      </c>
      <c r="G208" s="208">
        <f t="shared" si="111"/>
        <v>0</v>
      </c>
      <c r="H208" s="208">
        <f t="shared" si="112"/>
        <v>0</v>
      </c>
      <c r="I208" s="165">
        <f t="shared" si="114"/>
        <v>1063837.7755299532</v>
      </c>
      <c r="J208" s="208">
        <f>IF('Inputs &amp; Results'!B237="Yes",I208*StateBonusDeprec,0)</f>
        <v>0</v>
      </c>
      <c r="K208" s="165">
        <f t="shared" si="115"/>
        <v>1063837.7755299532</v>
      </c>
    </row>
    <row r="209" spans="1:11">
      <c r="A209" s="206" t="str">
        <f>'Inputs &amp; Results'!A217</f>
        <v>39-yr SL</v>
      </c>
      <c r="B209" s="231">
        <f t="shared" si="109"/>
        <v>5.1546391752577319E-3</v>
      </c>
      <c r="C209" s="208">
        <f>'Inputs &amp; Results'!E226</f>
        <v>212767.55510599061</v>
      </c>
      <c r="D209" s="208">
        <f t="shared" si="110"/>
        <v>0</v>
      </c>
      <c r="E209" s="208">
        <f t="shared" si="110"/>
        <v>0</v>
      </c>
      <c r="F209" s="165">
        <f t="shared" si="113"/>
        <v>212767.55510599061</v>
      </c>
      <c r="G209" s="208">
        <f t="shared" si="111"/>
        <v>0</v>
      </c>
      <c r="H209" s="208">
        <f t="shared" si="112"/>
        <v>0</v>
      </c>
      <c r="I209" s="165">
        <f t="shared" si="114"/>
        <v>212767.55510599061</v>
      </c>
      <c r="J209" s="208">
        <f>IF('Inputs &amp; Results'!B238="Yes",I209*StateBonusDeprec,0)</f>
        <v>0</v>
      </c>
      <c r="K209" s="165">
        <f t="shared" si="115"/>
        <v>212767.55510599061</v>
      </c>
    </row>
    <row r="210" spans="1:11">
      <c r="A210" s="301" t="s">
        <v>391</v>
      </c>
      <c r="B210" s="233"/>
      <c r="C210" s="234"/>
      <c r="D210" s="235"/>
      <c r="E210" s="235"/>
      <c r="F210" s="103"/>
      <c r="G210" s="235"/>
      <c r="H210" s="235"/>
      <c r="I210" s="103"/>
      <c r="J210" s="235"/>
      <c r="K210" s="103"/>
    </row>
    <row r="211" spans="1:11">
      <c r="B211" s="236">
        <f>SUM(B204:B210)</f>
        <v>1</v>
      </c>
      <c r="C211" s="209">
        <f>SUM(C204:C210)</f>
        <v>41276905.690562181</v>
      </c>
      <c r="D211" s="209">
        <f>B220+B226</f>
        <v>0</v>
      </c>
      <c r="E211" s="209">
        <f>B232</f>
        <v>0</v>
      </c>
      <c r="F211" s="237">
        <f t="shared" ref="F211:K211" si="116">SUM(F204:F210)</f>
        <v>41276905.690562181</v>
      </c>
      <c r="G211" s="209">
        <f t="shared" si="116"/>
        <v>10000</v>
      </c>
      <c r="H211" s="209">
        <f t="shared" si="116"/>
        <v>0</v>
      </c>
      <c r="I211" s="237">
        <f t="shared" si="116"/>
        <v>41266905.690562181</v>
      </c>
      <c r="J211" s="237">
        <f t="shared" si="116"/>
        <v>1914407.9959539156</v>
      </c>
      <c r="K211" s="237">
        <f t="shared" si="116"/>
        <v>39352497.694608264</v>
      </c>
    </row>
    <row r="213" spans="1:11">
      <c r="A213" s="37" t="s">
        <v>171</v>
      </c>
    </row>
    <row r="214" spans="1:11">
      <c r="A214" s="206" t="str">
        <f>A554</f>
        <v>Investment Based Incentive (IBI)</v>
      </c>
    </row>
    <row r="215" spans="1:11">
      <c r="A215" s="222" t="str">
        <f t="shared" ref="A215:A231" si="117">A555</f>
        <v>Fixed Amount ($)</v>
      </c>
    </row>
    <row r="216" spans="1:11">
      <c r="A216" s="238" t="str">
        <f t="shared" si="117"/>
        <v>Federal</v>
      </c>
      <c r="B216" s="164">
        <f>IF(IBIFedFixedStateDeprec="Yes",IBIFedFixed,0)</f>
        <v>0</v>
      </c>
    </row>
    <row r="217" spans="1:11">
      <c r="A217" s="238" t="str">
        <f t="shared" si="117"/>
        <v>State</v>
      </c>
      <c r="B217" s="164">
        <f>IF(IBIStateFixedStateDeprec="Yes",IBIStateFixed,0)</f>
        <v>0</v>
      </c>
    </row>
    <row r="218" spans="1:11">
      <c r="A218" s="238" t="str">
        <f t="shared" si="117"/>
        <v>Utility</v>
      </c>
      <c r="B218" s="164">
        <f>IF(IBIUtilityFixedStateDeprec="Yes",IBIUtilityFixed,0)</f>
        <v>0</v>
      </c>
    </row>
    <row r="219" spans="1:11">
      <c r="A219" s="238" t="str">
        <f t="shared" si="117"/>
        <v>Other</v>
      </c>
      <c r="B219" s="209">
        <f>IF(IBIOtherFixedStateDeprec="Yes",IBIOtherFixed,0)</f>
        <v>0</v>
      </c>
    </row>
    <row r="220" spans="1:11">
      <c r="A220" s="238" t="str">
        <f t="shared" si="117"/>
        <v>Total</v>
      </c>
      <c r="B220" s="164">
        <f>SUM(B216:B219)</f>
        <v>0</v>
      </c>
    </row>
    <row r="221" spans="1:11">
      <c r="A221" s="222" t="str">
        <f t="shared" si="117"/>
        <v>Percentage of Pre-Financing Costs</v>
      </c>
    </row>
    <row r="222" spans="1:11">
      <c r="A222" s="238" t="str">
        <f t="shared" si="117"/>
        <v>Federal</v>
      </c>
      <c r="B222" s="164">
        <f>IF(IBIFedPercentStateDeprec="Yes",IBIFedPercent,0)</f>
        <v>0</v>
      </c>
    </row>
    <row r="223" spans="1:11">
      <c r="A223" s="238" t="str">
        <f>A563</f>
        <v>State</v>
      </c>
      <c r="B223" s="164">
        <f>IF(IBIStatePercentStateDeprec="Yes",IBIStatePercent,0)</f>
        <v>0</v>
      </c>
    </row>
    <row r="224" spans="1:11">
      <c r="A224" s="238" t="str">
        <f t="shared" si="117"/>
        <v>Utility</v>
      </c>
      <c r="B224" s="164">
        <f>IF(IBIUtilityPercentStateDeprec="Yes",IBIUtilityPercent,0)</f>
        <v>0</v>
      </c>
    </row>
    <row r="225" spans="1:42">
      <c r="A225" s="238" t="str">
        <f t="shared" si="117"/>
        <v>Other</v>
      </c>
      <c r="B225" s="209">
        <f>IF(IBIOtherPercentStateDeprec="Yes",IBIOtherPercent,0)</f>
        <v>0</v>
      </c>
    </row>
    <row r="226" spans="1:42">
      <c r="A226" s="238" t="str">
        <f t="shared" si="117"/>
        <v>Total</v>
      </c>
      <c r="B226" s="164">
        <f>SUM(B222:B225)</f>
        <v>0</v>
      </c>
    </row>
    <row r="227" spans="1:42">
      <c r="A227" s="206" t="str">
        <f t="shared" si="117"/>
        <v>Capacity Based Incentive (CBI)</v>
      </c>
    </row>
    <row r="228" spans="1:42">
      <c r="A228" s="222" t="str">
        <f t="shared" si="117"/>
        <v>Federal</v>
      </c>
      <c r="B228" s="164">
        <f>IF(CBIFedStateDeprec="Yes",CBIFed,0)</f>
        <v>0</v>
      </c>
    </row>
    <row r="229" spans="1:42">
      <c r="A229" s="222" t="str">
        <f>A569</f>
        <v>State</v>
      </c>
      <c r="B229" s="164">
        <f>IF(CBIStateStateDeprec="Yes",CBIState,0)</f>
        <v>0</v>
      </c>
    </row>
    <row r="230" spans="1:42">
      <c r="A230" s="222" t="str">
        <f t="shared" si="117"/>
        <v>Utility</v>
      </c>
      <c r="B230" s="164">
        <f>IF(CBIUtilityStateDeprec="Yes",CBIUtility,0)</f>
        <v>0</v>
      </c>
    </row>
    <row r="231" spans="1:42">
      <c r="A231" s="222" t="str">
        <f t="shared" si="117"/>
        <v>Other</v>
      </c>
      <c r="B231" s="209">
        <f>IF(CBIOtherStateDeprec="Yes",CBIOther,0)</f>
        <v>0</v>
      </c>
    </row>
    <row r="232" spans="1:42">
      <c r="A232" s="222" t="str">
        <f>A572</f>
        <v>Total</v>
      </c>
      <c r="B232" s="216">
        <f>SUM(B228:B231)</f>
        <v>0</v>
      </c>
    </row>
    <row r="233" spans="1:42">
      <c r="A233" s="206" t="s">
        <v>154</v>
      </c>
      <c r="B233" s="164">
        <f>B220+B226+B232</f>
        <v>0</v>
      </c>
    </row>
    <row r="235" spans="1:42">
      <c r="A235" s="37" t="s">
        <v>263</v>
      </c>
    </row>
    <row r="236" spans="1:42">
      <c r="A236" s="206" t="s">
        <v>160</v>
      </c>
    </row>
    <row r="237" spans="1:42">
      <c r="A237" s="227" t="str">
        <f>A204</f>
        <v>5-yr MACRS</v>
      </c>
      <c r="B237" s="239">
        <f>SUM(C237:AP237)</f>
        <v>0.99999999999999989</v>
      </c>
      <c r="C237" s="240">
        <f>LOOKUP(C$2,'Depreciation Schedules'!$A$3:$A$42,'Depreciation Schedules'!$B$3:$B$42)</f>
        <v>0.2</v>
      </c>
      <c r="D237" s="240">
        <f>LOOKUP(D$2,'Depreciation Schedules'!$A$3:$A$42,'Depreciation Schedules'!$B$3:$B$42)</f>
        <v>0.32</v>
      </c>
      <c r="E237" s="240">
        <f>LOOKUP(E$2,'Depreciation Schedules'!$A$3:$A$42,'Depreciation Schedules'!$B$3:$B$42)</f>
        <v>0.192</v>
      </c>
      <c r="F237" s="240">
        <f>LOOKUP(F$2,'Depreciation Schedules'!$A$3:$A$42,'Depreciation Schedules'!$B$3:$B$42)</f>
        <v>0.1152</v>
      </c>
      <c r="G237" s="240">
        <f>LOOKUP(G$2,'Depreciation Schedules'!$A$3:$A$42,'Depreciation Schedules'!$B$3:$B$42)</f>
        <v>0.1152</v>
      </c>
      <c r="H237" s="240">
        <f>LOOKUP(H$2,'Depreciation Schedules'!$A$3:$A$42,'Depreciation Schedules'!$B$3:$B$42)</f>
        <v>5.7599999999999998E-2</v>
      </c>
      <c r="I237" s="240">
        <f>LOOKUP(I$2,'Depreciation Schedules'!$A$3:$A$42,'Depreciation Schedules'!$B$3:$B$42)</f>
        <v>0</v>
      </c>
      <c r="J237" s="240">
        <f>LOOKUP(J$2,'Depreciation Schedules'!$A$3:$A$42,'Depreciation Schedules'!$B$3:$B$42)</f>
        <v>0</v>
      </c>
      <c r="K237" s="240">
        <f>LOOKUP(K$2,'Depreciation Schedules'!$A$3:$A$42,'Depreciation Schedules'!$B$3:$B$42)</f>
        <v>0</v>
      </c>
      <c r="L237" s="240">
        <f>LOOKUP(L$2,'Depreciation Schedules'!$A$3:$A$42,'Depreciation Schedules'!$B$3:$B$42)</f>
        <v>0</v>
      </c>
      <c r="M237" s="240">
        <f>LOOKUP(M$2,'Depreciation Schedules'!$A$3:$A$42,'Depreciation Schedules'!$B$3:$B$42)</f>
        <v>0</v>
      </c>
      <c r="N237" s="240">
        <f>LOOKUP(N$2,'Depreciation Schedules'!$A$3:$A$42,'Depreciation Schedules'!$B$3:$B$42)</f>
        <v>0</v>
      </c>
      <c r="O237" s="240">
        <f>LOOKUP(O$2,'Depreciation Schedules'!$A$3:$A$42,'Depreciation Schedules'!$B$3:$B$42)</f>
        <v>0</v>
      </c>
      <c r="P237" s="240">
        <f>LOOKUP(P$2,'Depreciation Schedules'!$A$3:$A$42,'Depreciation Schedules'!$B$3:$B$42)</f>
        <v>0</v>
      </c>
      <c r="Q237" s="240">
        <f>LOOKUP(Q$2,'Depreciation Schedules'!$A$3:$A$42,'Depreciation Schedules'!$B$3:$B$42)</f>
        <v>0</v>
      </c>
      <c r="R237" s="240">
        <f>LOOKUP(R$2,'Depreciation Schedules'!$A$3:$A$42,'Depreciation Schedules'!$B$3:$B$42)</f>
        <v>0</v>
      </c>
      <c r="S237" s="240">
        <f>LOOKUP(S$2,'Depreciation Schedules'!$A$3:$A$42,'Depreciation Schedules'!$B$3:$B$42)</f>
        <v>0</v>
      </c>
      <c r="T237" s="240">
        <f>LOOKUP(T$2,'Depreciation Schedules'!$A$3:$A$42,'Depreciation Schedules'!$B$3:$B$42)</f>
        <v>0</v>
      </c>
      <c r="U237" s="240">
        <f>LOOKUP(U$2,'Depreciation Schedules'!$A$3:$A$42,'Depreciation Schedules'!$B$3:$B$42)</f>
        <v>0</v>
      </c>
      <c r="V237" s="240">
        <f>LOOKUP(V$2,'Depreciation Schedules'!$A$3:$A$42,'Depreciation Schedules'!$B$3:$B$42)</f>
        <v>0</v>
      </c>
      <c r="W237" s="240">
        <f>LOOKUP(W$2,'Depreciation Schedules'!$A$3:$A$42,'Depreciation Schedules'!$B$3:$B$42)</f>
        <v>0</v>
      </c>
      <c r="X237" s="240">
        <f>LOOKUP(X$2,'Depreciation Schedules'!$A$3:$A$42,'Depreciation Schedules'!$B$3:$B$42)</f>
        <v>0</v>
      </c>
      <c r="Y237" s="240">
        <f>LOOKUP(Y$2,'Depreciation Schedules'!$A$3:$A$42,'Depreciation Schedules'!$B$3:$B$42)</f>
        <v>0</v>
      </c>
      <c r="Z237" s="240">
        <f>LOOKUP(Z$2,'Depreciation Schedules'!$A$3:$A$42,'Depreciation Schedules'!$B$3:$B$42)</f>
        <v>0</v>
      </c>
      <c r="AA237" s="240">
        <f>LOOKUP(AA$2,'Depreciation Schedules'!$A$3:$A$42,'Depreciation Schedules'!$B$3:$B$42)</f>
        <v>0</v>
      </c>
      <c r="AB237" s="240">
        <f>LOOKUP(AB$2,'Depreciation Schedules'!$A$3:$A$42,'Depreciation Schedules'!$B$3:$B$42)</f>
        <v>0</v>
      </c>
      <c r="AC237" s="240">
        <f>LOOKUP(AC$2,'Depreciation Schedules'!$A$3:$A$42,'Depreciation Schedules'!$B$3:$B$42)</f>
        <v>0</v>
      </c>
      <c r="AD237" s="240">
        <f>LOOKUP(AD$2,'Depreciation Schedules'!$A$3:$A$42,'Depreciation Schedules'!$B$3:$B$42)</f>
        <v>0</v>
      </c>
      <c r="AE237" s="240">
        <f>LOOKUP(AE$2,'Depreciation Schedules'!$A$3:$A$42,'Depreciation Schedules'!$B$3:$B$42)</f>
        <v>0</v>
      </c>
      <c r="AF237" s="240">
        <f>LOOKUP(AF$2,'Depreciation Schedules'!$A$3:$A$42,'Depreciation Schedules'!$B$3:$B$42)</f>
        <v>0</v>
      </c>
      <c r="AG237" s="240">
        <f>LOOKUP(AG$2,'Depreciation Schedules'!$A$3:$A$42,'Depreciation Schedules'!$B$3:$B$42)</f>
        <v>0</v>
      </c>
      <c r="AH237" s="240">
        <f>LOOKUP(AH$2,'Depreciation Schedules'!$A$3:$A$42,'Depreciation Schedules'!$B$3:$B$42)</f>
        <v>0</v>
      </c>
      <c r="AI237" s="240">
        <f>LOOKUP(AI$2,'Depreciation Schedules'!$A$3:$A$42,'Depreciation Schedules'!$B$3:$B$42)</f>
        <v>0</v>
      </c>
      <c r="AJ237" s="240">
        <f>LOOKUP(AJ$2,'Depreciation Schedules'!$A$3:$A$42,'Depreciation Schedules'!$B$3:$B$42)</f>
        <v>0</v>
      </c>
      <c r="AK237" s="240">
        <f>LOOKUP(AK$2,'Depreciation Schedules'!$A$3:$A$42,'Depreciation Schedules'!$B$3:$B$42)</f>
        <v>0</v>
      </c>
      <c r="AL237" s="240">
        <f>LOOKUP(AL$2,'Depreciation Schedules'!$A$3:$A$42,'Depreciation Schedules'!$B$3:$B$42)</f>
        <v>0</v>
      </c>
      <c r="AM237" s="240">
        <f>LOOKUP(AM$2,'Depreciation Schedules'!$A$3:$A$42,'Depreciation Schedules'!$B$3:$B$42)</f>
        <v>0</v>
      </c>
      <c r="AN237" s="240">
        <f>LOOKUP(AN$2,'Depreciation Schedules'!$A$3:$A$42,'Depreciation Schedules'!$B$3:$B$42)</f>
        <v>0</v>
      </c>
      <c r="AO237" s="240">
        <f>LOOKUP(AO$2,'Depreciation Schedules'!$A$3:$A$42,'Depreciation Schedules'!$B$3:$B$42)</f>
        <v>0</v>
      </c>
      <c r="AP237" s="240">
        <f>LOOKUP(AP$2,'Depreciation Schedules'!$A$3:$A$42,'Depreciation Schedules'!$B$3:$B$42)</f>
        <v>0</v>
      </c>
    </row>
    <row r="238" spans="1:42">
      <c r="A238" s="227" t="str">
        <f t="shared" ref="A238:A242" si="118">A205</f>
        <v>15-yr MACRS</v>
      </c>
      <c r="B238" s="241">
        <f t="shared" ref="B238:B242" si="119">SUM(C238:AP238)</f>
        <v>1.0000000000000002</v>
      </c>
      <c r="C238" s="240">
        <f>LOOKUP(C$2,'Depreciation Schedules'!$A$3:$A$42,'Depreciation Schedules'!$C$3:$C$42)</f>
        <v>0.05</v>
      </c>
      <c r="D238" s="240">
        <f>LOOKUP(D$2,'Depreciation Schedules'!$A$3:$A$42,'Depreciation Schedules'!$C$3:$C$42)</f>
        <v>9.5000000000000001E-2</v>
      </c>
      <c r="E238" s="240">
        <f>LOOKUP(E$2,'Depreciation Schedules'!$A$3:$A$42,'Depreciation Schedules'!$C$3:$C$42)</f>
        <v>8.5500000000000007E-2</v>
      </c>
      <c r="F238" s="240">
        <f>LOOKUP(F$2,'Depreciation Schedules'!$A$3:$A$42,'Depreciation Schedules'!$C$3:$C$42)</f>
        <v>7.6999999999999999E-2</v>
      </c>
      <c r="G238" s="240">
        <f>LOOKUP(G$2,'Depreciation Schedules'!$A$3:$A$42,'Depreciation Schedules'!$C$3:$C$42)</f>
        <v>6.93E-2</v>
      </c>
      <c r="H238" s="240">
        <f>LOOKUP(H$2,'Depreciation Schedules'!$A$3:$A$42,'Depreciation Schedules'!$C$3:$C$42)</f>
        <v>6.2300000000000001E-2</v>
      </c>
      <c r="I238" s="240">
        <f>LOOKUP(I$2,'Depreciation Schedules'!$A$3:$A$42,'Depreciation Schedules'!$C$3:$C$42)</f>
        <v>5.8999999999999997E-2</v>
      </c>
      <c r="J238" s="240">
        <f>LOOKUP(J$2,'Depreciation Schedules'!$A$3:$A$42,'Depreciation Schedules'!$C$3:$C$42)</f>
        <v>5.8999999999999997E-2</v>
      </c>
      <c r="K238" s="240">
        <f>LOOKUP(K$2,'Depreciation Schedules'!$A$3:$A$42,'Depreciation Schedules'!$C$3:$C$42)</f>
        <v>5.91E-2</v>
      </c>
      <c r="L238" s="240">
        <f>LOOKUP(L$2,'Depreciation Schedules'!$A$3:$A$42,'Depreciation Schedules'!$C$3:$C$42)</f>
        <v>5.8999999999999997E-2</v>
      </c>
      <c r="M238" s="240">
        <f>LOOKUP(M$2,'Depreciation Schedules'!$A$3:$A$42,'Depreciation Schedules'!$C$3:$C$42)</f>
        <v>5.91E-2</v>
      </c>
      <c r="N238" s="240">
        <f>LOOKUP(N$2,'Depreciation Schedules'!$A$3:$A$42,'Depreciation Schedules'!$C$3:$C$42)</f>
        <v>5.8999999999999997E-2</v>
      </c>
      <c r="O238" s="240">
        <f>LOOKUP(O$2,'Depreciation Schedules'!$A$3:$A$42,'Depreciation Schedules'!$C$3:$C$42)</f>
        <v>5.91E-2</v>
      </c>
      <c r="P238" s="240">
        <f>LOOKUP(P$2,'Depreciation Schedules'!$A$3:$A$42,'Depreciation Schedules'!$C$3:$C$42)</f>
        <v>5.8999999999999997E-2</v>
      </c>
      <c r="Q238" s="240">
        <f>LOOKUP(Q$2,'Depreciation Schedules'!$A$3:$A$42,'Depreciation Schedules'!$C$3:$C$42)</f>
        <v>5.91E-2</v>
      </c>
      <c r="R238" s="240">
        <f>LOOKUP(R$2,'Depreciation Schedules'!$A$3:$A$42,'Depreciation Schedules'!$C$3:$C$42)</f>
        <v>2.9499999999999998E-2</v>
      </c>
      <c r="S238" s="240">
        <f>LOOKUP(S$2,'Depreciation Schedules'!$A$3:$A$42,'Depreciation Schedules'!$C$3:$C$42)</f>
        <v>0</v>
      </c>
      <c r="T238" s="240">
        <f>LOOKUP(T$2,'Depreciation Schedules'!$A$3:$A$42,'Depreciation Schedules'!$C$3:$C$42)</f>
        <v>0</v>
      </c>
      <c r="U238" s="240">
        <f>LOOKUP(U$2,'Depreciation Schedules'!$A$3:$A$42,'Depreciation Schedules'!$C$3:$C$42)</f>
        <v>0</v>
      </c>
      <c r="V238" s="240">
        <f>LOOKUP(V$2,'Depreciation Schedules'!$A$3:$A$42,'Depreciation Schedules'!$C$3:$C$42)</f>
        <v>0</v>
      </c>
      <c r="W238" s="240">
        <f>LOOKUP(W$2,'Depreciation Schedules'!$A$3:$A$42,'Depreciation Schedules'!$C$3:$C$42)</f>
        <v>0</v>
      </c>
      <c r="X238" s="240">
        <f>LOOKUP(X$2,'Depreciation Schedules'!$A$3:$A$42,'Depreciation Schedules'!$C$3:$C$42)</f>
        <v>0</v>
      </c>
      <c r="Y238" s="240">
        <f>LOOKUP(Y$2,'Depreciation Schedules'!$A$3:$A$42,'Depreciation Schedules'!$C$3:$C$42)</f>
        <v>0</v>
      </c>
      <c r="Z238" s="240">
        <f>LOOKUP(Z$2,'Depreciation Schedules'!$A$3:$A$42,'Depreciation Schedules'!$C$3:$C$42)</f>
        <v>0</v>
      </c>
      <c r="AA238" s="240">
        <f>LOOKUP(AA$2,'Depreciation Schedules'!$A$3:$A$42,'Depreciation Schedules'!$C$3:$C$42)</f>
        <v>0</v>
      </c>
      <c r="AB238" s="240">
        <f>LOOKUP(AB$2,'Depreciation Schedules'!$A$3:$A$42,'Depreciation Schedules'!$C$3:$C$42)</f>
        <v>0</v>
      </c>
      <c r="AC238" s="240">
        <f>LOOKUP(AC$2,'Depreciation Schedules'!$A$3:$A$42,'Depreciation Schedules'!$C$3:$C$42)</f>
        <v>0</v>
      </c>
      <c r="AD238" s="240">
        <f>LOOKUP(AD$2,'Depreciation Schedules'!$A$3:$A$42,'Depreciation Schedules'!$C$3:$C$42)</f>
        <v>0</v>
      </c>
      <c r="AE238" s="240">
        <f>LOOKUP(AE$2,'Depreciation Schedules'!$A$3:$A$42,'Depreciation Schedules'!$C$3:$C$42)</f>
        <v>0</v>
      </c>
      <c r="AF238" s="240">
        <f>LOOKUP(AF$2,'Depreciation Schedules'!$A$3:$A$42,'Depreciation Schedules'!$C$3:$C$42)</f>
        <v>0</v>
      </c>
      <c r="AG238" s="240">
        <f>LOOKUP(AG$2,'Depreciation Schedules'!$A$3:$A$42,'Depreciation Schedules'!$C$3:$C$42)</f>
        <v>0</v>
      </c>
      <c r="AH238" s="240">
        <f>LOOKUP(AH$2,'Depreciation Schedules'!$A$3:$A$42,'Depreciation Schedules'!$C$3:$C$42)</f>
        <v>0</v>
      </c>
      <c r="AI238" s="240">
        <f>LOOKUP(AI$2,'Depreciation Schedules'!$A$3:$A$42,'Depreciation Schedules'!$C$3:$C$42)</f>
        <v>0</v>
      </c>
      <c r="AJ238" s="240">
        <f>LOOKUP(AJ$2,'Depreciation Schedules'!$A$3:$A$42,'Depreciation Schedules'!$C$3:$C$42)</f>
        <v>0</v>
      </c>
      <c r="AK238" s="240">
        <f>LOOKUP(AK$2,'Depreciation Schedules'!$A$3:$A$42,'Depreciation Schedules'!$C$3:$C$42)</f>
        <v>0</v>
      </c>
      <c r="AL238" s="240">
        <f>LOOKUP(AL$2,'Depreciation Schedules'!$A$3:$A$42,'Depreciation Schedules'!$C$3:$C$42)</f>
        <v>0</v>
      </c>
      <c r="AM238" s="240">
        <f>LOOKUP(AM$2,'Depreciation Schedules'!$A$3:$A$42,'Depreciation Schedules'!$C$3:$C$42)</f>
        <v>0</v>
      </c>
      <c r="AN238" s="240">
        <f>LOOKUP(AN$2,'Depreciation Schedules'!$A$3:$A$42,'Depreciation Schedules'!$C$3:$C$42)</f>
        <v>0</v>
      </c>
      <c r="AO238" s="240">
        <f>LOOKUP(AO$2,'Depreciation Schedules'!$A$3:$A$42,'Depreciation Schedules'!$C$3:$C$42)</f>
        <v>0</v>
      </c>
      <c r="AP238" s="240">
        <f>LOOKUP(AP$2,'Depreciation Schedules'!$A$3:$A$42,'Depreciation Schedules'!$C$3:$C$42)</f>
        <v>0</v>
      </c>
    </row>
    <row r="239" spans="1:42">
      <c r="A239" s="227" t="str">
        <f t="shared" si="118"/>
        <v>5-yr SL</v>
      </c>
      <c r="B239" s="241">
        <f t="shared" si="119"/>
        <v>0.99999999999999989</v>
      </c>
      <c r="C239" s="240">
        <f>LOOKUP(C$2,'Depreciation Schedules'!$A$3:$A$42,'Depreciation Schedules'!$D$3:$D$42)</f>
        <v>0.1</v>
      </c>
      <c r="D239" s="240">
        <f>LOOKUP(D$2,'Depreciation Schedules'!$A$3:$A$42,'Depreciation Schedules'!$D$3:$D$42)</f>
        <v>0.2</v>
      </c>
      <c r="E239" s="240">
        <f>LOOKUP(E$2,'Depreciation Schedules'!$A$3:$A$42,'Depreciation Schedules'!$D$3:$D$42)</f>
        <v>0.2</v>
      </c>
      <c r="F239" s="240">
        <f>LOOKUP(F$2,'Depreciation Schedules'!$A$3:$A$42,'Depreciation Schedules'!$D$3:$D$42)</f>
        <v>0.2</v>
      </c>
      <c r="G239" s="240">
        <f>LOOKUP(G$2,'Depreciation Schedules'!$A$3:$A$42,'Depreciation Schedules'!$D$3:$D$42)</f>
        <v>0.2</v>
      </c>
      <c r="H239" s="240">
        <f>LOOKUP(H$2,'Depreciation Schedules'!$A$3:$A$42,'Depreciation Schedules'!$D$3:$D$42)</f>
        <v>0.1</v>
      </c>
      <c r="I239" s="240">
        <f>LOOKUP(I$2,'Depreciation Schedules'!$A$3:$A$42,'Depreciation Schedules'!$D$3:$D$42)</f>
        <v>0</v>
      </c>
      <c r="J239" s="240">
        <f>LOOKUP(J$2,'Depreciation Schedules'!$A$3:$A$42,'Depreciation Schedules'!$D$3:$D$42)</f>
        <v>0</v>
      </c>
      <c r="K239" s="240">
        <f>LOOKUP(K$2,'Depreciation Schedules'!$A$3:$A$42,'Depreciation Schedules'!$D$3:$D$42)</f>
        <v>0</v>
      </c>
      <c r="L239" s="240">
        <f>LOOKUP(L$2,'Depreciation Schedules'!$A$3:$A$42,'Depreciation Schedules'!$D$3:$D$42)</f>
        <v>0</v>
      </c>
      <c r="M239" s="240">
        <f>LOOKUP(M$2,'Depreciation Schedules'!$A$3:$A$42,'Depreciation Schedules'!$D$3:$D$42)</f>
        <v>0</v>
      </c>
      <c r="N239" s="240">
        <f>LOOKUP(N$2,'Depreciation Schedules'!$A$3:$A$42,'Depreciation Schedules'!$D$3:$D$42)</f>
        <v>0</v>
      </c>
      <c r="O239" s="240">
        <f>LOOKUP(O$2,'Depreciation Schedules'!$A$3:$A$42,'Depreciation Schedules'!$D$3:$D$42)</f>
        <v>0</v>
      </c>
      <c r="P239" s="240">
        <f>LOOKUP(P$2,'Depreciation Schedules'!$A$3:$A$42,'Depreciation Schedules'!$D$3:$D$42)</f>
        <v>0</v>
      </c>
      <c r="Q239" s="240">
        <f>LOOKUP(Q$2,'Depreciation Schedules'!$A$3:$A$42,'Depreciation Schedules'!$D$3:$D$42)</f>
        <v>0</v>
      </c>
      <c r="R239" s="240">
        <f>LOOKUP(R$2,'Depreciation Schedules'!$A$3:$A$42,'Depreciation Schedules'!$D$3:$D$42)</f>
        <v>0</v>
      </c>
      <c r="S239" s="240">
        <f>LOOKUP(S$2,'Depreciation Schedules'!$A$3:$A$42,'Depreciation Schedules'!$D$3:$D$42)</f>
        <v>0</v>
      </c>
      <c r="T239" s="240">
        <f>LOOKUP(T$2,'Depreciation Schedules'!$A$3:$A$42,'Depreciation Schedules'!$D$3:$D$42)</f>
        <v>0</v>
      </c>
      <c r="U239" s="240">
        <f>LOOKUP(U$2,'Depreciation Schedules'!$A$3:$A$42,'Depreciation Schedules'!$D$3:$D$42)</f>
        <v>0</v>
      </c>
      <c r="V239" s="240">
        <f>LOOKUP(V$2,'Depreciation Schedules'!$A$3:$A$42,'Depreciation Schedules'!$D$3:$D$42)</f>
        <v>0</v>
      </c>
      <c r="W239" s="240">
        <f>LOOKUP(W$2,'Depreciation Schedules'!$A$3:$A$42,'Depreciation Schedules'!$D$3:$D$42)</f>
        <v>0</v>
      </c>
      <c r="X239" s="240">
        <f>LOOKUP(X$2,'Depreciation Schedules'!$A$3:$A$42,'Depreciation Schedules'!$D$3:$D$42)</f>
        <v>0</v>
      </c>
      <c r="Y239" s="240">
        <f>LOOKUP(Y$2,'Depreciation Schedules'!$A$3:$A$42,'Depreciation Schedules'!$D$3:$D$42)</f>
        <v>0</v>
      </c>
      <c r="Z239" s="240">
        <f>LOOKUP(Z$2,'Depreciation Schedules'!$A$3:$A$42,'Depreciation Schedules'!$D$3:$D$42)</f>
        <v>0</v>
      </c>
      <c r="AA239" s="240">
        <f>LOOKUP(AA$2,'Depreciation Schedules'!$A$3:$A$42,'Depreciation Schedules'!$D$3:$D$42)</f>
        <v>0</v>
      </c>
      <c r="AB239" s="240">
        <f>LOOKUP(AB$2,'Depreciation Schedules'!$A$3:$A$42,'Depreciation Schedules'!$D$3:$D$42)</f>
        <v>0</v>
      </c>
      <c r="AC239" s="240">
        <f>LOOKUP(AC$2,'Depreciation Schedules'!$A$3:$A$42,'Depreciation Schedules'!$D$3:$D$42)</f>
        <v>0</v>
      </c>
      <c r="AD239" s="240">
        <f>LOOKUP(AD$2,'Depreciation Schedules'!$A$3:$A$42,'Depreciation Schedules'!$D$3:$D$42)</f>
        <v>0</v>
      </c>
      <c r="AE239" s="240">
        <f>LOOKUP(AE$2,'Depreciation Schedules'!$A$3:$A$42,'Depreciation Schedules'!$D$3:$D$42)</f>
        <v>0</v>
      </c>
      <c r="AF239" s="240">
        <f>LOOKUP(AF$2,'Depreciation Schedules'!$A$3:$A$42,'Depreciation Schedules'!$D$3:$D$42)</f>
        <v>0</v>
      </c>
      <c r="AG239" s="240">
        <f>LOOKUP(AG$2,'Depreciation Schedules'!$A$3:$A$42,'Depreciation Schedules'!$D$3:$D$42)</f>
        <v>0</v>
      </c>
      <c r="AH239" s="240">
        <f>LOOKUP(AH$2,'Depreciation Schedules'!$A$3:$A$42,'Depreciation Schedules'!$D$3:$D$42)</f>
        <v>0</v>
      </c>
      <c r="AI239" s="240">
        <f>LOOKUP(AI$2,'Depreciation Schedules'!$A$3:$A$42,'Depreciation Schedules'!$D$3:$D$42)</f>
        <v>0</v>
      </c>
      <c r="AJ239" s="240">
        <f>LOOKUP(AJ$2,'Depreciation Schedules'!$A$3:$A$42,'Depreciation Schedules'!$D$3:$D$42)</f>
        <v>0</v>
      </c>
      <c r="AK239" s="240">
        <f>LOOKUP(AK$2,'Depreciation Schedules'!$A$3:$A$42,'Depreciation Schedules'!$D$3:$D$42)</f>
        <v>0</v>
      </c>
      <c r="AL239" s="240">
        <f>LOOKUP(AL$2,'Depreciation Schedules'!$A$3:$A$42,'Depreciation Schedules'!$D$3:$D$42)</f>
        <v>0</v>
      </c>
      <c r="AM239" s="240">
        <f>LOOKUP(AM$2,'Depreciation Schedules'!$A$3:$A$42,'Depreciation Schedules'!$D$3:$D$42)</f>
        <v>0</v>
      </c>
      <c r="AN239" s="240">
        <f>LOOKUP(AN$2,'Depreciation Schedules'!$A$3:$A$42,'Depreciation Schedules'!$D$3:$D$42)</f>
        <v>0</v>
      </c>
      <c r="AO239" s="240">
        <f>LOOKUP(AO$2,'Depreciation Schedules'!$A$3:$A$42,'Depreciation Schedules'!$D$3:$D$42)</f>
        <v>0</v>
      </c>
      <c r="AP239" s="240">
        <f>LOOKUP(AP$2,'Depreciation Schedules'!$A$3:$A$42,'Depreciation Schedules'!$D$3:$D$42)</f>
        <v>0</v>
      </c>
    </row>
    <row r="240" spans="1:42">
      <c r="A240" s="227" t="str">
        <f t="shared" si="118"/>
        <v>15-yr SL</v>
      </c>
      <c r="B240" s="241">
        <f t="shared" si="119"/>
        <v>0.99999999999999989</v>
      </c>
      <c r="C240" s="240">
        <f>LOOKUP(C$2,'Depreciation Schedules'!$A$3:$A$42,'Depreciation Schedules'!$E$3:$E$42)</f>
        <v>3.3300000000000003E-2</v>
      </c>
      <c r="D240" s="240">
        <f>LOOKUP(D$2,'Depreciation Schedules'!$A$3:$A$42,'Depreciation Schedules'!$E$3:$E$42)</f>
        <v>6.6699999999999995E-2</v>
      </c>
      <c r="E240" s="240">
        <f>LOOKUP(E$2,'Depreciation Schedules'!$A$3:$A$42,'Depreciation Schedules'!$E$3:$E$42)</f>
        <v>6.6699999999999995E-2</v>
      </c>
      <c r="F240" s="240">
        <f>LOOKUP(F$2,'Depreciation Schedules'!$A$3:$A$42,'Depreciation Schedules'!$E$3:$E$42)</f>
        <v>6.6699999999999995E-2</v>
      </c>
      <c r="G240" s="240">
        <f>LOOKUP(G$2,'Depreciation Schedules'!$A$3:$A$42,'Depreciation Schedules'!$E$3:$E$42)</f>
        <v>6.6699999999999995E-2</v>
      </c>
      <c r="H240" s="240">
        <f>LOOKUP(H$2,'Depreciation Schedules'!$A$3:$A$42,'Depreciation Schedules'!$E$3:$E$42)</f>
        <v>6.6699999999999995E-2</v>
      </c>
      <c r="I240" s="240">
        <f>LOOKUP(I$2,'Depreciation Schedules'!$A$3:$A$42,'Depreciation Schedules'!$E$3:$E$42)</f>
        <v>6.6699999999999995E-2</v>
      </c>
      <c r="J240" s="240">
        <f>LOOKUP(J$2,'Depreciation Schedules'!$A$3:$A$42,'Depreciation Schedules'!$E$3:$E$42)</f>
        <v>6.6600000000000006E-2</v>
      </c>
      <c r="K240" s="240">
        <f>LOOKUP(K$2,'Depreciation Schedules'!$A$3:$A$42,'Depreciation Schedules'!$E$3:$E$42)</f>
        <v>6.6699999999999995E-2</v>
      </c>
      <c r="L240" s="240">
        <f>LOOKUP(L$2,'Depreciation Schedules'!$A$3:$A$42,'Depreciation Schedules'!$E$3:$E$42)</f>
        <v>6.6600000000000006E-2</v>
      </c>
      <c r="M240" s="240">
        <f>LOOKUP(M$2,'Depreciation Schedules'!$A$3:$A$42,'Depreciation Schedules'!$E$3:$E$42)</f>
        <v>6.6699999999999995E-2</v>
      </c>
      <c r="N240" s="240">
        <f>LOOKUP(N$2,'Depreciation Schedules'!$A$3:$A$42,'Depreciation Schedules'!$E$3:$E$42)</f>
        <v>6.6600000000000006E-2</v>
      </c>
      <c r="O240" s="240">
        <f>LOOKUP(O$2,'Depreciation Schedules'!$A$3:$A$42,'Depreciation Schedules'!$E$3:$E$42)</f>
        <v>6.6699999999999995E-2</v>
      </c>
      <c r="P240" s="240">
        <f>LOOKUP(P$2,'Depreciation Schedules'!$A$3:$A$42,'Depreciation Schedules'!$E$3:$E$42)</f>
        <v>6.6600000000000006E-2</v>
      </c>
      <c r="Q240" s="240">
        <f>LOOKUP(Q$2,'Depreciation Schedules'!$A$3:$A$42,'Depreciation Schedules'!$E$3:$E$42)</f>
        <v>6.6699999999999995E-2</v>
      </c>
      <c r="R240" s="240">
        <f>LOOKUP(R$2,'Depreciation Schedules'!$A$3:$A$42,'Depreciation Schedules'!$E$3:$E$42)</f>
        <v>3.3300000000000003E-2</v>
      </c>
      <c r="S240" s="240">
        <f>LOOKUP(S$2,'Depreciation Schedules'!$A$3:$A$42,'Depreciation Schedules'!$E$3:$E$42)</f>
        <v>0</v>
      </c>
      <c r="T240" s="240">
        <f>LOOKUP(T$2,'Depreciation Schedules'!$A$3:$A$42,'Depreciation Schedules'!$E$3:$E$42)</f>
        <v>0</v>
      </c>
      <c r="U240" s="240">
        <f>LOOKUP(U$2,'Depreciation Schedules'!$A$3:$A$42,'Depreciation Schedules'!$E$3:$E$42)</f>
        <v>0</v>
      </c>
      <c r="V240" s="240">
        <f>LOOKUP(V$2,'Depreciation Schedules'!$A$3:$A$42,'Depreciation Schedules'!$E$3:$E$42)</f>
        <v>0</v>
      </c>
      <c r="W240" s="240">
        <f>LOOKUP(W$2,'Depreciation Schedules'!$A$3:$A$42,'Depreciation Schedules'!$E$3:$E$42)</f>
        <v>0</v>
      </c>
      <c r="X240" s="240">
        <f>LOOKUP(X$2,'Depreciation Schedules'!$A$3:$A$42,'Depreciation Schedules'!$E$3:$E$42)</f>
        <v>0</v>
      </c>
      <c r="Y240" s="240">
        <f>LOOKUP(Y$2,'Depreciation Schedules'!$A$3:$A$42,'Depreciation Schedules'!$E$3:$E$42)</f>
        <v>0</v>
      </c>
      <c r="Z240" s="240">
        <f>LOOKUP(Z$2,'Depreciation Schedules'!$A$3:$A$42,'Depreciation Schedules'!$E$3:$E$42)</f>
        <v>0</v>
      </c>
      <c r="AA240" s="240">
        <f>LOOKUP(AA$2,'Depreciation Schedules'!$A$3:$A$42,'Depreciation Schedules'!$E$3:$E$42)</f>
        <v>0</v>
      </c>
      <c r="AB240" s="240">
        <f>LOOKUP(AB$2,'Depreciation Schedules'!$A$3:$A$42,'Depreciation Schedules'!$E$3:$E$42)</f>
        <v>0</v>
      </c>
      <c r="AC240" s="240">
        <f>LOOKUP(AC$2,'Depreciation Schedules'!$A$3:$A$42,'Depreciation Schedules'!$E$3:$E$42)</f>
        <v>0</v>
      </c>
      <c r="AD240" s="240">
        <f>LOOKUP(AD$2,'Depreciation Schedules'!$A$3:$A$42,'Depreciation Schedules'!$E$3:$E$42)</f>
        <v>0</v>
      </c>
      <c r="AE240" s="240">
        <f>LOOKUP(AE$2,'Depreciation Schedules'!$A$3:$A$42,'Depreciation Schedules'!$E$3:$E$42)</f>
        <v>0</v>
      </c>
      <c r="AF240" s="240">
        <f>LOOKUP(AF$2,'Depreciation Schedules'!$A$3:$A$42,'Depreciation Schedules'!$E$3:$E$42)</f>
        <v>0</v>
      </c>
      <c r="AG240" s="240">
        <f>LOOKUP(AG$2,'Depreciation Schedules'!$A$3:$A$42,'Depreciation Schedules'!$E$3:$E$42)</f>
        <v>0</v>
      </c>
      <c r="AH240" s="240">
        <f>LOOKUP(AH$2,'Depreciation Schedules'!$A$3:$A$42,'Depreciation Schedules'!$E$3:$E$42)</f>
        <v>0</v>
      </c>
      <c r="AI240" s="240">
        <f>LOOKUP(AI$2,'Depreciation Schedules'!$A$3:$A$42,'Depreciation Schedules'!$E$3:$E$42)</f>
        <v>0</v>
      </c>
      <c r="AJ240" s="240">
        <f>LOOKUP(AJ$2,'Depreciation Schedules'!$A$3:$A$42,'Depreciation Schedules'!$E$3:$E$42)</f>
        <v>0</v>
      </c>
      <c r="AK240" s="240">
        <f>LOOKUP(AK$2,'Depreciation Schedules'!$A$3:$A$42,'Depreciation Schedules'!$E$3:$E$42)</f>
        <v>0</v>
      </c>
      <c r="AL240" s="240">
        <f>LOOKUP(AL$2,'Depreciation Schedules'!$A$3:$A$42,'Depreciation Schedules'!$E$3:$E$42)</f>
        <v>0</v>
      </c>
      <c r="AM240" s="240">
        <f>LOOKUP(AM$2,'Depreciation Schedules'!$A$3:$A$42,'Depreciation Schedules'!$E$3:$E$42)</f>
        <v>0</v>
      </c>
      <c r="AN240" s="240">
        <f>LOOKUP(AN$2,'Depreciation Schedules'!$A$3:$A$42,'Depreciation Schedules'!$E$3:$E$42)</f>
        <v>0</v>
      </c>
      <c r="AO240" s="240">
        <f>LOOKUP(AO$2,'Depreciation Schedules'!$A$3:$A$42,'Depreciation Schedules'!$E$3:$E$42)</f>
        <v>0</v>
      </c>
      <c r="AP240" s="240">
        <f>LOOKUP(AP$2,'Depreciation Schedules'!$A$3:$A$42,'Depreciation Schedules'!$E$3:$E$42)</f>
        <v>0</v>
      </c>
    </row>
    <row r="241" spans="1:42">
      <c r="A241" s="227" t="str">
        <f t="shared" si="118"/>
        <v>20-yr SL</v>
      </c>
      <c r="B241" s="241">
        <f t="shared" si="119"/>
        <v>1.0000000000000002</v>
      </c>
      <c r="C241" s="240">
        <f>LOOKUP(C$2,'Depreciation Schedules'!$A$3:$A$42,'Depreciation Schedules'!$F$3:$F$42)</f>
        <v>2.5000000000000001E-2</v>
      </c>
      <c r="D241" s="240">
        <f>LOOKUP(D$2,'Depreciation Schedules'!$A$3:$A$42,'Depreciation Schedules'!$F$3:$F$42)</f>
        <v>0.05</v>
      </c>
      <c r="E241" s="240">
        <f>LOOKUP(E$2,'Depreciation Schedules'!$A$3:$A$42,'Depreciation Schedules'!$F$3:$F$42)</f>
        <v>0.05</v>
      </c>
      <c r="F241" s="240">
        <f>LOOKUP(F$2,'Depreciation Schedules'!$A$3:$A$42,'Depreciation Schedules'!$F$3:$F$42)</f>
        <v>0.05</v>
      </c>
      <c r="G241" s="240">
        <f>LOOKUP(G$2,'Depreciation Schedules'!$A$3:$A$42,'Depreciation Schedules'!$F$3:$F$42)</f>
        <v>0.05</v>
      </c>
      <c r="H241" s="240">
        <f>LOOKUP(H$2,'Depreciation Schedules'!$A$3:$A$42,'Depreciation Schedules'!$F$3:$F$42)</f>
        <v>0.05</v>
      </c>
      <c r="I241" s="240">
        <f>LOOKUP(I$2,'Depreciation Schedules'!$A$3:$A$42,'Depreciation Schedules'!$F$3:$F$42)</f>
        <v>0.05</v>
      </c>
      <c r="J241" s="240">
        <f>LOOKUP(J$2,'Depreciation Schedules'!$A$3:$A$42,'Depreciation Schedules'!$F$3:$F$42)</f>
        <v>0.05</v>
      </c>
      <c r="K241" s="240">
        <f>LOOKUP(K$2,'Depreciation Schedules'!$A$3:$A$42,'Depreciation Schedules'!$F$3:$F$42)</f>
        <v>0.05</v>
      </c>
      <c r="L241" s="240">
        <f>LOOKUP(L$2,'Depreciation Schedules'!$A$3:$A$42,'Depreciation Schedules'!$F$3:$F$42)</f>
        <v>0.05</v>
      </c>
      <c r="M241" s="240">
        <f>LOOKUP(M$2,'Depreciation Schedules'!$A$3:$A$42,'Depreciation Schedules'!$F$3:$F$42)</f>
        <v>0.05</v>
      </c>
      <c r="N241" s="240">
        <f>LOOKUP(N$2,'Depreciation Schedules'!$A$3:$A$42,'Depreciation Schedules'!$F$3:$F$42)</f>
        <v>0.05</v>
      </c>
      <c r="O241" s="240">
        <f>LOOKUP(O$2,'Depreciation Schedules'!$A$3:$A$42,'Depreciation Schedules'!$F$3:$F$42)</f>
        <v>0.05</v>
      </c>
      <c r="P241" s="240">
        <f>LOOKUP(P$2,'Depreciation Schedules'!$A$3:$A$42,'Depreciation Schedules'!$F$3:$F$42)</f>
        <v>0.05</v>
      </c>
      <c r="Q241" s="240">
        <f>LOOKUP(Q$2,'Depreciation Schedules'!$A$3:$A$42,'Depreciation Schedules'!$F$3:$F$42)</f>
        <v>0.05</v>
      </c>
      <c r="R241" s="240">
        <f>LOOKUP(R$2,'Depreciation Schedules'!$A$3:$A$42,'Depreciation Schedules'!$F$3:$F$42)</f>
        <v>0.05</v>
      </c>
      <c r="S241" s="240">
        <f>LOOKUP(S$2,'Depreciation Schedules'!$A$3:$A$42,'Depreciation Schedules'!$F$3:$F$42)</f>
        <v>0.05</v>
      </c>
      <c r="T241" s="240">
        <f>LOOKUP(T$2,'Depreciation Schedules'!$A$3:$A$42,'Depreciation Schedules'!$F$3:$F$42)</f>
        <v>0.05</v>
      </c>
      <c r="U241" s="240">
        <f>LOOKUP(U$2,'Depreciation Schedules'!$A$3:$A$42,'Depreciation Schedules'!$F$3:$F$42)</f>
        <v>0.05</v>
      </c>
      <c r="V241" s="240">
        <f>LOOKUP(V$2,'Depreciation Schedules'!$A$3:$A$42,'Depreciation Schedules'!$F$3:$F$42)</f>
        <v>0.05</v>
      </c>
      <c r="W241" s="240">
        <f>LOOKUP(W$2,'Depreciation Schedules'!$A$3:$A$42,'Depreciation Schedules'!$F$3:$F$42)</f>
        <v>2.5000000000000001E-2</v>
      </c>
      <c r="X241" s="240">
        <f>LOOKUP(X$2,'Depreciation Schedules'!$A$3:$A$42,'Depreciation Schedules'!$F$3:$F$42)</f>
        <v>0</v>
      </c>
      <c r="Y241" s="240">
        <f>LOOKUP(Y$2,'Depreciation Schedules'!$A$3:$A$42,'Depreciation Schedules'!$F$3:$F$42)</f>
        <v>0</v>
      </c>
      <c r="Z241" s="240">
        <f>LOOKUP(Z$2,'Depreciation Schedules'!$A$3:$A$42,'Depreciation Schedules'!$F$3:$F$42)</f>
        <v>0</v>
      </c>
      <c r="AA241" s="240">
        <f>LOOKUP(AA$2,'Depreciation Schedules'!$A$3:$A$42,'Depreciation Schedules'!$F$3:$F$42)</f>
        <v>0</v>
      </c>
      <c r="AB241" s="240">
        <f>LOOKUP(AB$2,'Depreciation Schedules'!$A$3:$A$42,'Depreciation Schedules'!$F$3:$F$42)</f>
        <v>0</v>
      </c>
      <c r="AC241" s="240">
        <f>LOOKUP(AC$2,'Depreciation Schedules'!$A$3:$A$42,'Depreciation Schedules'!$F$3:$F$42)</f>
        <v>0</v>
      </c>
      <c r="AD241" s="240">
        <f>LOOKUP(AD$2,'Depreciation Schedules'!$A$3:$A$42,'Depreciation Schedules'!$F$3:$F$42)</f>
        <v>0</v>
      </c>
      <c r="AE241" s="240">
        <f>LOOKUP(AE$2,'Depreciation Schedules'!$A$3:$A$42,'Depreciation Schedules'!$F$3:$F$42)</f>
        <v>0</v>
      </c>
      <c r="AF241" s="240">
        <f>LOOKUP(AF$2,'Depreciation Schedules'!$A$3:$A$42,'Depreciation Schedules'!$F$3:$F$42)</f>
        <v>0</v>
      </c>
      <c r="AG241" s="240">
        <f>LOOKUP(AG$2,'Depreciation Schedules'!$A$3:$A$42,'Depreciation Schedules'!$F$3:$F$42)</f>
        <v>0</v>
      </c>
      <c r="AH241" s="240">
        <f>LOOKUP(AH$2,'Depreciation Schedules'!$A$3:$A$42,'Depreciation Schedules'!$F$3:$F$42)</f>
        <v>0</v>
      </c>
      <c r="AI241" s="240">
        <f>LOOKUP(AI$2,'Depreciation Schedules'!$A$3:$A$42,'Depreciation Schedules'!$F$3:$F$42)</f>
        <v>0</v>
      </c>
      <c r="AJ241" s="240">
        <f>LOOKUP(AJ$2,'Depreciation Schedules'!$A$3:$A$42,'Depreciation Schedules'!$F$3:$F$42)</f>
        <v>0</v>
      </c>
      <c r="AK241" s="240">
        <f>LOOKUP(AK$2,'Depreciation Schedules'!$A$3:$A$42,'Depreciation Schedules'!$F$3:$F$42)</f>
        <v>0</v>
      </c>
      <c r="AL241" s="240">
        <f>LOOKUP(AL$2,'Depreciation Schedules'!$A$3:$A$42,'Depreciation Schedules'!$F$3:$F$42)</f>
        <v>0</v>
      </c>
      <c r="AM241" s="240">
        <f>LOOKUP(AM$2,'Depreciation Schedules'!$A$3:$A$42,'Depreciation Schedules'!$F$3:$F$42)</f>
        <v>0</v>
      </c>
      <c r="AN241" s="240">
        <f>LOOKUP(AN$2,'Depreciation Schedules'!$A$3:$A$42,'Depreciation Schedules'!$F$3:$F$42)</f>
        <v>0</v>
      </c>
      <c r="AO241" s="240">
        <f>LOOKUP(AO$2,'Depreciation Schedules'!$A$3:$A$42,'Depreciation Schedules'!$F$3:$F$42)</f>
        <v>0</v>
      </c>
      <c r="AP241" s="240">
        <f>LOOKUP(AP$2,'Depreciation Schedules'!$A$3:$A$42,'Depreciation Schedules'!$F$3:$F$42)</f>
        <v>0</v>
      </c>
    </row>
    <row r="242" spans="1:42">
      <c r="A242" s="227" t="str">
        <f t="shared" si="118"/>
        <v>39-yr SL</v>
      </c>
      <c r="B242" s="242">
        <f t="shared" si="119"/>
        <v>1.0000000000000004</v>
      </c>
      <c r="C242" s="240">
        <f>LOOKUP(C$2,'Depreciation Schedules'!$A$3:$A$42,'Depreciation Schedules'!$G$3:$G$42)</f>
        <v>1.2820512820512799E-2</v>
      </c>
      <c r="D242" s="240">
        <f>LOOKUP(D$2,'Depreciation Schedules'!$A$3:$A$42,'Depreciation Schedules'!$G$3:$G$42)</f>
        <v>2.564102564102564E-2</v>
      </c>
      <c r="E242" s="240">
        <f>LOOKUP(E$2,'Depreciation Schedules'!$A$3:$A$42,'Depreciation Schedules'!$G$3:$G$42)</f>
        <v>2.564102564102564E-2</v>
      </c>
      <c r="F242" s="240">
        <f>LOOKUP(F$2,'Depreciation Schedules'!$A$3:$A$42,'Depreciation Schedules'!$G$3:$G$42)</f>
        <v>2.564102564102564E-2</v>
      </c>
      <c r="G242" s="240">
        <f>LOOKUP(G$2,'Depreciation Schedules'!$A$3:$A$42,'Depreciation Schedules'!$G$3:$G$42)</f>
        <v>2.564102564102564E-2</v>
      </c>
      <c r="H242" s="240">
        <f>LOOKUP(H$2,'Depreciation Schedules'!$A$3:$A$42,'Depreciation Schedules'!$G$3:$G$42)</f>
        <v>2.564102564102564E-2</v>
      </c>
      <c r="I242" s="240">
        <f>LOOKUP(I$2,'Depreciation Schedules'!$A$3:$A$42,'Depreciation Schedules'!$G$3:$G$42)</f>
        <v>2.564102564102564E-2</v>
      </c>
      <c r="J242" s="240">
        <f>LOOKUP(J$2,'Depreciation Schedules'!$A$3:$A$42,'Depreciation Schedules'!$G$3:$G$42)</f>
        <v>2.564102564102564E-2</v>
      </c>
      <c r="K242" s="240">
        <f>LOOKUP(K$2,'Depreciation Schedules'!$A$3:$A$42,'Depreciation Schedules'!$G$3:$G$42)</f>
        <v>2.564102564102564E-2</v>
      </c>
      <c r="L242" s="240">
        <f>LOOKUP(L$2,'Depreciation Schedules'!$A$3:$A$42,'Depreciation Schedules'!$G$3:$G$42)</f>
        <v>2.564102564102564E-2</v>
      </c>
      <c r="M242" s="240">
        <f>LOOKUP(M$2,'Depreciation Schedules'!$A$3:$A$42,'Depreciation Schedules'!$G$3:$G$42)</f>
        <v>2.564102564102564E-2</v>
      </c>
      <c r="N242" s="240">
        <f>LOOKUP(N$2,'Depreciation Schedules'!$A$3:$A$42,'Depreciation Schedules'!$G$3:$G$42)</f>
        <v>2.564102564102564E-2</v>
      </c>
      <c r="O242" s="240">
        <f>LOOKUP(O$2,'Depreciation Schedules'!$A$3:$A$42,'Depreciation Schedules'!$G$3:$G$42)</f>
        <v>2.564102564102564E-2</v>
      </c>
      <c r="P242" s="240">
        <f>LOOKUP(P$2,'Depreciation Schedules'!$A$3:$A$42,'Depreciation Schedules'!$G$3:$G$42)</f>
        <v>2.564102564102564E-2</v>
      </c>
      <c r="Q242" s="240">
        <f>LOOKUP(Q$2,'Depreciation Schedules'!$A$3:$A$42,'Depreciation Schedules'!$G$3:$G$42)</f>
        <v>2.564102564102564E-2</v>
      </c>
      <c r="R242" s="240">
        <f>LOOKUP(R$2,'Depreciation Schedules'!$A$3:$A$42,'Depreciation Schedules'!$G$3:$G$42)</f>
        <v>2.564102564102564E-2</v>
      </c>
      <c r="S242" s="240">
        <f>LOOKUP(S$2,'Depreciation Schedules'!$A$3:$A$42,'Depreciation Schedules'!$G$3:$G$42)</f>
        <v>2.564102564102564E-2</v>
      </c>
      <c r="T242" s="240">
        <f>LOOKUP(T$2,'Depreciation Schedules'!$A$3:$A$42,'Depreciation Schedules'!$G$3:$G$42)</f>
        <v>2.564102564102564E-2</v>
      </c>
      <c r="U242" s="240">
        <f>LOOKUP(U$2,'Depreciation Schedules'!$A$3:$A$42,'Depreciation Schedules'!$G$3:$G$42)</f>
        <v>2.564102564102564E-2</v>
      </c>
      <c r="V242" s="240">
        <f>LOOKUP(V$2,'Depreciation Schedules'!$A$3:$A$42,'Depreciation Schedules'!$G$3:$G$42)</f>
        <v>2.564102564102564E-2</v>
      </c>
      <c r="W242" s="240">
        <f>LOOKUP(W$2,'Depreciation Schedules'!$A$3:$A$42,'Depreciation Schedules'!$G$3:$G$42)</f>
        <v>2.564102564102564E-2</v>
      </c>
      <c r="X242" s="240">
        <f>LOOKUP(X$2,'Depreciation Schedules'!$A$3:$A$42,'Depreciation Schedules'!$G$3:$G$42)</f>
        <v>2.564102564102564E-2</v>
      </c>
      <c r="Y242" s="240">
        <f>LOOKUP(Y$2,'Depreciation Schedules'!$A$3:$A$42,'Depreciation Schedules'!$G$3:$G$42)</f>
        <v>2.564102564102564E-2</v>
      </c>
      <c r="Z242" s="240">
        <f>LOOKUP(Z$2,'Depreciation Schedules'!$A$3:$A$42,'Depreciation Schedules'!$G$3:$G$42)</f>
        <v>2.564102564102564E-2</v>
      </c>
      <c r="AA242" s="240">
        <f>LOOKUP(AA$2,'Depreciation Schedules'!$A$3:$A$42,'Depreciation Schedules'!$G$3:$G$42)</f>
        <v>2.564102564102564E-2</v>
      </c>
      <c r="AB242" s="240">
        <f>LOOKUP(AB$2,'Depreciation Schedules'!$A$3:$A$42,'Depreciation Schedules'!$G$3:$G$42)</f>
        <v>2.564102564102564E-2</v>
      </c>
      <c r="AC242" s="240">
        <f>LOOKUP(AC$2,'Depreciation Schedules'!$A$3:$A$42,'Depreciation Schedules'!$G$3:$G$42)</f>
        <v>2.564102564102564E-2</v>
      </c>
      <c r="AD242" s="240">
        <f>LOOKUP(AD$2,'Depreciation Schedules'!$A$3:$A$42,'Depreciation Schedules'!$G$3:$G$42)</f>
        <v>2.564102564102564E-2</v>
      </c>
      <c r="AE242" s="240">
        <f>LOOKUP(AE$2,'Depreciation Schedules'!$A$3:$A$42,'Depreciation Schedules'!$G$3:$G$42)</f>
        <v>2.564102564102564E-2</v>
      </c>
      <c r="AF242" s="240">
        <f>LOOKUP(AF$2,'Depreciation Schedules'!$A$3:$A$42,'Depreciation Schedules'!$G$3:$G$42)</f>
        <v>2.564102564102564E-2</v>
      </c>
      <c r="AG242" s="240">
        <f>LOOKUP(AG$2,'Depreciation Schedules'!$A$3:$A$42,'Depreciation Schedules'!$G$3:$G$42)</f>
        <v>2.564102564102564E-2</v>
      </c>
      <c r="AH242" s="240">
        <f>LOOKUP(AH$2,'Depreciation Schedules'!$A$3:$A$42,'Depreciation Schedules'!$G$3:$G$42)</f>
        <v>2.564102564102564E-2</v>
      </c>
      <c r="AI242" s="240">
        <f>LOOKUP(AI$2,'Depreciation Schedules'!$A$3:$A$42,'Depreciation Schedules'!$G$3:$G$42)</f>
        <v>2.564102564102564E-2</v>
      </c>
      <c r="AJ242" s="240">
        <f>LOOKUP(AJ$2,'Depreciation Schedules'!$A$3:$A$42,'Depreciation Schedules'!$G$3:$G$42)</f>
        <v>2.564102564102564E-2</v>
      </c>
      <c r="AK242" s="240">
        <f>LOOKUP(AK$2,'Depreciation Schedules'!$A$3:$A$42,'Depreciation Schedules'!$G$3:$G$42)</f>
        <v>2.564102564102564E-2</v>
      </c>
      <c r="AL242" s="240">
        <f>LOOKUP(AL$2,'Depreciation Schedules'!$A$3:$A$42,'Depreciation Schedules'!$G$3:$G$42)</f>
        <v>2.564102564102564E-2</v>
      </c>
      <c r="AM242" s="240">
        <f>LOOKUP(AM$2,'Depreciation Schedules'!$A$3:$A$42,'Depreciation Schedules'!$G$3:$G$42)</f>
        <v>2.564102564102564E-2</v>
      </c>
      <c r="AN242" s="240">
        <f>LOOKUP(AN$2,'Depreciation Schedules'!$A$3:$A$42,'Depreciation Schedules'!$G$3:$G$42)</f>
        <v>2.564102564102564E-2</v>
      </c>
      <c r="AO242" s="240">
        <f>LOOKUP(AO$2,'Depreciation Schedules'!$A$3:$A$42,'Depreciation Schedules'!$G$3:$G$42)</f>
        <v>2.564102564102564E-2</v>
      </c>
      <c r="AP242" s="240">
        <f>LOOKUP(AP$2,'Depreciation Schedules'!$A$3:$A$42,'Depreciation Schedules'!$G$3:$G$42)</f>
        <v>1.2820512820512799E-2</v>
      </c>
    </row>
    <row r="243" spans="1:42">
      <c r="A243" s="206" t="s">
        <v>34</v>
      </c>
      <c r="C243" s="208"/>
      <c r="D243" s="208"/>
      <c r="E243" s="208"/>
      <c r="F243" s="208"/>
      <c r="G243" s="208"/>
      <c r="H243" s="208"/>
      <c r="I243" s="208"/>
      <c r="J243" s="208"/>
      <c r="K243" s="208"/>
      <c r="L243" s="208"/>
      <c r="M243" s="208"/>
      <c r="N243" s="208"/>
      <c r="O243" s="208"/>
      <c r="P243" s="208"/>
      <c r="Q243" s="208"/>
      <c r="R243" s="208"/>
      <c r="S243" s="208"/>
      <c r="T243" s="208"/>
      <c r="U243" s="208"/>
      <c r="V243" s="208"/>
      <c r="W243" s="208"/>
      <c r="X243" s="208"/>
      <c r="Y243" s="208"/>
      <c r="Z243" s="208"/>
      <c r="AA243" s="208"/>
      <c r="AB243" s="208"/>
      <c r="AC243" s="208"/>
      <c r="AD243" s="208"/>
      <c r="AE243" s="208"/>
      <c r="AF243" s="208"/>
      <c r="AG243" s="208"/>
      <c r="AH243" s="208"/>
      <c r="AI243" s="208"/>
      <c r="AJ243" s="208"/>
      <c r="AK243" s="208"/>
      <c r="AL243" s="208"/>
      <c r="AM243" s="208"/>
      <c r="AN243" s="208"/>
      <c r="AO243" s="208"/>
      <c r="AP243" s="208"/>
    </row>
    <row r="244" spans="1:42">
      <c r="A244" s="227" t="str">
        <f>A237</f>
        <v>5-yr MACRS</v>
      </c>
      <c r="B244" s="243">
        <f>SUM(C244:AP244)</f>
        <v>36373751.923124388</v>
      </c>
      <c r="C244" s="208">
        <f t="shared" ref="C244:AP249" si="120">C237*$K204</f>
        <v>7274750.3846248798</v>
      </c>
      <c r="D244" s="208">
        <f t="shared" si="120"/>
        <v>11639600.615399806</v>
      </c>
      <c r="E244" s="208">
        <f t="shared" si="120"/>
        <v>6983760.3692398844</v>
      </c>
      <c r="F244" s="208">
        <f t="shared" si="120"/>
        <v>4190256.22154393</v>
      </c>
      <c r="G244" s="208">
        <f t="shared" si="120"/>
        <v>4190256.22154393</v>
      </c>
      <c r="H244" s="208">
        <f t="shared" si="120"/>
        <v>2095128.110771965</v>
      </c>
      <c r="I244" s="208">
        <f t="shared" si="120"/>
        <v>0</v>
      </c>
      <c r="J244" s="208">
        <f t="shared" si="120"/>
        <v>0</v>
      </c>
      <c r="K244" s="208">
        <f t="shared" si="120"/>
        <v>0</v>
      </c>
      <c r="L244" s="208">
        <f t="shared" si="120"/>
        <v>0</v>
      </c>
      <c r="M244" s="208">
        <f t="shared" si="120"/>
        <v>0</v>
      </c>
      <c r="N244" s="208">
        <f t="shared" si="120"/>
        <v>0</v>
      </c>
      <c r="O244" s="208">
        <f t="shared" si="120"/>
        <v>0</v>
      </c>
      <c r="P244" s="208">
        <f t="shared" si="120"/>
        <v>0</v>
      </c>
      <c r="Q244" s="208">
        <f t="shared" si="120"/>
        <v>0</v>
      </c>
      <c r="R244" s="208">
        <f t="shared" si="120"/>
        <v>0</v>
      </c>
      <c r="S244" s="208">
        <f t="shared" si="120"/>
        <v>0</v>
      </c>
      <c r="T244" s="208">
        <f t="shared" si="120"/>
        <v>0</v>
      </c>
      <c r="U244" s="208">
        <f t="shared" si="120"/>
        <v>0</v>
      </c>
      <c r="V244" s="208">
        <f t="shared" si="120"/>
        <v>0</v>
      </c>
      <c r="W244" s="208">
        <f t="shared" si="120"/>
        <v>0</v>
      </c>
      <c r="X244" s="208">
        <f t="shared" si="120"/>
        <v>0</v>
      </c>
      <c r="Y244" s="208">
        <f t="shared" si="120"/>
        <v>0</v>
      </c>
      <c r="Z244" s="208">
        <f t="shared" si="120"/>
        <v>0</v>
      </c>
      <c r="AA244" s="208">
        <f t="shared" si="120"/>
        <v>0</v>
      </c>
      <c r="AB244" s="208">
        <f t="shared" si="120"/>
        <v>0</v>
      </c>
      <c r="AC244" s="208">
        <f t="shared" si="120"/>
        <v>0</v>
      </c>
      <c r="AD244" s="208">
        <f t="shared" si="120"/>
        <v>0</v>
      </c>
      <c r="AE244" s="208">
        <f t="shared" si="120"/>
        <v>0</v>
      </c>
      <c r="AF244" s="208">
        <f t="shared" si="120"/>
        <v>0</v>
      </c>
      <c r="AG244" s="208">
        <f t="shared" si="120"/>
        <v>0</v>
      </c>
      <c r="AH244" s="208">
        <f t="shared" si="120"/>
        <v>0</v>
      </c>
      <c r="AI244" s="208">
        <f t="shared" si="120"/>
        <v>0</v>
      </c>
      <c r="AJ244" s="208">
        <f t="shared" si="120"/>
        <v>0</v>
      </c>
      <c r="AK244" s="208">
        <f t="shared" si="120"/>
        <v>0</v>
      </c>
      <c r="AL244" s="208">
        <f t="shared" si="120"/>
        <v>0</v>
      </c>
      <c r="AM244" s="208">
        <f t="shared" si="120"/>
        <v>0</v>
      </c>
      <c r="AN244" s="208">
        <f t="shared" si="120"/>
        <v>0</v>
      </c>
      <c r="AO244" s="208">
        <f t="shared" si="120"/>
        <v>0</v>
      </c>
      <c r="AP244" s="208">
        <f t="shared" si="120"/>
        <v>0</v>
      </c>
    </row>
    <row r="245" spans="1:42">
      <c r="A245" s="227" t="str">
        <f t="shared" ref="A245:A249" si="121">A238</f>
        <v>15-yr MACRS</v>
      </c>
      <c r="B245" s="165">
        <f t="shared" ref="B245:B251" si="122">SUM(C245:AP245)</f>
        <v>638302.66531797184</v>
      </c>
      <c r="C245" s="208">
        <f t="shared" si="120"/>
        <v>31915.133265898592</v>
      </c>
      <c r="D245" s="208">
        <f t="shared" si="120"/>
        <v>60638.753205207322</v>
      </c>
      <c r="E245" s="208">
        <f t="shared" si="120"/>
        <v>54574.877884686597</v>
      </c>
      <c r="F245" s="208">
        <f t="shared" si="120"/>
        <v>49149.305229483834</v>
      </c>
      <c r="G245" s="208">
        <f t="shared" si="120"/>
        <v>44234.374706535447</v>
      </c>
      <c r="H245" s="208">
        <f t="shared" si="120"/>
        <v>39766.256049309646</v>
      </c>
      <c r="I245" s="208">
        <f t="shared" si="120"/>
        <v>37659.85725376034</v>
      </c>
      <c r="J245" s="208">
        <f t="shared" si="120"/>
        <v>37659.85725376034</v>
      </c>
      <c r="K245" s="208">
        <f t="shared" si="120"/>
        <v>37723.687520292136</v>
      </c>
      <c r="L245" s="208">
        <f t="shared" si="120"/>
        <v>37659.85725376034</v>
      </c>
      <c r="M245" s="208">
        <f t="shared" si="120"/>
        <v>37723.687520292136</v>
      </c>
      <c r="N245" s="208">
        <f t="shared" si="120"/>
        <v>37659.85725376034</v>
      </c>
      <c r="O245" s="208">
        <f t="shared" si="120"/>
        <v>37723.687520292136</v>
      </c>
      <c r="P245" s="208">
        <f t="shared" si="120"/>
        <v>37659.85725376034</v>
      </c>
      <c r="Q245" s="208">
        <f t="shared" si="120"/>
        <v>37723.687520292136</v>
      </c>
      <c r="R245" s="208">
        <f t="shared" si="120"/>
        <v>18829.92862688017</v>
      </c>
      <c r="S245" s="208">
        <f t="shared" si="120"/>
        <v>0</v>
      </c>
      <c r="T245" s="208">
        <f t="shared" si="120"/>
        <v>0</v>
      </c>
      <c r="U245" s="208">
        <f t="shared" si="120"/>
        <v>0</v>
      </c>
      <c r="V245" s="208">
        <f t="shared" si="120"/>
        <v>0</v>
      </c>
      <c r="W245" s="208">
        <f t="shared" si="120"/>
        <v>0</v>
      </c>
      <c r="X245" s="208">
        <f t="shared" si="120"/>
        <v>0</v>
      </c>
      <c r="Y245" s="208">
        <f t="shared" si="120"/>
        <v>0</v>
      </c>
      <c r="Z245" s="208">
        <f t="shared" si="120"/>
        <v>0</v>
      </c>
      <c r="AA245" s="208">
        <f t="shared" si="120"/>
        <v>0</v>
      </c>
      <c r="AB245" s="208">
        <f t="shared" si="120"/>
        <v>0</v>
      </c>
      <c r="AC245" s="208">
        <f t="shared" si="120"/>
        <v>0</v>
      </c>
      <c r="AD245" s="208">
        <f t="shared" si="120"/>
        <v>0</v>
      </c>
      <c r="AE245" s="208">
        <f t="shared" si="120"/>
        <v>0</v>
      </c>
      <c r="AF245" s="208">
        <f t="shared" si="120"/>
        <v>0</v>
      </c>
      <c r="AG245" s="208">
        <f t="shared" si="120"/>
        <v>0</v>
      </c>
      <c r="AH245" s="208">
        <f t="shared" si="120"/>
        <v>0</v>
      </c>
      <c r="AI245" s="208">
        <f t="shared" si="120"/>
        <v>0</v>
      </c>
      <c r="AJ245" s="208">
        <f t="shared" si="120"/>
        <v>0</v>
      </c>
      <c r="AK245" s="208">
        <f t="shared" si="120"/>
        <v>0</v>
      </c>
      <c r="AL245" s="208">
        <f t="shared" si="120"/>
        <v>0</v>
      </c>
      <c r="AM245" s="208">
        <f t="shared" si="120"/>
        <v>0</v>
      </c>
      <c r="AN245" s="208">
        <f t="shared" si="120"/>
        <v>0</v>
      </c>
      <c r="AO245" s="208">
        <f t="shared" si="120"/>
        <v>0</v>
      </c>
      <c r="AP245" s="208">
        <f t="shared" si="120"/>
        <v>0</v>
      </c>
    </row>
    <row r="246" spans="1:42">
      <c r="A246" s="227" t="str">
        <f t="shared" si="121"/>
        <v>5-yr SL</v>
      </c>
      <c r="B246" s="165">
        <f t="shared" si="122"/>
        <v>0</v>
      </c>
      <c r="C246" s="208">
        <f t="shared" si="120"/>
        <v>0</v>
      </c>
      <c r="D246" s="208">
        <f t="shared" si="120"/>
        <v>0</v>
      </c>
      <c r="E246" s="208">
        <f t="shared" si="120"/>
        <v>0</v>
      </c>
      <c r="F246" s="208">
        <f t="shared" si="120"/>
        <v>0</v>
      </c>
      <c r="G246" s="208">
        <f t="shared" si="120"/>
        <v>0</v>
      </c>
      <c r="H246" s="208">
        <f t="shared" si="120"/>
        <v>0</v>
      </c>
      <c r="I246" s="208">
        <f t="shared" si="120"/>
        <v>0</v>
      </c>
      <c r="J246" s="208">
        <f t="shared" si="120"/>
        <v>0</v>
      </c>
      <c r="K246" s="208">
        <f t="shared" si="120"/>
        <v>0</v>
      </c>
      <c r="L246" s="208">
        <f t="shared" si="120"/>
        <v>0</v>
      </c>
      <c r="M246" s="208">
        <f t="shared" si="120"/>
        <v>0</v>
      </c>
      <c r="N246" s="208">
        <f t="shared" si="120"/>
        <v>0</v>
      </c>
      <c r="O246" s="208">
        <f t="shared" si="120"/>
        <v>0</v>
      </c>
      <c r="P246" s="208">
        <f t="shared" si="120"/>
        <v>0</v>
      </c>
      <c r="Q246" s="208">
        <f t="shared" si="120"/>
        <v>0</v>
      </c>
      <c r="R246" s="208">
        <f t="shared" si="120"/>
        <v>0</v>
      </c>
      <c r="S246" s="208">
        <f t="shared" si="120"/>
        <v>0</v>
      </c>
      <c r="T246" s="208">
        <f t="shared" si="120"/>
        <v>0</v>
      </c>
      <c r="U246" s="208">
        <f t="shared" si="120"/>
        <v>0</v>
      </c>
      <c r="V246" s="208">
        <f t="shared" si="120"/>
        <v>0</v>
      </c>
      <c r="W246" s="208">
        <f t="shared" si="120"/>
        <v>0</v>
      </c>
      <c r="X246" s="208">
        <f t="shared" si="120"/>
        <v>0</v>
      </c>
      <c r="Y246" s="208">
        <f t="shared" si="120"/>
        <v>0</v>
      </c>
      <c r="Z246" s="208">
        <f t="shared" si="120"/>
        <v>0</v>
      </c>
      <c r="AA246" s="208">
        <f t="shared" si="120"/>
        <v>0</v>
      </c>
      <c r="AB246" s="208">
        <f t="shared" si="120"/>
        <v>0</v>
      </c>
      <c r="AC246" s="208">
        <f t="shared" si="120"/>
        <v>0</v>
      </c>
      <c r="AD246" s="208">
        <f t="shared" si="120"/>
        <v>0</v>
      </c>
      <c r="AE246" s="208">
        <f t="shared" si="120"/>
        <v>0</v>
      </c>
      <c r="AF246" s="208">
        <f t="shared" si="120"/>
        <v>0</v>
      </c>
      <c r="AG246" s="208">
        <f t="shared" si="120"/>
        <v>0</v>
      </c>
      <c r="AH246" s="208">
        <f t="shared" si="120"/>
        <v>0</v>
      </c>
      <c r="AI246" s="208">
        <f t="shared" si="120"/>
        <v>0</v>
      </c>
      <c r="AJ246" s="208">
        <f t="shared" si="120"/>
        <v>0</v>
      </c>
      <c r="AK246" s="208">
        <f t="shared" si="120"/>
        <v>0</v>
      </c>
      <c r="AL246" s="208">
        <f t="shared" si="120"/>
        <v>0</v>
      </c>
      <c r="AM246" s="208">
        <f t="shared" si="120"/>
        <v>0</v>
      </c>
      <c r="AN246" s="208">
        <f t="shared" si="120"/>
        <v>0</v>
      </c>
      <c r="AO246" s="208">
        <f t="shared" si="120"/>
        <v>0</v>
      </c>
      <c r="AP246" s="208">
        <f t="shared" si="120"/>
        <v>0</v>
      </c>
    </row>
    <row r="247" spans="1:42">
      <c r="A247" s="227" t="str">
        <f t="shared" si="121"/>
        <v>15-yr SL</v>
      </c>
      <c r="B247" s="165">
        <f t="shared" si="122"/>
        <v>1063837.7755299534</v>
      </c>
      <c r="C247" s="208">
        <f t="shared" si="120"/>
        <v>35425.797925147446</v>
      </c>
      <c r="D247" s="208">
        <f t="shared" si="120"/>
        <v>70957.979627847875</v>
      </c>
      <c r="E247" s="208">
        <f t="shared" si="120"/>
        <v>70957.979627847875</v>
      </c>
      <c r="F247" s="208">
        <f t="shared" si="120"/>
        <v>70957.979627847875</v>
      </c>
      <c r="G247" s="208">
        <f t="shared" si="120"/>
        <v>70957.979627847875</v>
      </c>
      <c r="H247" s="208">
        <f t="shared" si="120"/>
        <v>70957.979627847875</v>
      </c>
      <c r="I247" s="208">
        <f t="shared" si="120"/>
        <v>70957.979627847875</v>
      </c>
      <c r="J247" s="208">
        <f t="shared" si="120"/>
        <v>70851.595850294892</v>
      </c>
      <c r="K247" s="208">
        <f t="shared" si="120"/>
        <v>70957.979627847875</v>
      </c>
      <c r="L247" s="208">
        <f t="shared" si="120"/>
        <v>70851.595850294892</v>
      </c>
      <c r="M247" s="208">
        <f t="shared" si="120"/>
        <v>70957.979627847875</v>
      </c>
      <c r="N247" s="208">
        <f t="shared" si="120"/>
        <v>70851.595850294892</v>
      </c>
      <c r="O247" s="208">
        <f t="shared" si="120"/>
        <v>70957.979627847875</v>
      </c>
      <c r="P247" s="208">
        <f t="shared" si="120"/>
        <v>70851.595850294892</v>
      </c>
      <c r="Q247" s="208">
        <f t="shared" si="120"/>
        <v>70957.979627847875</v>
      </c>
      <c r="R247" s="208">
        <f t="shared" si="120"/>
        <v>35425.797925147446</v>
      </c>
      <c r="S247" s="208">
        <f t="shared" si="120"/>
        <v>0</v>
      </c>
      <c r="T247" s="208">
        <f t="shared" si="120"/>
        <v>0</v>
      </c>
      <c r="U247" s="208">
        <f t="shared" si="120"/>
        <v>0</v>
      </c>
      <c r="V247" s="208">
        <f t="shared" si="120"/>
        <v>0</v>
      </c>
      <c r="W247" s="208">
        <f t="shared" si="120"/>
        <v>0</v>
      </c>
      <c r="X247" s="208">
        <f t="shared" si="120"/>
        <v>0</v>
      </c>
      <c r="Y247" s="208">
        <f t="shared" si="120"/>
        <v>0</v>
      </c>
      <c r="Z247" s="208">
        <f t="shared" si="120"/>
        <v>0</v>
      </c>
      <c r="AA247" s="208">
        <f t="shared" si="120"/>
        <v>0</v>
      </c>
      <c r="AB247" s="208">
        <f t="shared" si="120"/>
        <v>0</v>
      </c>
      <c r="AC247" s="208">
        <f t="shared" si="120"/>
        <v>0</v>
      </c>
      <c r="AD247" s="208">
        <f t="shared" si="120"/>
        <v>0</v>
      </c>
      <c r="AE247" s="208">
        <f t="shared" si="120"/>
        <v>0</v>
      </c>
      <c r="AF247" s="208">
        <f t="shared" si="120"/>
        <v>0</v>
      </c>
      <c r="AG247" s="208">
        <f t="shared" si="120"/>
        <v>0</v>
      </c>
      <c r="AH247" s="208">
        <f t="shared" si="120"/>
        <v>0</v>
      </c>
      <c r="AI247" s="208">
        <f t="shared" si="120"/>
        <v>0</v>
      </c>
      <c r="AJ247" s="208">
        <f t="shared" si="120"/>
        <v>0</v>
      </c>
      <c r="AK247" s="208">
        <f t="shared" si="120"/>
        <v>0</v>
      </c>
      <c r="AL247" s="208">
        <f t="shared" si="120"/>
        <v>0</v>
      </c>
      <c r="AM247" s="208">
        <f t="shared" si="120"/>
        <v>0</v>
      </c>
      <c r="AN247" s="208">
        <f t="shared" si="120"/>
        <v>0</v>
      </c>
      <c r="AO247" s="208">
        <f t="shared" si="120"/>
        <v>0</v>
      </c>
      <c r="AP247" s="208">
        <f t="shared" si="120"/>
        <v>0</v>
      </c>
    </row>
    <row r="248" spans="1:42">
      <c r="A248" s="227" t="str">
        <f t="shared" si="121"/>
        <v>20-yr SL</v>
      </c>
      <c r="B248" s="165">
        <f t="shared" si="122"/>
        <v>1063837.7755299534</v>
      </c>
      <c r="C248" s="208">
        <f t="shared" si="120"/>
        <v>26595.94438824883</v>
      </c>
      <c r="D248" s="208">
        <f t="shared" si="120"/>
        <v>53191.888776497661</v>
      </c>
      <c r="E248" s="208">
        <f t="shared" si="120"/>
        <v>53191.888776497661</v>
      </c>
      <c r="F248" s="208">
        <f t="shared" si="120"/>
        <v>53191.888776497661</v>
      </c>
      <c r="G248" s="208">
        <f t="shared" si="120"/>
        <v>53191.888776497661</v>
      </c>
      <c r="H248" s="208">
        <f t="shared" si="120"/>
        <v>53191.888776497661</v>
      </c>
      <c r="I248" s="208">
        <f t="shared" si="120"/>
        <v>53191.888776497661</v>
      </c>
      <c r="J248" s="208">
        <f t="shared" si="120"/>
        <v>53191.888776497661</v>
      </c>
      <c r="K248" s="208">
        <f t="shared" si="120"/>
        <v>53191.888776497661</v>
      </c>
      <c r="L248" s="208">
        <f t="shared" si="120"/>
        <v>53191.888776497661</v>
      </c>
      <c r="M248" s="208">
        <f t="shared" si="120"/>
        <v>53191.888776497661</v>
      </c>
      <c r="N248" s="208">
        <f t="shared" si="120"/>
        <v>53191.888776497661</v>
      </c>
      <c r="O248" s="208">
        <f t="shared" si="120"/>
        <v>53191.888776497661</v>
      </c>
      <c r="P248" s="208">
        <f t="shared" si="120"/>
        <v>53191.888776497661</v>
      </c>
      <c r="Q248" s="208">
        <f t="shared" si="120"/>
        <v>53191.888776497661</v>
      </c>
      <c r="R248" s="208">
        <f t="shared" si="120"/>
        <v>53191.888776497661</v>
      </c>
      <c r="S248" s="208">
        <f t="shared" si="120"/>
        <v>53191.888776497661</v>
      </c>
      <c r="T248" s="208">
        <f t="shared" si="120"/>
        <v>53191.888776497661</v>
      </c>
      <c r="U248" s="208">
        <f t="shared" si="120"/>
        <v>53191.888776497661</v>
      </c>
      <c r="V248" s="208">
        <f t="shared" si="120"/>
        <v>53191.888776497661</v>
      </c>
      <c r="W248" s="208">
        <f t="shared" si="120"/>
        <v>26595.94438824883</v>
      </c>
      <c r="X248" s="208">
        <f t="shared" si="120"/>
        <v>0</v>
      </c>
      <c r="Y248" s="208">
        <f t="shared" si="120"/>
        <v>0</v>
      </c>
      <c r="Z248" s="208">
        <f t="shared" si="120"/>
        <v>0</v>
      </c>
      <c r="AA248" s="208">
        <f t="shared" si="120"/>
        <v>0</v>
      </c>
      <c r="AB248" s="208">
        <f t="shared" si="120"/>
        <v>0</v>
      </c>
      <c r="AC248" s="208">
        <f t="shared" si="120"/>
        <v>0</v>
      </c>
      <c r="AD248" s="208">
        <f t="shared" si="120"/>
        <v>0</v>
      </c>
      <c r="AE248" s="208">
        <f t="shared" si="120"/>
        <v>0</v>
      </c>
      <c r="AF248" s="208">
        <f t="shared" si="120"/>
        <v>0</v>
      </c>
      <c r="AG248" s="208">
        <f t="shared" si="120"/>
        <v>0</v>
      </c>
      <c r="AH248" s="208">
        <f t="shared" si="120"/>
        <v>0</v>
      </c>
      <c r="AI248" s="208">
        <f t="shared" si="120"/>
        <v>0</v>
      </c>
      <c r="AJ248" s="208">
        <f t="shared" si="120"/>
        <v>0</v>
      </c>
      <c r="AK248" s="208">
        <f t="shared" si="120"/>
        <v>0</v>
      </c>
      <c r="AL248" s="208">
        <f t="shared" si="120"/>
        <v>0</v>
      </c>
      <c r="AM248" s="208">
        <f t="shared" si="120"/>
        <v>0</v>
      </c>
      <c r="AN248" s="208">
        <f t="shared" si="120"/>
        <v>0</v>
      </c>
      <c r="AO248" s="208">
        <f t="shared" si="120"/>
        <v>0</v>
      </c>
      <c r="AP248" s="208">
        <f t="shared" si="120"/>
        <v>0</v>
      </c>
    </row>
    <row r="249" spans="1:42">
      <c r="A249" s="227" t="str">
        <f t="shared" si="121"/>
        <v>39-yr SL</v>
      </c>
      <c r="B249" s="165">
        <f t="shared" si="122"/>
        <v>212767.55510599076</v>
      </c>
      <c r="C249" s="208">
        <f t="shared" si="120"/>
        <v>2727.7891680255161</v>
      </c>
      <c r="D249" s="208">
        <f t="shared" si="120"/>
        <v>5455.5783360510413</v>
      </c>
      <c r="E249" s="208">
        <f t="shared" si="120"/>
        <v>5455.5783360510413</v>
      </c>
      <c r="F249" s="208">
        <f t="shared" si="120"/>
        <v>5455.5783360510413</v>
      </c>
      <c r="G249" s="208">
        <f t="shared" si="120"/>
        <v>5455.5783360510413</v>
      </c>
      <c r="H249" s="208">
        <f t="shared" si="120"/>
        <v>5455.5783360510413</v>
      </c>
      <c r="I249" s="208">
        <f t="shared" si="120"/>
        <v>5455.5783360510413</v>
      </c>
      <c r="J249" s="208">
        <f t="shared" si="120"/>
        <v>5455.5783360510413</v>
      </c>
      <c r="K249" s="208">
        <f t="shared" si="120"/>
        <v>5455.5783360510413</v>
      </c>
      <c r="L249" s="208">
        <f t="shared" si="120"/>
        <v>5455.5783360510413</v>
      </c>
      <c r="M249" s="208">
        <f t="shared" si="120"/>
        <v>5455.5783360510413</v>
      </c>
      <c r="N249" s="208">
        <f t="shared" si="120"/>
        <v>5455.5783360510413</v>
      </c>
      <c r="O249" s="208">
        <f t="shared" si="120"/>
        <v>5455.5783360510413</v>
      </c>
      <c r="P249" s="208">
        <f t="shared" si="120"/>
        <v>5455.5783360510413</v>
      </c>
      <c r="Q249" s="208">
        <f t="shared" si="120"/>
        <v>5455.5783360510413</v>
      </c>
      <c r="R249" s="208">
        <f t="shared" si="120"/>
        <v>5455.5783360510413</v>
      </c>
      <c r="S249" s="208">
        <f t="shared" si="120"/>
        <v>5455.5783360510413</v>
      </c>
      <c r="T249" s="208">
        <f t="shared" si="120"/>
        <v>5455.5783360510413</v>
      </c>
      <c r="U249" s="208">
        <f t="shared" si="120"/>
        <v>5455.5783360510413</v>
      </c>
      <c r="V249" s="208">
        <f t="shared" si="120"/>
        <v>5455.5783360510413</v>
      </c>
      <c r="W249" s="208">
        <f t="shared" si="120"/>
        <v>5455.5783360510413</v>
      </c>
      <c r="X249" s="208">
        <f t="shared" si="120"/>
        <v>5455.5783360510413</v>
      </c>
      <c r="Y249" s="208">
        <f t="shared" si="120"/>
        <v>5455.5783360510413</v>
      </c>
      <c r="Z249" s="208">
        <f t="shared" si="120"/>
        <v>5455.5783360510413</v>
      </c>
      <c r="AA249" s="208">
        <f t="shared" si="120"/>
        <v>5455.5783360510413</v>
      </c>
      <c r="AB249" s="208">
        <f t="shared" si="120"/>
        <v>5455.5783360510413</v>
      </c>
      <c r="AC249" s="208">
        <f t="shared" si="120"/>
        <v>5455.5783360510413</v>
      </c>
      <c r="AD249" s="208">
        <f t="shared" si="120"/>
        <v>5455.5783360510413</v>
      </c>
      <c r="AE249" s="208">
        <f t="shared" si="120"/>
        <v>5455.5783360510413</v>
      </c>
      <c r="AF249" s="208">
        <f t="shared" si="120"/>
        <v>5455.5783360510413</v>
      </c>
      <c r="AG249" s="208">
        <f t="shared" si="120"/>
        <v>5455.5783360510413</v>
      </c>
      <c r="AH249" s="208">
        <f t="shared" si="120"/>
        <v>5455.5783360510413</v>
      </c>
      <c r="AI249" s="208">
        <f t="shared" si="120"/>
        <v>5455.5783360510413</v>
      </c>
      <c r="AJ249" s="208">
        <f t="shared" si="120"/>
        <v>5455.5783360510413</v>
      </c>
      <c r="AK249" s="208">
        <f t="shared" si="120"/>
        <v>5455.5783360510413</v>
      </c>
      <c r="AL249" s="208">
        <f t="shared" si="120"/>
        <v>5455.5783360510413</v>
      </c>
      <c r="AM249" s="208">
        <f t="shared" si="120"/>
        <v>5455.5783360510413</v>
      </c>
      <c r="AN249" s="208">
        <f t="shared" si="120"/>
        <v>5455.5783360510413</v>
      </c>
      <c r="AO249" s="208">
        <f t="shared" si="120"/>
        <v>5455.5783360510413</v>
      </c>
      <c r="AP249" s="208">
        <f t="shared" si="120"/>
        <v>2727.7891680255161</v>
      </c>
    </row>
    <row r="250" spans="1:42">
      <c r="A250" s="227" t="s">
        <v>332</v>
      </c>
      <c r="B250" s="237">
        <f t="shared" si="122"/>
        <v>1914407.9959539156</v>
      </c>
      <c r="C250" s="209">
        <f>J211</f>
        <v>1914407.9959539156</v>
      </c>
      <c r="D250" s="209">
        <v>0</v>
      </c>
      <c r="E250" s="209">
        <v>0</v>
      </c>
      <c r="F250" s="209">
        <v>0</v>
      </c>
      <c r="G250" s="209">
        <v>0</v>
      </c>
      <c r="H250" s="209">
        <v>0</v>
      </c>
      <c r="I250" s="209">
        <v>0</v>
      </c>
      <c r="J250" s="209">
        <v>0</v>
      </c>
      <c r="K250" s="209">
        <v>0</v>
      </c>
      <c r="L250" s="209">
        <v>0</v>
      </c>
      <c r="M250" s="209">
        <v>0</v>
      </c>
      <c r="N250" s="209">
        <v>0</v>
      </c>
      <c r="O250" s="209">
        <v>0</v>
      </c>
      <c r="P250" s="209">
        <v>0</v>
      </c>
      <c r="Q250" s="209">
        <v>0</v>
      </c>
      <c r="R250" s="209">
        <v>0</v>
      </c>
      <c r="S250" s="209">
        <v>0</v>
      </c>
      <c r="T250" s="209">
        <v>0</v>
      </c>
      <c r="U250" s="209">
        <v>0</v>
      </c>
      <c r="V250" s="209">
        <v>0</v>
      </c>
      <c r="W250" s="209">
        <v>0</v>
      </c>
      <c r="X250" s="209">
        <v>0</v>
      </c>
      <c r="Y250" s="209">
        <v>0</v>
      </c>
      <c r="Z250" s="209">
        <v>0</v>
      </c>
      <c r="AA250" s="209">
        <v>0</v>
      </c>
      <c r="AB250" s="209">
        <v>0</v>
      </c>
      <c r="AC250" s="209">
        <v>0</v>
      </c>
      <c r="AD250" s="209">
        <v>0</v>
      </c>
      <c r="AE250" s="209">
        <v>0</v>
      </c>
      <c r="AF250" s="209">
        <v>0</v>
      </c>
      <c r="AG250" s="209">
        <v>0</v>
      </c>
      <c r="AH250" s="209">
        <v>0</v>
      </c>
      <c r="AI250" s="209">
        <v>0</v>
      </c>
      <c r="AJ250" s="209">
        <v>0</v>
      </c>
      <c r="AK250" s="209">
        <v>0</v>
      </c>
      <c r="AL250" s="209">
        <v>0</v>
      </c>
      <c r="AM250" s="209">
        <v>0</v>
      </c>
      <c r="AN250" s="209">
        <v>0</v>
      </c>
      <c r="AO250" s="209">
        <v>0</v>
      </c>
      <c r="AP250" s="209">
        <v>0</v>
      </c>
    </row>
    <row r="251" spans="1:42">
      <c r="A251" s="226"/>
      <c r="B251" s="237">
        <f t="shared" si="122"/>
        <v>41266905.690562218</v>
      </c>
      <c r="C251" s="208">
        <f>SUM(C244:C250)</f>
        <v>9285823.0453261156</v>
      </c>
      <c r="D251" s="208">
        <f t="shared" ref="D251:AP251" si="123">SUM(D244:D250)</f>
        <v>11829844.81534541</v>
      </c>
      <c r="E251" s="208">
        <f t="shared" si="123"/>
        <v>7167940.6938649677</v>
      </c>
      <c r="F251" s="208">
        <f t="shared" si="123"/>
        <v>4369010.97351381</v>
      </c>
      <c r="G251" s="208">
        <f t="shared" si="123"/>
        <v>4364096.0429908615</v>
      </c>
      <c r="H251" s="208">
        <f t="shared" si="123"/>
        <v>2264499.8135616709</v>
      </c>
      <c r="I251" s="208">
        <f t="shared" si="123"/>
        <v>167265.30399415691</v>
      </c>
      <c r="J251" s="208">
        <f t="shared" si="123"/>
        <v>167158.92021660393</v>
      </c>
      <c r="K251" s="208">
        <f t="shared" si="123"/>
        <v>167329.13426068873</v>
      </c>
      <c r="L251" s="208">
        <f t="shared" si="123"/>
        <v>167158.92021660393</v>
      </c>
      <c r="M251" s="208">
        <f t="shared" si="123"/>
        <v>167329.13426068873</v>
      </c>
      <c r="N251" s="208">
        <f t="shared" si="123"/>
        <v>167158.92021660393</v>
      </c>
      <c r="O251" s="208">
        <f t="shared" si="123"/>
        <v>167329.13426068873</v>
      </c>
      <c r="P251" s="208">
        <f t="shared" si="123"/>
        <v>167158.92021660393</v>
      </c>
      <c r="Q251" s="208">
        <f t="shared" si="123"/>
        <v>167329.13426068873</v>
      </c>
      <c r="R251" s="208">
        <f t="shared" si="123"/>
        <v>112903.19366457632</v>
      </c>
      <c r="S251" s="208">
        <f t="shared" si="123"/>
        <v>58647.4671125487</v>
      </c>
      <c r="T251" s="208">
        <f t="shared" si="123"/>
        <v>58647.4671125487</v>
      </c>
      <c r="U251" s="208">
        <f t="shared" si="123"/>
        <v>58647.4671125487</v>
      </c>
      <c r="V251" s="208">
        <f t="shared" si="123"/>
        <v>58647.4671125487</v>
      </c>
      <c r="W251" s="208">
        <f t="shared" si="123"/>
        <v>32051.522724299874</v>
      </c>
      <c r="X251" s="208">
        <f t="shared" si="123"/>
        <v>5455.5783360510413</v>
      </c>
      <c r="Y251" s="208">
        <f t="shared" si="123"/>
        <v>5455.5783360510413</v>
      </c>
      <c r="Z251" s="208">
        <f t="shared" si="123"/>
        <v>5455.5783360510413</v>
      </c>
      <c r="AA251" s="208">
        <f t="shared" si="123"/>
        <v>5455.5783360510413</v>
      </c>
      <c r="AB251" s="208">
        <f t="shared" si="123"/>
        <v>5455.5783360510413</v>
      </c>
      <c r="AC251" s="208">
        <f t="shared" si="123"/>
        <v>5455.5783360510413</v>
      </c>
      <c r="AD251" s="208">
        <f t="shared" si="123"/>
        <v>5455.5783360510413</v>
      </c>
      <c r="AE251" s="208">
        <f t="shared" si="123"/>
        <v>5455.5783360510413</v>
      </c>
      <c r="AF251" s="208">
        <f t="shared" si="123"/>
        <v>5455.5783360510413</v>
      </c>
      <c r="AG251" s="208">
        <f t="shared" si="123"/>
        <v>5455.5783360510413</v>
      </c>
      <c r="AH251" s="208">
        <f t="shared" si="123"/>
        <v>5455.5783360510413</v>
      </c>
      <c r="AI251" s="208">
        <f t="shared" si="123"/>
        <v>5455.5783360510413</v>
      </c>
      <c r="AJ251" s="208">
        <f t="shared" si="123"/>
        <v>5455.5783360510413</v>
      </c>
      <c r="AK251" s="208">
        <f t="shared" si="123"/>
        <v>5455.5783360510413</v>
      </c>
      <c r="AL251" s="208">
        <f t="shared" si="123"/>
        <v>5455.5783360510413</v>
      </c>
      <c r="AM251" s="208">
        <f t="shared" si="123"/>
        <v>5455.5783360510413</v>
      </c>
      <c r="AN251" s="208">
        <f t="shared" si="123"/>
        <v>5455.5783360510413</v>
      </c>
      <c r="AO251" s="208">
        <f t="shared" si="123"/>
        <v>5455.5783360510413</v>
      </c>
      <c r="AP251" s="208">
        <f t="shared" si="123"/>
        <v>2727.7891680255161</v>
      </c>
    </row>
    <row r="252" spans="1:42">
      <c r="A252" s="226"/>
      <c r="C252" s="208"/>
      <c r="D252" s="208"/>
      <c r="E252" s="208"/>
      <c r="F252" s="208"/>
      <c r="G252" s="208"/>
      <c r="H252" s="208"/>
      <c r="I252" s="208"/>
      <c r="J252" s="208"/>
      <c r="K252" s="208"/>
      <c r="L252" s="208"/>
      <c r="M252" s="208"/>
      <c r="N252" s="208"/>
      <c r="O252" s="208"/>
      <c r="P252" s="208"/>
      <c r="Q252" s="208"/>
      <c r="R252" s="208"/>
      <c r="S252" s="208"/>
      <c r="T252" s="208"/>
      <c r="U252" s="208"/>
      <c r="V252" s="208"/>
      <c r="W252" s="208"/>
      <c r="X252" s="208"/>
      <c r="Y252" s="208"/>
      <c r="Z252" s="208"/>
      <c r="AA252" s="208"/>
      <c r="AB252" s="208"/>
      <c r="AC252" s="208"/>
      <c r="AD252" s="208"/>
      <c r="AE252" s="208"/>
      <c r="AF252" s="208"/>
      <c r="AG252" s="208"/>
      <c r="AH252" s="208"/>
      <c r="AI252" s="208"/>
      <c r="AJ252" s="208"/>
      <c r="AK252" s="208"/>
      <c r="AL252" s="208"/>
      <c r="AM252" s="208"/>
      <c r="AN252" s="208"/>
      <c r="AO252" s="208"/>
      <c r="AP252" s="208"/>
    </row>
    <row r="253" spans="1:42">
      <c r="A253" s="219" t="s">
        <v>216</v>
      </c>
      <c r="C253" s="208"/>
      <c r="D253" s="208"/>
      <c r="E253" s="208"/>
      <c r="F253" s="208"/>
      <c r="G253" s="208"/>
      <c r="H253" s="208"/>
      <c r="I253" s="208"/>
      <c r="J253" s="208"/>
      <c r="K253" s="208"/>
      <c r="L253" s="208"/>
      <c r="M253" s="208"/>
      <c r="N253" s="208"/>
      <c r="O253" s="208"/>
      <c r="P253" s="208"/>
      <c r="Q253" s="208"/>
      <c r="R253" s="208"/>
      <c r="S253" s="208"/>
      <c r="T253" s="208"/>
      <c r="U253" s="208"/>
      <c r="V253" s="208"/>
      <c r="W253" s="208"/>
      <c r="X253" s="208"/>
      <c r="Y253" s="208"/>
      <c r="Z253" s="208"/>
      <c r="AA253" s="208"/>
      <c r="AB253" s="208"/>
      <c r="AC253" s="208"/>
      <c r="AD253" s="208"/>
      <c r="AE253" s="208"/>
      <c r="AF253" s="208"/>
      <c r="AG253" s="208"/>
      <c r="AH253" s="208"/>
      <c r="AI253" s="208"/>
      <c r="AJ253" s="208"/>
      <c r="AK253" s="208"/>
      <c r="AL253" s="208"/>
      <c r="AM253" s="208"/>
      <c r="AN253" s="208"/>
      <c r="AO253" s="208"/>
      <c r="AP253" s="208"/>
    </row>
    <row r="254" spans="1:42">
      <c r="A254" s="226" t="s">
        <v>218</v>
      </c>
      <c r="B254" s="244" t="str">
        <f>MMStateTaxTreatment</f>
        <v>5-yr MACRS</v>
      </c>
      <c r="C254" s="208"/>
      <c r="D254" s="208"/>
      <c r="E254" s="208"/>
      <c r="F254" s="208"/>
      <c r="G254" s="208"/>
      <c r="H254" s="208"/>
      <c r="I254" s="208"/>
      <c r="J254" s="208"/>
      <c r="K254" s="208"/>
      <c r="L254" s="208"/>
      <c r="M254" s="208"/>
      <c r="N254" s="208"/>
      <c r="O254" s="208"/>
      <c r="P254" s="208"/>
      <c r="Q254" s="208"/>
      <c r="R254" s="208"/>
      <c r="S254" s="208"/>
      <c r="T254" s="208"/>
      <c r="U254" s="208"/>
      <c r="V254" s="208"/>
      <c r="W254" s="208"/>
      <c r="X254" s="208"/>
      <c r="Y254" s="208"/>
      <c r="Z254" s="208"/>
      <c r="AA254" s="208"/>
      <c r="AB254" s="208"/>
      <c r="AC254" s="208"/>
      <c r="AD254" s="208"/>
      <c r="AE254" s="208"/>
      <c r="AF254" s="208"/>
      <c r="AG254" s="208"/>
      <c r="AH254" s="208"/>
      <c r="AI254" s="208"/>
      <c r="AJ254" s="208"/>
      <c r="AK254" s="208"/>
      <c r="AL254" s="208"/>
      <c r="AM254" s="208"/>
      <c r="AN254" s="208"/>
      <c r="AO254" s="208"/>
      <c r="AP254" s="208"/>
    </row>
    <row r="255" spans="1:42">
      <c r="A255" s="226" t="s">
        <v>219</v>
      </c>
      <c r="B255" s="208">
        <f t="shared" ref="B255:AP255" si="124">B2</f>
        <v>0</v>
      </c>
      <c r="C255" s="208">
        <f t="shared" si="124"/>
        <v>1</v>
      </c>
      <c r="D255" s="208">
        <f t="shared" si="124"/>
        <v>2</v>
      </c>
      <c r="E255" s="208">
        <f t="shared" si="124"/>
        <v>3</v>
      </c>
      <c r="F255" s="208">
        <f t="shared" si="124"/>
        <v>4</v>
      </c>
      <c r="G255" s="208">
        <f t="shared" si="124"/>
        <v>5</v>
      </c>
      <c r="H255" s="208">
        <f t="shared" si="124"/>
        <v>6</v>
      </c>
      <c r="I255" s="208">
        <f t="shared" si="124"/>
        <v>7</v>
      </c>
      <c r="J255" s="208">
        <f t="shared" si="124"/>
        <v>8</v>
      </c>
      <c r="K255" s="208">
        <f t="shared" si="124"/>
        <v>9</v>
      </c>
      <c r="L255" s="208">
        <f t="shared" si="124"/>
        <v>10</v>
      </c>
      <c r="M255" s="208">
        <f t="shared" si="124"/>
        <v>11</v>
      </c>
      <c r="N255" s="208">
        <f t="shared" si="124"/>
        <v>12</v>
      </c>
      <c r="O255" s="208">
        <f t="shared" si="124"/>
        <v>13</v>
      </c>
      <c r="P255" s="208">
        <f t="shared" si="124"/>
        <v>14</v>
      </c>
      <c r="Q255" s="208">
        <f t="shared" si="124"/>
        <v>15</v>
      </c>
      <c r="R255" s="208">
        <f t="shared" si="124"/>
        <v>16</v>
      </c>
      <c r="S255" s="208">
        <f t="shared" si="124"/>
        <v>17</v>
      </c>
      <c r="T255" s="208">
        <f t="shared" si="124"/>
        <v>18</v>
      </c>
      <c r="U255" s="208">
        <f t="shared" si="124"/>
        <v>19</v>
      </c>
      <c r="V255" s="208">
        <f t="shared" si="124"/>
        <v>20</v>
      </c>
      <c r="W255" s="208">
        <f t="shared" si="124"/>
        <v>21</v>
      </c>
      <c r="X255" s="208">
        <f t="shared" si="124"/>
        <v>22</v>
      </c>
      <c r="Y255" s="208">
        <f t="shared" si="124"/>
        <v>23</v>
      </c>
      <c r="Z255" s="208">
        <f t="shared" si="124"/>
        <v>24</v>
      </c>
      <c r="AA255" s="208">
        <f t="shared" si="124"/>
        <v>25</v>
      </c>
      <c r="AB255" s="208">
        <f t="shared" si="124"/>
        <v>26</v>
      </c>
      <c r="AC255" s="208">
        <f t="shared" si="124"/>
        <v>27</v>
      </c>
      <c r="AD255" s="208">
        <f t="shared" si="124"/>
        <v>28</v>
      </c>
      <c r="AE255" s="208">
        <f t="shared" si="124"/>
        <v>29</v>
      </c>
      <c r="AF255" s="208">
        <f t="shared" si="124"/>
        <v>30</v>
      </c>
      <c r="AG255" s="208">
        <f t="shared" si="124"/>
        <v>31</v>
      </c>
      <c r="AH255" s="208">
        <f t="shared" si="124"/>
        <v>32</v>
      </c>
      <c r="AI255" s="208">
        <f t="shared" si="124"/>
        <v>33</v>
      </c>
      <c r="AJ255" s="208">
        <f t="shared" si="124"/>
        <v>34</v>
      </c>
      <c r="AK255" s="208">
        <f t="shared" si="124"/>
        <v>35</v>
      </c>
      <c r="AL255" s="208">
        <f t="shared" si="124"/>
        <v>36</v>
      </c>
      <c r="AM255" s="208">
        <f t="shared" si="124"/>
        <v>37</v>
      </c>
      <c r="AN255" s="208">
        <f t="shared" si="124"/>
        <v>38</v>
      </c>
      <c r="AO255" s="208">
        <f t="shared" si="124"/>
        <v>39</v>
      </c>
      <c r="AP255" s="208">
        <f t="shared" si="124"/>
        <v>40</v>
      </c>
    </row>
    <row r="256" spans="1:42">
      <c r="A256" s="226" t="s">
        <v>220</v>
      </c>
      <c r="B256" s="245">
        <v>0</v>
      </c>
      <c r="C256" s="240">
        <f t="shared" ref="C256:AP256" si="125">IF($B$254=$A237,C237,0)+IF($B$254=$A238,C238,0)+IF($B$254=$A239,C239,0)+IF($B$254=$A240,C240,0)+IF($B$254=$A241,C241,0)+IF($B$254=$A242,C242,0)</f>
        <v>0.2</v>
      </c>
      <c r="D256" s="240">
        <f t="shared" si="125"/>
        <v>0.32</v>
      </c>
      <c r="E256" s="240">
        <f t="shared" si="125"/>
        <v>0.192</v>
      </c>
      <c r="F256" s="240">
        <f t="shared" si="125"/>
        <v>0.1152</v>
      </c>
      <c r="G256" s="240">
        <f t="shared" si="125"/>
        <v>0.1152</v>
      </c>
      <c r="H256" s="240">
        <f t="shared" si="125"/>
        <v>5.7599999999999998E-2</v>
      </c>
      <c r="I256" s="240">
        <f t="shared" si="125"/>
        <v>0</v>
      </c>
      <c r="J256" s="240">
        <f t="shared" si="125"/>
        <v>0</v>
      </c>
      <c r="K256" s="240">
        <f t="shared" si="125"/>
        <v>0</v>
      </c>
      <c r="L256" s="240">
        <f t="shared" si="125"/>
        <v>0</v>
      </c>
      <c r="M256" s="240">
        <f t="shared" si="125"/>
        <v>0</v>
      </c>
      <c r="N256" s="240">
        <f t="shared" si="125"/>
        <v>0</v>
      </c>
      <c r="O256" s="240">
        <f t="shared" si="125"/>
        <v>0</v>
      </c>
      <c r="P256" s="240">
        <f t="shared" si="125"/>
        <v>0</v>
      </c>
      <c r="Q256" s="240">
        <f t="shared" si="125"/>
        <v>0</v>
      </c>
      <c r="R256" s="240">
        <f t="shared" si="125"/>
        <v>0</v>
      </c>
      <c r="S256" s="240">
        <f t="shared" si="125"/>
        <v>0</v>
      </c>
      <c r="T256" s="240">
        <f t="shared" si="125"/>
        <v>0</v>
      </c>
      <c r="U256" s="240">
        <f t="shared" si="125"/>
        <v>0</v>
      </c>
      <c r="V256" s="240">
        <f t="shared" si="125"/>
        <v>0</v>
      </c>
      <c r="W256" s="240">
        <f t="shared" si="125"/>
        <v>0</v>
      </c>
      <c r="X256" s="240">
        <f t="shared" si="125"/>
        <v>0</v>
      </c>
      <c r="Y256" s="240">
        <f t="shared" si="125"/>
        <v>0</v>
      </c>
      <c r="Z256" s="240">
        <f t="shared" si="125"/>
        <v>0</v>
      </c>
      <c r="AA256" s="240">
        <f t="shared" si="125"/>
        <v>0</v>
      </c>
      <c r="AB256" s="240">
        <f t="shared" si="125"/>
        <v>0</v>
      </c>
      <c r="AC256" s="240">
        <f t="shared" si="125"/>
        <v>0</v>
      </c>
      <c r="AD256" s="240">
        <f t="shared" si="125"/>
        <v>0</v>
      </c>
      <c r="AE256" s="240">
        <f t="shared" si="125"/>
        <v>0</v>
      </c>
      <c r="AF256" s="240">
        <f t="shared" si="125"/>
        <v>0</v>
      </c>
      <c r="AG256" s="240">
        <f t="shared" si="125"/>
        <v>0</v>
      </c>
      <c r="AH256" s="240">
        <f t="shared" si="125"/>
        <v>0</v>
      </c>
      <c r="AI256" s="240">
        <f t="shared" si="125"/>
        <v>0</v>
      </c>
      <c r="AJ256" s="240">
        <f t="shared" si="125"/>
        <v>0</v>
      </c>
      <c r="AK256" s="240">
        <f t="shared" si="125"/>
        <v>0</v>
      </c>
      <c r="AL256" s="240">
        <f t="shared" si="125"/>
        <v>0</v>
      </c>
      <c r="AM256" s="240">
        <f t="shared" si="125"/>
        <v>0</v>
      </c>
      <c r="AN256" s="240">
        <f t="shared" si="125"/>
        <v>0</v>
      </c>
      <c r="AO256" s="240">
        <f t="shared" si="125"/>
        <v>0</v>
      </c>
      <c r="AP256" s="240">
        <f t="shared" si="125"/>
        <v>0</v>
      </c>
    </row>
    <row r="257" spans="1:42">
      <c r="A257" s="226"/>
      <c r="B257" s="245"/>
      <c r="C257" s="240"/>
      <c r="D257" s="240"/>
      <c r="E257" s="240"/>
      <c r="F257" s="240"/>
      <c r="G257" s="240"/>
      <c r="H257" s="240"/>
      <c r="I257" s="240"/>
      <c r="J257" s="240"/>
      <c r="K257" s="240"/>
      <c r="L257" s="240"/>
      <c r="M257" s="240"/>
      <c r="N257" s="240"/>
      <c r="O257" s="240"/>
      <c r="P257" s="240"/>
      <c r="Q257" s="240"/>
      <c r="R257" s="240"/>
      <c r="S257" s="240"/>
      <c r="T257" s="240"/>
      <c r="U257" s="240"/>
      <c r="V257" s="240"/>
      <c r="W257" s="240"/>
      <c r="X257" s="240"/>
      <c r="Y257" s="240"/>
      <c r="Z257" s="240"/>
      <c r="AA257" s="240"/>
      <c r="AB257" s="240"/>
      <c r="AC257" s="240"/>
      <c r="AD257" s="240"/>
      <c r="AE257" s="240"/>
      <c r="AF257" s="240"/>
      <c r="AG257" s="240"/>
      <c r="AH257" s="240"/>
      <c r="AI257" s="240"/>
      <c r="AJ257" s="240"/>
      <c r="AK257" s="240"/>
      <c r="AL257" s="240"/>
      <c r="AM257" s="240"/>
      <c r="AN257" s="240"/>
      <c r="AO257" s="240"/>
      <c r="AP257" s="240"/>
    </row>
    <row r="258" spans="1:42">
      <c r="A258" s="219" t="s">
        <v>383</v>
      </c>
      <c r="C258" s="208"/>
      <c r="D258" s="208"/>
      <c r="E258" s="208"/>
      <c r="F258" s="208"/>
      <c r="G258" s="208"/>
      <c r="H258" s="208"/>
      <c r="I258" s="208"/>
      <c r="J258" s="208"/>
      <c r="K258" s="208"/>
      <c r="L258" s="208"/>
      <c r="M258" s="208"/>
      <c r="N258" s="208"/>
      <c r="O258" s="208"/>
      <c r="P258" s="208"/>
      <c r="Q258" s="208"/>
      <c r="R258" s="208"/>
      <c r="S258" s="208"/>
      <c r="T258" s="208"/>
      <c r="U258" s="208"/>
      <c r="V258" s="208"/>
      <c r="W258" s="208"/>
      <c r="X258" s="208"/>
      <c r="Y258" s="208"/>
      <c r="Z258" s="208"/>
      <c r="AA258" s="208"/>
      <c r="AB258" s="208"/>
      <c r="AC258" s="208"/>
      <c r="AD258" s="208"/>
      <c r="AE258" s="208"/>
      <c r="AF258" s="208"/>
      <c r="AG258" s="208"/>
      <c r="AH258" s="208"/>
      <c r="AI258" s="208"/>
      <c r="AJ258" s="208"/>
      <c r="AK258" s="208"/>
      <c r="AL258" s="208"/>
      <c r="AM258" s="208"/>
      <c r="AN258" s="208"/>
      <c r="AO258" s="208"/>
      <c r="AP258" s="208"/>
    </row>
    <row r="259" spans="1:42">
      <c r="A259" s="226" t="s">
        <v>217</v>
      </c>
      <c r="C259" s="208"/>
      <c r="D259" s="208"/>
      <c r="E259" s="208"/>
      <c r="F259" s="208"/>
      <c r="G259" s="208"/>
      <c r="H259" s="208"/>
      <c r="I259" s="208"/>
      <c r="J259" s="208"/>
      <c r="K259" s="208"/>
      <c r="L259" s="208"/>
      <c r="M259" s="208"/>
      <c r="N259" s="208"/>
      <c r="O259" s="208"/>
      <c r="P259" s="208"/>
      <c r="Q259" s="208"/>
      <c r="R259" s="208"/>
      <c r="S259" s="208"/>
      <c r="T259" s="208"/>
      <c r="U259" s="208"/>
      <c r="V259" s="208"/>
      <c r="W259" s="208"/>
      <c r="X259" s="208"/>
      <c r="Y259" s="208"/>
      <c r="Z259" s="208"/>
      <c r="AA259" s="208"/>
      <c r="AB259" s="208"/>
      <c r="AC259" s="208"/>
      <c r="AD259" s="208"/>
      <c r="AE259" s="208"/>
      <c r="AF259" s="208"/>
      <c r="AG259" s="208"/>
      <c r="AH259" s="208"/>
      <c r="AI259" s="208"/>
      <c r="AJ259" s="208"/>
      <c r="AK259" s="208"/>
      <c r="AL259" s="208"/>
      <c r="AM259" s="208"/>
      <c r="AN259" s="208"/>
      <c r="AO259" s="208"/>
      <c r="AP259" s="208"/>
    </row>
    <row r="260" spans="1:42">
      <c r="A260" s="37">
        <v>1</v>
      </c>
      <c r="C260" s="208">
        <f>IF(C$2&lt;=AnalysisPeriod,IF(SUM($C641:C641)&gt;0,B260+1,0),0)</f>
        <v>0</v>
      </c>
      <c r="D260" s="208">
        <f>IF(D$2&lt;=AnalysisPeriod,IF(SUM($C641:D641)&gt;0,C260+1,0),0)</f>
        <v>0</v>
      </c>
      <c r="E260" s="208">
        <f>IF(E$2&lt;=AnalysisPeriod,IF(SUM($C641:E641)&gt;0,D260+1,0),0)</f>
        <v>0</v>
      </c>
      <c r="F260" s="208">
        <f>IF(F$2&lt;=AnalysisPeriod,IF(SUM($C641:F641)&gt;0,E260+1,0),0)</f>
        <v>0</v>
      </c>
      <c r="G260" s="208">
        <f>IF(G$2&lt;=AnalysisPeriod,IF(SUM($C641:G641)&gt;0,F260+1,0),0)</f>
        <v>0</v>
      </c>
      <c r="H260" s="208">
        <f>IF(H$2&lt;=AnalysisPeriod,IF(SUM($C641:H641)&gt;0,G260+1,0),0)</f>
        <v>0</v>
      </c>
      <c r="I260" s="208">
        <f>IF(I$2&lt;=AnalysisPeriod,IF(SUM($C641:I641)&gt;0,H260+1,0),0)</f>
        <v>0</v>
      </c>
      <c r="J260" s="208">
        <f>IF(J$2&lt;=AnalysisPeriod,IF(SUM($C641:J641)&gt;0,I260+1,0),0)</f>
        <v>0</v>
      </c>
      <c r="K260" s="208">
        <f>IF(K$2&lt;=AnalysisPeriod,IF(SUM($C641:K641)&gt;0,J260+1,0),0)</f>
        <v>0</v>
      </c>
      <c r="L260" s="208">
        <f>IF(L$2&lt;=AnalysisPeriod,IF(SUM($C641:L641)&gt;0,K260+1,0),0)</f>
        <v>0</v>
      </c>
      <c r="M260" s="208">
        <f>IF(M$2&lt;=AnalysisPeriod,IF(SUM($C641:M641)&gt;0,L260+1,0),0)</f>
        <v>0</v>
      </c>
      <c r="N260" s="208">
        <f>IF(N$2&lt;=AnalysisPeriod,IF(SUM($C641:N641)&gt;0,M260+1,0),0)</f>
        <v>1</v>
      </c>
      <c r="O260" s="208">
        <f>IF(O$2&lt;=AnalysisPeriod,IF(SUM($C641:O641)&gt;0,N260+1,0),0)</f>
        <v>2</v>
      </c>
      <c r="P260" s="208">
        <f>IF(P$2&lt;=AnalysisPeriod,IF(SUM($C641:P641)&gt;0,O260+1,0),0)</f>
        <v>3</v>
      </c>
      <c r="Q260" s="208">
        <f>IF(Q$2&lt;=AnalysisPeriod,IF(SUM($C641:Q641)&gt;0,P260+1,0),0)</f>
        <v>4</v>
      </c>
      <c r="R260" s="208">
        <f>IF(R$2&lt;=AnalysisPeriod,IF(SUM($C641:R641)&gt;0,Q260+1,0),0)</f>
        <v>5</v>
      </c>
      <c r="S260" s="208">
        <f>IF(S$2&lt;=AnalysisPeriod,IF(SUM($C641:S641)&gt;0,R260+1,0),0)</f>
        <v>6</v>
      </c>
      <c r="T260" s="208">
        <f>IF(T$2&lt;=AnalysisPeriod,IF(SUM($C641:T641)&gt;0,S260+1,0),0)</f>
        <v>7</v>
      </c>
      <c r="U260" s="208">
        <f>IF(U$2&lt;=AnalysisPeriod,IF(SUM($C641:U641)&gt;0,T260+1,0),0)</f>
        <v>8</v>
      </c>
      <c r="V260" s="208">
        <f>IF(V$2&lt;=AnalysisPeriod,IF(SUM($C641:V641)&gt;0,U260+1,0),0)</f>
        <v>9</v>
      </c>
      <c r="W260" s="208">
        <f>IF(W$2&lt;=AnalysisPeriod,IF(SUM($C641:W641)&gt;0,V260+1,0),0)</f>
        <v>10</v>
      </c>
      <c r="X260" s="208">
        <f>IF(X$2&lt;=AnalysisPeriod,IF(SUM($C641:X641)&gt;0,W260+1,0),0)</f>
        <v>11</v>
      </c>
      <c r="Y260" s="208">
        <f>IF(Y$2&lt;=AnalysisPeriod,IF(SUM($C641:Y641)&gt;0,X260+1,0),0)</f>
        <v>12</v>
      </c>
      <c r="Z260" s="208">
        <f>IF(Z$2&lt;=AnalysisPeriod,IF(SUM($C641:Z641)&gt;0,Y260+1,0),0)</f>
        <v>13</v>
      </c>
      <c r="AA260" s="208">
        <f>IF(AA$2&lt;=AnalysisPeriod,IF(SUM($C641:AA641)&gt;0,Z260+1,0),0)</f>
        <v>14</v>
      </c>
      <c r="AB260" s="208">
        <f>IF(AB$2&lt;=AnalysisPeriod,IF(SUM($C641:AB641)&gt;0,AA260+1,0),0)</f>
        <v>15</v>
      </c>
      <c r="AC260" s="208">
        <f>IF(AC$2&lt;=AnalysisPeriod,IF(SUM($C641:AC641)&gt;0,AB260+1,0),0)</f>
        <v>16</v>
      </c>
      <c r="AD260" s="208">
        <f>IF(AD$2&lt;=AnalysisPeriod,IF(SUM($C641:AD641)&gt;0,AC260+1,0),0)</f>
        <v>17</v>
      </c>
      <c r="AE260" s="208">
        <f>IF(AE$2&lt;=AnalysisPeriod,IF(SUM($C641:AE641)&gt;0,AD260+1,0),0)</f>
        <v>18</v>
      </c>
      <c r="AF260" s="208">
        <f>IF(AF$2&lt;=AnalysisPeriod,IF(SUM($C641:AF641)&gt;0,AE260+1,0),0)</f>
        <v>19</v>
      </c>
      <c r="AG260" s="208">
        <f>IF(AG$2&lt;=AnalysisPeriod,IF(SUM($C641:AG641)&gt;0,AF260+1,0),0)</f>
        <v>0</v>
      </c>
      <c r="AH260" s="208">
        <f>IF(AH$2&lt;=AnalysisPeriod,IF(SUM($C641:AH641)&gt;0,AG260+1,0),0)</f>
        <v>0</v>
      </c>
      <c r="AI260" s="208">
        <f>IF(AI$2&lt;=AnalysisPeriod,IF(SUM($C641:AI641)&gt;0,AH260+1,0),0)</f>
        <v>0</v>
      </c>
      <c r="AJ260" s="208">
        <f>IF(AJ$2&lt;=AnalysisPeriod,IF(SUM($C641:AJ641)&gt;0,AI260+1,0),0)</f>
        <v>0</v>
      </c>
      <c r="AK260" s="208">
        <f>IF(AK$2&lt;=AnalysisPeriod,IF(SUM($C641:AK641)&gt;0,AJ260+1,0),0)</f>
        <v>0</v>
      </c>
      <c r="AL260" s="208">
        <f>IF(AL$2&lt;=AnalysisPeriod,IF(SUM($C641:AL641)&gt;0,AK260+1,0),0)</f>
        <v>0</v>
      </c>
      <c r="AM260" s="208">
        <f>IF(AM$2&lt;=AnalysisPeriod,IF(SUM($C641:AM641)&gt;0,AL260+1,0),0)</f>
        <v>0</v>
      </c>
      <c r="AN260" s="208">
        <f>IF(AN$2&lt;=AnalysisPeriod,IF(SUM($C641:AN641)&gt;0,AM260+1,0),0)</f>
        <v>0</v>
      </c>
      <c r="AO260" s="208">
        <f>IF(AO$2&lt;=AnalysisPeriod,IF(SUM($C641:AO641)&gt;0,AN260+1,0),0)</f>
        <v>0</v>
      </c>
      <c r="AP260" s="208">
        <f>IF(AP$2&lt;=AnalysisPeriod,IF(SUM($C641:AP641)&gt;0,AO260+1,0),0)</f>
        <v>0</v>
      </c>
    </row>
    <row r="261" spans="1:42">
      <c r="A261" s="37">
        <f>A260+1</f>
        <v>2</v>
      </c>
      <c r="C261" s="208">
        <f>IF(C$2&lt;=AnalysisPeriod,IF(SUM($C642:C642)&gt;0,B261+1,0),0)</f>
        <v>0</v>
      </c>
      <c r="D261" s="208">
        <f>IF(D$2&lt;=AnalysisPeriod,IF(SUM($C642:D642)&gt;0,C261+1,0),0)</f>
        <v>0</v>
      </c>
      <c r="E261" s="208">
        <f>IF(E$2&lt;=AnalysisPeriod,IF(SUM($C642:E642)&gt;0,D261+1,0),0)</f>
        <v>0</v>
      </c>
      <c r="F261" s="208">
        <f>IF(F$2&lt;=AnalysisPeriod,IF(SUM($C642:F642)&gt;0,E261+1,0),0)</f>
        <v>0</v>
      </c>
      <c r="G261" s="208">
        <f>IF(G$2&lt;=AnalysisPeriod,IF(SUM($C642:G642)&gt;0,F261+1,0),0)</f>
        <v>0</v>
      </c>
      <c r="H261" s="208">
        <f>IF(H$2&lt;=AnalysisPeriod,IF(SUM($C642:H642)&gt;0,G261+1,0),0)</f>
        <v>0</v>
      </c>
      <c r="I261" s="208">
        <f>IF(I$2&lt;=AnalysisPeriod,IF(SUM($C642:I642)&gt;0,H261+1,0),0)</f>
        <v>0</v>
      </c>
      <c r="J261" s="208">
        <f>IF(J$2&lt;=AnalysisPeriod,IF(SUM($C642:J642)&gt;0,I261+1,0),0)</f>
        <v>0</v>
      </c>
      <c r="K261" s="208">
        <f>IF(K$2&lt;=AnalysisPeriod,IF(SUM($C642:K642)&gt;0,J261+1,0),0)</f>
        <v>0</v>
      </c>
      <c r="L261" s="208">
        <f>IF(L$2&lt;=AnalysisPeriod,IF(SUM($C642:L642)&gt;0,K261+1,0),0)</f>
        <v>0</v>
      </c>
      <c r="M261" s="208">
        <f>IF(M$2&lt;=AnalysisPeriod,IF(SUM($C642:M642)&gt;0,L261+1,0),0)</f>
        <v>0</v>
      </c>
      <c r="N261" s="208">
        <f>IF(N$2&lt;=AnalysisPeriod,IF(SUM($C642:N642)&gt;0,M261+1,0),0)</f>
        <v>0</v>
      </c>
      <c r="O261" s="208">
        <f>IF(O$2&lt;=AnalysisPeriod,IF(SUM($C642:O642)&gt;0,N261+1,0),0)</f>
        <v>0</v>
      </c>
      <c r="P261" s="208">
        <f>IF(P$2&lt;=AnalysisPeriod,IF(SUM($C642:P642)&gt;0,O261+1,0),0)</f>
        <v>0</v>
      </c>
      <c r="Q261" s="208">
        <f>IF(Q$2&lt;=AnalysisPeriod,IF(SUM($C642:Q642)&gt;0,P261+1,0),0)</f>
        <v>0</v>
      </c>
      <c r="R261" s="208">
        <f>IF(R$2&lt;=AnalysisPeriod,IF(SUM($C642:R642)&gt;0,Q261+1,0),0)</f>
        <v>0</v>
      </c>
      <c r="S261" s="208">
        <f>IF(S$2&lt;=AnalysisPeriod,IF(SUM($C642:S642)&gt;0,R261+1,0),0)</f>
        <v>0</v>
      </c>
      <c r="T261" s="208">
        <f>IF(T$2&lt;=AnalysisPeriod,IF(SUM($C642:T642)&gt;0,S261+1,0),0)</f>
        <v>0</v>
      </c>
      <c r="U261" s="208">
        <f>IF(U$2&lt;=AnalysisPeriod,IF(SUM($C642:U642)&gt;0,T261+1,0),0)</f>
        <v>0</v>
      </c>
      <c r="V261" s="208">
        <f>IF(V$2&lt;=AnalysisPeriod,IF(SUM($C642:V642)&gt;0,U261+1,0),0)</f>
        <v>0</v>
      </c>
      <c r="W261" s="208">
        <f>IF(W$2&lt;=AnalysisPeriod,IF(SUM($C642:W642)&gt;0,V261+1,0),0)</f>
        <v>0</v>
      </c>
      <c r="X261" s="208">
        <f>IF(X$2&lt;=AnalysisPeriod,IF(SUM($C642:X642)&gt;0,W261+1,0),0)</f>
        <v>0</v>
      </c>
      <c r="Y261" s="208">
        <f>IF(Y$2&lt;=AnalysisPeriod,IF(SUM($C642:Y642)&gt;0,X261+1,0),0)</f>
        <v>0</v>
      </c>
      <c r="Z261" s="208">
        <f>IF(Z$2&lt;=AnalysisPeriod,IF(SUM($C642:Z642)&gt;0,Y261+1,0),0)</f>
        <v>1</v>
      </c>
      <c r="AA261" s="208">
        <f>IF(AA$2&lt;=AnalysisPeriod,IF(SUM($C642:AA642)&gt;0,Z261+1,0),0)</f>
        <v>2</v>
      </c>
      <c r="AB261" s="208">
        <f>IF(AB$2&lt;=AnalysisPeriod,IF(SUM($C642:AB642)&gt;0,AA261+1,0),0)</f>
        <v>3</v>
      </c>
      <c r="AC261" s="208">
        <f>IF(AC$2&lt;=AnalysisPeriod,IF(SUM($C642:AC642)&gt;0,AB261+1,0),0)</f>
        <v>4</v>
      </c>
      <c r="AD261" s="208">
        <f>IF(AD$2&lt;=AnalysisPeriod,IF(SUM($C642:AD642)&gt;0,AC261+1,0),0)</f>
        <v>5</v>
      </c>
      <c r="AE261" s="208">
        <f>IF(AE$2&lt;=AnalysisPeriod,IF(SUM($C642:AE642)&gt;0,AD261+1,0),0)</f>
        <v>6</v>
      </c>
      <c r="AF261" s="208">
        <f>IF(AF$2&lt;=AnalysisPeriod,IF(SUM($C642:AF642)&gt;0,AE261+1,0),0)</f>
        <v>7</v>
      </c>
      <c r="AG261" s="208">
        <f>IF(AG$2&lt;=AnalysisPeriod,IF(SUM($C642:AG642)&gt;0,AF261+1,0),0)</f>
        <v>0</v>
      </c>
      <c r="AH261" s="208">
        <f>IF(AH$2&lt;=AnalysisPeriod,IF(SUM($C642:AH642)&gt;0,AG261+1,0),0)</f>
        <v>0</v>
      </c>
      <c r="AI261" s="208">
        <f>IF(AI$2&lt;=AnalysisPeriod,IF(SUM($C642:AI642)&gt;0,AH261+1,0),0)</f>
        <v>0</v>
      </c>
      <c r="AJ261" s="208">
        <f>IF(AJ$2&lt;=AnalysisPeriod,IF(SUM($C642:AJ642)&gt;0,AI261+1,0),0)</f>
        <v>0</v>
      </c>
      <c r="AK261" s="208">
        <f>IF(AK$2&lt;=AnalysisPeriod,IF(SUM($C642:AK642)&gt;0,AJ261+1,0),0)</f>
        <v>0</v>
      </c>
      <c r="AL261" s="208">
        <f>IF(AL$2&lt;=AnalysisPeriod,IF(SUM($C642:AL642)&gt;0,AK261+1,0),0)</f>
        <v>0</v>
      </c>
      <c r="AM261" s="208">
        <f>IF(AM$2&lt;=AnalysisPeriod,IF(SUM($C642:AM642)&gt;0,AL261+1,0),0)</f>
        <v>0</v>
      </c>
      <c r="AN261" s="208">
        <f>IF(AN$2&lt;=AnalysisPeriod,IF(SUM($C642:AN642)&gt;0,AM261+1,0),0)</f>
        <v>0</v>
      </c>
      <c r="AO261" s="208">
        <f>IF(AO$2&lt;=AnalysisPeriod,IF(SUM($C642:AO642)&gt;0,AN261+1,0),0)</f>
        <v>0</v>
      </c>
      <c r="AP261" s="208">
        <f>IF(AP$2&lt;=AnalysisPeriod,IF(SUM($C642:AP642)&gt;0,AO261+1,0),0)</f>
        <v>0</v>
      </c>
    </row>
    <row r="262" spans="1:42">
      <c r="A262" s="37">
        <f t="shared" ref="A262:A269" si="126">A261+1</f>
        <v>3</v>
      </c>
      <c r="C262" s="208">
        <f>IF(C$2&lt;=AnalysisPeriod,IF(SUM($C643:C643)&gt;0,B262+1,0),0)</f>
        <v>0</v>
      </c>
      <c r="D262" s="208">
        <f>IF(D$2&lt;=AnalysisPeriod,IF(SUM($C643:D643)&gt;0,C262+1,0),0)</f>
        <v>0</v>
      </c>
      <c r="E262" s="208">
        <f>IF(E$2&lt;=AnalysisPeriod,IF(SUM($C643:E643)&gt;0,D262+1,0),0)</f>
        <v>0</v>
      </c>
      <c r="F262" s="208">
        <f>IF(F$2&lt;=AnalysisPeriod,IF(SUM($C643:F643)&gt;0,E262+1,0),0)</f>
        <v>0</v>
      </c>
      <c r="G262" s="208">
        <f>IF(G$2&lt;=AnalysisPeriod,IF(SUM($C643:G643)&gt;0,F262+1,0),0)</f>
        <v>0</v>
      </c>
      <c r="H262" s="208">
        <f>IF(H$2&lt;=AnalysisPeriod,IF(SUM($C643:H643)&gt;0,G262+1,0),0)</f>
        <v>0</v>
      </c>
      <c r="I262" s="208">
        <f>IF(I$2&lt;=AnalysisPeriod,IF(SUM($C643:I643)&gt;0,H262+1,0),0)</f>
        <v>0</v>
      </c>
      <c r="J262" s="208">
        <f>IF(J$2&lt;=AnalysisPeriod,IF(SUM($C643:J643)&gt;0,I262+1,0),0)</f>
        <v>0</v>
      </c>
      <c r="K262" s="208">
        <f>IF(K$2&lt;=AnalysisPeriod,IF(SUM($C643:K643)&gt;0,J262+1,0),0)</f>
        <v>0</v>
      </c>
      <c r="L262" s="208">
        <f>IF(L$2&lt;=AnalysisPeriod,IF(SUM($C643:L643)&gt;0,K262+1,0),0)</f>
        <v>0</v>
      </c>
      <c r="M262" s="208">
        <f>IF(M$2&lt;=AnalysisPeriod,IF(SUM($C643:M643)&gt;0,L262+1,0),0)</f>
        <v>0</v>
      </c>
      <c r="N262" s="208">
        <f>IF(N$2&lt;=AnalysisPeriod,IF(SUM($C643:N643)&gt;0,M262+1,0),0)</f>
        <v>0</v>
      </c>
      <c r="O262" s="208">
        <f>IF(O$2&lt;=AnalysisPeriod,IF(SUM($C643:O643)&gt;0,N262+1,0),0)</f>
        <v>0</v>
      </c>
      <c r="P262" s="208">
        <f>IF(P$2&lt;=AnalysisPeriod,IF(SUM($C643:P643)&gt;0,O262+1,0),0)</f>
        <v>0</v>
      </c>
      <c r="Q262" s="208">
        <f>IF(Q$2&lt;=AnalysisPeriod,IF(SUM($C643:Q643)&gt;0,P262+1,0),0)</f>
        <v>0</v>
      </c>
      <c r="R262" s="208">
        <f>IF(R$2&lt;=AnalysisPeriod,IF(SUM($C643:R643)&gt;0,Q262+1,0),0)</f>
        <v>0</v>
      </c>
      <c r="S262" s="208">
        <f>IF(S$2&lt;=AnalysisPeriod,IF(SUM($C643:S643)&gt;0,R262+1,0),0)</f>
        <v>0</v>
      </c>
      <c r="T262" s="208">
        <f>IF(T$2&lt;=AnalysisPeriod,IF(SUM($C643:T643)&gt;0,S262+1,0),0)</f>
        <v>0</v>
      </c>
      <c r="U262" s="208">
        <f>IF(U$2&lt;=AnalysisPeriod,IF(SUM($C643:U643)&gt;0,T262+1,0),0)</f>
        <v>0</v>
      </c>
      <c r="V262" s="208">
        <f>IF(V$2&lt;=AnalysisPeriod,IF(SUM($C643:V643)&gt;0,U262+1,0),0)</f>
        <v>0</v>
      </c>
      <c r="W262" s="208">
        <f>IF(W$2&lt;=AnalysisPeriod,IF(SUM($C643:W643)&gt;0,V262+1,0),0)</f>
        <v>0</v>
      </c>
      <c r="X262" s="208">
        <f>IF(X$2&lt;=AnalysisPeriod,IF(SUM($C643:X643)&gt;0,W262+1,0),0)</f>
        <v>0</v>
      </c>
      <c r="Y262" s="208">
        <f>IF(Y$2&lt;=AnalysisPeriod,IF(SUM($C643:Y643)&gt;0,X262+1,0),0)</f>
        <v>0</v>
      </c>
      <c r="Z262" s="208">
        <f>IF(Z$2&lt;=AnalysisPeriod,IF(SUM($C643:Z643)&gt;0,Y262+1,0),0)</f>
        <v>0</v>
      </c>
      <c r="AA262" s="208">
        <f>IF(AA$2&lt;=AnalysisPeriod,IF(SUM($C643:AA643)&gt;0,Z262+1,0),0)</f>
        <v>0</v>
      </c>
      <c r="AB262" s="208">
        <f>IF(AB$2&lt;=AnalysisPeriod,IF(SUM($C643:AB643)&gt;0,AA262+1,0),0)</f>
        <v>0</v>
      </c>
      <c r="AC262" s="208">
        <f>IF(AC$2&lt;=AnalysisPeriod,IF(SUM($C643:AC643)&gt;0,AB262+1,0),0)</f>
        <v>0</v>
      </c>
      <c r="AD262" s="208">
        <f>IF(AD$2&lt;=AnalysisPeriod,IF(SUM($C643:AD643)&gt;0,AC262+1,0),0)</f>
        <v>0</v>
      </c>
      <c r="AE262" s="208">
        <f>IF(AE$2&lt;=AnalysisPeriod,IF(SUM($C643:AE643)&gt;0,AD262+1,0),0)</f>
        <v>0</v>
      </c>
      <c r="AF262" s="208">
        <f>IF(AF$2&lt;=AnalysisPeriod,IF(SUM($C643:AF643)&gt;0,AE262+1,0),0)</f>
        <v>0</v>
      </c>
      <c r="AG262" s="208">
        <f>IF(AG$2&lt;=AnalysisPeriod,IF(SUM($C643:AG643)&gt;0,AF262+1,0),0)</f>
        <v>0</v>
      </c>
      <c r="AH262" s="208">
        <f>IF(AH$2&lt;=AnalysisPeriod,IF(SUM($C643:AH643)&gt;0,AG262+1,0),0)</f>
        <v>0</v>
      </c>
      <c r="AI262" s="208">
        <f>IF(AI$2&lt;=AnalysisPeriod,IF(SUM($C643:AI643)&gt;0,AH262+1,0),0)</f>
        <v>0</v>
      </c>
      <c r="AJ262" s="208">
        <f>IF(AJ$2&lt;=AnalysisPeriod,IF(SUM($C643:AJ643)&gt;0,AI262+1,0),0)</f>
        <v>0</v>
      </c>
      <c r="AK262" s="208">
        <f>IF(AK$2&lt;=AnalysisPeriod,IF(SUM($C643:AK643)&gt;0,AJ262+1,0),0)</f>
        <v>0</v>
      </c>
      <c r="AL262" s="208">
        <f>IF(AL$2&lt;=AnalysisPeriod,IF(SUM($C643:AL643)&gt;0,AK262+1,0),0)</f>
        <v>0</v>
      </c>
      <c r="AM262" s="208">
        <f>IF(AM$2&lt;=AnalysisPeriod,IF(SUM($C643:AM643)&gt;0,AL262+1,0),0)</f>
        <v>0</v>
      </c>
      <c r="AN262" s="208">
        <f>IF(AN$2&lt;=AnalysisPeriod,IF(SUM($C643:AN643)&gt;0,AM262+1,0),0)</f>
        <v>0</v>
      </c>
      <c r="AO262" s="208">
        <f>IF(AO$2&lt;=AnalysisPeriod,IF(SUM($C643:AO643)&gt;0,AN262+1,0),0)</f>
        <v>0</v>
      </c>
      <c r="AP262" s="208">
        <f>IF(AP$2&lt;=AnalysisPeriod,IF(SUM($C643:AP643)&gt;0,AO262+1,0),0)</f>
        <v>0</v>
      </c>
    </row>
    <row r="263" spans="1:42">
      <c r="A263" s="37">
        <f t="shared" si="126"/>
        <v>4</v>
      </c>
      <c r="C263" s="208">
        <f>IF(C$2&lt;=AnalysisPeriod,IF(SUM($C644:C644)&gt;0,B263+1,0),0)</f>
        <v>0</v>
      </c>
      <c r="D263" s="208">
        <f>IF(D$2&lt;=AnalysisPeriod,IF(SUM($C644:D644)&gt;0,C263+1,0),0)</f>
        <v>0</v>
      </c>
      <c r="E263" s="208">
        <f>IF(E$2&lt;=AnalysisPeriod,IF(SUM($C644:E644)&gt;0,D263+1,0),0)</f>
        <v>0</v>
      </c>
      <c r="F263" s="208">
        <f>IF(F$2&lt;=AnalysisPeriod,IF(SUM($C644:F644)&gt;0,E263+1,0),0)</f>
        <v>0</v>
      </c>
      <c r="G263" s="208">
        <f>IF(G$2&lt;=AnalysisPeriod,IF(SUM($C644:G644)&gt;0,F263+1,0),0)</f>
        <v>0</v>
      </c>
      <c r="H263" s="208">
        <f>IF(H$2&lt;=AnalysisPeriod,IF(SUM($C644:H644)&gt;0,G263+1,0),0)</f>
        <v>0</v>
      </c>
      <c r="I263" s="208">
        <f>IF(I$2&lt;=AnalysisPeriod,IF(SUM($C644:I644)&gt;0,H263+1,0),0)</f>
        <v>0</v>
      </c>
      <c r="J263" s="208">
        <f>IF(J$2&lt;=AnalysisPeriod,IF(SUM($C644:J644)&gt;0,I263+1,0),0)</f>
        <v>0</v>
      </c>
      <c r="K263" s="208">
        <f>IF(K$2&lt;=AnalysisPeriod,IF(SUM($C644:K644)&gt;0,J263+1,0),0)</f>
        <v>0</v>
      </c>
      <c r="L263" s="208">
        <f>IF(L$2&lt;=AnalysisPeriod,IF(SUM($C644:L644)&gt;0,K263+1,0),0)</f>
        <v>0</v>
      </c>
      <c r="M263" s="208">
        <f>IF(M$2&lt;=AnalysisPeriod,IF(SUM($C644:M644)&gt;0,L263+1,0),0)</f>
        <v>0</v>
      </c>
      <c r="N263" s="208">
        <f>IF(N$2&lt;=AnalysisPeriod,IF(SUM($C644:N644)&gt;0,M263+1,0),0)</f>
        <v>0</v>
      </c>
      <c r="O263" s="208">
        <f>IF(O$2&lt;=AnalysisPeriod,IF(SUM($C644:O644)&gt;0,N263+1,0),0)</f>
        <v>0</v>
      </c>
      <c r="P263" s="208">
        <f>IF(P$2&lt;=AnalysisPeriod,IF(SUM($C644:P644)&gt;0,O263+1,0),0)</f>
        <v>0</v>
      </c>
      <c r="Q263" s="208">
        <f>IF(Q$2&lt;=AnalysisPeriod,IF(SUM($C644:Q644)&gt;0,P263+1,0),0)</f>
        <v>0</v>
      </c>
      <c r="R263" s="208">
        <f>IF(R$2&lt;=AnalysisPeriod,IF(SUM($C644:R644)&gt;0,Q263+1,0),0)</f>
        <v>0</v>
      </c>
      <c r="S263" s="208">
        <f>IF(S$2&lt;=AnalysisPeriod,IF(SUM($C644:S644)&gt;0,R263+1,0),0)</f>
        <v>0</v>
      </c>
      <c r="T263" s="208">
        <f>IF(T$2&lt;=AnalysisPeriod,IF(SUM($C644:T644)&gt;0,S263+1,0),0)</f>
        <v>0</v>
      </c>
      <c r="U263" s="208">
        <f>IF(U$2&lt;=AnalysisPeriod,IF(SUM($C644:U644)&gt;0,T263+1,0),0)</f>
        <v>0</v>
      </c>
      <c r="V263" s="208">
        <f>IF(V$2&lt;=AnalysisPeriod,IF(SUM($C644:V644)&gt;0,U263+1,0),0)</f>
        <v>0</v>
      </c>
      <c r="W263" s="208">
        <f>IF(W$2&lt;=AnalysisPeriod,IF(SUM($C644:W644)&gt;0,V263+1,0),0)</f>
        <v>0</v>
      </c>
      <c r="X263" s="208">
        <f>IF(X$2&lt;=AnalysisPeriod,IF(SUM($C644:X644)&gt;0,W263+1,0),0)</f>
        <v>0</v>
      </c>
      <c r="Y263" s="208">
        <f>IF(Y$2&lt;=AnalysisPeriod,IF(SUM($C644:Y644)&gt;0,X263+1,0),0)</f>
        <v>0</v>
      </c>
      <c r="Z263" s="208">
        <f>IF(Z$2&lt;=AnalysisPeriod,IF(SUM($C644:Z644)&gt;0,Y263+1,0),0)</f>
        <v>0</v>
      </c>
      <c r="AA263" s="208">
        <f>IF(AA$2&lt;=AnalysisPeriod,IF(SUM($C644:AA644)&gt;0,Z263+1,0),0)</f>
        <v>0</v>
      </c>
      <c r="AB263" s="208">
        <f>IF(AB$2&lt;=AnalysisPeriod,IF(SUM($C644:AB644)&gt;0,AA263+1,0),0)</f>
        <v>0</v>
      </c>
      <c r="AC263" s="208">
        <f>IF(AC$2&lt;=AnalysisPeriod,IF(SUM($C644:AC644)&gt;0,AB263+1,0),0)</f>
        <v>0</v>
      </c>
      <c r="AD263" s="208">
        <f>IF(AD$2&lt;=AnalysisPeriod,IF(SUM($C644:AD644)&gt;0,AC263+1,0),0)</f>
        <v>0</v>
      </c>
      <c r="AE263" s="208">
        <f>IF(AE$2&lt;=AnalysisPeriod,IF(SUM($C644:AE644)&gt;0,AD263+1,0),0)</f>
        <v>0</v>
      </c>
      <c r="AF263" s="208">
        <f>IF(AF$2&lt;=AnalysisPeriod,IF(SUM($C644:AF644)&gt;0,AE263+1,0),0)</f>
        <v>0</v>
      </c>
      <c r="AG263" s="208">
        <f>IF(AG$2&lt;=AnalysisPeriod,IF(SUM($C644:AG644)&gt;0,AF263+1,0),0)</f>
        <v>0</v>
      </c>
      <c r="AH263" s="208">
        <f>IF(AH$2&lt;=AnalysisPeriod,IF(SUM($C644:AH644)&gt;0,AG263+1,0),0)</f>
        <v>0</v>
      </c>
      <c r="AI263" s="208">
        <f>IF(AI$2&lt;=AnalysisPeriod,IF(SUM($C644:AI644)&gt;0,AH263+1,0),0)</f>
        <v>0</v>
      </c>
      <c r="AJ263" s="208">
        <f>IF(AJ$2&lt;=AnalysisPeriod,IF(SUM($C644:AJ644)&gt;0,AI263+1,0),0)</f>
        <v>0</v>
      </c>
      <c r="AK263" s="208">
        <f>IF(AK$2&lt;=AnalysisPeriod,IF(SUM($C644:AK644)&gt;0,AJ263+1,0),0)</f>
        <v>0</v>
      </c>
      <c r="AL263" s="208">
        <f>IF(AL$2&lt;=AnalysisPeriod,IF(SUM($C644:AL644)&gt;0,AK263+1,0),0)</f>
        <v>0</v>
      </c>
      <c r="AM263" s="208">
        <f>IF(AM$2&lt;=AnalysisPeriod,IF(SUM($C644:AM644)&gt;0,AL263+1,0),0)</f>
        <v>0</v>
      </c>
      <c r="AN263" s="208">
        <f>IF(AN$2&lt;=AnalysisPeriod,IF(SUM($C644:AN644)&gt;0,AM263+1,0),0)</f>
        <v>0</v>
      </c>
      <c r="AO263" s="208">
        <f>IF(AO$2&lt;=AnalysisPeriod,IF(SUM($C644:AO644)&gt;0,AN263+1,0),0)</f>
        <v>0</v>
      </c>
      <c r="AP263" s="208">
        <f>IF(AP$2&lt;=AnalysisPeriod,IF(SUM($C644:AP644)&gt;0,AO263+1,0),0)</f>
        <v>0</v>
      </c>
    </row>
    <row r="264" spans="1:42">
      <c r="A264" s="37">
        <f t="shared" si="126"/>
        <v>5</v>
      </c>
      <c r="C264" s="208">
        <f>IF(C$2&lt;=AnalysisPeriod,IF(SUM($C645:C645)&gt;0,B264+1,0),0)</f>
        <v>0</v>
      </c>
      <c r="D264" s="208">
        <f>IF(D$2&lt;=AnalysisPeriod,IF(SUM($C645:D645)&gt;0,C264+1,0),0)</f>
        <v>0</v>
      </c>
      <c r="E264" s="208">
        <f>IF(E$2&lt;=AnalysisPeriod,IF(SUM($C645:E645)&gt;0,D264+1,0),0)</f>
        <v>0</v>
      </c>
      <c r="F264" s="208">
        <f>IF(F$2&lt;=AnalysisPeriod,IF(SUM($C645:F645)&gt;0,E264+1,0),0)</f>
        <v>0</v>
      </c>
      <c r="G264" s="208">
        <f>IF(G$2&lt;=AnalysisPeriod,IF(SUM($C645:G645)&gt;0,F264+1,0),0)</f>
        <v>0</v>
      </c>
      <c r="H264" s="208">
        <f>IF(H$2&lt;=AnalysisPeriod,IF(SUM($C645:H645)&gt;0,G264+1,0),0)</f>
        <v>0</v>
      </c>
      <c r="I264" s="208">
        <f>IF(I$2&lt;=AnalysisPeriod,IF(SUM($C645:I645)&gt;0,H264+1,0),0)</f>
        <v>0</v>
      </c>
      <c r="J264" s="208">
        <f>IF(J$2&lt;=AnalysisPeriod,IF(SUM($C645:J645)&gt;0,I264+1,0),0)</f>
        <v>0</v>
      </c>
      <c r="K264" s="208">
        <f>IF(K$2&lt;=AnalysisPeriod,IF(SUM($C645:K645)&gt;0,J264+1,0),0)</f>
        <v>0</v>
      </c>
      <c r="L264" s="208">
        <f>IF(L$2&lt;=AnalysisPeriod,IF(SUM($C645:L645)&gt;0,K264+1,0),0)</f>
        <v>0</v>
      </c>
      <c r="M264" s="208">
        <f>IF(M$2&lt;=AnalysisPeriod,IF(SUM($C645:M645)&gt;0,L264+1,0),0)</f>
        <v>0</v>
      </c>
      <c r="N264" s="208">
        <f>IF(N$2&lt;=AnalysisPeriod,IF(SUM($C645:N645)&gt;0,M264+1,0),0)</f>
        <v>0</v>
      </c>
      <c r="O264" s="208">
        <f>IF(O$2&lt;=AnalysisPeriod,IF(SUM($C645:O645)&gt;0,N264+1,0),0)</f>
        <v>0</v>
      </c>
      <c r="P264" s="208">
        <f>IF(P$2&lt;=AnalysisPeriod,IF(SUM($C645:P645)&gt;0,O264+1,0),0)</f>
        <v>0</v>
      </c>
      <c r="Q264" s="208">
        <f>IF(Q$2&lt;=AnalysisPeriod,IF(SUM($C645:Q645)&gt;0,P264+1,0),0)</f>
        <v>0</v>
      </c>
      <c r="R264" s="208">
        <f>IF(R$2&lt;=AnalysisPeriod,IF(SUM($C645:R645)&gt;0,Q264+1,0),0)</f>
        <v>0</v>
      </c>
      <c r="S264" s="208">
        <f>IF(S$2&lt;=AnalysisPeriod,IF(SUM($C645:S645)&gt;0,R264+1,0),0)</f>
        <v>0</v>
      </c>
      <c r="T264" s="208">
        <f>IF(T$2&lt;=AnalysisPeriod,IF(SUM($C645:T645)&gt;0,S264+1,0),0)</f>
        <v>0</v>
      </c>
      <c r="U264" s="208">
        <f>IF(U$2&lt;=AnalysisPeriod,IF(SUM($C645:U645)&gt;0,T264+1,0),0)</f>
        <v>0</v>
      </c>
      <c r="V264" s="208">
        <f>IF(V$2&lt;=AnalysisPeriod,IF(SUM($C645:V645)&gt;0,U264+1,0),0)</f>
        <v>0</v>
      </c>
      <c r="W264" s="208">
        <f>IF(W$2&lt;=AnalysisPeriod,IF(SUM($C645:W645)&gt;0,V264+1,0),0)</f>
        <v>0</v>
      </c>
      <c r="X264" s="208">
        <f>IF(X$2&lt;=AnalysisPeriod,IF(SUM($C645:X645)&gt;0,W264+1,0),0)</f>
        <v>0</v>
      </c>
      <c r="Y264" s="208">
        <f>IF(Y$2&lt;=AnalysisPeriod,IF(SUM($C645:Y645)&gt;0,X264+1,0),0)</f>
        <v>0</v>
      </c>
      <c r="Z264" s="208">
        <f>IF(Z$2&lt;=AnalysisPeriod,IF(SUM($C645:Z645)&gt;0,Y264+1,0),0)</f>
        <v>0</v>
      </c>
      <c r="AA264" s="208">
        <f>IF(AA$2&lt;=AnalysisPeriod,IF(SUM($C645:AA645)&gt;0,Z264+1,0),0)</f>
        <v>0</v>
      </c>
      <c r="AB264" s="208">
        <f>IF(AB$2&lt;=AnalysisPeriod,IF(SUM($C645:AB645)&gt;0,AA264+1,0),0)</f>
        <v>0</v>
      </c>
      <c r="AC264" s="208">
        <f>IF(AC$2&lt;=AnalysisPeriod,IF(SUM($C645:AC645)&gt;0,AB264+1,0),0)</f>
        <v>0</v>
      </c>
      <c r="AD264" s="208">
        <f>IF(AD$2&lt;=AnalysisPeriod,IF(SUM($C645:AD645)&gt;0,AC264+1,0),0)</f>
        <v>0</v>
      </c>
      <c r="AE264" s="208">
        <f>IF(AE$2&lt;=AnalysisPeriod,IF(SUM($C645:AE645)&gt;0,AD264+1,0),0)</f>
        <v>0</v>
      </c>
      <c r="AF264" s="208">
        <f>IF(AF$2&lt;=AnalysisPeriod,IF(SUM($C645:AF645)&gt;0,AE264+1,0),0)</f>
        <v>0</v>
      </c>
      <c r="AG264" s="208">
        <f>IF(AG$2&lt;=AnalysisPeriod,IF(SUM($C645:AG645)&gt;0,AF264+1,0),0)</f>
        <v>0</v>
      </c>
      <c r="AH264" s="208">
        <f>IF(AH$2&lt;=AnalysisPeriod,IF(SUM($C645:AH645)&gt;0,AG264+1,0),0)</f>
        <v>0</v>
      </c>
      <c r="AI264" s="208">
        <f>IF(AI$2&lt;=AnalysisPeriod,IF(SUM($C645:AI645)&gt;0,AH264+1,0),0)</f>
        <v>0</v>
      </c>
      <c r="AJ264" s="208">
        <f>IF(AJ$2&lt;=AnalysisPeriod,IF(SUM($C645:AJ645)&gt;0,AI264+1,0),0)</f>
        <v>0</v>
      </c>
      <c r="AK264" s="208">
        <f>IF(AK$2&lt;=AnalysisPeriod,IF(SUM($C645:AK645)&gt;0,AJ264+1,0),0)</f>
        <v>0</v>
      </c>
      <c r="AL264" s="208">
        <f>IF(AL$2&lt;=AnalysisPeriod,IF(SUM($C645:AL645)&gt;0,AK264+1,0),0)</f>
        <v>0</v>
      </c>
      <c r="AM264" s="208">
        <f>IF(AM$2&lt;=AnalysisPeriod,IF(SUM($C645:AM645)&gt;0,AL264+1,0),0)</f>
        <v>0</v>
      </c>
      <c r="AN264" s="208">
        <f>IF(AN$2&lt;=AnalysisPeriod,IF(SUM($C645:AN645)&gt;0,AM264+1,0),0)</f>
        <v>0</v>
      </c>
      <c r="AO264" s="208">
        <f>IF(AO$2&lt;=AnalysisPeriod,IF(SUM($C645:AO645)&gt;0,AN264+1,0),0)</f>
        <v>0</v>
      </c>
      <c r="AP264" s="208">
        <f>IF(AP$2&lt;=AnalysisPeriod,IF(SUM($C645:AP645)&gt;0,AO264+1,0),0)</f>
        <v>0</v>
      </c>
    </row>
    <row r="265" spans="1:42">
      <c r="A265" s="37">
        <f t="shared" si="126"/>
        <v>6</v>
      </c>
      <c r="C265" s="208">
        <f>IF(C$2&lt;=AnalysisPeriod,IF(SUM($C646:C646)&gt;0,B265+1,0),0)</f>
        <v>0</v>
      </c>
      <c r="D265" s="208">
        <f>IF(D$2&lt;=AnalysisPeriod,IF(SUM($C646:D646)&gt;0,C265+1,0),0)</f>
        <v>0</v>
      </c>
      <c r="E265" s="208">
        <f>IF(E$2&lt;=AnalysisPeriod,IF(SUM($C646:E646)&gt;0,D265+1,0),0)</f>
        <v>0</v>
      </c>
      <c r="F265" s="208">
        <f>IF(F$2&lt;=AnalysisPeriod,IF(SUM($C646:F646)&gt;0,E265+1,0),0)</f>
        <v>0</v>
      </c>
      <c r="G265" s="208">
        <f>IF(G$2&lt;=AnalysisPeriod,IF(SUM($C646:G646)&gt;0,F265+1,0),0)</f>
        <v>0</v>
      </c>
      <c r="H265" s="208">
        <f>IF(H$2&lt;=AnalysisPeriod,IF(SUM($C646:H646)&gt;0,G265+1,0),0)</f>
        <v>0</v>
      </c>
      <c r="I265" s="208">
        <f>IF(I$2&lt;=AnalysisPeriod,IF(SUM($C646:I646)&gt;0,H265+1,0),0)</f>
        <v>0</v>
      </c>
      <c r="J265" s="208">
        <f>IF(J$2&lt;=AnalysisPeriod,IF(SUM($C646:J646)&gt;0,I265+1,0),0)</f>
        <v>0</v>
      </c>
      <c r="K265" s="208">
        <f>IF(K$2&lt;=AnalysisPeriod,IF(SUM($C646:K646)&gt;0,J265+1,0),0)</f>
        <v>0</v>
      </c>
      <c r="L265" s="208">
        <f>IF(L$2&lt;=AnalysisPeriod,IF(SUM($C646:L646)&gt;0,K265+1,0),0)</f>
        <v>0</v>
      </c>
      <c r="M265" s="208">
        <f>IF(M$2&lt;=AnalysisPeriod,IF(SUM($C646:M646)&gt;0,L265+1,0),0)</f>
        <v>0</v>
      </c>
      <c r="N265" s="208">
        <f>IF(N$2&lt;=AnalysisPeriod,IF(SUM($C646:N646)&gt;0,M265+1,0),0)</f>
        <v>0</v>
      </c>
      <c r="O265" s="208">
        <f>IF(O$2&lt;=AnalysisPeriod,IF(SUM($C646:O646)&gt;0,N265+1,0),0)</f>
        <v>0</v>
      </c>
      <c r="P265" s="208">
        <f>IF(P$2&lt;=AnalysisPeriod,IF(SUM($C646:P646)&gt;0,O265+1,0),0)</f>
        <v>0</v>
      </c>
      <c r="Q265" s="208">
        <f>IF(Q$2&lt;=AnalysisPeriod,IF(SUM($C646:Q646)&gt;0,P265+1,0),0)</f>
        <v>0</v>
      </c>
      <c r="R265" s="208">
        <f>IF(R$2&lt;=AnalysisPeriod,IF(SUM($C646:R646)&gt;0,Q265+1,0),0)</f>
        <v>0</v>
      </c>
      <c r="S265" s="208">
        <f>IF(S$2&lt;=AnalysisPeriod,IF(SUM($C646:S646)&gt;0,R265+1,0),0)</f>
        <v>0</v>
      </c>
      <c r="T265" s="208">
        <f>IF(T$2&lt;=AnalysisPeriod,IF(SUM($C646:T646)&gt;0,S265+1,0),0)</f>
        <v>0</v>
      </c>
      <c r="U265" s="208">
        <f>IF(U$2&lt;=AnalysisPeriod,IF(SUM($C646:U646)&gt;0,T265+1,0),0)</f>
        <v>0</v>
      </c>
      <c r="V265" s="208">
        <f>IF(V$2&lt;=AnalysisPeriod,IF(SUM($C646:V646)&gt;0,U265+1,0),0)</f>
        <v>0</v>
      </c>
      <c r="W265" s="208">
        <f>IF(W$2&lt;=AnalysisPeriod,IF(SUM($C646:W646)&gt;0,V265+1,0),0)</f>
        <v>0</v>
      </c>
      <c r="X265" s="208">
        <f>IF(X$2&lt;=AnalysisPeriod,IF(SUM($C646:X646)&gt;0,W265+1,0),0)</f>
        <v>0</v>
      </c>
      <c r="Y265" s="208">
        <f>IF(Y$2&lt;=AnalysisPeriod,IF(SUM($C646:Y646)&gt;0,X265+1,0),0)</f>
        <v>0</v>
      </c>
      <c r="Z265" s="208">
        <f>IF(Z$2&lt;=AnalysisPeriod,IF(SUM($C646:Z646)&gt;0,Y265+1,0),0)</f>
        <v>0</v>
      </c>
      <c r="AA265" s="208">
        <f>IF(AA$2&lt;=AnalysisPeriod,IF(SUM($C646:AA646)&gt;0,Z265+1,0),0)</f>
        <v>0</v>
      </c>
      <c r="AB265" s="208">
        <f>IF(AB$2&lt;=AnalysisPeriod,IF(SUM($C646:AB646)&gt;0,AA265+1,0),0)</f>
        <v>0</v>
      </c>
      <c r="AC265" s="208">
        <f>IF(AC$2&lt;=AnalysisPeriod,IF(SUM($C646:AC646)&gt;0,AB265+1,0),0)</f>
        <v>0</v>
      </c>
      <c r="AD265" s="208">
        <f>IF(AD$2&lt;=AnalysisPeriod,IF(SUM($C646:AD646)&gt;0,AC265+1,0),0)</f>
        <v>0</v>
      </c>
      <c r="AE265" s="208">
        <f>IF(AE$2&lt;=AnalysisPeriod,IF(SUM($C646:AE646)&gt;0,AD265+1,0),0)</f>
        <v>0</v>
      </c>
      <c r="AF265" s="208">
        <f>IF(AF$2&lt;=AnalysisPeriod,IF(SUM($C646:AF646)&gt;0,AE265+1,0),0)</f>
        <v>0</v>
      </c>
      <c r="AG265" s="208">
        <f>IF(AG$2&lt;=AnalysisPeriod,IF(SUM($C646:AG646)&gt;0,AF265+1,0),0)</f>
        <v>0</v>
      </c>
      <c r="AH265" s="208">
        <f>IF(AH$2&lt;=AnalysisPeriod,IF(SUM($C646:AH646)&gt;0,AG265+1,0),0)</f>
        <v>0</v>
      </c>
      <c r="AI265" s="208">
        <f>IF(AI$2&lt;=AnalysisPeriod,IF(SUM($C646:AI646)&gt;0,AH265+1,0),0)</f>
        <v>0</v>
      </c>
      <c r="AJ265" s="208">
        <f>IF(AJ$2&lt;=AnalysisPeriod,IF(SUM($C646:AJ646)&gt;0,AI265+1,0),0)</f>
        <v>0</v>
      </c>
      <c r="AK265" s="208">
        <f>IF(AK$2&lt;=AnalysisPeriod,IF(SUM($C646:AK646)&gt;0,AJ265+1,0),0)</f>
        <v>0</v>
      </c>
      <c r="AL265" s="208">
        <f>IF(AL$2&lt;=AnalysisPeriod,IF(SUM($C646:AL646)&gt;0,AK265+1,0),0)</f>
        <v>0</v>
      </c>
      <c r="AM265" s="208">
        <f>IF(AM$2&lt;=AnalysisPeriod,IF(SUM($C646:AM646)&gt;0,AL265+1,0),0)</f>
        <v>0</v>
      </c>
      <c r="AN265" s="208">
        <f>IF(AN$2&lt;=AnalysisPeriod,IF(SUM($C646:AN646)&gt;0,AM265+1,0),0)</f>
        <v>0</v>
      </c>
      <c r="AO265" s="208">
        <f>IF(AO$2&lt;=AnalysisPeriod,IF(SUM($C646:AO646)&gt;0,AN265+1,0),0)</f>
        <v>0</v>
      </c>
      <c r="AP265" s="208">
        <f>IF(AP$2&lt;=AnalysisPeriod,IF(SUM($C646:AP646)&gt;0,AO265+1,0),0)</f>
        <v>0</v>
      </c>
    </row>
    <row r="266" spans="1:42">
      <c r="A266" s="37">
        <f t="shared" si="126"/>
        <v>7</v>
      </c>
      <c r="C266" s="208">
        <f>IF(C$2&lt;=AnalysisPeriod,IF(SUM($C647:C647)&gt;0,B266+1,0),0)</f>
        <v>0</v>
      </c>
      <c r="D266" s="208">
        <f>IF(D$2&lt;=AnalysisPeriod,IF(SUM($C647:D647)&gt;0,C266+1,0),0)</f>
        <v>0</v>
      </c>
      <c r="E266" s="208">
        <f>IF(E$2&lt;=AnalysisPeriod,IF(SUM($C647:E647)&gt;0,D266+1,0),0)</f>
        <v>0</v>
      </c>
      <c r="F266" s="208">
        <f>IF(F$2&lt;=AnalysisPeriod,IF(SUM($C647:F647)&gt;0,E266+1,0),0)</f>
        <v>0</v>
      </c>
      <c r="G266" s="208">
        <f>IF(G$2&lt;=AnalysisPeriod,IF(SUM($C647:G647)&gt;0,F266+1,0),0)</f>
        <v>0</v>
      </c>
      <c r="H266" s="208">
        <f>IF(H$2&lt;=AnalysisPeriod,IF(SUM($C647:H647)&gt;0,G266+1,0),0)</f>
        <v>0</v>
      </c>
      <c r="I266" s="208">
        <f>IF(I$2&lt;=AnalysisPeriod,IF(SUM($C647:I647)&gt;0,H266+1,0),0)</f>
        <v>0</v>
      </c>
      <c r="J266" s="208">
        <f>IF(J$2&lt;=AnalysisPeriod,IF(SUM($C647:J647)&gt;0,I266+1,0),0)</f>
        <v>0</v>
      </c>
      <c r="K266" s="208">
        <f>IF(K$2&lt;=AnalysisPeriod,IF(SUM($C647:K647)&gt;0,J266+1,0),0)</f>
        <v>0</v>
      </c>
      <c r="L266" s="208">
        <f>IF(L$2&lt;=AnalysisPeriod,IF(SUM($C647:L647)&gt;0,K266+1,0),0)</f>
        <v>0</v>
      </c>
      <c r="M266" s="208">
        <f>IF(M$2&lt;=AnalysisPeriod,IF(SUM($C647:M647)&gt;0,L266+1,0),0)</f>
        <v>0</v>
      </c>
      <c r="N266" s="208">
        <f>IF(N$2&lt;=AnalysisPeriod,IF(SUM($C647:N647)&gt;0,M266+1,0),0)</f>
        <v>0</v>
      </c>
      <c r="O266" s="208">
        <f>IF(O$2&lt;=AnalysisPeriod,IF(SUM($C647:O647)&gt;0,N266+1,0),0)</f>
        <v>0</v>
      </c>
      <c r="P266" s="208">
        <f>IF(P$2&lt;=AnalysisPeriod,IF(SUM($C647:P647)&gt;0,O266+1,0),0)</f>
        <v>0</v>
      </c>
      <c r="Q266" s="208">
        <f>IF(Q$2&lt;=AnalysisPeriod,IF(SUM($C647:Q647)&gt;0,P266+1,0),0)</f>
        <v>0</v>
      </c>
      <c r="R266" s="208">
        <f>IF(R$2&lt;=AnalysisPeriod,IF(SUM($C647:R647)&gt;0,Q266+1,0),0)</f>
        <v>0</v>
      </c>
      <c r="S266" s="208">
        <f>IF(S$2&lt;=AnalysisPeriod,IF(SUM($C647:S647)&gt;0,R266+1,0),0)</f>
        <v>0</v>
      </c>
      <c r="T266" s="208">
        <f>IF(T$2&lt;=AnalysisPeriod,IF(SUM($C647:T647)&gt;0,S266+1,0),0)</f>
        <v>0</v>
      </c>
      <c r="U266" s="208">
        <f>IF(U$2&lt;=AnalysisPeriod,IF(SUM($C647:U647)&gt;0,T266+1,0),0)</f>
        <v>0</v>
      </c>
      <c r="V266" s="208">
        <f>IF(V$2&lt;=AnalysisPeriod,IF(SUM($C647:V647)&gt;0,U266+1,0),0)</f>
        <v>0</v>
      </c>
      <c r="W266" s="208">
        <f>IF(W$2&lt;=AnalysisPeriod,IF(SUM($C647:W647)&gt;0,V266+1,0),0)</f>
        <v>0</v>
      </c>
      <c r="X266" s="208">
        <f>IF(X$2&lt;=AnalysisPeriod,IF(SUM($C647:X647)&gt;0,W266+1,0),0)</f>
        <v>0</v>
      </c>
      <c r="Y266" s="208">
        <f>IF(Y$2&lt;=AnalysisPeriod,IF(SUM($C647:Y647)&gt;0,X266+1,0),0)</f>
        <v>0</v>
      </c>
      <c r="Z266" s="208">
        <f>IF(Z$2&lt;=AnalysisPeriod,IF(SUM($C647:Z647)&gt;0,Y266+1,0),0)</f>
        <v>0</v>
      </c>
      <c r="AA266" s="208">
        <f>IF(AA$2&lt;=AnalysisPeriod,IF(SUM($C647:AA647)&gt;0,Z266+1,0),0)</f>
        <v>0</v>
      </c>
      <c r="AB266" s="208">
        <f>IF(AB$2&lt;=AnalysisPeriod,IF(SUM($C647:AB647)&gt;0,AA266+1,0),0)</f>
        <v>0</v>
      </c>
      <c r="AC266" s="208">
        <f>IF(AC$2&lt;=AnalysisPeriod,IF(SUM($C647:AC647)&gt;0,AB266+1,0),0)</f>
        <v>0</v>
      </c>
      <c r="AD266" s="208">
        <f>IF(AD$2&lt;=AnalysisPeriod,IF(SUM($C647:AD647)&gt;0,AC266+1,0),0)</f>
        <v>0</v>
      </c>
      <c r="AE266" s="208">
        <f>IF(AE$2&lt;=AnalysisPeriod,IF(SUM($C647:AE647)&gt;0,AD266+1,0),0)</f>
        <v>0</v>
      </c>
      <c r="AF266" s="208">
        <f>IF(AF$2&lt;=AnalysisPeriod,IF(SUM($C647:AF647)&gt;0,AE266+1,0),0)</f>
        <v>0</v>
      </c>
      <c r="AG266" s="208">
        <f>IF(AG$2&lt;=AnalysisPeriod,IF(SUM($C647:AG647)&gt;0,AF266+1,0),0)</f>
        <v>0</v>
      </c>
      <c r="AH266" s="208">
        <f>IF(AH$2&lt;=AnalysisPeriod,IF(SUM($C647:AH647)&gt;0,AG266+1,0),0)</f>
        <v>0</v>
      </c>
      <c r="AI266" s="208">
        <f>IF(AI$2&lt;=AnalysisPeriod,IF(SUM($C647:AI647)&gt;0,AH266+1,0),0)</f>
        <v>0</v>
      </c>
      <c r="AJ266" s="208">
        <f>IF(AJ$2&lt;=AnalysisPeriod,IF(SUM($C647:AJ647)&gt;0,AI266+1,0),0)</f>
        <v>0</v>
      </c>
      <c r="AK266" s="208">
        <f>IF(AK$2&lt;=AnalysisPeriod,IF(SUM($C647:AK647)&gt;0,AJ266+1,0),0)</f>
        <v>0</v>
      </c>
      <c r="AL266" s="208">
        <f>IF(AL$2&lt;=AnalysisPeriod,IF(SUM($C647:AL647)&gt;0,AK266+1,0),0)</f>
        <v>0</v>
      </c>
      <c r="AM266" s="208">
        <f>IF(AM$2&lt;=AnalysisPeriod,IF(SUM($C647:AM647)&gt;0,AL266+1,0),0)</f>
        <v>0</v>
      </c>
      <c r="AN266" s="208">
        <f>IF(AN$2&lt;=AnalysisPeriod,IF(SUM($C647:AN647)&gt;0,AM266+1,0),0)</f>
        <v>0</v>
      </c>
      <c r="AO266" s="208">
        <f>IF(AO$2&lt;=AnalysisPeriod,IF(SUM($C647:AO647)&gt;0,AN266+1,0),0)</f>
        <v>0</v>
      </c>
      <c r="AP266" s="208">
        <f>IF(AP$2&lt;=AnalysisPeriod,IF(SUM($C647:AP647)&gt;0,AO266+1,0),0)</f>
        <v>0</v>
      </c>
    </row>
    <row r="267" spans="1:42">
      <c r="A267" s="37">
        <f t="shared" si="126"/>
        <v>8</v>
      </c>
      <c r="C267" s="208">
        <f>IF(C$2&lt;=AnalysisPeriod,IF(SUM($C648:C648)&gt;0,B267+1,0),0)</f>
        <v>0</v>
      </c>
      <c r="D267" s="208">
        <f>IF(D$2&lt;=AnalysisPeriod,IF(SUM($C648:D648)&gt;0,C267+1,0),0)</f>
        <v>0</v>
      </c>
      <c r="E267" s="208">
        <f>IF(E$2&lt;=AnalysisPeriod,IF(SUM($C648:E648)&gt;0,D267+1,0),0)</f>
        <v>0</v>
      </c>
      <c r="F267" s="208">
        <f>IF(F$2&lt;=AnalysisPeriod,IF(SUM($C648:F648)&gt;0,E267+1,0),0)</f>
        <v>0</v>
      </c>
      <c r="G267" s="208">
        <f>IF(G$2&lt;=AnalysisPeriod,IF(SUM($C648:G648)&gt;0,F267+1,0),0)</f>
        <v>0</v>
      </c>
      <c r="H267" s="208">
        <f>IF(H$2&lt;=AnalysisPeriod,IF(SUM($C648:H648)&gt;0,G267+1,0),0)</f>
        <v>0</v>
      </c>
      <c r="I267" s="208">
        <f>IF(I$2&lt;=AnalysisPeriod,IF(SUM($C648:I648)&gt;0,H267+1,0),0)</f>
        <v>0</v>
      </c>
      <c r="J267" s="208">
        <f>IF(J$2&lt;=AnalysisPeriod,IF(SUM($C648:J648)&gt;0,I267+1,0),0)</f>
        <v>0</v>
      </c>
      <c r="K267" s="208">
        <f>IF(K$2&lt;=AnalysisPeriod,IF(SUM($C648:K648)&gt;0,J267+1,0),0)</f>
        <v>0</v>
      </c>
      <c r="L267" s="208">
        <f>IF(L$2&lt;=AnalysisPeriod,IF(SUM($C648:L648)&gt;0,K267+1,0),0)</f>
        <v>0</v>
      </c>
      <c r="M267" s="208">
        <f>IF(M$2&lt;=AnalysisPeriod,IF(SUM($C648:M648)&gt;0,L267+1,0),0)</f>
        <v>0</v>
      </c>
      <c r="N267" s="208">
        <f>IF(N$2&lt;=AnalysisPeriod,IF(SUM($C648:N648)&gt;0,M267+1,0),0)</f>
        <v>0</v>
      </c>
      <c r="O267" s="208">
        <f>IF(O$2&lt;=AnalysisPeriod,IF(SUM($C648:O648)&gt;0,N267+1,0),0)</f>
        <v>0</v>
      </c>
      <c r="P267" s="208">
        <f>IF(P$2&lt;=AnalysisPeriod,IF(SUM($C648:P648)&gt;0,O267+1,0),0)</f>
        <v>0</v>
      </c>
      <c r="Q267" s="208">
        <f>IF(Q$2&lt;=AnalysisPeriod,IF(SUM($C648:Q648)&gt;0,P267+1,0),0)</f>
        <v>0</v>
      </c>
      <c r="R267" s="208">
        <f>IF(R$2&lt;=AnalysisPeriod,IF(SUM($C648:R648)&gt;0,Q267+1,0),0)</f>
        <v>0</v>
      </c>
      <c r="S267" s="208">
        <f>IF(S$2&lt;=AnalysisPeriod,IF(SUM($C648:S648)&gt;0,R267+1,0),0)</f>
        <v>0</v>
      </c>
      <c r="T267" s="208">
        <f>IF(T$2&lt;=AnalysisPeriod,IF(SUM($C648:T648)&gt;0,S267+1,0),0)</f>
        <v>0</v>
      </c>
      <c r="U267" s="208">
        <f>IF(U$2&lt;=AnalysisPeriod,IF(SUM($C648:U648)&gt;0,T267+1,0),0)</f>
        <v>0</v>
      </c>
      <c r="V267" s="208">
        <f>IF(V$2&lt;=AnalysisPeriod,IF(SUM($C648:V648)&gt;0,U267+1,0),0)</f>
        <v>0</v>
      </c>
      <c r="W267" s="208">
        <f>IF(W$2&lt;=AnalysisPeriod,IF(SUM($C648:W648)&gt;0,V267+1,0),0)</f>
        <v>0</v>
      </c>
      <c r="X267" s="208">
        <f>IF(X$2&lt;=AnalysisPeriod,IF(SUM($C648:X648)&gt;0,W267+1,0),0)</f>
        <v>0</v>
      </c>
      <c r="Y267" s="208">
        <f>IF(Y$2&lt;=AnalysisPeriod,IF(SUM($C648:Y648)&gt;0,X267+1,0),0)</f>
        <v>0</v>
      </c>
      <c r="Z267" s="208">
        <f>IF(Z$2&lt;=AnalysisPeriod,IF(SUM($C648:Z648)&gt;0,Y267+1,0),0)</f>
        <v>0</v>
      </c>
      <c r="AA267" s="208">
        <f>IF(AA$2&lt;=AnalysisPeriod,IF(SUM($C648:AA648)&gt;0,Z267+1,0),0)</f>
        <v>0</v>
      </c>
      <c r="AB267" s="208">
        <f>IF(AB$2&lt;=AnalysisPeriod,IF(SUM($C648:AB648)&gt;0,AA267+1,0),0)</f>
        <v>0</v>
      </c>
      <c r="AC267" s="208">
        <f>IF(AC$2&lt;=AnalysisPeriod,IF(SUM($C648:AC648)&gt;0,AB267+1,0),0)</f>
        <v>0</v>
      </c>
      <c r="AD267" s="208">
        <f>IF(AD$2&lt;=AnalysisPeriod,IF(SUM($C648:AD648)&gt;0,AC267+1,0),0)</f>
        <v>0</v>
      </c>
      <c r="AE267" s="208">
        <f>IF(AE$2&lt;=AnalysisPeriod,IF(SUM($C648:AE648)&gt;0,AD267+1,0),0)</f>
        <v>0</v>
      </c>
      <c r="AF267" s="208">
        <f>IF(AF$2&lt;=AnalysisPeriod,IF(SUM($C648:AF648)&gt;0,AE267+1,0),0)</f>
        <v>0</v>
      </c>
      <c r="AG267" s="208">
        <f>IF(AG$2&lt;=AnalysisPeriod,IF(SUM($C648:AG648)&gt;0,AF267+1,0),0)</f>
        <v>0</v>
      </c>
      <c r="AH267" s="208">
        <f>IF(AH$2&lt;=AnalysisPeriod,IF(SUM($C648:AH648)&gt;0,AG267+1,0),0)</f>
        <v>0</v>
      </c>
      <c r="AI267" s="208">
        <f>IF(AI$2&lt;=AnalysisPeriod,IF(SUM($C648:AI648)&gt;0,AH267+1,0),0)</f>
        <v>0</v>
      </c>
      <c r="AJ267" s="208">
        <f>IF(AJ$2&lt;=AnalysisPeriod,IF(SUM($C648:AJ648)&gt;0,AI267+1,0),0)</f>
        <v>0</v>
      </c>
      <c r="AK267" s="208">
        <f>IF(AK$2&lt;=AnalysisPeriod,IF(SUM($C648:AK648)&gt;0,AJ267+1,0),0)</f>
        <v>0</v>
      </c>
      <c r="AL267" s="208">
        <f>IF(AL$2&lt;=AnalysisPeriod,IF(SUM($C648:AL648)&gt;0,AK267+1,0),0)</f>
        <v>0</v>
      </c>
      <c r="AM267" s="208">
        <f>IF(AM$2&lt;=AnalysisPeriod,IF(SUM($C648:AM648)&gt;0,AL267+1,0),0)</f>
        <v>0</v>
      </c>
      <c r="AN267" s="208">
        <f>IF(AN$2&lt;=AnalysisPeriod,IF(SUM($C648:AN648)&gt;0,AM267+1,0),0)</f>
        <v>0</v>
      </c>
      <c r="AO267" s="208">
        <f>IF(AO$2&lt;=AnalysisPeriod,IF(SUM($C648:AO648)&gt;0,AN267+1,0),0)</f>
        <v>0</v>
      </c>
      <c r="AP267" s="208">
        <f>IF(AP$2&lt;=AnalysisPeriod,IF(SUM($C648:AP648)&gt;0,AO267+1,0),0)</f>
        <v>0</v>
      </c>
    </row>
    <row r="268" spans="1:42">
      <c r="A268" s="37">
        <f>A267+1</f>
        <v>9</v>
      </c>
      <c r="C268" s="208">
        <f>IF(C$2&lt;=AnalysisPeriod,IF(SUM($C649:C649)&gt;0,B268+1,0),0)</f>
        <v>0</v>
      </c>
      <c r="D268" s="208">
        <f>IF(D$2&lt;=AnalysisPeriod,IF(SUM($C649:D649)&gt;0,C268+1,0),0)</f>
        <v>0</v>
      </c>
      <c r="E268" s="208">
        <f>IF(E$2&lt;=AnalysisPeriod,IF(SUM($C649:E649)&gt;0,D268+1,0),0)</f>
        <v>0</v>
      </c>
      <c r="F268" s="208">
        <f>IF(F$2&lt;=AnalysisPeriod,IF(SUM($C649:F649)&gt;0,E268+1,0),0)</f>
        <v>0</v>
      </c>
      <c r="G268" s="208">
        <f>IF(G$2&lt;=AnalysisPeriod,IF(SUM($C649:G649)&gt;0,F268+1,0),0)</f>
        <v>0</v>
      </c>
      <c r="H268" s="208">
        <f>IF(H$2&lt;=AnalysisPeriod,IF(SUM($C649:H649)&gt;0,G268+1,0),0)</f>
        <v>0</v>
      </c>
      <c r="I268" s="208">
        <f>IF(I$2&lt;=AnalysisPeriod,IF(SUM($C649:I649)&gt;0,H268+1,0),0)</f>
        <v>0</v>
      </c>
      <c r="J268" s="208">
        <f>IF(J$2&lt;=AnalysisPeriod,IF(SUM($C649:J649)&gt;0,I268+1,0),0)</f>
        <v>0</v>
      </c>
      <c r="K268" s="208">
        <f>IF(K$2&lt;=AnalysisPeriod,IF(SUM($C649:K649)&gt;0,J268+1,0),0)</f>
        <v>0</v>
      </c>
      <c r="L268" s="208">
        <f>IF(L$2&lt;=AnalysisPeriod,IF(SUM($C649:L649)&gt;0,K268+1,0),0)</f>
        <v>0</v>
      </c>
      <c r="M268" s="208">
        <f>IF(M$2&lt;=AnalysisPeriod,IF(SUM($C649:M649)&gt;0,L268+1,0),0)</f>
        <v>0</v>
      </c>
      <c r="N268" s="208">
        <f>IF(N$2&lt;=AnalysisPeriod,IF(SUM($C649:N649)&gt;0,M268+1,0),0)</f>
        <v>0</v>
      </c>
      <c r="O268" s="208">
        <f>IF(O$2&lt;=AnalysisPeriod,IF(SUM($C649:O649)&gt;0,N268+1,0),0)</f>
        <v>0</v>
      </c>
      <c r="P268" s="208">
        <f>IF(P$2&lt;=AnalysisPeriod,IF(SUM($C649:P649)&gt;0,O268+1,0),0)</f>
        <v>0</v>
      </c>
      <c r="Q268" s="208">
        <f>IF(Q$2&lt;=AnalysisPeriod,IF(SUM($C649:Q649)&gt;0,P268+1,0),0)</f>
        <v>0</v>
      </c>
      <c r="R268" s="208">
        <f>IF(R$2&lt;=AnalysisPeriod,IF(SUM($C649:R649)&gt;0,Q268+1,0),0)</f>
        <v>0</v>
      </c>
      <c r="S268" s="208">
        <f>IF(S$2&lt;=AnalysisPeriod,IF(SUM($C649:S649)&gt;0,R268+1,0),0)</f>
        <v>0</v>
      </c>
      <c r="T268" s="208">
        <f>IF(T$2&lt;=AnalysisPeriod,IF(SUM($C649:T649)&gt;0,S268+1,0),0)</f>
        <v>0</v>
      </c>
      <c r="U268" s="208">
        <f>IF(U$2&lt;=AnalysisPeriod,IF(SUM($C649:U649)&gt;0,T268+1,0),0)</f>
        <v>0</v>
      </c>
      <c r="V268" s="208">
        <f>IF(V$2&lt;=AnalysisPeriod,IF(SUM($C649:V649)&gt;0,U268+1,0),0)</f>
        <v>0</v>
      </c>
      <c r="W268" s="208">
        <f>IF(W$2&lt;=AnalysisPeriod,IF(SUM($C649:W649)&gt;0,V268+1,0),0)</f>
        <v>0</v>
      </c>
      <c r="X268" s="208">
        <f>IF(X$2&lt;=AnalysisPeriod,IF(SUM($C649:X649)&gt;0,W268+1,0),0)</f>
        <v>0</v>
      </c>
      <c r="Y268" s="208">
        <f>IF(Y$2&lt;=AnalysisPeriod,IF(SUM($C649:Y649)&gt;0,X268+1,0),0)</f>
        <v>0</v>
      </c>
      <c r="Z268" s="208">
        <f>IF(Z$2&lt;=AnalysisPeriod,IF(SUM($C649:Z649)&gt;0,Y268+1,0),0)</f>
        <v>0</v>
      </c>
      <c r="AA268" s="208">
        <f>IF(AA$2&lt;=AnalysisPeriod,IF(SUM($C649:AA649)&gt;0,Z268+1,0),0)</f>
        <v>0</v>
      </c>
      <c r="AB268" s="208">
        <f>IF(AB$2&lt;=AnalysisPeriod,IF(SUM($C649:AB649)&gt;0,AA268+1,0),0)</f>
        <v>0</v>
      </c>
      <c r="AC268" s="208">
        <f>IF(AC$2&lt;=AnalysisPeriod,IF(SUM($C649:AC649)&gt;0,AB268+1,0),0)</f>
        <v>0</v>
      </c>
      <c r="AD268" s="208">
        <f>IF(AD$2&lt;=AnalysisPeriod,IF(SUM($C649:AD649)&gt;0,AC268+1,0),0)</f>
        <v>0</v>
      </c>
      <c r="AE268" s="208">
        <f>IF(AE$2&lt;=AnalysisPeriod,IF(SUM($C649:AE649)&gt;0,AD268+1,0),0)</f>
        <v>0</v>
      </c>
      <c r="AF268" s="208">
        <f>IF(AF$2&lt;=AnalysisPeriod,IF(SUM($C649:AF649)&gt;0,AE268+1,0),0)</f>
        <v>0</v>
      </c>
      <c r="AG268" s="208">
        <f>IF(AG$2&lt;=AnalysisPeriod,IF(SUM($C649:AG649)&gt;0,AF268+1,0),0)</f>
        <v>0</v>
      </c>
      <c r="AH268" s="208">
        <f>IF(AH$2&lt;=AnalysisPeriod,IF(SUM($C649:AH649)&gt;0,AG268+1,0),0)</f>
        <v>0</v>
      </c>
      <c r="AI268" s="208">
        <f>IF(AI$2&lt;=AnalysisPeriod,IF(SUM($C649:AI649)&gt;0,AH268+1,0),0)</f>
        <v>0</v>
      </c>
      <c r="AJ268" s="208">
        <f>IF(AJ$2&lt;=AnalysisPeriod,IF(SUM($C649:AJ649)&gt;0,AI268+1,0),0)</f>
        <v>0</v>
      </c>
      <c r="AK268" s="208">
        <f>IF(AK$2&lt;=AnalysisPeriod,IF(SUM($C649:AK649)&gt;0,AJ268+1,0),0)</f>
        <v>0</v>
      </c>
      <c r="AL268" s="208">
        <f>IF(AL$2&lt;=AnalysisPeriod,IF(SUM($C649:AL649)&gt;0,AK268+1,0),0)</f>
        <v>0</v>
      </c>
      <c r="AM268" s="208">
        <f>IF(AM$2&lt;=AnalysisPeriod,IF(SUM($C649:AM649)&gt;0,AL268+1,0),0)</f>
        <v>0</v>
      </c>
      <c r="AN268" s="208">
        <f>IF(AN$2&lt;=AnalysisPeriod,IF(SUM($C649:AN649)&gt;0,AM268+1,0),0)</f>
        <v>0</v>
      </c>
      <c r="AO268" s="208">
        <f>IF(AO$2&lt;=AnalysisPeriod,IF(SUM($C649:AO649)&gt;0,AN268+1,0),0)</f>
        <v>0</v>
      </c>
      <c r="AP268" s="208">
        <f>IF(AP$2&lt;=AnalysisPeriod,IF(SUM($C649:AP649)&gt;0,AO268+1,0),0)</f>
        <v>0</v>
      </c>
    </row>
    <row r="269" spans="1:42">
      <c r="A269" s="37">
        <f t="shared" si="126"/>
        <v>10</v>
      </c>
      <c r="C269" s="208">
        <f>IF(C$2&lt;=AnalysisPeriod,IF(SUM($C650:C650)&gt;0,B269+1,0),0)</f>
        <v>0</v>
      </c>
      <c r="D269" s="208">
        <f>IF(D$2&lt;=AnalysisPeriod,IF(SUM($C650:D650)&gt;0,C269+1,0),0)</f>
        <v>0</v>
      </c>
      <c r="E269" s="208">
        <f>IF(E$2&lt;=AnalysisPeriod,IF(SUM($C650:E650)&gt;0,D269+1,0),0)</f>
        <v>0</v>
      </c>
      <c r="F269" s="208">
        <f>IF(F$2&lt;=AnalysisPeriod,IF(SUM($C650:F650)&gt;0,E269+1,0),0)</f>
        <v>0</v>
      </c>
      <c r="G269" s="208">
        <f>IF(G$2&lt;=AnalysisPeriod,IF(SUM($C650:G650)&gt;0,F269+1,0),0)</f>
        <v>0</v>
      </c>
      <c r="H269" s="208">
        <f>IF(H$2&lt;=AnalysisPeriod,IF(SUM($C650:H650)&gt;0,G269+1,0),0)</f>
        <v>0</v>
      </c>
      <c r="I269" s="208">
        <f>IF(I$2&lt;=AnalysisPeriod,IF(SUM($C650:I650)&gt;0,H269+1,0),0)</f>
        <v>0</v>
      </c>
      <c r="J269" s="208">
        <f>IF(J$2&lt;=AnalysisPeriod,IF(SUM($C650:J650)&gt;0,I269+1,0),0)</f>
        <v>0</v>
      </c>
      <c r="K269" s="208">
        <f>IF(K$2&lt;=AnalysisPeriod,IF(SUM($C650:K650)&gt;0,J269+1,0),0)</f>
        <v>0</v>
      </c>
      <c r="L269" s="208">
        <f>IF(L$2&lt;=AnalysisPeriod,IF(SUM($C650:L650)&gt;0,K269+1,0),0)</f>
        <v>0</v>
      </c>
      <c r="M269" s="208">
        <f>IF(M$2&lt;=AnalysisPeriod,IF(SUM($C650:M650)&gt;0,L269+1,0),0)</f>
        <v>0</v>
      </c>
      <c r="N269" s="208">
        <f>IF(N$2&lt;=AnalysisPeriod,IF(SUM($C650:N650)&gt;0,M269+1,0),0)</f>
        <v>0</v>
      </c>
      <c r="O269" s="208">
        <f>IF(O$2&lt;=AnalysisPeriod,IF(SUM($C650:O650)&gt;0,N269+1,0),0)</f>
        <v>0</v>
      </c>
      <c r="P269" s="208">
        <f>IF(P$2&lt;=AnalysisPeriod,IF(SUM($C650:P650)&gt;0,O269+1,0),0)</f>
        <v>0</v>
      </c>
      <c r="Q269" s="208">
        <f>IF(Q$2&lt;=AnalysisPeriod,IF(SUM($C650:Q650)&gt;0,P269+1,0),0)</f>
        <v>0</v>
      </c>
      <c r="R269" s="208">
        <f>IF(R$2&lt;=AnalysisPeriod,IF(SUM($C650:R650)&gt;0,Q269+1,0),0)</f>
        <v>0</v>
      </c>
      <c r="S269" s="208">
        <f>IF(S$2&lt;=AnalysisPeriod,IF(SUM($C650:S650)&gt;0,R269+1,0),0)</f>
        <v>0</v>
      </c>
      <c r="T269" s="208">
        <f>IF(T$2&lt;=AnalysisPeriod,IF(SUM($C650:T650)&gt;0,S269+1,0),0)</f>
        <v>0</v>
      </c>
      <c r="U269" s="208">
        <f>IF(U$2&lt;=AnalysisPeriod,IF(SUM($C650:U650)&gt;0,T269+1,0),0)</f>
        <v>0</v>
      </c>
      <c r="V269" s="208">
        <f>IF(V$2&lt;=AnalysisPeriod,IF(SUM($C650:V650)&gt;0,U269+1,0),0)</f>
        <v>0</v>
      </c>
      <c r="W269" s="208">
        <f>IF(W$2&lt;=AnalysisPeriod,IF(SUM($C650:W650)&gt;0,V269+1,0),0)</f>
        <v>0</v>
      </c>
      <c r="X269" s="208">
        <f>IF(X$2&lt;=AnalysisPeriod,IF(SUM($C650:X650)&gt;0,W269+1,0),0)</f>
        <v>0</v>
      </c>
      <c r="Y269" s="208">
        <f>IF(Y$2&lt;=AnalysisPeriod,IF(SUM($C650:Y650)&gt;0,X269+1,0),0)</f>
        <v>0</v>
      </c>
      <c r="Z269" s="208">
        <f>IF(Z$2&lt;=AnalysisPeriod,IF(SUM($C650:Z650)&gt;0,Y269+1,0),0)</f>
        <v>0</v>
      </c>
      <c r="AA269" s="208">
        <f>IF(AA$2&lt;=AnalysisPeriod,IF(SUM($C650:AA650)&gt;0,Z269+1,0),0)</f>
        <v>0</v>
      </c>
      <c r="AB269" s="208">
        <f>IF(AB$2&lt;=AnalysisPeriod,IF(SUM($C650:AB650)&gt;0,AA269+1,0),0)</f>
        <v>0</v>
      </c>
      <c r="AC269" s="208">
        <f>IF(AC$2&lt;=AnalysisPeriod,IF(SUM($C650:AC650)&gt;0,AB269+1,0),0)</f>
        <v>0</v>
      </c>
      <c r="AD269" s="208">
        <f>IF(AD$2&lt;=AnalysisPeriod,IF(SUM($C650:AD650)&gt;0,AC269+1,0),0)</f>
        <v>0</v>
      </c>
      <c r="AE269" s="208">
        <f>IF(AE$2&lt;=AnalysisPeriod,IF(SUM($C650:AE650)&gt;0,AD269+1,0),0)</f>
        <v>0</v>
      </c>
      <c r="AF269" s="208">
        <f>IF(AF$2&lt;=AnalysisPeriod,IF(SUM($C650:AF650)&gt;0,AE269+1,0),0)</f>
        <v>0</v>
      </c>
      <c r="AG269" s="208">
        <f>IF(AG$2&lt;=AnalysisPeriod,IF(SUM($C650:AG650)&gt;0,AF269+1,0),0)</f>
        <v>0</v>
      </c>
      <c r="AH269" s="208">
        <f>IF(AH$2&lt;=AnalysisPeriod,IF(SUM($C650:AH650)&gt;0,AG269+1,0),0)</f>
        <v>0</v>
      </c>
      <c r="AI269" s="208">
        <f>IF(AI$2&lt;=AnalysisPeriod,IF(SUM($C650:AI650)&gt;0,AH269+1,0),0)</f>
        <v>0</v>
      </c>
      <c r="AJ269" s="208">
        <f>IF(AJ$2&lt;=AnalysisPeriod,IF(SUM($C650:AJ650)&gt;0,AI269+1,0),0)</f>
        <v>0</v>
      </c>
      <c r="AK269" s="208">
        <f>IF(AK$2&lt;=AnalysisPeriod,IF(SUM($C650:AK650)&gt;0,AJ269+1,0),0)</f>
        <v>0</v>
      </c>
      <c r="AL269" s="208">
        <f>IF(AL$2&lt;=AnalysisPeriod,IF(SUM($C650:AL650)&gt;0,AK269+1,0),0)</f>
        <v>0</v>
      </c>
      <c r="AM269" s="208">
        <f>IF(AM$2&lt;=AnalysisPeriod,IF(SUM($C650:AM650)&gt;0,AL269+1,0),0)</f>
        <v>0</v>
      </c>
      <c r="AN269" s="208">
        <f>IF(AN$2&lt;=AnalysisPeriod,IF(SUM($C650:AN650)&gt;0,AM269+1,0),0)</f>
        <v>0</v>
      </c>
      <c r="AO269" s="208">
        <f>IF(AO$2&lt;=AnalysisPeriod,IF(SUM($C650:AO650)&gt;0,AN269+1,0),0)</f>
        <v>0</v>
      </c>
      <c r="AP269" s="208">
        <f>IF(AP$2&lt;=AnalysisPeriod,IF(SUM($C650:AP650)&gt;0,AO269+1,0),0)</f>
        <v>0</v>
      </c>
    </row>
    <row r="270" spans="1:42">
      <c r="A270" s="226" t="s">
        <v>221</v>
      </c>
      <c r="C270" s="208"/>
      <c r="D270" s="208"/>
      <c r="E270" s="208"/>
      <c r="F270" s="208"/>
      <c r="G270" s="208"/>
      <c r="H270" s="208"/>
      <c r="I270" s="208"/>
      <c r="J270" s="208"/>
      <c r="K270" s="208"/>
      <c r="L270" s="208"/>
      <c r="M270" s="208"/>
      <c r="N270" s="208"/>
      <c r="O270" s="208"/>
      <c r="P270" s="208"/>
      <c r="Q270" s="208"/>
      <c r="R270" s="208"/>
      <c r="S270" s="208"/>
      <c r="T270" s="208"/>
      <c r="U270" s="208"/>
      <c r="V270" s="208"/>
      <c r="W270" s="208"/>
      <c r="X270" s="208"/>
      <c r="Y270" s="208"/>
      <c r="Z270" s="208"/>
      <c r="AA270" s="208"/>
      <c r="AB270" s="208"/>
      <c r="AC270" s="208"/>
      <c r="AD270" s="208"/>
      <c r="AE270" s="208"/>
      <c r="AF270" s="208"/>
      <c r="AG270" s="208"/>
      <c r="AH270" s="208"/>
      <c r="AI270" s="208"/>
      <c r="AJ270" s="208"/>
      <c r="AK270" s="208"/>
      <c r="AL270" s="208"/>
      <c r="AM270" s="208"/>
      <c r="AN270" s="208"/>
      <c r="AO270" s="208"/>
      <c r="AP270" s="208"/>
    </row>
    <row r="271" spans="1:42">
      <c r="A271" s="37">
        <v>1</v>
      </c>
      <c r="B271" s="218">
        <f t="shared" ref="B271:B280" si="127">SUM(C271:AP271)</f>
        <v>2944872.3435013141</v>
      </c>
      <c r="C271" s="208">
        <f t="shared" ref="C271:AP277" si="128">LOOKUP(C260,$B$255:$AP$255,$B$256:$AP$256)*$B641</f>
        <v>0</v>
      </c>
      <c r="D271" s="208">
        <f t="shared" si="128"/>
        <v>0</v>
      </c>
      <c r="E271" s="208">
        <f t="shared" si="128"/>
        <v>0</v>
      </c>
      <c r="F271" s="208">
        <f t="shared" si="128"/>
        <v>0</v>
      </c>
      <c r="G271" s="208">
        <f t="shared" si="128"/>
        <v>0</v>
      </c>
      <c r="H271" s="208">
        <f t="shared" si="128"/>
        <v>0</v>
      </c>
      <c r="I271" s="208">
        <f t="shared" si="128"/>
        <v>0</v>
      </c>
      <c r="J271" s="208">
        <f t="shared" si="128"/>
        <v>0</v>
      </c>
      <c r="K271" s="208">
        <f t="shared" si="128"/>
        <v>0</v>
      </c>
      <c r="L271" s="208">
        <f t="shared" si="128"/>
        <v>0</v>
      </c>
      <c r="M271" s="208">
        <f t="shared" si="128"/>
        <v>0</v>
      </c>
      <c r="N271" s="208">
        <f t="shared" si="128"/>
        <v>588974.46870026283</v>
      </c>
      <c r="O271" s="208">
        <f t="shared" si="128"/>
        <v>942359.14992042049</v>
      </c>
      <c r="P271" s="208">
        <f t="shared" si="128"/>
        <v>565415.48995225236</v>
      </c>
      <c r="Q271" s="208">
        <f t="shared" si="128"/>
        <v>339249.29397135135</v>
      </c>
      <c r="R271" s="208">
        <f t="shared" si="128"/>
        <v>339249.29397135135</v>
      </c>
      <c r="S271" s="208">
        <f t="shared" si="128"/>
        <v>169624.64698567567</v>
      </c>
      <c r="T271" s="208">
        <f t="shared" si="128"/>
        <v>0</v>
      </c>
      <c r="U271" s="208">
        <f t="shared" si="128"/>
        <v>0</v>
      </c>
      <c r="V271" s="208">
        <f t="shared" si="128"/>
        <v>0</v>
      </c>
      <c r="W271" s="208">
        <f t="shared" si="128"/>
        <v>0</v>
      </c>
      <c r="X271" s="208">
        <f t="shared" si="128"/>
        <v>0</v>
      </c>
      <c r="Y271" s="208">
        <f t="shared" si="128"/>
        <v>0</v>
      </c>
      <c r="Z271" s="208">
        <f t="shared" si="128"/>
        <v>0</v>
      </c>
      <c r="AA271" s="208">
        <f t="shared" si="128"/>
        <v>0</v>
      </c>
      <c r="AB271" s="208">
        <f t="shared" si="128"/>
        <v>0</v>
      </c>
      <c r="AC271" s="208">
        <f t="shared" si="128"/>
        <v>0</v>
      </c>
      <c r="AD271" s="208">
        <f t="shared" si="128"/>
        <v>0</v>
      </c>
      <c r="AE271" s="208">
        <f t="shared" si="128"/>
        <v>0</v>
      </c>
      <c r="AF271" s="208">
        <f t="shared" si="128"/>
        <v>0</v>
      </c>
      <c r="AG271" s="208">
        <f t="shared" si="128"/>
        <v>0</v>
      </c>
      <c r="AH271" s="208">
        <f t="shared" si="128"/>
        <v>0</v>
      </c>
      <c r="AI271" s="208">
        <f t="shared" si="128"/>
        <v>0</v>
      </c>
      <c r="AJ271" s="208">
        <f t="shared" si="128"/>
        <v>0</v>
      </c>
      <c r="AK271" s="208">
        <f t="shared" si="128"/>
        <v>0</v>
      </c>
      <c r="AL271" s="208">
        <f t="shared" si="128"/>
        <v>0</v>
      </c>
      <c r="AM271" s="208">
        <f t="shared" si="128"/>
        <v>0</v>
      </c>
      <c r="AN271" s="208">
        <f t="shared" si="128"/>
        <v>0</v>
      </c>
      <c r="AO271" s="208">
        <f t="shared" si="128"/>
        <v>0</v>
      </c>
      <c r="AP271" s="208">
        <f t="shared" si="128"/>
        <v>0</v>
      </c>
    </row>
    <row r="272" spans="1:42">
      <c r="A272" s="37">
        <f>A271+1</f>
        <v>2</v>
      </c>
      <c r="B272" s="218">
        <f t="shared" si="127"/>
        <v>3520942.886524681</v>
      </c>
      <c r="C272" s="208">
        <f t="shared" si="128"/>
        <v>0</v>
      </c>
      <c r="D272" s="208">
        <f t="shared" si="128"/>
        <v>0</v>
      </c>
      <c r="E272" s="208">
        <f t="shared" si="128"/>
        <v>0</v>
      </c>
      <c r="F272" s="208">
        <f t="shared" si="128"/>
        <v>0</v>
      </c>
      <c r="G272" s="208">
        <f t="shared" si="128"/>
        <v>0</v>
      </c>
      <c r="H272" s="208">
        <f t="shared" si="128"/>
        <v>0</v>
      </c>
      <c r="I272" s="208">
        <f t="shared" si="128"/>
        <v>0</v>
      </c>
      <c r="J272" s="208">
        <f t="shared" si="128"/>
        <v>0</v>
      </c>
      <c r="K272" s="208">
        <f t="shared" si="128"/>
        <v>0</v>
      </c>
      <c r="L272" s="208">
        <f t="shared" si="128"/>
        <v>0</v>
      </c>
      <c r="M272" s="208">
        <f t="shared" si="128"/>
        <v>0</v>
      </c>
      <c r="N272" s="208">
        <f t="shared" si="128"/>
        <v>0</v>
      </c>
      <c r="O272" s="208">
        <f t="shared" si="128"/>
        <v>0</v>
      </c>
      <c r="P272" s="208">
        <f t="shared" si="128"/>
        <v>0</v>
      </c>
      <c r="Q272" s="208">
        <f t="shared" si="128"/>
        <v>0</v>
      </c>
      <c r="R272" s="208">
        <f t="shared" si="128"/>
        <v>0</v>
      </c>
      <c r="S272" s="208">
        <f t="shared" si="128"/>
        <v>0</v>
      </c>
      <c r="T272" s="208">
        <f t="shared" si="128"/>
        <v>0</v>
      </c>
      <c r="U272" s="208">
        <f t="shared" si="128"/>
        <v>0</v>
      </c>
      <c r="V272" s="208">
        <f t="shared" si="128"/>
        <v>0</v>
      </c>
      <c r="W272" s="208">
        <f t="shared" si="128"/>
        <v>0</v>
      </c>
      <c r="X272" s="208">
        <f t="shared" si="128"/>
        <v>0</v>
      </c>
      <c r="Y272" s="208">
        <f t="shared" si="128"/>
        <v>0</v>
      </c>
      <c r="Z272" s="208">
        <f t="shared" si="128"/>
        <v>704188.57730493625</v>
      </c>
      <c r="AA272" s="208">
        <f t="shared" si="128"/>
        <v>1126701.7236878979</v>
      </c>
      <c r="AB272" s="208">
        <f t="shared" si="128"/>
        <v>676021.03421273874</v>
      </c>
      <c r="AC272" s="208">
        <f t="shared" si="128"/>
        <v>405612.62052764324</v>
      </c>
      <c r="AD272" s="208">
        <f t="shared" si="128"/>
        <v>405612.62052764324</v>
      </c>
      <c r="AE272" s="208">
        <f t="shared" si="128"/>
        <v>202806.31026382162</v>
      </c>
      <c r="AF272" s="208">
        <f t="shared" si="128"/>
        <v>0</v>
      </c>
      <c r="AG272" s="208">
        <f t="shared" si="128"/>
        <v>0</v>
      </c>
      <c r="AH272" s="208">
        <f t="shared" si="128"/>
        <v>0</v>
      </c>
      <c r="AI272" s="208">
        <f t="shared" si="128"/>
        <v>0</v>
      </c>
      <c r="AJ272" s="208">
        <f t="shared" si="128"/>
        <v>0</v>
      </c>
      <c r="AK272" s="208">
        <f t="shared" si="128"/>
        <v>0</v>
      </c>
      <c r="AL272" s="208">
        <f t="shared" si="128"/>
        <v>0</v>
      </c>
      <c r="AM272" s="208">
        <f t="shared" si="128"/>
        <v>0</v>
      </c>
      <c r="AN272" s="208">
        <f t="shared" si="128"/>
        <v>0</v>
      </c>
      <c r="AO272" s="208">
        <f t="shared" si="128"/>
        <v>0</v>
      </c>
      <c r="AP272" s="208">
        <f t="shared" si="128"/>
        <v>0</v>
      </c>
    </row>
    <row r="273" spans="1:42">
      <c r="A273" s="37">
        <f t="shared" ref="A273:A280" si="129">A272+1</f>
        <v>3</v>
      </c>
      <c r="B273" s="218">
        <f t="shared" si="127"/>
        <v>0</v>
      </c>
      <c r="C273" s="208">
        <f t="shared" si="128"/>
        <v>0</v>
      </c>
      <c r="D273" s="208">
        <f t="shared" si="128"/>
        <v>0</v>
      </c>
      <c r="E273" s="208">
        <f t="shared" si="128"/>
        <v>0</v>
      </c>
      <c r="F273" s="208">
        <f t="shared" si="128"/>
        <v>0</v>
      </c>
      <c r="G273" s="208">
        <f t="shared" si="128"/>
        <v>0</v>
      </c>
      <c r="H273" s="208">
        <f t="shared" si="128"/>
        <v>0</v>
      </c>
      <c r="I273" s="208">
        <f t="shared" si="128"/>
        <v>0</v>
      </c>
      <c r="J273" s="208">
        <f t="shared" si="128"/>
        <v>0</v>
      </c>
      <c r="K273" s="208">
        <f t="shared" si="128"/>
        <v>0</v>
      </c>
      <c r="L273" s="208">
        <f t="shared" si="128"/>
        <v>0</v>
      </c>
      <c r="M273" s="208">
        <f t="shared" si="128"/>
        <v>0</v>
      </c>
      <c r="N273" s="208">
        <f t="shared" si="128"/>
        <v>0</v>
      </c>
      <c r="O273" s="208">
        <f t="shared" si="128"/>
        <v>0</v>
      </c>
      <c r="P273" s="208">
        <f t="shared" si="128"/>
        <v>0</v>
      </c>
      <c r="Q273" s="208">
        <f t="shared" si="128"/>
        <v>0</v>
      </c>
      <c r="R273" s="208">
        <f t="shared" si="128"/>
        <v>0</v>
      </c>
      <c r="S273" s="208">
        <f t="shared" si="128"/>
        <v>0</v>
      </c>
      <c r="T273" s="208">
        <f t="shared" si="128"/>
        <v>0</v>
      </c>
      <c r="U273" s="208">
        <f t="shared" si="128"/>
        <v>0</v>
      </c>
      <c r="V273" s="208">
        <f t="shared" si="128"/>
        <v>0</v>
      </c>
      <c r="W273" s="208">
        <f t="shared" si="128"/>
        <v>0</v>
      </c>
      <c r="X273" s="208">
        <f t="shared" si="128"/>
        <v>0</v>
      </c>
      <c r="Y273" s="208">
        <f t="shared" si="128"/>
        <v>0</v>
      </c>
      <c r="Z273" s="208">
        <f t="shared" si="128"/>
        <v>0</v>
      </c>
      <c r="AA273" s="208">
        <f t="shared" si="128"/>
        <v>0</v>
      </c>
      <c r="AB273" s="208">
        <f t="shared" si="128"/>
        <v>0</v>
      </c>
      <c r="AC273" s="208">
        <f t="shared" si="128"/>
        <v>0</v>
      </c>
      <c r="AD273" s="208">
        <f t="shared" si="128"/>
        <v>0</v>
      </c>
      <c r="AE273" s="208">
        <f t="shared" si="128"/>
        <v>0</v>
      </c>
      <c r="AF273" s="208">
        <f t="shared" si="128"/>
        <v>0</v>
      </c>
      <c r="AG273" s="208">
        <f t="shared" si="128"/>
        <v>0</v>
      </c>
      <c r="AH273" s="208">
        <f t="shared" si="128"/>
        <v>0</v>
      </c>
      <c r="AI273" s="208">
        <f t="shared" si="128"/>
        <v>0</v>
      </c>
      <c r="AJ273" s="208">
        <f t="shared" si="128"/>
        <v>0</v>
      </c>
      <c r="AK273" s="208">
        <f t="shared" si="128"/>
        <v>0</v>
      </c>
      <c r="AL273" s="208">
        <f t="shared" si="128"/>
        <v>0</v>
      </c>
      <c r="AM273" s="208">
        <f t="shared" si="128"/>
        <v>0</v>
      </c>
      <c r="AN273" s="208">
        <f t="shared" si="128"/>
        <v>0</v>
      </c>
      <c r="AO273" s="208">
        <f t="shared" si="128"/>
        <v>0</v>
      </c>
      <c r="AP273" s="208">
        <f t="shared" si="128"/>
        <v>0</v>
      </c>
    </row>
    <row r="274" spans="1:42">
      <c r="A274" s="37">
        <f t="shared" si="129"/>
        <v>4</v>
      </c>
      <c r="B274" s="218">
        <f t="shared" si="127"/>
        <v>0</v>
      </c>
      <c r="C274" s="208">
        <f t="shared" si="128"/>
        <v>0</v>
      </c>
      <c r="D274" s="208">
        <f t="shared" si="128"/>
        <v>0</v>
      </c>
      <c r="E274" s="208">
        <f t="shared" si="128"/>
        <v>0</v>
      </c>
      <c r="F274" s="208">
        <f t="shared" si="128"/>
        <v>0</v>
      </c>
      <c r="G274" s="208">
        <f t="shared" si="128"/>
        <v>0</v>
      </c>
      <c r="H274" s="208">
        <f t="shared" si="128"/>
        <v>0</v>
      </c>
      <c r="I274" s="208">
        <f t="shared" si="128"/>
        <v>0</v>
      </c>
      <c r="J274" s="208">
        <f t="shared" si="128"/>
        <v>0</v>
      </c>
      <c r="K274" s="208">
        <f t="shared" si="128"/>
        <v>0</v>
      </c>
      <c r="L274" s="208">
        <f t="shared" si="128"/>
        <v>0</v>
      </c>
      <c r="M274" s="208">
        <f t="shared" si="128"/>
        <v>0</v>
      </c>
      <c r="N274" s="208">
        <f t="shared" si="128"/>
        <v>0</v>
      </c>
      <c r="O274" s="208">
        <f t="shared" si="128"/>
        <v>0</v>
      </c>
      <c r="P274" s="208">
        <f t="shared" si="128"/>
        <v>0</v>
      </c>
      <c r="Q274" s="208">
        <f t="shared" si="128"/>
        <v>0</v>
      </c>
      <c r="R274" s="208">
        <f t="shared" si="128"/>
        <v>0</v>
      </c>
      <c r="S274" s="208">
        <f t="shared" si="128"/>
        <v>0</v>
      </c>
      <c r="T274" s="208">
        <f t="shared" si="128"/>
        <v>0</v>
      </c>
      <c r="U274" s="208">
        <f t="shared" si="128"/>
        <v>0</v>
      </c>
      <c r="V274" s="208">
        <f t="shared" si="128"/>
        <v>0</v>
      </c>
      <c r="W274" s="208">
        <f t="shared" si="128"/>
        <v>0</v>
      </c>
      <c r="X274" s="208">
        <f t="shared" si="128"/>
        <v>0</v>
      </c>
      <c r="Y274" s="208">
        <f t="shared" si="128"/>
        <v>0</v>
      </c>
      <c r="Z274" s="208">
        <f t="shared" si="128"/>
        <v>0</v>
      </c>
      <c r="AA274" s="208">
        <f t="shared" si="128"/>
        <v>0</v>
      </c>
      <c r="AB274" s="208">
        <f t="shared" si="128"/>
        <v>0</v>
      </c>
      <c r="AC274" s="208">
        <f t="shared" si="128"/>
        <v>0</v>
      </c>
      <c r="AD274" s="208">
        <f t="shared" si="128"/>
        <v>0</v>
      </c>
      <c r="AE274" s="208">
        <f t="shared" si="128"/>
        <v>0</v>
      </c>
      <c r="AF274" s="208">
        <f t="shared" si="128"/>
        <v>0</v>
      </c>
      <c r="AG274" s="208">
        <f t="shared" si="128"/>
        <v>0</v>
      </c>
      <c r="AH274" s="208">
        <f t="shared" si="128"/>
        <v>0</v>
      </c>
      <c r="AI274" s="208">
        <f t="shared" si="128"/>
        <v>0</v>
      </c>
      <c r="AJ274" s="208">
        <f t="shared" si="128"/>
        <v>0</v>
      </c>
      <c r="AK274" s="208">
        <f t="shared" si="128"/>
        <v>0</v>
      </c>
      <c r="AL274" s="208">
        <f t="shared" si="128"/>
        <v>0</v>
      </c>
      <c r="AM274" s="208">
        <f t="shared" si="128"/>
        <v>0</v>
      </c>
      <c r="AN274" s="208">
        <f t="shared" si="128"/>
        <v>0</v>
      </c>
      <c r="AO274" s="208">
        <f t="shared" si="128"/>
        <v>0</v>
      </c>
      <c r="AP274" s="208">
        <f t="shared" si="128"/>
        <v>0</v>
      </c>
    </row>
    <row r="275" spans="1:42">
      <c r="A275" s="37">
        <f t="shared" si="129"/>
        <v>5</v>
      </c>
      <c r="B275" s="218">
        <f t="shared" si="127"/>
        <v>0</v>
      </c>
      <c r="C275" s="208">
        <f t="shared" si="128"/>
        <v>0</v>
      </c>
      <c r="D275" s="208">
        <f t="shared" si="128"/>
        <v>0</v>
      </c>
      <c r="E275" s="208">
        <f t="shared" si="128"/>
        <v>0</v>
      </c>
      <c r="F275" s="208">
        <f t="shared" si="128"/>
        <v>0</v>
      </c>
      <c r="G275" s="208">
        <f t="shared" si="128"/>
        <v>0</v>
      </c>
      <c r="H275" s="208">
        <f t="shared" si="128"/>
        <v>0</v>
      </c>
      <c r="I275" s="208">
        <f t="shared" si="128"/>
        <v>0</v>
      </c>
      <c r="J275" s="208">
        <f t="shared" si="128"/>
        <v>0</v>
      </c>
      <c r="K275" s="208">
        <f t="shared" si="128"/>
        <v>0</v>
      </c>
      <c r="L275" s="208">
        <f t="shared" si="128"/>
        <v>0</v>
      </c>
      <c r="M275" s="208">
        <f t="shared" si="128"/>
        <v>0</v>
      </c>
      <c r="N275" s="208">
        <f t="shared" si="128"/>
        <v>0</v>
      </c>
      <c r="O275" s="208">
        <f t="shared" si="128"/>
        <v>0</v>
      </c>
      <c r="P275" s="208">
        <f t="shared" si="128"/>
        <v>0</v>
      </c>
      <c r="Q275" s="208">
        <f t="shared" si="128"/>
        <v>0</v>
      </c>
      <c r="R275" s="208">
        <f t="shared" si="128"/>
        <v>0</v>
      </c>
      <c r="S275" s="208">
        <f t="shared" si="128"/>
        <v>0</v>
      </c>
      <c r="T275" s="208">
        <f t="shared" si="128"/>
        <v>0</v>
      </c>
      <c r="U275" s="208">
        <f t="shared" si="128"/>
        <v>0</v>
      </c>
      <c r="V275" s="208">
        <f t="shared" si="128"/>
        <v>0</v>
      </c>
      <c r="W275" s="208">
        <f t="shared" si="128"/>
        <v>0</v>
      </c>
      <c r="X275" s="208">
        <f t="shared" si="128"/>
        <v>0</v>
      </c>
      <c r="Y275" s="208">
        <f t="shared" si="128"/>
        <v>0</v>
      </c>
      <c r="Z275" s="208">
        <f t="shared" si="128"/>
        <v>0</v>
      </c>
      <c r="AA275" s="208">
        <f t="shared" si="128"/>
        <v>0</v>
      </c>
      <c r="AB275" s="208">
        <f t="shared" si="128"/>
        <v>0</v>
      </c>
      <c r="AC275" s="208">
        <f t="shared" si="128"/>
        <v>0</v>
      </c>
      <c r="AD275" s="208">
        <f t="shared" si="128"/>
        <v>0</v>
      </c>
      <c r="AE275" s="208">
        <f t="shared" si="128"/>
        <v>0</v>
      </c>
      <c r="AF275" s="208">
        <f t="shared" si="128"/>
        <v>0</v>
      </c>
      <c r="AG275" s="208">
        <f t="shared" si="128"/>
        <v>0</v>
      </c>
      <c r="AH275" s="208">
        <f t="shared" si="128"/>
        <v>0</v>
      </c>
      <c r="AI275" s="208">
        <f t="shared" si="128"/>
        <v>0</v>
      </c>
      <c r="AJ275" s="208">
        <f t="shared" si="128"/>
        <v>0</v>
      </c>
      <c r="AK275" s="208">
        <f t="shared" si="128"/>
        <v>0</v>
      </c>
      <c r="AL275" s="208">
        <f t="shared" si="128"/>
        <v>0</v>
      </c>
      <c r="AM275" s="208">
        <f t="shared" si="128"/>
        <v>0</v>
      </c>
      <c r="AN275" s="208">
        <f t="shared" si="128"/>
        <v>0</v>
      </c>
      <c r="AO275" s="208">
        <f t="shared" si="128"/>
        <v>0</v>
      </c>
      <c r="AP275" s="208">
        <f t="shared" si="128"/>
        <v>0</v>
      </c>
    </row>
    <row r="276" spans="1:42">
      <c r="A276" s="119">
        <f t="shared" si="129"/>
        <v>6</v>
      </c>
      <c r="B276" s="218">
        <f t="shared" si="127"/>
        <v>0</v>
      </c>
      <c r="C276" s="208">
        <f t="shared" si="128"/>
        <v>0</v>
      </c>
      <c r="D276" s="208">
        <f t="shared" si="128"/>
        <v>0</v>
      </c>
      <c r="E276" s="208">
        <f t="shared" si="128"/>
        <v>0</v>
      </c>
      <c r="F276" s="208">
        <f t="shared" si="128"/>
        <v>0</v>
      </c>
      <c r="G276" s="208">
        <f t="shared" si="128"/>
        <v>0</v>
      </c>
      <c r="H276" s="208">
        <f t="shared" si="128"/>
        <v>0</v>
      </c>
      <c r="I276" s="208">
        <f t="shared" si="128"/>
        <v>0</v>
      </c>
      <c r="J276" s="208">
        <f t="shared" si="128"/>
        <v>0</v>
      </c>
      <c r="K276" s="208">
        <f t="shared" si="128"/>
        <v>0</v>
      </c>
      <c r="L276" s="208">
        <f t="shared" si="128"/>
        <v>0</v>
      </c>
      <c r="M276" s="208">
        <f t="shared" si="128"/>
        <v>0</v>
      </c>
      <c r="N276" s="208">
        <f t="shared" si="128"/>
        <v>0</v>
      </c>
      <c r="O276" s="208">
        <f t="shared" si="128"/>
        <v>0</v>
      </c>
      <c r="P276" s="208">
        <f t="shared" si="128"/>
        <v>0</v>
      </c>
      <c r="Q276" s="208">
        <f t="shared" si="128"/>
        <v>0</v>
      </c>
      <c r="R276" s="208">
        <f t="shared" si="128"/>
        <v>0</v>
      </c>
      <c r="S276" s="208">
        <f t="shared" si="128"/>
        <v>0</v>
      </c>
      <c r="T276" s="208">
        <f t="shared" si="128"/>
        <v>0</v>
      </c>
      <c r="U276" s="208">
        <f t="shared" si="128"/>
        <v>0</v>
      </c>
      <c r="V276" s="208">
        <f t="shared" si="128"/>
        <v>0</v>
      </c>
      <c r="W276" s="208">
        <f t="shared" si="128"/>
        <v>0</v>
      </c>
      <c r="X276" s="208">
        <f t="shared" si="128"/>
        <v>0</v>
      </c>
      <c r="Y276" s="208">
        <f t="shared" si="128"/>
        <v>0</v>
      </c>
      <c r="Z276" s="208">
        <f t="shared" si="128"/>
        <v>0</v>
      </c>
      <c r="AA276" s="208">
        <f t="shared" si="128"/>
        <v>0</v>
      </c>
      <c r="AB276" s="208">
        <f t="shared" si="128"/>
        <v>0</v>
      </c>
      <c r="AC276" s="208">
        <f t="shared" si="128"/>
        <v>0</v>
      </c>
      <c r="AD276" s="208">
        <f t="shared" si="128"/>
        <v>0</v>
      </c>
      <c r="AE276" s="208">
        <f t="shared" si="128"/>
        <v>0</v>
      </c>
      <c r="AF276" s="208">
        <f t="shared" si="128"/>
        <v>0</v>
      </c>
      <c r="AG276" s="208">
        <f t="shared" si="128"/>
        <v>0</v>
      </c>
      <c r="AH276" s="208">
        <f t="shared" si="128"/>
        <v>0</v>
      </c>
      <c r="AI276" s="208">
        <f t="shared" si="128"/>
        <v>0</v>
      </c>
      <c r="AJ276" s="208">
        <f t="shared" si="128"/>
        <v>0</v>
      </c>
      <c r="AK276" s="208">
        <f t="shared" si="128"/>
        <v>0</v>
      </c>
      <c r="AL276" s="208">
        <f t="shared" si="128"/>
        <v>0</v>
      </c>
      <c r="AM276" s="208">
        <f t="shared" si="128"/>
        <v>0</v>
      </c>
      <c r="AN276" s="208">
        <f t="shared" si="128"/>
        <v>0</v>
      </c>
      <c r="AO276" s="208">
        <f t="shared" si="128"/>
        <v>0</v>
      </c>
      <c r="AP276" s="208">
        <f t="shared" si="128"/>
        <v>0</v>
      </c>
    </row>
    <row r="277" spans="1:42">
      <c r="A277" s="119">
        <f t="shared" si="129"/>
        <v>7</v>
      </c>
      <c r="B277" s="218">
        <f t="shared" si="127"/>
        <v>0</v>
      </c>
      <c r="C277" s="208">
        <f t="shared" si="128"/>
        <v>0</v>
      </c>
      <c r="D277" s="208">
        <f t="shared" si="128"/>
        <v>0</v>
      </c>
      <c r="E277" s="208">
        <f t="shared" si="128"/>
        <v>0</v>
      </c>
      <c r="F277" s="208">
        <f t="shared" si="128"/>
        <v>0</v>
      </c>
      <c r="G277" s="208">
        <f t="shared" si="128"/>
        <v>0</v>
      </c>
      <c r="H277" s="208">
        <f t="shared" si="128"/>
        <v>0</v>
      </c>
      <c r="I277" s="208">
        <f t="shared" si="128"/>
        <v>0</v>
      </c>
      <c r="J277" s="208">
        <f t="shared" si="128"/>
        <v>0</v>
      </c>
      <c r="K277" s="208">
        <f t="shared" si="128"/>
        <v>0</v>
      </c>
      <c r="L277" s="208">
        <f t="shared" si="128"/>
        <v>0</v>
      </c>
      <c r="M277" s="208">
        <f t="shared" si="128"/>
        <v>0</v>
      </c>
      <c r="N277" s="208">
        <f t="shared" si="128"/>
        <v>0</v>
      </c>
      <c r="O277" s="208">
        <f t="shared" si="128"/>
        <v>0</v>
      </c>
      <c r="P277" s="208">
        <f t="shared" si="128"/>
        <v>0</v>
      </c>
      <c r="Q277" s="208">
        <f t="shared" si="128"/>
        <v>0</v>
      </c>
      <c r="R277" s="208">
        <f t="shared" ref="R277:AP277" si="130">LOOKUP(R266,$B$255:$AP$255,$B$256:$AP$256)*$B647</f>
        <v>0</v>
      </c>
      <c r="S277" s="208">
        <f t="shared" si="130"/>
        <v>0</v>
      </c>
      <c r="T277" s="208">
        <f t="shared" si="130"/>
        <v>0</v>
      </c>
      <c r="U277" s="208">
        <f t="shared" si="130"/>
        <v>0</v>
      </c>
      <c r="V277" s="208">
        <f t="shared" si="130"/>
        <v>0</v>
      </c>
      <c r="W277" s="208">
        <f t="shared" si="130"/>
        <v>0</v>
      </c>
      <c r="X277" s="208">
        <f t="shared" si="130"/>
        <v>0</v>
      </c>
      <c r="Y277" s="208">
        <f t="shared" si="130"/>
        <v>0</v>
      </c>
      <c r="Z277" s="208">
        <f t="shared" si="130"/>
        <v>0</v>
      </c>
      <c r="AA277" s="208">
        <f t="shared" si="130"/>
        <v>0</v>
      </c>
      <c r="AB277" s="208">
        <f t="shared" si="130"/>
        <v>0</v>
      </c>
      <c r="AC277" s="208">
        <f t="shared" si="130"/>
        <v>0</v>
      </c>
      <c r="AD277" s="208">
        <f t="shared" si="130"/>
        <v>0</v>
      </c>
      <c r="AE277" s="208">
        <f t="shared" si="130"/>
        <v>0</v>
      </c>
      <c r="AF277" s="208">
        <f t="shared" si="130"/>
        <v>0</v>
      </c>
      <c r="AG277" s="208">
        <f t="shared" si="130"/>
        <v>0</v>
      </c>
      <c r="AH277" s="208">
        <f t="shared" si="130"/>
        <v>0</v>
      </c>
      <c r="AI277" s="208">
        <f t="shared" si="130"/>
        <v>0</v>
      </c>
      <c r="AJ277" s="208">
        <f t="shared" si="130"/>
        <v>0</v>
      </c>
      <c r="AK277" s="208">
        <f t="shared" si="130"/>
        <v>0</v>
      </c>
      <c r="AL277" s="208">
        <f t="shared" si="130"/>
        <v>0</v>
      </c>
      <c r="AM277" s="208">
        <f t="shared" si="130"/>
        <v>0</v>
      </c>
      <c r="AN277" s="208">
        <f t="shared" si="130"/>
        <v>0</v>
      </c>
      <c r="AO277" s="208">
        <f t="shared" si="130"/>
        <v>0</v>
      </c>
      <c r="AP277" s="208">
        <f t="shared" si="130"/>
        <v>0</v>
      </c>
    </row>
    <row r="278" spans="1:42">
      <c r="A278" s="119">
        <f t="shared" si="129"/>
        <v>8</v>
      </c>
      <c r="B278" s="218">
        <f t="shared" si="127"/>
        <v>0</v>
      </c>
      <c r="C278" s="208">
        <f t="shared" ref="C278:AP280" si="131">LOOKUP(C267,$B$255:$AP$255,$B$256:$AP$256)*$B648</f>
        <v>0</v>
      </c>
      <c r="D278" s="208">
        <f t="shared" si="131"/>
        <v>0</v>
      </c>
      <c r="E278" s="208">
        <f t="shared" si="131"/>
        <v>0</v>
      </c>
      <c r="F278" s="208">
        <f t="shared" si="131"/>
        <v>0</v>
      </c>
      <c r="G278" s="208">
        <f t="shared" si="131"/>
        <v>0</v>
      </c>
      <c r="H278" s="208">
        <f t="shared" si="131"/>
        <v>0</v>
      </c>
      <c r="I278" s="208">
        <f t="shared" si="131"/>
        <v>0</v>
      </c>
      <c r="J278" s="208">
        <f t="shared" si="131"/>
        <v>0</v>
      </c>
      <c r="K278" s="208">
        <f t="shared" si="131"/>
        <v>0</v>
      </c>
      <c r="L278" s="208">
        <f t="shared" si="131"/>
        <v>0</v>
      </c>
      <c r="M278" s="208">
        <f t="shared" si="131"/>
        <v>0</v>
      </c>
      <c r="N278" s="208">
        <f t="shared" si="131"/>
        <v>0</v>
      </c>
      <c r="O278" s="208">
        <f t="shared" si="131"/>
        <v>0</v>
      </c>
      <c r="P278" s="208">
        <f t="shared" si="131"/>
        <v>0</v>
      </c>
      <c r="Q278" s="208">
        <f t="shared" si="131"/>
        <v>0</v>
      </c>
      <c r="R278" s="208">
        <f t="shared" si="131"/>
        <v>0</v>
      </c>
      <c r="S278" s="208">
        <f t="shared" si="131"/>
        <v>0</v>
      </c>
      <c r="T278" s="208">
        <f t="shared" si="131"/>
        <v>0</v>
      </c>
      <c r="U278" s="208">
        <f t="shared" si="131"/>
        <v>0</v>
      </c>
      <c r="V278" s="208">
        <f t="shared" si="131"/>
        <v>0</v>
      </c>
      <c r="W278" s="208">
        <f t="shared" si="131"/>
        <v>0</v>
      </c>
      <c r="X278" s="208">
        <f t="shared" si="131"/>
        <v>0</v>
      </c>
      <c r="Y278" s="208">
        <f t="shared" si="131"/>
        <v>0</v>
      </c>
      <c r="Z278" s="208">
        <f t="shared" si="131"/>
        <v>0</v>
      </c>
      <c r="AA278" s="208">
        <f t="shared" si="131"/>
        <v>0</v>
      </c>
      <c r="AB278" s="208">
        <f t="shared" si="131"/>
        <v>0</v>
      </c>
      <c r="AC278" s="208">
        <f t="shared" si="131"/>
        <v>0</v>
      </c>
      <c r="AD278" s="208">
        <f t="shared" si="131"/>
        <v>0</v>
      </c>
      <c r="AE278" s="208">
        <f t="shared" si="131"/>
        <v>0</v>
      </c>
      <c r="AF278" s="208">
        <f t="shared" si="131"/>
        <v>0</v>
      </c>
      <c r="AG278" s="208">
        <f t="shared" si="131"/>
        <v>0</v>
      </c>
      <c r="AH278" s="208">
        <f t="shared" si="131"/>
        <v>0</v>
      </c>
      <c r="AI278" s="208">
        <f t="shared" si="131"/>
        <v>0</v>
      </c>
      <c r="AJ278" s="208">
        <f t="shared" si="131"/>
        <v>0</v>
      </c>
      <c r="AK278" s="208">
        <f t="shared" si="131"/>
        <v>0</v>
      </c>
      <c r="AL278" s="208">
        <f t="shared" si="131"/>
        <v>0</v>
      </c>
      <c r="AM278" s="208">
        <f t="shared" si="131"/>
        <v>0</v>
      </c>
      <c r="AN278" s="208">
        <f t="shared" si="131"/>
        <v>0</v>
      </c>
      <c r="AO278" s="208">
        <f t="shared" si="131"/>
        <v>0</v>
      </c>
      <c r="AP278" s="208">
        <f t="shared" si="131"/>
        <v>0</v>
      </c>
    </row>
    <row r="279" spans="1:42">
      <c r="A279" s="119">
        <f>A278+1</f>
        <v>9</v>
      </c>
      <c r="B279" s="218">
        <f t="shared" si="127"/>
        <v>0</v>
      </c>
      <c r="C279" s="208">
        <f t="shared" si="131"/>
        <v>0</v>
      </c>
      <c r="D279" s="208">
        <f t="shared" si="131"/>
        <v>0</v>
      </c>
      <c r="E279" s="208">
        <f t="shared" si="131"/>
        <v>0</v>
      </c>
      <c r="F279" s="208">
        <f t="shared" si="131"/>
        <v>0</v>
      </c>
      <c r="G279" s="208">
        <f t="shared" si="131"/>
        <v>0</v>
      </c>
      <c r="H279" s="208">
        <f t="shared" si="131"/>
        <v>0</v>
      </c>
      <c r="I279" s="208">
        <f t="shared" si="131"/>
        <v>0</v>
      </c>
      <c r="J279" s="208">
        <f t="shared" si="131"/>
        <v>0</v>
      </c>
      <c r="K279" s="208">
        <f t="shared" si="131"/>
        <v>0</v>
      </c>
      <c r="L279" s="208">
        <f t="shared" si="131"/>
        <v>0</v>
      </c>
      <c r="M279" s="208">
        <f t="shared" si="131"/>
        <v>0</v>
      </c>
      <c r="N279" s="208">
        <f t="shared" si="131"/>
        <v>0</v>
      </c>
      <c r="O279" s="208">
        <f t="shared" si="131"/>
        <v>0</v>
      </c>
      <c r="P279" s="208">
        <f t="shared" si="131"/>
        <v>0</v>
      </c>
      <c r="Q279" s="208">
        <f t="shared" si="131"/>
        <v>0</v>
      </c>
      <c r="R279" s="208">
        <f t="shared" si="131"/>
        <v>0</v>
      </c>
      <c r="S279" s="208">
        <f t="shared" si="131"/>
        <v>0</v>
      </c>
      <c r="T279" s="208">
        <f t="shared" si="131"/>
        <v>0</v>
      </c>
      <c r="U279" s="208">
        <f t="shared" si="131"/>
        <v>0</v>
      </c>
      <c r="V279" s="208">
        <f t="shared" si="131"/>
        <v>0</v>
      </c>
      <c r="W279" s="208">
        <f t="shared" si="131"/>
        <v>0</v>
      </c>
      <c r="X279" s="208">
        <f t="shared" si="131"/>
        <v>0</v>
      </c>
      <c r="Y279" s="208">
        <f t="shared" si="131"/>
        <v>0</v>
      </c>
      <c r="Z279" s="208">
        <f t="shared" si="131"/>
        <v>0</v>
      </c>
      <c r="AA279" s="208">
        <f t="shared" si="131"/>
        <v>0</v>
      </c>
      <c r="AB279" s="208">
        <f t="shared" si="131"/>
        <v>0</v>
      </c>
      <c r="AC279" s="208">
        <f t="shared" si="131"/>
        <v>0</v>
      </c>
      <c r="AD279" s="208">
        <f t="shared" si="131"/>
        <v>0</v>
      </c>
      <c r="AE279" s="208">
        <f t="shared" si="131"/>
        <v>0</v>
      </c>
      <c r="AF279" s="208">
        <f t="shared" si="131"/>
        <v>0</v>
      </c>
      <c r="AG279" s="208">
        <f t="shared" si="131"/>
        <v>0</v>
      </c>
      <c r="AH279" s="208">
        <f t="shared" si="131"/>
        <v>0</v>
      </c>
      <c r="AI279" s="208">
        <f t="shared" si="131"/>
        <v>0</v>
      </c>
      <c r="AJ279" s="208">
        <f t="shared" si="131"/>
        <v>0</v>
      </c>
      <c r="AK279" s="208">
        <f t="shared" si="131"/>
        <v>0</v>
      </c>
      <c r="AL279" s="208">
        <f t="shared" si="131"/>
        <v>0</v>
      </c>
      <c r="AM279" s="208">
        <f t="shared" si="131"/>
        <v>0</v>
      </c>
      <c r="AN279" s="208">
        <f t="shared" si="131"/>
        <v>0</v>
      </c>
      <c r="AO279" s="208">
        <f t="shared" si="131"/>
        <v>0</v>
      </c>
      <c r="AP279" s="208">
        <f t="shared" si="131"/>
        <v>0</v>
      </c>
    </row>
    <row r="280" spans="1:42">
      <c r="A280" s="119">
        <f t="shared" si="129"/>
        <v>10</v>
      </c>
      <c r="B280" s="218">
        <f t="shared" si="127"/>
        <v>0</v>
      </c>
      <c r="C280" s="246">
        <f t="shared" si="131"/>
        <v>0</v>
      </c>
      <c r="D280" s="209">
        <f t="shared" si="131"/>
        <v>0</v>
      </c>
      <c r="E280" s="209">
        <f t="shared" si="131"/>
        <v>0</v>
      </c>
      <c r="F280" s="209">
        <f t="shared" si="131"/>
        <v>0</v>
      </c>
      <c r="G280" s="209">
        <f t="shared" si="131"/>
        <v>0</v>
      </c>
      <c r="H280" s="209">
        <f t="shared" si="131"/>
        <v>0</v>
      </c>
      <c r="I280" s="209">
        <f t="shared" si="131"/>
        <v>0</v>
      </c>
      <c r="J280" s="209">
        <f t="shared" si="131"/>
        <v>0</v>
      </c>
      <c r="K280" s="209">
        <f t="shared" si="131"/>
        <v>0</v>
      </c>
      <c r="L280" s="209">
        <f t="shared" si="131"/>
        <v>0</v>
      </c>
      <c r="M280" s="209">
        <f t="shared" si="131"/>
        <v>0</v>
      </c>
      <c r="N280" s="209">
        <f t="shared" si="131"/>
        <v>0</v>
      </c>
      <c r="O280" s="209">
        <f t="shared" si="131"/>
        <v>0</v>
      </c>
      <c r="P280" s="209">
        <f t="shared" si="131"/>
        <v>0</v>
      </c>
      <c r="Q280" s="209">
        <f t="shared" si="131"/>
        <v>0</v>
      </c>
      <c r="R280" s="209">
        <f t="shared" si="131"/>
        <v>0</v>
      </c>
      <c r="S280" s="209">
        <f t="shared" si="131"/>
        <v>0</v>
      </c>
      <c r="T280" s="209">
        <f t="shared" si="131"/>
        <v>0</v>
      </c>
      <c r="U280" s="209">
        <f t="shared" si="131"/>
        <v>0</v>
      </c>
      <c r="V280" s="209">
        <f t="shared" si="131"/>
        <v>0</v>
      </c>
      <c r="W280" s="209">
        <f t="shared" si="131"/>
        <v>0</v>
      </c>
      <c r="X280" s="209">
        <f t="shared" si="131"/>
        <v>0</v>
      </c>
      <c r="Y280" s="209">
        <f t="shared" si="131"/>
        <v>0</v>
      </c>
      <c r="Z280" s="209">
        <f t="shared" si="131"/>
        <v>0</v>
      </c>
      <c r="AA280" s="209">
        <f t="shared" si="131"/>
        <v>0</v>
      </c>
      <c r="AB280" s="209">
        <f t="shared" si="131"/>
        <v>0</v>
      </c>
      <c r="AC280" s="209">
        <f t="shared" si="131"/>
        <v>0</v>
      </c>
      <c r="AD280" s="209">
        <f t="shared" si="131"/>
        <v>0</v>
      </c>
      <c r="AE280" s="209">
        <f t="shared" si="131"/>
        <v>0</v>
      </c>
      <c r="AF280" s="209">
        <f t="shared" si="131"/>
        <v>0</v>
      </c>
      <c r="AG280" s="209">
        <f t="shared" si="131"/>
        <v>0</v>
      </c>
      <c r="AH280" s="209">
        <f t="shared" si="131"/>
        <v>0</v>
      </c>
      <c r="AI280" s="209">
        <f t="shared" si="131"/>
        <v>0</v>
      </c>
      <c r="AJ280" s="209">
        <f t="shared" si="131"/>
        <v>0</v>
      </c>
      <c r="AK280" s="209">
        <f t="shared" si="131"/>
        <v>0</v>
      </c>
      <c r="AL280" s="209">
        <f t="shared" si="131"/>
        <v>0</v>
      </c>
      <c r="AM280" s="209">
        <f t="shared" si="131"/>
        <v>0</v>
      </c>
      <c r="AN280" s="209">
        <f t="shared" si="131"/>
        <v>0</v>
      </c>
      <c r="AO280" s="209">
        <f t="shared" si="131"/>
        <v>0</v>
      </c>
      <c r="AP280" s="209">
        <f t="shared" si="131"/>
        <v>0</v>
      </c>
    </row>
    <row r="281" spans="1:42" s="119" customFormat="1" ht="12" customHeight="1">
      <c r="A281" s="247" t="s">
        <v>53</v>
      </c>
      <c r="B281" s="146"/>
      <c r="C281" s="146">
        <f>SUM(C271:C280)</f>
        <v>0</v>
      </c>
      <c r="D281" s="146">
        <f t="shared" ref="D281:AP281" si="132">SUM(D271:D280)</f>
        <v>0</v>
      </c>
      <c r="E281" s="146">
        <f t="shared" si="132"/>
        <v>0</v>
      </c>
      <c r="F281" s="146">
        <f t="shared" si="132"/>
        <v>0</v>
      </c>
      <c r="G281" s="146">
        <f t="shared" si="132"/>
        <v>0</v>
      </c>
      <c r="H281" s="146">
        <f t="shared" si="132"/>
        <v>0</v>
      </c>
      <c r="I281" s="146">
        <f t="shared" si="132"/>
        <v>0</v>
      </c>
      <c r="J281" s="146">
        <f t="shared" si="132"/>
        <v>0</v>
      </c>
      <c r="K281" s="146">
        <f t="shared" si="132"/>
        <v>0</v>
      </c>
      <c r="L281" s="146">
        <f t="shared" si="132"/>
        <v>0</v>
      </c>
      <c r="M281" s="146">
        <f t="shared" si="132"/>
        <v>0</v>
      </c>
      <c r="N281" s="146">
        <f t="shared" si="132"/>
        <v>588974.46870026283</v>
      </c>
      <c r="O281" s="146">
        <f t="shared" si="132"/>
        <v>942359.14992042049</v>
      </c>
      <c r="P281" s="146">
        <f t="shared" si="132"/>
        <v>565415.48995225236</v>
      </c>
      <c r="Q281" s="146">
        <f t="shared" si="132"/>
        <v>339249.29397135135</v>
      </c>
      <c r="R281" s="146">
        <f t="shared" si="132"/>
        <v>339249.29397135135</v>
      </c>
      <c r="S281" s="146">
        <f t="shared" si="132"/>
        <v>169624.64698567567</v>
      </c>
      <c r="T281" s="146">
        <f t="shared" si="132"/>
        <v>0</v>
      </c>
      <c r="U281" s="146">
        <f t="shared" si="132"/>
        <v>0</v>
      </c>
      <c r="V281" s="146">
        <f t="shared" si="132"/>
        <v>0</v>
      </c>
      <c r="W281" s="146">
        <f t="shared" si="132"/>
        <v>0</v>
      </c>
      <c r="X281" s="146">
        <f t="shared" si="132"/>
        <v>0</v>
      </c>
      <c r="Y281" s="146">
        <f t="shared" si="132"/>
        <v>0</v>
      </c>
      <c r="Z281" s="146">
        <f t="shared" si="132"/>
        <v>704188.57730493625</v>
      </c>
      <c r="AA281" s="146">
        <f t="shared" si="132"/>
        <v>1126701.7236878979</v>
      </c>
      <c r="AB281" s="146">
        <f t="shared" si="132"/>
        <v>676021.03421273874</v>
      </c>
      <c r="AC281" s="146">
        <f t="shared" si="132"/>
        <v>405612.62052764324</v>
      </c>
      <c r="AD281" s="146">
        <f t="shared" si="132"/>
        <v>405612.62052764324</v>
      </c>
      <c r="AE281" s="146">
        <f t="shared" si="132"/>
        <v>202806.31026382162</v>
      </c>
      <c r="AF281" s="146">
        <f t="shared" si="132"/>
        <v>0</v>
      </c>
      <c r="AG281" s="146">
        <f t="shared" si="132"/>
        <v>0</v>
      </c>
      <c r="AH281" s="146">
        <f t="shared" si="132"/>
        <v>0</v>
      </c>
      <c r="AI281" s="146">
        <f t="shared" si="132"/>
        <v>0</v>
      </c>
      <c r="AJ281" s="146">
        <f t="shared" si="132"/>
        <v>0</v>
      </c>
      <c r="AK281" s="146">
        <f t="shared" si="132"/>
        <v>0</v>
      </c>
      <c r="AL281" s="146">
        <f t="shared" si="132"/>
        <v>0</v>
      </c>
      <c r="AM281" s="146">
        <f t="shared" si="132"/>
        <v>0</v>
      </c>
      <c r="AN281" s="146">
        <f t="shared" si="132"/>
        <v>0</v>
      </c>
      <c r="AO281" s="146">
        <f t="shared" si="132"/>
        <v>0</v>
      </c>
      <c r="AP281" s="146">
        <f t="shared" si="132"/>
        <v>0</v>
      </c>
    </row>
    <row r="282" spans="1:42">
      <c r="A282" s="226"/>
      <c r="C282" s="208"/>
      <c r="D282" s="208"/>
      <c r="E282" s="208"/>
      <c r="F282" s="208"/>
      <c r="G282" s="208"/>
      <c r="H282" s="208"/>
      <c r="I282" s="208"/>
      <c r="J282" s="208"/>
      <c r="K282" s="208"/>
      <c r="L282" s="208"/>
      <c r="M282" s="208"/>
      <c r="N282" s="208"/>
      <c r="O282" s="208"/>
      <c r="P282" s="208"/>
      <c r="Q282" s="208"/>
      <c r="R282" s="208"/>
      <c r="S282" s="208"/>
      <c r="T282" s="208"/>
      <c r="U282" s="208"/>
      <c r="V282" s="208"/>
      <c r="W282" s="208"/>
      <c r="X282" s="208"/>
      <c r="Y282" s="208"/>
      <c r="Z282" s="208"/>
      <c r="AA282" s="208"/>
      <c r="AB282" s="208"/>
      <c r="AC282" s="208"/>
      <c r="AD282" s="208"/>
      <c r="AE282" s="208"/>
      <c r="AF282" s="208"/>
      <c r="AG282" s="208"/>
      <c r="AH282" s="208"/>
      <c r="AI282" s="208"/>
      <c r="AJ282" s="208"/>
      <c r="AK282" s="208"/>
      <c r="AL282" s="208"/>
      <c r="AM282" s="208"/>
      <c r="AN282" s="208"/>
      <c r="AO282" s="208"/>
      <c r="AP282" s="208"/>
    </row>
    <row r="283" spans="1:42">
      <c r="A283" s="219" t="s">
        <v>384</v>
      </c>
      <c r="C283" s="208"/>
      <c r="D283" s="208"/>
      <c r="E283" s="208"/>
      <c r="F283" s="208"/>
      <c r="G283" s="208"/>
      <c r="H283" s="208"/>
      <c r="I283" s="208"/>
      <c r="J283" s="208"/>
      <c r="K283" s="208"/>
      <c r="L283" s="208"/>
      <c r="M283" s="208"/>
      <c r="N283" s="208"/>
      <c r="O283" s="208"/>
      <c r="P283" s="208"/>
      <c r="Q283" s="208"/>
      <c r="R283" s="208"/>
      <c r="S283" s="208"/>
      <c r="T283" s="208"/>
      <c r="U283" s="208"/>
      <c r="V283" s="208"/>
      <c r="W283" s="208"/>
      <c r="X283" s="208"/>
      <c r="Y283" s="208"/>
      <c r="Z283" s="208"/>
      <c r="AA283" s="208"/>
      <c r="AB283" s="208"/>
      <c r="AC283" s="208"/>
      <c r="AD283" s="208"/>
      <c r="AE283" s="208"/>
      <c r="AF283" s="208"/>
      <c r="AG283" s="208"/>
      <c r="AH283" s="208"/>
      <c r="AI283" s="208"/>
      <c r="AJ283" s="208"/>
      <c r="AK283" s="208"/>
      <c r="AL283" s="208"/>
      <c r="AM283" s="208"/>
      <c r="AN283" s="208"/>
      <c r="AO283" s="208"/>
      <c r="AP283" s="208"/>
    </row>
    <row r="284" spans="1:42">
      <c r="A284" s="226" t="s">
        <v>217</v>
      </c>
      <c r="C284" s="208"/>
      <c r="D284" s="208"/>
      <c r="E284" s="208"/>
      <c r="F284" s="208"/>
      <c r="G284" s="208"/>
      <c r="H284" s="208"/>
      <c r="I284" s="208"/>
      <c r="J284" s="208"/>
      <c r="K284" s="208"/>
      <c r="L284" s="208"/>
      <c r="M284" s="208"/>
      <c r="N284" s="208"/>
      <c r="O284" s="208"/>
      <c r="P284" s="208"/>
      <c r="Q284" s="208"/>
      <c r="R284" s="208"/>
      <c r="S284" s="208"/>
      <c r="T284" s="208"/>
      <c r="U284" s="208"/>
      <c r="V284" s="208"/>
      <c r="W284" s="208"/>
      <c r="X284" s="208"/>
      <c r="Y284" s="208"/>
      <c r="Z284" s="208"/>
      <c r="AA284" s="208"/>
      <c r="AB284" s="208"/>
      <c r="AC284" s="208"/>
      <c r="AD284" s="208"/>
      <c r="AE284" s="208"/>
      <c r="AF284" s="208"/>
      <c r="AG284" s="208"/>
      <c r="AH284" s="208"/>
      <c r="AI284" s="208"/>
      <c r="AJ284" s="208"/>
      <c r="AK284" s="208"/>
      <c r="AL284" s="208"/>
      <c r="AM284" s="208"/>
      <c r="AN284" s="208"/>
      <c r="AO284" s="208"/>
      <c r="AP284" s="208"/>
    </row>
    <row r="285" spans="1:42">
      <c r="A285" s="119">
        <v>1</v>
      </c>
      <c r="C285" s="208">
        <f>IF(C$2&lt;=AnalysisPeriod,IF(SUM($C673:C673)&gt;0,B285+1,0),0)</f>
        <v>0</v>
      </c>
      <c r="D285" s="208">
        <f>IF(D$2&lt;=AnalysisPeriod,IF(SUM($C673:D673)&gt;0,C285+1,0),0)</f>
        <v>0</v>
      </c>
      <c r="E285" s="208">
        <f>IF(E$2&lt;=AnalysisPeriod,IF(SUM($C673:E673)&gt;0,D285+1,0),0)</f>
        <v>0</v>
      </c>
      <c r="F285" s="208">
        <f>IF(F$2&lt;=AnalysisPeriod,IF(SUM($C673:F673)&gt;0,E285+1,0),0)</f>
        <v>0</v>
      </c>
      <c r="G285" s="208">
        <f>IF(G$2&lt;=AnalysisPeriod,IF(SUM($C673:G673)&gt;0,F285+1,0),0)</f>
        <v>0</v>
      </c>
      <c r="H285" s="208">
        <f>IF(H$2&lt;=AnalysisPeriod,IF(SUM($C673:H673)&gt;0,G285+1,0),0)</f>
        <v>0</v>
      </c>
      <c r="I285" s="208">
        <f>IF(I$2&lt;=AnalysisPeriod,IF(SUM($C673:I673)&gt;0,H285+1,0),0)</f>
        <v>0</v>
      </c>
      <c r="J285" s="208">
        <f>IF(J$2&lt;=AnalysisPeriod,IF(SUM($C673:J673)&gt;0,I285+1,0),0)</f>
        <v>0</v>
      </c>
      <c r="K285" s="208">
        <f>IF(K$2&lt;=AnalysisPeriod,IF(SUM($C673:K673)&gt;0,J285+1,0),0)</f>
        <v>0</v>
      </c>
      <c r="L285" s="208">
        <f>IF(L$2&lt;=AnalysisPeriod,IF(SUM($C673:L673)&gt;0,K285+1,0),0)</f>
        <v>0</v>
      </c>
      <c r="M285" s="208">
        <f>IF(M$2&lt;=AnalysisPeriod,IF(SUM($C673:M673)&gt;0,L285+1,0),0)</f>
        <v>0</v>
      </c>
      <c r="N285" s="208">
        <f>IF(N$2&lt;=AnalysisPeriod,IF(SUM($C673:N673)&gt;0,M285+1,0),0)</f>
        <v>0</v>
      </c>
      <c r="O285" s="208">
        <f>IF(O$2&lt;=AnalysisPeriod,IF(SUM($C673:O673)&gt;0,N285+1,0),0)</f>
        <v>0</v>
      </c>
      <c r="P285" s="208">
        <f>IF(P$2&lt;=AnalysisPeriod,IF(SUM($C673:P673)&gt;0,O285+1,0),0)</f>
        <v>0</v>
      </c>
      <c r="Q285" s="208">
        <f>IF(Q$2&lt;=AnalysisPeriod,IF(SUM($C673:Q673)&gt;0,P285+1,0),0)</f>
        <v>1</v>
      </c>
      <c r="R285" s="208">
        <f>IF(R$2&lt;=AnalysisPeriod,IF(SUM($C673:R673)&gt;0,Q285+1,0),0)</f>
        <v>2</v>
      </c>
      <c r="S285" s="208">
        <f>IF(S$2&lt;=AnalysisPeriod,IF(SUM($C673:S673)&gt;0,R285+1,0),0)</f>
        <v>3</v>
      </c>
      <c r="T285" s="208">
        <f>IF(T$2&lt;=AnalysisPeriod,IF(SUM($C673:T673)&gt;0,S285+1,0),0)</f>
        <v>4</v>
      </c>
      <c r="U285" s="208">
        <f>IF(U$2&lt;=AnalysisPeriod,IF(SUM($C673:U673)&gt;0,T285+1,0),0)</f>
        <v>5</v>
      </c>
      <c r="V285" s="208">
        <f>IF(V$2&lt;=AnalysisPeriod,IF(SUM($C673:V673)&gt;0,U285+1,0),0)</f>
        <v>6</v>
      </c>
      <c r="W285" s="208">
        <f>IF(W$2&lt;=AnalysisPeriod,IF(SUM($C673:W673)&gt;0,V285+1,0),0)</f>
        <v>7</v>
      </c>
      <c r="X285" s="208">
        <f>IF(X$2&lt;=AnalysisPeriod,IF(SUM($C673:X673)&gt;0,W285+1,0),0)</f>
        <v>8</v>
      </c>
      <c r="Y285" s="208">
        <f>IF(Y$2&lt;=AnalysisPeriod,IF(SUM($C673:Y673)&gt;0,X285+1,0),0)</f>
        <v>9</v>
      </c>
      <c r="Z285" s="208">
        <f>IF(Z$2&lt;=AnalysisPeriod,IF(SUM($C673:Z673)&gt;0,Y285+1,0),0)</f>
        <v>10</v>
      </c>
      <c r="AA285" s="208">
        <f>IF(AA$2&lt;=AnalysisPeriod,IF(SUM($C673:AA673)&gt;0,Z285+1,0),0)</f>
        <v>11</v>
      </c>
      <c r="AB285" s="208">
        <f>IF(AB$2&lt;=AnalysisPeriod,IF(SUM($C673:AB673)&gt;0,AA285+1,0),0)</f>
        <v>12</v>
      </c>
      <c r="AC285" s="208">
        <f>IF(AC$2&lt;=AnalysisPeriod,IF(SUM($C673:AC673)&gt;0,AB285+1,0),0)</f>
        <v>13</v>
      </c>
      <c r="AD285" s="208">
        <f>IF(AD$2&lt;=AnalysisPeriod,IF(SUM($C673:AD673)&gt;0,AC285+1,0),0)</f>
        <v>14</v>
      </c>
      <c r="AE285" s="208">
        <f>IF(AE$2&lt;=AnalysisPeriod,IF(SUM($C673:AE673)&gt;0,AD285+1,0),0)</f>
        <v>15</v>
      </c>
      <c r="AF285" s="208">
        <f>IF(AF$2&lt;=AnalysisPeriod,IF(SUM($C673:AF673)&gt;0,AE285+1,0),0)</f>
        <v>16</v>
      </c>
      <c r="AG285" s="208">
        <f>IF(AG$2&lt;=AnalysisPeriod,IF(SUM($C673:AG673)&gt;0,AF285+1,0),0)</f>
        <v>0</v>
      </c>
      <c r="AH285" s="208">
        <f>IF(AH$2&lt;=AnalysisPeriod,IF(SUM($C673:AH673)&gt;0,AG285+1,0),0)</f>
        <v>0</v>
      </c>
      <c r="AI285" s="208">
        <f>IF(AI$2&lt;=AnalysisPeriod,IF(SUM($C673:AI673)&gt;0,AH285+1,0),0)</f>
        <v>0</v>
      </c>
      <c r="AJ285" s="208">
        <f>IF(AJ$2&lt;=AnalysisPeriod,IF(SUM($C673:AJ673)&gt;0,AI285+1,0),0)</f>
        <v>0</v>
      </c>
      <c r="AK285" s="208">
        <f>IF(AK$2&lt;=AnalysisPeriod,IF(SUM($C673:AK673)&gt;0,AJ285+1,0),0)</f>
        <v>0</v>
      </c>
      <c r="AL285" s="208">
        <f>IF(AL$2&lt;=AnalysisPeriod,IF(SUM($C673:AL673)&gt;0,AK285+1,0),0)</f>
        <v>0</v>
      </c>
      <c r="AM285" s="208">
        <f>IF(AM$2&lt;=AnalysisPeriod,IF(SUM($C673:AM673)&gt;0,AL285+1,0),0)</f>
        <v>0</v>
      </c>
      <c r="AN285" s="208">
        <f>IF(AN$2&lt;=AnalysisPeriod,IF(SUM($C673:AN673)&gt;0,AM285+1,0),0)</f>
        <v>0</v>
      </c>
      <c r="AO285" s="208">
        <f>IF(AO$2&lt;=AnalysisPeriod,IF(SUM($C673:AO673)&gt;0,AN285+1,0),0)</f>
        <v>0</v>
      </c>
      <c r="AP285" s="208">
        <f>IF(AP$2&lt;=AnalysisPeriod,IF(SUM($C673:AP673)&gt;0,AO285+1,0),0)</f>
        <v>0</v>
      </c>
    </row>
    <row r="286" spans="1:42">
      <c r="A286" s="119">
        <f>A285+1</f>
        <v>2</v>
      </c>
      <c r="C286" s="208">
        <f>IF(C$2&lt;=AnalysisPeriod,IF(SUM($C674:C674)&gt;0,B286+1,0),0)</f>
        <v>0</v>
      </c>
      <c r="D286" s="208">
        <f>IF(D$2&lt;=AnalysisPeriod,IF(SUM($C674:D674)&gt;0,C286+1,0),0)</f>
        <v>0</v>
      </c>
      <c r="E286" s="208">
        <f>IF(E$2&lt;=AnalysisPeriod,IF(SUM($C674:E674)&gt;0,D286+1,0),0)</f>
        <v>0</v>
      </c>
      <c r="F286" s="208">
        <f>IF(F$2&lt;=AnalysisPeriod,IF(SUM($C674:F674)&gt;0,E286+1,0),0)</f>
        <v>0</v>
      </c>
      <c r="G286" s="208">
        <f>IF(G$2&lt;=AnalysisPeriod,IF(SUM($C674:G674)&gt;0,F286+1,0),0)</f>
        <v>0</v>
      </c>
      <c r="H286" s="208">
        <f>IF(H$2&lt;=AnalysisPeriod,IF(SUM($C674:H674)&gt;0,G286+1,0),0)</f>
        <v>0</v>
      </c>
      <c r="I286" s="208">
        <f>IF(I$2&lt;=AnalysisPeriod,IF(SUM($C674:I674)&gt;0,H286+1,0),0)</f>
        <v>0</v>
      </c>
      <c r="J286" s="208">
        <f>IF(J$2&lt;=AnalysisPeriod,IF(SUM($C674:J674)&gt;0,I286+1,0),0)</f>
        <v>0</v>
      </c>
      <c r="K286" s="208">
        <f>IF(K$2&lt;=AnalysisPeriod,IF(SUM($C674:K674)&gt;0,J286+1,0),0)</f>
        <v>0</v>
      </c>
      <c r="L286" s="208">
        <f>IF(L$2&lt;=AnalysisPeriod,IF(SUM($C674:L674)&gt;0,K286+1,0),0)</f>
        <v>0</v>
      </c>
      <c r="M286" s="208">
        <f>IF(M$2&lt;=AnalysisPeriod,IF(SUM($C674:M674)&gt;0,L286+1,0),0)</f>
        <v>0</v>
      </c>
      <c r="N286" s="208">
        <f>IF(N$2&lt;=AnalysisPeriod,IF(SUM($C674:N674)&gt;0,M286+1,0),0)</f>
        <v>0</v>
      </c>
      <c r="O286" s="208">
        <f>IF(O$2&lt;=AnalysisPeriod,IF(SUM($C674:O674)&gt;0,N286+1,0),0)</f>
        <v>0</v>
      </c>
      <c r="P286" s="208">
        <f>IF(P$2&lt;=AnalysisPeriod,IF(SUM($C674:P674)&gt;0,O286+1,0),0)</f>
        <v>0</v>
      </c>
      <c r="Q286" s="208">
        <f>IF(Q$2&lt;=AnalysisPeriod,IF(SUM($C674:Q674)&gt;0,P286+1,0),0)</f>
        <v>0</v>
      </c>
      <c r="R286" s="208">
        <f>IF(R$2&lt;=AnalysisPeriod,IF(SUM($C674:R674)&gt;0,Q286+1,0),0)</f>
        <v>0</v>
      </c>
      <c r="S286" s="208">
        <f>IF(S$2&lt;=AnalysisPeriod,IF(SUM($C674:S674)&gt;0,R286+1,0),0)</f>
        <v>0</v>
      </c>
      <c r="T286" s="208">
        <f>IF(T$2&lt;=AnalysisPeriod,IF(SUM($C674:T674)&gt;0,S286+1,0),0)</f>
        <v>0</v>
      </c>
      <c r="U286" s="208">
        <f>IF(U$2&lt;=AnalysisPeriod,IF(SUM($C674:U674)&gt;0,T286+1,0),0)</f>
        <v>0</v>
      </c>
      <c r="V286" s="208">
        <f>IF(V$2&lt;=AnalysisPeriod,IF(SUM($C674:V674)&gt;0,U286+1,0),0)</f>
        <v>0</v>
      </c>
      <c r="W286" s="208">
        <f>IF(W$2&lt;=AnalysisPeriod,IF(SUM($C674:W674)&gt;0,V286+1,0),0)</f>
        <v>0</v>
      </c>
      <c r="X286" s="208">
        <f>IF(X$2&lt;=AnalysisPeriod,IF(SUM($C674:X674)&gt;0,W286+1,0),0)</f>
        <v>0</v>
      </c>
      <c r="Y286" s="208">
        <f>IF(Y$2&lt;=AnalysisPeriod,IF(SUM($C674:Y674)&gt;0,X286+1,0),0)</f>
        <v>0</v>
      </c>
      <c r="Z286" s="208">
        <f>IF(Z$2&lt;=AnalysisPeriod,IF(SUM($C674:Z674)&gt;0,Y286+1,0),0)</f>
        <v>0</v>
      </c>
      <c r="AA286" s="208">
        <f>IF(AA$2&lt;=AnalysisPeriod,IF(SUM($C674:AA674)&gt;0,Z286+1,0),0)</f>
        <v>0</v>
      </c>
      <c r="AB286" s="208">
        <f>IF(AB$2&lt;=AnalysisPeriod,IF(SUM($C674:AB674)&gt;0,AA286+1,0),0)</f>
        <v>0</v>
      </c>
      <c r="AC286" s="208">
        <f>IF(AC$2&lt;=AnalysisPeriod,IF(SUM($C674:AC674)&gt;0,AB286+1,0),0)</f>
        <v>0</v>
      </c>
      <c r="AD286" s="208">
        <f>IF(AD$2&lt;=AnalysisPeriod,IF(SUM($C674:AD674)&gt;0,AC286+1,0),0)</f>
        <v>0</v>
      </c>
      <c r="AE286" s="208">
        <f>IF(AE$2&lt;=AnalysisPeriod,IF(SUM($C674:AE674)&gt;0,AD286+1,0),0)</f>
        <v>0</v>
      </c>
      <c r="AF286" s="208">
        <f>IF(AF$2&lt;=AnalysisPeriod,IF(SUM($C674:AF674)&gt;0,AE286+1,0),0)</f>
        <v>1</v>
      </c>
      <c r="AG286" s="208">
        <f>IF(AG$2&lt;=AnalysisPeriod,IF(SUM($C674:AG674)&gt;0,AF286+1,0),0)</f>
        <v>0</v>
      </c>
      <c r="AH286" s="208">
        <f>IF(AH$2&lt;=AnalysisPeriod,IF(SUM($C674:AH674)&gt;0,AG286+1,0),0)</f>
        <v>0</v>
      </c>
      <c r="AI286" s="208">
        <f>IF(AI$2&lt;=AnalysisPeriod,IF(SUM($C674:AI674)&gt;0,AH286+1,0),0)</f>
        <v>0</v>
      </c>
      <c r="AJ286" s="208">
        <f>IF(AJ$2&lt;=AnalysisPeriod,IF(SUM($C674:AJ674)&gt;0,AI286+1,0),0)</f>
        <v>0</v>
      </c>
      <c r="AK286" s="208">
        <f>IF(AK$2&lt;=AnalysisPeriod,IF(SUM($C674:AK674)&gt;0,AJ286+1,0),0)</f>
        <v>0</v>
      </c>
      <c r="AL286" s="208">
        <f>IF(AL$2&lt;=AnalysisPeriod,IF(SUM($C674:AL674)&gt;0,AK286+1,0),0)</f>
        <v>0</v>
      </c>
      <c r="AM286" s="208">
        <f>IF(AM$2&lt;=AnalysisPeriod,IF(SUM($C674:AM674)&gt;0,AL286+1,0),0)</f>
        <v>0</v>
      </c>
      <c r="AN286" s="208">
        <f>IF(AN$2&lt;=AnalysisPeriod,IF(SUM($C674:AN674)&gt;0,AM286+1,0),0)</f>
        <v>0</v>
      </c>
      <c r="AO286" s="208">
        <f>IF(AO$2&lt;=AnalysisPeriod,IF(SUM($C674:AO674)&gt;0,AN286+1,0),0)</f>
        <v>0</v>
      </c>
      <c r="AP286" s="208">
        <f>IF(AP$2&lt;=AnalysisPeriod,IF(SUM($C674:AP674)&gt;0,AO286+1,0),0)</f>
        <v>0</v>
      </c>
    </row>
    <row r="287" spans="1:42">
      <c r="A287" s="119">
        <f t="shared" ref="A287:A294" si="133">A286+1</f>
        <v>3</v>
      </c>
      <c r="C287" s="208">
        <f>IF(C$2&lt;=AnalysisPeriod,IF(SUM($C675:C675)&gt;0,B287+1,0),0)</f>
        <v>0</v>
      </c>
      <c r="D287" s="208">
        <f>IF(D$2&lt;=AnalysisPeriod,IF(SUM($C675:D675)&gt;0,C287+1,0),0)</f>
        <v>0</v>
      </c>
      <c r="E287" s="208">
        <f>IF(E$2&lt;=AnalysisPeriod,IF(SUM($C675:E675)&gt;0,D287+1,0),0)</f>
        <v>0</v>
      </c>
      <c r="F287" s="208">
        <f>IF(F$2&lt;=AnalysisPeriod,IF(SUM($C675:F675)&gt;0,E287+1,0),0)</f>
        <v>0</v>
      </c>
      <c r="G287" s="208">
        <f>IF(G$2&lt;=AnalysisPeriod,IF(SUM($C675:G675)&gt;0,F287+1,0),0)</f>
        <v>0</v>
      </c>
      <c r="H287" s="208">
        <f>IF(H$2&lt;=AnalysisPeriod,IF(SUM($C675:H675)&gt;0,G287+1,0),0)</f>
        <v>0</v>
      </c>
      <c r="I287" s="208">
        <f>IF(I$2&lt;=AnalysisPeriod,IF(SUM($C675:I675)&gt;0,H287+1,0),0)</f>
        <v>0</v>
      </c>
      <c r="J287" s="208">
        <f>IF(J$2&lt;=AnalysisPeriod,IF(SUM($C675:J675)&gt;0,I287+1,0),0)</f>
        <v>0</v>
      </c>
      <c r="K287" s="208">
        <f>IF(K$2&lt;=AnalysisPeriod,IF(SUM($C675:K675)&gt;0,J287+1,0),0)</f>
        <v>0</v>
      </c>
      <c r="L287" s="208">
        <f>IF(L$2&lt;=AnalysisPeriod,IF(SUM($C675:L675)&gt;0,K287+1,0),0)</f>
        <v>0</v>
      </c>
      <c r="M287" s="208">
        <f>IF(M$2&lt;=AnalysisPeriod,IF(SUM($C675:M675)&gt;0,L287+1,0),0)</f>
        <v>0</v>
      </c>
      <c r="N287" s="208">
        <f>IF(N$2&lt;=AnalysisPeriod,IF(SUM($C675:N675)&gt;0,M287+1,0),0)</f>
        <v>0</v>
      </c>
      <c r="O287" s="208">
        <f>IF(O$2&lt;=AnalysisPeriod,IF(SUM($C675:O675)&gt;0,N287+1,0),0)</f>
        <v>0</v>
      </c>
      <c r="P287" s="208">
        <f>IF(P$2&lt;=AnalysisPeriod,IF(SUM($C675:P675)&gt;0,O287+1,0),0)</f>
        <v>0</v>
      </c>
      <c r="Q287" s="208">
        <f>IF(Q$2&lt;=AnalysisPeriod,IF(SUM($C675:Q675)&gt;0,P287+1,0),0)</f>
        <v>0</v>
      </c>
      <c r="R287" s="208">
        <f>IF(R$2&lt;=AnalysisPeriod,IF(SUM($C675:R675)&gt;0,Q287+1,0),0)</f>
        <v>0</v>
      </c>
      <c r="S287" s="208">
        <f>IF(S$2&lt;=AnalysisPeriod,IF(SUM($C675:S675)&gt;0,R287+1,0),0)</f>
        <v>0</v>
      </c>
      <c r="T287" s="208">
        <f>IF(T$2&lt;=AnalysisPeriod,IF(SUM($C675:T675)&gt;0,S287+1,0),0)</f>
        <v>0</v>
      </c>
      <c r="U287" s="208">
        <f>IF(U$2&lt;=AnalysisPeriod,IF(SUM($C675:U675)&gt;0,T287+1,0),0)</f>
        <v>0</v>
      </c>
      <c r="V287" s="208">
        <f>IF(V$2&lt;=AnalysisPeriod,IF(SUM($C675:V675)&gt;0,U287+1,0),0)</f>
        <v>0</v>
      </c>
      <c r="W287" s="208">
        <f>IF(W$2&lt;=AnalysisPeriod,IF(SUM($C675:W675)&gt;0,V287+1,0),0)</f>
        <v>0</v>
      </c>
      <c r="X287" s="208">
        <f>IF(X$2&lt;=AnalysisPeriod,IF(SUM($C675:X675)&gt;0,W287+1,0),0)</f>
        <v>0</v>
      </c>
      <c r="Y287" s="208">
        <f>IF(Y$2&lt;=AnalysisPeriod,IF(SUM($C675:Y675)&gt;0,X287+1,0),0)</f>
        <v>0</v>
      </c>
      <c r="Z287" s="208">
        <f>IF(Z$2&lt;=AnalysisPeriod,IF(SUM($C675:Z675)&gt;0,Y287+1,0),0)</f>
        <v>0</v>
      </c>
      <c r="AA287" s="208">
        <f>IF(AA$2&lt;=AnalysisPeriod,IF(SUM($C675:AA675)&gt;0,Z287+1,0),0)</f>
        <v>0</v>
      </c>
      <c r="AB287" s="208">
        <f>IF(AB$2&lt;=AnalysisPeriod,IF(SUM($C675:AB675)&gt;0,AA287+1,0),0)</f>
        <v>0</v>
      </c>
      <c r="AC287" s="208">
        <f>IF(AC$2&lt;=AnalysisPeriod,IF(SUM($C675:AC675)&gt;0,AB287+1,0),0)</f>
        <v>0</v>
      </c>
      <c r="AD287" s="208">
        <f>IF(AD$2&lt;=AnalysisPeriod,IF(SUM($C675:AD675)&gt;0,AC287+1,0),0)</f>
        <v>0</v>
      </c>
      <c r="AE287" s="208">
        <f>IF(AE$2&lt;=AnalysisPeriod,IF(SUM($C675:AE675)&gt;0,AD287+1,0),0)</f>
        <v>0</v>
      </c>
      <c r="AF287" s="208">
        <f>IF(AF$2&lt;=AnalysisPeriod,IF(SUM($C675:AF675)&gt;0,AE287+1,0),0)</f>
        <v>0</v>
      </c>
      <c r="AG287" s="208">
        <f>IF(AG$2&lt;=AnalysisPeriod,IF(SUM($C675:AG675)&gt;0,AF287+1,0),0)</f>
        <v>0</v>
      </c>
      <c r="AH287" s="208">
        <f>IF(AH$2&lt;=AnalysisPeriod,IF(SUM($C675:AH675)&gt;0,AG287+1,0),0)</f>
        <v>0</v>
      </c>
      <c r="AI287" s="208">
        <f>IF(AI$2&lt;=AnalysisPeriod,IF(SUM($C675:AI675)&gt;0,AH287+1,0),0)</f>
        <v>0</v>
      </c>
      <c r="AJ287" s="208">
        <f>IF(AJ$2&lt;=AnalysisPeriod,IF(SUM($C675:AJ675)&gt;0,AI287+1,0),0)</f>
        <v>0</v>
      </c>
      <c r="AK287" s="208">
        <f>IF(AK$2&lt;=AnalysisPeriod,IF(SUM($C675:AK675)&gt;0,AJ287+1,0),0)</f>
        <v>0</v>
      </c>
      <c r="AL287" s="208">
        <f>IF(AL$2&lt;=AnalysisPeriod,IF(SUM($C675:AL675)&gt;0,AK287+1,0),0)</f>
        <v>0</v>
      </c>
      <c r="AM287" s="208">
        <f>IF(AM$2&lt;=AnalysisPeriod,IF(SUM($C675:AM675)&gt;0,AL287+1,0),0)</f>
        <v>0</v>
      </c>
      <c r="AN287" s="208">
        <f>IF(AN$2&lt;=AnalysisPeriod,IF(SUM($C675:AN675)&gt;0,AM287+1,0),0)</f>
        <v>0</v>
      </c>
      <c r="AO287" s="208">
        <f>IF(AO$2&lt;=AnalysisPeriod,IF(SUM($C675:AO675)&gt;0,AN287+1,0),0)</f>
        <v>0</v>
      </c>
      <c r="AP287" s="208">
        <f>IF(AP$2&lt;=AnalysisPeriod,IF(SUM($C675:AP675)&gt;0,AO287+1,0),0)</f>
        <v>0</v>
      </c>
    </row>
    <row r="288" spans="1:42">
      <c r="A288" s="119">
        <f t="shared" si="133"/>
        <v>4</v>
      </c>
      <c r="C288" s="208">
        <f>IF(C$2&lt;=AnalysisPeriod,IF(SUM($C676:C676)&gt;0,B288+1,0),0)</f>
        <v>0</v>
      </c>
      <c r="D288" s="208">
        <f>IF(D$2&lt;=AnalysisPeriod,IF(SUM($C676:D676)&gt;0,C288+1,0),0)</f>
        <v>0</v>
      </c>
      <c r="E288" s="208">
        <f>IF(E$2&lt;=AnalysisPeriod,IF(SUM($C676:E676)&gt;0,D288+1,0),0)</f>
        <v>0</v>
      </c>
      <c r="F288" s="208">
        <f>IF(F$2&lt;=AnalysisPeriod,IF(SUM($C676:F676)&gt;0,E288+1,0),0)</f>
        <v>0</v>
      </c>
      <c r="G288" s="208">
        <f>IF(G$2&lt;=AnalysisPeriod,IF(SUM($C676:G676)&gt;0,F288+1,0),0)</f>
        <v>0</v>
      </c>
      <c r="H288" s="208">
        <f>IF(H$2&lt;=AnalysisPeriod,IF(SUM($C676:H676)&gt;0,G288+1,0),0)</f>
        <v>0</v>
      </c>
      <c r="I288" s="208">
        <f>IF(I$2&lt;=AnalysisPeriod,IF(SUM($C676:I676)&gt;0,H288+1,0),0)</f>
        <v>0</v>
      </c>
      <c r="J288" s="208">
        <f>IF(J$2&lt;=AnalysisPeriod,IF(SUM($C676:J676)&gt;0,I288+1,0),0)</f>
        <v>0</v>
      </c>
      <c r="K288" s="208">
        <f>IF(K$2&lt;=AnalysisPeriod,IF(SUM($C676:K676)&gt;0,J288+1,0),0)</f>
        <v>0</v>
      </c>
      <c r="L288" s="208">
        <f>IF(L$2&lt;=AnalysisPeriod,IF(SUM($C676:L676)&gt;0,K288+1,0),0)</f>
        <v>0</v>
      </c>
      <c r="M288" s="208">
        <f>IF(M$2&lt;=AnalysisPeriod,IF(SUM($C676:M676)&gt;0,L288+1,0),0)</f>
        <v>0</v>
      </c>
      <c r="N288" s="208">
        <f>IF(N$2&lt;=AnalysisPeriod,IF(SUM($C676:N676)&gt;0,M288+1,0),0)</f>
        <v>0</v>
      </c>
      <c r="O288" s="208">
        <f>IF(O$2&lt;=AnalysisPeriod,IF(SUM($C676:O676)&gt;0,N288+1,0),0)</f>
        <v>0</v>
      </c>
      <c r="P288" s="208">
        <f>IF(P$2&lt;=AnalysisPeriod,IF(SUM($C676:P676)&gt;0,O288+1,0),0)</f>
        <v>0</v>
      </c>
      <c r="Q288" s="208">
        <f>IF(Q$2&lt;=AnalysisPeriod,IF(SUM($C676:Q676)&gt;0,P288+1,0),0)</f>
        <v>0</v>
      </c>
      <c r="R288" s="208">
        <f>IF(R$2&lt;=AnalysisPeriod,IF(SUM($C676:R676)&gt;0,Q288+1,0),0)</f>
        <v>0</v>
      </c>
      <c r="S288" s="208">
        <f>IF(S$2&lt;=AnalysisPeriod,IF(SUM($C676:S676)&gt;0,R288+1,0),0)</f>
        <v>0</v>
      </c>
      <c r="T288" s="208">
        <f>IF(T$2&lt;=AnalysisPeriod,IF(SUM($C676:T676)&gt;0,S288+1,0),0)</f>
        <v>0</v>
      </c>
      <c r="U288" s="208">
        <f>IF(U$2&lt;=AnalysisPeriod,IF(SUM($C676:U676)&gt;0,T288+1,0),0)</f>
        <v>0</v>
      </c>
      <c r="V288" s="208">
        <f>IF(V$2&lt;=AnalysisPeriod,IF(SUM($C676:V676)&gt;0,U288+1,0),0)</f>
        <v>0</v>
      </c>
      <c r="W288" s="208">
        <f>IF(W$2&lt;=AnalysisPeriod,IF(SUM($C676:W676)&gt;0,V288+1,0),0)</f>
        <v>0</v>
      </c>
      <c r="X288" s="208">
        <f>IF(X$2&lt;=AnalysisPeriod,IF(SUM($C676:X676)&gt;0,W288+1,0),0)</f>
        <v>0</v>
      </c>
      <c r="Y288" s="208">
        <f>IF(Y$2&lt;=AnalysisPeriod,IF(SUM($C676:Y676)&gt;0,X288+1,0),0)</f>
        <v>0</v>
      </c>
      <c r="Z288" s="208">
        <f>IF(Z$2&lt;=AnalysisPeriod,IF(SUM($C676:Z676)&gt;0,Y288+1,0),0)</f>
        <v>0</v>
      </c>
      <c r="AA288" s="208">
        <f>IF(AA$2&lt;=AnalysisPeriod,IF(SUM($C676:AA676)&gt;0,Z288+1,0),0)</f>
        <v>0</v>
      </c>
      <c r="AB288" s="208">
        <f>IF(AB$2&lt;=AnalysisPeriod,IF(SUM($C676:AB676)&gt;0,AA288+1,0),0)</f>
        <v>0</v>
      </c>
      <c r="AC288" s="208">
        <f>IF(AC$2&lt;=AnalysisPeriod,IF(SUM($C676:AC676)&gt;0,AB288+1,0),0)</f>
        <v>0</v>
      </c>
      <c r="AD288" s="208">
        <f>IF(AD$2&lt;=AnalysisPeriod,IF(SUM($C676:AD676)&gt;0,AC288+1,0),0)</f>
        <v>0</v>
      </c>
      <c r="AE288" s="208">
        <f>IF(AE$2&lt;=AnalysisPeriod,IF(SUM($C676:AE676)&gt;0,AD288+1,0),0)</f>
        <v>0</v>
      </c>
      <c r="AF288" s="208">
        <f>IF(AF$2&lt;=AnalysisPeriod,IF(SUM($C676:AF676)&gt;0,AE288+1,0),0)</f>
        <v>0</v>
      </c>
      <c r="AG288" s="208">
        <f>IF(AG$2&lt;=AnalysisPeriod,IF(SUM($C676:AG676)&gt;0,AF288+1,0),0)</f>
        <v>0</v>
      </c>
      <c r="AH288" s="208">
        <f>IF(AH$2&lt;=AnalysisPeriod,IF(SUM($C676:AH676)&gt;0,AG288+1,0),0)</f>
        <v>0</v>
      </c>
      <c r="AI288" s="208">
        <f>IF(AI$2&lt;=AnalysisPeriod,IF(SUM($C676:AI676)&gt;0,AH288+1,0),0)</f>
        <v>0</v>
      </c>
      <c r="AJ288" s="208">
        <f>IF(AJ$2&lt;=AnalysisPeriod,IF(SUM($C676:AJ676)&gt;0,AI288+1,0),0)</f>
        <v>0</v>
      </c>
      <c r="AK288" s="208">
        <f>IF(AK$2&lt;=AnalysisPeriod,IF(SUM($C676:AK676)&gt;0,AJ288+1,0),0)</f>
        <v>0</v>
      </c>
      <c r="AL288" s="208">
        <f>IF(AL$2&lt;=AnalysisPeriod,IF(SUM($C676:AL676)&gt;0,AK288+1,0),0)</f>
        <v>0</v>
      </c>
      <c r="AM288" s="208">
        <f>IF(AM$2&lt;=AnalysisPeriod,IF(SUM($C676:AM676)&gt;0,AL288+1,0),0)</f>
        <v>0</v>
      </c>
      <c r="AN288" s="208">
        <f>IF(AN$2&lt;=AnalysisPeriod,IF(SUM($C676:AN676)&gt;0,AM288+1,0),0)</f>
        <v>0</v>
      </c>
      <c r="AO288" s="208">
        <f>IF(AO$2&lt;=AnalysisPeriod,IF(SUM($C676:AO676)&gt;0,AN288+1,0),0)</f>
        <v>0</v>
      </c>
      <c r="AP288" s="208">
        <f>IF(AP$2&lt;=AnalysisPeriod,IF(SUM($C676:AP676)&gt;0,AO288+1,0),0)</f>
        <v>0</v>
      </c>
    </row>
    <row r="289" spans="1:42">
      <c r="A289" s="119">
        <f t="shared" si="133"/>
        <v>5</v>
      </c>
      <c r="C289" s="208">
        <f>IF(C$2&lt;=AnalysisPeriod,IF(SUM($C677:C677)&gt;0,B289+1,0),0)</f>
        <v>0</v>
      </c>
      <c r="D289" s="208">
        <f>IF(D$2&lt;=AnalysisPeriod,IF(SUM($C677:D677)&gt;0,C289+1,0),0)</f>
        <v>0</v>
      </c>
      <c r="E289" s="208">
        <f>IF(E$2&lt;=AnalysisPeriod,IF(SUM($C677:E677)&gt;0,D289+1,0),0)</f>
        <v>0</v>
      </c>
      <c r="F289" s="208">
        <f>IF(F$2&lt;=AnalysisPeriod,IF(SUM($C677:F677)&gt;0,E289+1,0),0)</f>
        <v>0</v>
      </c>
      <c r="G289" s="208">
        <f>IF(G$2&lt;=AnalysisPeriod,IF(SUM($C677:G677)&gt;0,F289+1,0),0)</f>
        <v>0</v>
      </c>
      <c r="H289" s="208">
        <f>IF(H$2&lt;=AnalysisPeriod,IF(SUM($C677:H677)&gt;0,G289+1,0),0)</f>
        <v>0</v>
      </c>
      <c r="I289" s="208">
        <f>IF(I$2&lt;=AnalysisPeriod,IF(SUM($C677:I677)&gt;0,H289+1,0),0)</f>
        <v>0</v>
      </c>
      <c r="J289" s="208">
        <f>IF(J$2&lt;=AnalysisPeriod,IF(SUM($C677:J677)&gt;0,I289+1,0),0)</f>
        <v>0</v>
      </c>
      <c r="K289" s="208">
        <f>IF(K$2&lt;=AnalysisPeriod,IF(SUM($C677:K677)&gt;0,J289+1,0),0)</f>
        <v>0</v>
      </c>
      <c r="L289" s="208">
        <f>IF(L$2&lt;=AnalysisPeriod,IF(SUM($C677:L677)&gt;0,K289+1,0),0)</f>
        <v>0</v>
      </c>
      <c r="M289" s="208">
        <f>IF(M$2&lt;=AnalysisPeriod,IF(SUM($C677:M677)&gt;0,L289+1,0),0)</f>
        <v>0</v>
      </c>
      <c r="N289" s="208">
        <f>IF(N$2&lt;=AnalysisPeriod,IF(SUM($C677:N677)&gt;0,M289+1,0),0)</f>
        <v>0</v>
      </c>
      <c r="O289" s="208">
        <f>IF(O$2&lt;=AnalysisPeriod,IF(SUM($C677:O677)&gt;0,N289+1,0),0)</f>
        <v>0</v>
      </c>
      <c r="P289" s="208">
        <f>IF(P$2&lt;=AnalysisPeriod,IF(SUM($C677:P677)&gt;0,O289+1,0),0)</f>
        <v>0</v>
      </c>
      <c r="Q289" s="208">
        <f>IF(Q$2&lt;=AnalysisPeriod,IF(SUM($C677:Q677)&gt;0,P289+1,0),0)</f>
        <v>0</v>
      </c>
      <c r="R289" s="208">
        <f>IF(R$2&lt;=AnalysisPeriod,IF(SUM($C677:R677)&gt;0,Q289+1,0),0)</f>
        <v>0</v>
      </c>
      <c r="S289" s="208">
        <f>IF(S$2&lt;=AnalysisPeriod,IF(SUM($C677:S677)&gt;0,R289+1,0),0)</f>
        <v>0</v>
      </c>
      <c r="T289" s="208">
        <f>IF(T$2&lt;=AnalysisPeriod,IF(SUM($C677:T677)&gt;0,S289+1,0),0)</f>
        <v>0</v>
      </c>
      <c r="U289" s="208">
        <f>IF(U$2&lt;=AnalysisPeriod,IF(SUM($C677:U677)&gt;0,T289+1,0),0)</f>
        <v>0</v>
      </c>
      <c r="V289" s="208">
        <f>IF(V$2&lt;=AnalysisPeriod,IF(SUM($C677:V677)&gt;0,U289+1,0),0)</f>
        <v>0</v>
      </c>
      <c r="W289" s="208">
        <f>IF(W$2&lt;=AnalysisPeriod,IF(SUM($C677:W677)&gt;0,V289+1,0),0)</f>
        <v>0</v>
      </c>
      <c r="X289" s="208">
        <f>IF(X$2&lt;=AnalysisPeriod,IF(SUM($C677:X677)&gt;0,W289+1,0),0)</f>
        <v>0</v>
      </c>
      <c r="Y289" s="208">
        <f>IF(Y$2&lt;=AnalysisPeriod,IF(SUM($C677:Y677)&gt;0,X289+1,0),0)</f>
        <v>0</v>
      </c>
      <c r="Z289" s="208">
        <f>IF(Z$2&lt;=AnalysisPeriod,IF(SUM($C677:Z677)&gt;0,Y289+1,0),0)</f>
        <v>0</v>
      </c>
      <c r="AA289" s="208">
        <f>IF(AA$2&lt;=AnalysisPeriod,IF(SUM($C677:AA677)&gt;0,Z289+1,0),0)</f>
        <v>0</v>
      </c>
      <c r="AB289" s="208">
        <f>IF(AB$2&lt;=AnalysisPeriod,IF(SUM($C677:AB677)&gt;0,AA289+1,0),0)</f>
        <v>0</v>
      </c>
      <c r="AC289" s="208">
        <f>IF(AC$2&lt;=AnalysisPeriod,IF(SUM($C677:AC677)&gt;0,AB289+1,0),0)</f>
        <v>0</v>
      </c>
      <c r="AD289" s="208">
        <f>IF(AD$2&lt;=AnalysisPeriod,IF(SUM($C677:AD677)&gt;0,AC289+1,0),0)</f>
        <v>0</v>
      </c>
      <c r="AE289" s="208">
        <f>IF(AE$2&lt;=AnalysisPeriod,IF(SUM($C677:AE677)&gt;0,AD289+1,0),0)</f>
        <v>0</v>
      </c>
      <c r="AF289" s="208">
        <f>IF(AF$2&lt;=AnalysisPeriod,IF(SUM($C677:AF677)&gt;0,AE289+1,0),0)</f>
        <v>0</v>
      </c>
      <c r="AG289" s="208">
        <f>IF(AG$2&lt;=AnalysisPeriod,IF(SUM($C677:AG677)&gt;0,AF289+1,0),0)</f>
        <v>0</v>
      </c>
      <c r="AH289" s="208">
        <f>IF(AH$2&lt;=AnalysisPeriod,IF(SUM($C677:AH677)&gt;0,AG289+1,0),0)</f>
        <v>0</v>
      </c>
      <c r="AI289" s="208">
        <f>IF(AI$2&lt;=AnalysisPeriod,IF(SUM($C677:AI677)&gt;0,AH289+1,0),0)</f>
        <v>0</v>
      </c>
      <c r="AJ289" s="208">
        <f>IF(AJ$2&lt;=AnalysisPeriod,IF(SUM($C677:AJ677)&gt;0,AI289+1,0),0)</f>
        <v>0</v>
      </c>
      <c r="AK289" s="208">
        <f>IF(AK$2&lt;=AnalysisPeriod,IF(SUM($C677:AK677)&gt;0,AJ289+1,0),0)</f>
        <v>0</v>
      </c>
      <c r="AL289" s="208">
        <f>IF(AL$2&lt;=AnalysisPeriod,IF(SUM($C677:AL677)&gt;0,AK289+1,0),0)</f>
        <v>0</v>
      </c>
      <c r="AM289" s="208">
        <f>IF(AM$2&lt;=AnalysisPeriod,IF(SUM($C677:AM677)&gt;0,AL289+1,0),0)</f>
        <v>0</v>
      </c>
      <c r="AN289" s="208">
        <f>IF(AN$2&lt;=AnalysisPeriod,IF(SUM($C677:AN677)&gt;0,AM289+1,0),0)</f>
        <v>0</v>
      </c>
      <c r="AO289" s="208">
        <f>IF(AO$2&lt;=AnalysisPeriod,IF(SUM($C677:AO677)&gt;0,AN289+1,0),0)</f>
        <v>0</v>
      </c>
      <c r="AP289" s="208">
        <f>IF(AP$2&lt;=AnalysisPeriod,IF(SUM($C677:AP677)&gt;0,AO289+1,0),0)</f>
        <v>0</v>
      </c>
    </row>
    <row r="290" spans="1:42">
      <c r="A290" s="119">
        <f t="shared" si="133"/>
        <v>6</v>
      </c>
      <c r="C290" s="208">
        <f>IF(C$2&lt;=AnalysisPeriod,IF(SUM($C678:C678)&gt;0,B290+1,0),0)</f>
        <v>0</v>
      </c>
      <c r="D290" s="208">
        <f>IF(D$2&lt;=AnalysisPeriod,IF(SUM($C678:D678)&gt;0,C290+1,0),0)</f>
        <v>0</v>
      </c>
      <c r="E290" s="208">
        <f>IF(E$2&lt;=AnalysisPeriod,IF(SUM($C678:E678)&gt;0,D290+1,0),0)</f>
        <v>0</v>
      </c>
      <c r="F290" s="208">
        <f>IF(F$2&lt;=AnalysisPeriod,IF(SUM($C678:F678)&gt;0,E290+1,0),0)</f>
        <v>0</v>
      </c>
      <c r="G290" s="208">
        <f>IF(G$2&lt;=AnalysisPeriod,IF(SUM($C678:G678)&gt;0,F290+1,0),0)</f>
        <v>0</v>
      </c>
      <c r="H290" s="208">
        <f>IF(H$2&lt;=AnalysisPeriod,IF(SUM($C678:H678)&gt;0,G290+1,0),0)</f>
        <v>0</v>
      </c>
      <c r="I290" s="208">
        <f>IF(I$2&lt;=AnalysisPeriod,IF(SUM($C678:I678)&gt;0,H290+1,0),0)</f>
        <v>0</v>
      </c>
      <c r="J290" s="208">
        <f>IF(J$2&lt;=AnalysisPeriod,IF(SUM($C678:J678)&gt;0,I290+1,0),0)</f>
        <v>0</v>
      </c>
      <c r="K290" s="208">
        <f>IF(K$2&lt;=AnalysisPeriod,IF(SUM($C678:K678)&gt;0,J290+1,0),0)</f>
        <v>0</v>
      </c>
      <c r="L290" s="208">
        <f>IF(L$2&lt;=AnalysisPeriod,IF(SUM($C678:L678)&gt;0,K290+1,0),0)</f>
        <v>0</v>
      </c>
      <c r="M290" s="208">
        <f>IF(M$2&lt;=AnalysisPeriod,IF(SUM($C678:M678)&gt;0,L290+1,0),0)</f>
        <v>0</v>
      </c>
      <c r="N290" s="208">
        <f>IF(N$2&lt;=AnalysisPeriod,IF(SUM($C678:N678)&gt;0,M290+1,0),0)</f>
        <v>0</v>
      </c>
      <c r="O290" s="208">
        <f>IF(O$2&lt;=AnalysisPeriod,IF(SUM($C678:O678)&gt;0,N290+1,0),0)</f>
        <v>0</v>
      </c>
      <c r="P290" s="208">
        <f>IF(P$2&lt;=AnalysisPeriod,IF(SUM($C678:P678)&gt;0,O290+1,0),0)</f>
        <v>0</v>
      </c>
      <c r="Q290" s="208">
        <f>IF(Q$2&lt;=AnalysisPeriod,IF(SUM($C678:Q678)&gt;0,P290+1,0),0)</f>
        <v>0</v>
      </c>
      <c r="R290" s="208">
        <f>IF(R$2&lt;=AnalysisPeriod,IF(SUM($C678:R678)&gt;0,Q290+1,0),0)</f>
        <v>0</v>
      </c>
      <c r="S290" s="208">
        <f>IF(S$2&lt;=AnalysisPeriod,IF(SUM($C678:S678)&gt;0,R290+1,0),0)</f>
        <v>0</v>
      </c>
      <c r="T290" s="208">
        <f>IF(T$2&lt;=AnalysisPeriod,IF(SUM($C678:T678)&gt;0,S290+1,0),0)</f>
        <v>0</v>
      </c>
      <c r="U290" s="208">
        <f>IF(U$2&lt;=AnalysisPeriod,IF(SUM($C678:U678)&gt;0,T290+1,0),0)</f>
        <v>0</v>
      </c>
      <c r="V290" s="208">
        <f>IF(V$2&lt;=AnalysisPeriod,IF(SUM($C678:V678)&gt;0,U290+1,0),0)</f>
        <v>0</v>
      </c>
      <c r="W290" s="208">
        <f>IF(W$2&lt;=AnalysisPeriod,IF(SUM($C678:W678)&gt;0,V290+1,0),0)</f>
        <v>0</v>
      </c>
      <c r="X290" s="208">
        <f>IF(X$2&lt;=AnalysisPeriod,IF(SUM($C678:X678)&gt;0,W290+1,0),0)</f>
        <v>0</v>
      </c>
      <c r="Y290" s="208">
        <f>IF(Y$2&lt;=AnalysisPeriod,IF(SUM($C678:Y678)&gt;0,X290+1,0),0)</f>
        <v>0</v>
      </c>
      <c r="Z290" s="208">
        <f>IF(Z$2&lt;=AnalysisPeriod,IF(SUM($C678:Z678)&gt;0,Y290+1,0),0)</f>
        <v>0</v>
      </c>
      <c r="AA290" s="208">
        <f>IF(AA$2&lt;=AnalysisPeriod,IF(SUM($C678:AA678)&gt;0,Z290+1,0),0)</f>
        <v>0</v>
      </c>
      <c r="AB290" s="208">
        <f>IF(AB$2&lt;=AnalysisPeriod,IF(SUM($C678:AB678)&gt;0,AA290+1,0),0)</f>
        <v>0</v>
      </c>
      <c r="AC290" s="208">
        <f>IF(AC$2&lt;=AnalysisPeriod,IF(SUM($C678:AC678)&gt;0,AB290+1,0),0)</f>
        <v>0</v>
      </c>
      <c r="AD290" s="208">
        <f>IF(AD$2&lt;=AnalysisPeriod,IF(SUM($C678:AD678)&gt;0,AC290+1,0),0)</f>
        <v>0</v>
      </c>
      <c r="AE290" s="208">
        <f>IF(AE$2&lt;=AnalysisPeriod,IF(SUM($C678:AE678)&gt;0,AD290+1,0),0)</f>
        <v>0</v>
      </c>
      <c r="AF290" s="208">
        <f>IF(AF$2&lt;=AnalysisPeriod,IF(SUM($C678:AF678)&gt;0,AE290+1,0),0)</f>
        <v>0</v>
      </c>
      <c r="AG290" s="208">
        <f>IF(AG$2&lt;=AnalysisPeriod,IF(SUM($C678:AG678)&gt;0,AF290+1,0),0)</f>
        <v>0</v>
      </c>
      <c r="AH290" s="208">
        <f>IF(AH$2&lt;=AnalysisPeriod,IF(SUM($C678:AH678)&gt;0,AG290+1,0),0)</f>
        <v>0</v>
      </c>
      <c r="AI290" s="208">
        <f>IF(AI$2&lt;=AnalysisPeriod,IF(SUM($C678:AI678)&gt;0,AH290+1,0),0)</f>
        <v>0</v>
      </c>
      <c r="AJ290" s="208">
        <f>IF(AJ$2&lt;=AnalysisPeriod,IF(SUM($C678:AJ678)&gt;0,AI290+1,0),0)</f>
        <v>0</v>
      </c>
      <c r="AK290" s="208">
        <f>IF(AK$2&lt;=AnalysisPeriod,IF(SUM($C678:AK678)&gt;0,AJ290+1,0),0)</f>
        <v>0</v>
      </c>
      <c r="AL290" s="208">
        <f>IF(AL$2&lt;=AnalysisPeriod,IF(SUM($C678:AL678)&gt;0,AK290+1,0),0)</f>
        <v>0</v>
      </c>
      <c r="AM290" s="208">
        <f>IF(AM$2&lt;=AnalysisPeriod,IF(SUM($C678:AM678)&gt;0,AL290+1,0),0)</f>
        <v>0</v>
      </c>
      <c r="AN290" s="208">
        <f>IF(AN$2&lt;=AnalysisPeriod,IF(SUM($C678:AN678)&gt;0,AM290+1,0),0)</f>
        <v>0</v>
      </c>
      <c r="AO290" s="208">
        <f>IF(AO$2&lt;=AnalysisPeriod,IF(SUM($C678:AO678)&gt;0,AN290+1,0),0)</f>
        <v>0</v>
      </c>
      <c r="AP290" s="208">
        <f>IF(AP$2&lt;=AnalysisPeriod,IF(SUM($C678:AP678)&gt;0,AO290+1,0),0)</f>
        <v>0</v>
      </c>
    </row>
    <row r="291" spans="1:42">
      <c r="A291" s="119">
        <f t="shared" si="133"/>
        <v>7</v>
      </c>
      <c r="C291" s="208">
        <f>IF(C$2&lt;=AnalysisPeriod,IF(SUM($C679:C679)&gt;0,B291+1,0),0)</f>
        <v>0</v>
      </c>
      <c r="D291" s="208">
        <f>IF(D$2&lt;=AnalysisPeriod,IF(SUM($C679:D679)&gt;0,C291+1,0),0)</f>
        <v>0</v>
      </c>
      <c r="E291" s="208">
        <f>IF(E$2&lt;=AnalysisPeriod,IF(SUM($C679:E679)&gt;0,D291+1,0),0)</f>
        <v>0</v>
      </c>
      <c r="F291" s="208">
        <f>IF(F$2&lt;=AnalysisPeriod,IF(SUM($C679:F679)&gt;0,E291+1,0),0)</f>
        <v>0</v>
      </c>
      <c r="G291" s="208">
        <f>IF(G$2&lt;=AnalysisPeriod,IF(SUM($C679:G679)&gt;0,F291+1,0),0)</f>
        <v>0</v>
      </c>
      <c r="H291" s="208">
        <f>IF(H$2&lt;=AnalysisPeriod,IF(SUM($C679:H679)&gt;0,G291+1,0),0)</f>
        <v>0</v>
      </c>
      <c r="I291" s="208">
        <f>IF(I$2&lt;=AnalysisPeriod,IF(SUM($C679:I679)&gt;0,H291+1,0),0)</f>
        <v>0</v>
      </c>
      <c r="J291" s="208">
        <f>IF(J$2&lt;=AnalysisPeriod,IF(SUM($C679:J679)&gt;0,I291+1,0),0)</f>
        <v>0</v>
      </c>
      <c r="K291" s="208">
        <f>IF(K$2&lt;=AnalysisPeriod,IF(SUM($C679:K679)&gt;0,J291+1,0),0)</f>
        <v>0</v>
      </c>
      <c r="L291" s="208">
        <f>IF(L$2&lt;=AnalysisPeriod,IF(SUM($C679:L679)&gt;0,K291+1,0),0)</f>
        <v>0</v>
      </c>
      <c r="M291" s="208">
        <f>IF(M$2&lt;=AnalysisPeriod,IF(SUM($C679:M679)&gt;0,L291+1,0),0)</f>
        <v>0</v>
      </c>
      <c r="N291" s="208">
        <f>IF(N$2&lt;=AnalysisPeriod,IF(SUM($C679:N679)&gt;0,M291+1,0),0)</f>
        <v>0</v>
      </c>
      <c r="O291" s="208">
        <f>IF(O$2&lt;=AnalysisPeriod,IF(SUM($C679:O679)&gt;0,N291+1,0),0)</f>
        <v>0</v>
      </c>
      <c r="P291" s="208">
        <f>IF(P$2&lt;=AnalysisPeriod,IF(SUM($C679:P679)&gt;0,O291+1,0),0)</f>
        <v>0</v>
      </c>
      <c r="Q291" s="208">
        <f>IF(Q$2&lt;=AnalysisPeriod,IF(SUM($C679:Q679)&gt;0,P291+1,0),0)</f>
        <v>0</v>
      </c>
      <c r="R291" s="208">
        <f>IF(R$2&lt;=AnalysisPeriod,IF(SUM($C679:R679)&gt;0,Q291+1,0),0)</f>
        <v>0</v>
      </c>
      <c r="S291" s="208">
        <f>IF(S$2&lt;=AnalysisPeriod,IF(SUM($C679:S679)&gt;0,R291+1,0),0)</f>
        <v>0</v>
      </c>
      <c r="T291" s="208">
        <f>IF(T$2&lt;=AnalysisPeriod,IF(SUM($C679:T679)&gt;0,S291+1,0),0)</f>
        <v>0</v>
      </c>
      <c r="U291" s="208">
        <f>IF(U$2&lt;=AnalysisPeriod,IF(SUM($C679:U679)&gt;0,T291+1,0),0)</f>
        <v>0</v>
      </c>
      <c r="V291" s="208">
        <f>IF(V$2&lt;=AnalysisPeriod,IF(SUM($C679:V679)&gt;0,U291+1,0),0)</f>
        <v>0</v>
      </c>
      <c r="W291" s="208">
        <f>IF(W$2&lt;=AnalysisPeriod,IF(SUM($C679:W679)&gt;0,V291+1,0),0)</f>
        <v>0</v>
      </c>
      <c r="X291" s="208">
        <f>IF(X$2&lt;=AnalysisPeriod,IF(SUM($C679:X679)&gt;0,W291+1,0),0)</f>
        <v>0</v>
      </c>
      <c r="Y291" s="208">
        <f>IF(Y$2&lt;=AnalysisPeriod,IF(SUM($C679:Y679)&gt;0,X291+1,0),0)</f>
        <v>0</v>
      </c>
      <c r="Z291" s="208">
        <f>IF(Z$2&lt;=AnalysisPeriod,IF(SUM($C679:Z679)&gt;0,Y291+1,0),0)</f>
        <v>0</v>
      </c>
      <c r="AA291" s="208">
        <f>IF(AA$2&lt;=AnalysisPeriod,IF(SUM($C679:AA679)&gt;0,Z291+1,0),0)</f>
        <v>0</v>
      </c>
      <c r="AB291" s="208">
        <f>IF(AB$2&lt;=AnalysisPeriod,IF(SUM($C679:AB679)&gt;0,AA291+1,0),0)</f>
        <v>0</v>
      </c>
      <c r="AC291" s="208">
        <f>IF(AC$2&lt;=AnalysisPeriod,IF(SUM($C679:AC679)&gt;0,AB291+1,0),0)</f>
        <v>0</v>
      </c>
      <c r="AD291" s="208">
        <f>IF(AD$2&lt;=AnalysisPeriod,IF(SUM($C679:AD679)&gt;0,AC291+1,0),0)</f>
        <v>0</v>
      </c>
      <c r="AE291" s="208">
        <f>IF(AE$2&lt;=AnalysisPeriod,IF(SUM($C679:AE679)&gt;0,AD291+1,0),0)</f>
        <v>0</v>
      </c>
      <c r="AF291" s="208">
        <f>IF(AF$2&lt;=AnalysisPeriod,IF(SUM($C679:AF679)&gt;0,AE291+1,0),0)</f>
        <v>0</v>
      </c>
      <c r="AG291" s="208">
        <f>IF(AG$2&lt;=AnalysisPeriod,IF(SUM($C679:AG679)&gt;0,AF291+1,0),0)</f>
        <v>0</v>
      </c>
      <c r="AH291" s="208">
        <f>IF(AH$2&lt;=AnalysisPeriod,IF(SUM($C679:AH679)&gt;0,AG291+1,0),0)</f>
        <v>0</v>
      </c>
      <c r="AI291" s="208">
        <f>IF(AI$2&lt;=AnalysisPeriod,IF(SUM($C679:AI679)&gt;0,AH291+1,0),0)</f>
        <v>0</v>
      </c>
      <c r="AJ291" s="208">
        <f>IF(AJ$2&lt;=AnalysisPeriod,IF(SUM($C679:AJ679)&gt;0,AI291+1,0),0)</f>
        <v>0</v>
      </c>
      <c r="AK291" s="208">
        <f>IF(AK$2&lt;=AnalysisPeriod,IF(SUM($C679:AK679)&gt;0,AJ291+1,0),0)</f>
        <v>0</v>
      </c>
      <c r="AL291" s="208">
        <f>IF(AL$2&lt;=AnalysisPeriod,IF(SUM($C679:AL679)&gt;0,AK291+1,0),0)</f>
        <v>0</v>
      </c>
      <c r="AM291" s="208">
        <f>IF(AM$2&lt;=AnalysisPeriod,IF(SUM($C679:AM679)&gt;0,AL291+1,0),0)</f>
        <v>0</v>
      </c>
      <c r="AN291" s="208">
        <f>IF(AN$2&lt;=AnalysisPeriod,IF(SUM($C679:AN679)&gt;0,AM291+1,0),0)</f>
        <v>0</v>
      </c>
      <c r="AO291" s="208">
        <f>IF(AO$2&lt;=AnalysisPeriod,IF(SUM($C679:AO679)&gt;0,AN291+1,0),0)</f>
        <v>0</v>
      </c>
      <c r="AP291" s="208">
        <f>IF(AP$2&lt;=AnalysisPeriod,IF(SUM($C679:AP679)&gt;0,AO291+1,0),0)</f>
        <v>0</v>
      </c>
    </row>
    <row r="292" spans="1:42">
      <c r="A292" s="119">
        <f t="shared" si="133"/>
        <v>8</v>
      </c>
      <c r="C292" s="208">
        <f>IF(C$2&lt;=AnalysisPeriod,IF(SUM($C680:C680)&gt;0,B292+1,0),0)</f>
        <v>0</v>
      </c>
      <c r="D292" s="208">
        <f>IF(D$2&lt;=AnalysisPeriod,IF(SUM($C680:D680)&gt;0,C292+1,0),0)</f>
        <v>0</v>
      </c>
      <c r="E292" s="208">
        <f>IF(E$2&lt;=AnalysisPeriod,IF(SUM($C680:E680)&gt;0,D292+1,0),0)</f>
        <v>0</v>
      </c>
      <c r="F292" s="208">
        <f>IF(F$2&lt;=AnalysisPeriod,IF(SUM($C680:F680)&gt;0,E292+1,0),0)</f>
        <v>0</v>
      </c>
      <c r="G292" s="208">
        <f>IF(G$2&lt;=AnalysisPeriod,IF(SUM($C680:G680)&gt;0,F292+1,0),0)</f>
        <v>0</v>
      </c>
      <c r="H292" s="208">
        <f>IF(H$2&lt;=AnalysisPeriod,IF(SUM($C680:H680)&gt;0,G292+1,0),0)</f>
        <v>0</v>
      </c>
      <c r="I292" s="208">
        <f>IF(I$2&lt;=AnalysisPeriod,IF(SUM($C680:I680)&gt;0,H292+1,0),0)</f>
        <v>0</v>
      </c>
      <c r="J292" s="208">
        <f>IF(J$2&lt;=AnalysisPeriod,IF(SUM($C680:J680)&gt;0,I292+1,0),0)</f>
        <v>0</v>
      </c>
      <c r="K292" s="208">
        <f>IF(K$2&lt;=AnalysisPeriod,IF(SUM($C680:K680)&gt;0,J292+1,0),0)</f>
        <v>0</v>
      </c>
      <c r="L292" s="208">
        <f>IF(L$2&lt;=AnalysisPeriod,IF(SUM($C680:L680)&gt;0,K292+1,0),0)</f>
        <v>0</v>
      </c>
      <c r="M292" s="208">
        <f>IF(M$2&lt;=AnalysisPeriod,IF(SUM($C680:M680)&gt;0,L292+1,0),0)</f>
        <v>0</v>
      </c>
      <c r="N292" s="208">
        <f>IF(N$2&lt;=AnalysisPeriod,IF(SUM($C680:N680)&gt;0,M292+1,0),0)</f>
        <v>0</v>
      </c>
      <c r="O292" s="208">
        <f>IF(O$2&lt;=AnalysisPeriod,IF(SUM($C680:O680)&gt;0,N292+1,0),0)</f>
        <v>0</v>
      </c>
      <c r="P292" s="208">
        <f>IF(P$2&lt;=AnalysisPeriod,IF(SUM($C680:P680)&gt;0,O292+1,0),0)</f>
        <v>0</v>
      </c>
      <c r="Q292" s="208">
        <f>IF(Q$2&lt;=AnalysisPeriod,IF(SUM($C680:Q680)&gt;0,P292+1,0),0)</f>
        <v>0</v>
      </c>
      <c r="R292" s="208">
        <f>IF(R$2&lt;=AnalysisPeriod,IF(SUM($C680:R680)&gt;0,Q292+1,0),0)</f>
        <v>0</v>
      </c>
      <c r="S292" s="208">
        <f>IF(S$2&lt;=AnalysisPeriod,IF(SUM($C680:S680)&gt;0,R292+1,0),0)</f>
        <v>0</v>
      </c>
      <c r="T292" s="208">
        <f>IF(T$2&lt;=AnalysisPeriod,IF(SUM($C680:T680)&gt;0,S292+1,0),0)</f>
        <v>0</v>
      </c>
      <c r="U292" s="208">
        <f>IF(U$2&lt;=AnalysisPeriod,IF(SUM($C680:U680)&gt;0,T292+1,0),0)</f>
        <v>0</v>
      </c>
      <c r="V292" s="208">
        <f>IF(V$2&lt;=AnalysisPeriod,IF(SUM($C680:V680)&gt;0,U292+1,0),0)</f>
        <v>0</v>
      </c>
      <c r="W292" s="208">
        <f>IF(W$2&lt;=AnalysisPeriod,IF(SUM($C680:W680)&gt;0,V292+1,0),0)</f>
        <v>0</v>
      </c>
      <c r="X292" s="208">
        <f>IF(X$2&lt;=AnalysisPeriod,IF(SUM($C680:X680)&gt;0,W292+1,0),0)</f>
        <v>0</v>
      </c>
      <c r="Y292" s="208">
        <f>IF(Y$2&lt;=AnalysisPeriod,IF(SUM($C680:Y680)&gt;0,X292+1,0),0)</f>
        <v>0</v>
      </c>
      <c r="Z292" s="208">
        <f>IF(Z$2&lt;=AnalysisPeriod,IF(SUM($C680:Z680)&gt;0,Y292+1,0),0)</f>
        <v>0</v>
      </c>
      <c r="AA292" s="208">
        <f>IF(AA$2&lt;=AnalysisPeriod,IF(SUM($C680:AA680)&gt;0,Z292+1,0),0)</f>
        <v>0</v>
      </c>
      <c r="AB292" s="208">
        <f>IF(AB$2&lt;=AnalysisPeriod,IF(SUM($C680:AB680)&gt;0,AA292+1,0),0)</f>
        <v>0</v>
      </c>
      <c r="AC292" s="208">
        <f>IF(AC$2&lt;=AnalysisPeriod,IF(SUM($C680:AC680)&gt;0,AB292+1,0),0)</f>
        <v>0</v>
      </c>
      <c r="AD292" s="208">
        <f>IF(AD$2&lt;=AnalysisPeriod,IF(SUM($C680:AD680)&gt;0,AC292+1,0),0)</f>
        <v>0</v>
      </c>
      <c r="AE292" s="208">
        <f>IF(AE$2&lt;=AnalysisPeriod,IF(SUM($C680:AE680)&gt;0,AD292+1,0),0)</f>
        <v>0</v>
      </c>
      <c r="AF292" s="208">
        <f>IF(AF$2&lt;=AnalysisPeriod,IF(SUM($C680:AF680)&gt;0,AE292+1,0),0)</f>
        <v>0</v>
      </c>
      <c r="AG292" s="208">
        <f>IF(AG$2&lt;=AnalysisPeriod,IF(SUM($C680:AG680)&gt;0,AF292+1,0),0)</f>
        <v>0</v>
      </c>
      <c r="AH292" s="208">
        <f>IF(AH$2&lt;=AnalysisPeriod,IF(SUM($C680:AH680)&gt;0,AG292+1,0),0)</f>
        <v>0</v>
      </c>
      <c r="AI292" s="208">
        <f>IF(AI$2&lt;=AnalysisPeriod,IF(SUM($C680:AI680)&gt;0,AH292+1,0),0)</f>
        <v>0</v>
      </c>
      <c r="AJ292" s="208">
        <f>IF(AJ$2&lt;=AnalysisPeriod,IF(SUM($C680:AJ680)&gt;0,AI292+1,0),0)</f>
        <v>0</v>
      </c>
      <c r="AK292" s="208">
        <f>IF(AK$2&lt;=AnalysisPeriod,IF(SUM($C680:AK680)&gt;0,AJ292+1,0),0)</f>
        <v>0</v>
      </c>
      <c r="AL292" s="208">
        <f>IF(AL$2&lt;=AnalysisPeriod,IF(SUM($C680:AL680)&gt;0,AK292+1,0),0)</f>
        <v>0</v>
      </c>
      <c r="AM292" s="208">
        <f>IF(AM$2&lt;=AnalysisPeriod,IF(SUM($C680:AM680)&gt;0,AL292+1,0),0)</f>
        <v>0</v>
      </c>
      <c r="AN292" s="208">
        <f>IF(AN$2&lt;=AnalysisPeriod,IF(SUM($C680:AN680)&gt;0,AM292+1,0),0)</f>
        <v>0</v>
      </c>
      <c r="AO292" s="208">
        <f>IF(AO$2&lt;=AnalysisPeriod,IF(SUM($C680:AO680)&gt;0,AN292+1,0),0)</f>
        <v>0</v>
      </c>
      <c r="AP292" s="208">
        <f>IF(AP$2&lt;=AnalysisPeriod,IF(SUM($C680:AP680)&gt;0,AO292+1,0),0)</f>
        <v>0</v>
      </c>
    </row>
    <row r="293" spans="1:42">
      <c r="A293" s="119">
        <f>A292+1</f>
        <v>9</v>
      </c>
      <c r="C293" s="208">
        <f>IF(C$2&lt;=AnalysisPeriod,IF(SUM($C681:C681)&gt;0,B293+1,0),0)</f>
        <v>0</v>
      </c>
      <c r="D293" s="208">
        <f>IF(D$2&lt;=AnalysisPeriod,IF(SUM($C681:D681)&gt;0,C293+1,0),0)</f>
        <v>0</v>
      </c>
      <c r="E293" s="208">
        <f>IF(E$2&lt;=AnalysisPeriod,IF(SUM($C681:E681)&gt;0,D293+1,0),0)</f>
        <v>0</v>
      </c>
      <c r="F293" s="208">
        <f>IF(F$2&lt;=AnalysisPeriod,IF(SUM($C681:F681)&gt;0,E293+1,0),0)</f>
        <v>0</v>
      </c>
      <c r="G293" s="208">
        <f>IF(G$2&lt;=AnalysisPeriod,IF(SUM($C681:G681)&gt;0,F293+1,0),0)</f>
        <v>0</v>
      </c>
      <c r="H293" s="208">
        <f>IF(H$2&lt;=AnalysisPeriod,IF(SUM($C681:H681)&gt;0,G293+1,0),0)</f>
        <v>0</v>
      </c>
      <c r="I293" s="208">
        <f>IF(I$2&lt;=AnalysisPeriod,IF(SUM($C681:I681)&gt;0,H293+1,0),0)</f>
        <v>0</v>
      </c>
      <c r="J293" s="208">
        <f>IF(J$2&lt;=AnalysisPeriod,IF(SUM($C681:J681)&gt;0,I293+1,0),0)</f>
        <v>0</v>
      </c>
      <c r="K293" s="208">
        <f>IF(K$2&lt;=AnalysisPeriod,IF(SUM($C681:K681)&gt;0,J293+1,0),0)</f>
        <v>0</v>
      </c>
      <c r="L293" s="208">
        <f>IF(L$2&lt;=AnalysisPeriod,IF(SUM($C681:L681)&gt;0,K293+1,0),0)</f>
        <v>0</v>
      </c>
      <c r="M293" s="208">
        <f>IF(M$2&lt;=AnalysisPeriod,IF(SUM($C681:M681)&gt;0,L293+1,0),0)</f>
        <v>0</v>
      </c>
      <c r="N293" s="208">
        <f>IF(N$2&lt;=AnalysisPeriod,IF(SUM($C681:N681)&gt;0,M293+1,0),0)</f>
        <v>0</v>
      </c>
      <c r="O293" s="208">
        <f>IF(O$2&lt;=AnalysisPeriod,IF(SUM($C681:O681)&gt;0,N293+1,0),0)</f>
        <v>0</v>
      </c>
      <c r="P293" s="208">
        <f>IF(P$2&lt;=AnalysisPeriod,IF(SUM($C681:P681)&gt;0,O293+1,0),0)</f>
        <v>0</v>
      </c>
      <c r="Q293" s="208">
        <f>IF(Q$2&lt;=AnalysisPeriod,IF(SUM($C681:Q681)&gt;0,P293+1,0),0)</f>
        <v>0</v>
      </c>
      <c r="R293" s="208">
        <f>IF(R$2&lt;=AnalysisPeriod,IF(SUM($C681:R681)&gt;0,Q293+1,0),0)</f>
        <v>0</v>
      </c>
      <c r="S293" s="208">
        <f>IF(S$2&lt;=AnalysisPeriod,IF(SUM($C681:S681)&gt;0,R293+1,0),0)</f>
        <v>0</v>
      </c>
      <c r="T293" s="208">
        <f>IF(T$2&lt;=AnalysisPeriod,IF(SUM($C681:T681)&gt;0,S293+1,0),0)</f>
        <v>0</v>
      </c>
      <c r="U293" s="208">
        <f>IF(U$2&lt;=AnalysisPeriod,IF(SUM($C681:U681)&gt;0,T293+1,0),0)</f>
        <v>0</v>
      </c>
      <c r="V293" s="208">
        <f>IF(V$2&lt;=AnalysisPeriod,IF(SUM($C681:V681)&gt;0,U293+1,0),0)</f>
        <v>0</v>
      </c>
      <c r="W293" s="208">
        <f>IF(W$2&lt;=AnalysisPeriod,IF(SUM($C681:W681)&gt;0,V293+1,0),0)</f>
        <v>0</v>
      </c>
      <c r="X293" s="208">
        <f>IF(X$2&lt;=AnalysisPeriod,IF(SUM($C681:X681)&gt;0,W293+1,0),0)</f>
        <v>0</v>
      </c>
      <c r="Y293" s="208">
        <f>IF(Y$2&lt;=AnalysisPeriod,IF(SUM($C681:Y681)&gt;0,X293+1,0),0)</f>
        <v>0</v>
      </c>
      <c r="Z293" s="208">
        <f>IF(Z$2&lt;=AnalysisPeriod,IF(SUM($C681:Z681)&gt;0,Y293+1,0),0)</f>
        <v>0</v>
      </c>
      <c r="AA293" s="208">
        <f>IF(AA$2&lt;=AnalysisPeriod,IF(SUM($C681:AA681)&gt;0,Z293+1,0),0)</f>
        <v>0</v>
      </c>
      <c r="AB293" s="208">
        <f>IF(AB$2&lt;=AnalysisPeriod,IF(SUM($C681:AB681)&gt;0,AA293+1,0),0)</f>
        <v>0</v>
      </c>
      <c r="AC293" s="208">
        <f>IF(AC$2&lt;=AnalysisPeriod,IF(SUM($C681:AC681)&gt;0,AB293+1,0),0)</f>
        <v>0</v>
      </c>
      <c r="AD293" s="208">
        <f>IF(AD$2&lt;=AnalysisPeriod,IF(SUM($C681:AD681)&gt;0,AC293+1,0),0)</f>
        <v>0</v>
      </c>
      <c r="AE293" s="208">
        <f>IF(AE$2&lt;=AnalysisPeriod,IF(SUM($C681:AE681)&gt;0,AD293+1,0),0)</f>
        <v>0</v>
      </c>
      <c r="AF293" s="208">
        <f>IF(AF$2&lt;=AnalysisPeriod,IF(SUM($C681:AF681)&gt;0,AE293+1,0),0)</f>
        <v>0</v>
      </c>
      <c r="AG293" s="208">
        <f>IF(AG$2&lt;=AnalysisPeriod,IF(SUM($C681:AG681)&gt;0,AF293+1,0),0)</f>
        <v>0</v>
      </c>
      <c r="AH293" s="208">
        <f>IF(AH$2&lt;=AnalysisPeriod,IF(SUM($C681:AH681)&gt;0,AG293+1,0),0)</f>
        <v>0</v>
      </c>
      <c r="AI293" s="208">
        <f>IF(AI$2&lt;=AnalysisPeriod,IF(SUM($C681:AI681)&gt;0,AH293+1,0),0)</f>
        <v>0</v>
      </c>
      <c r="AJ293" s="208">
        <f>IF(AJ$2&lt;=AnalysisPeriod,IF(SUM($C681:AJ681)&gt;0,AI293+1,0),0)</f>
        <v>0</v>
      </c>
      <c r="AK293" s="208">
        <f>IF(AK$2&lt;=AnalysisPeriod,IF(SUM($C681:AK681)&gt;0,AJ293+1,0),0)</f>
        <v>0</v>
      </c>
      <c r="AL293" s="208">
        <f>IF(AL$2&lt;=AnalysisPeriod,IF(SUM($C681:AL681)&gt;0,AK293+1,0),0)</f>
        <v>0</v>
      </c>
      <c r="AM293" s="208">
        <f>IF(AM$2&lt;=AnalysisPeriod,IF(SUM($C681:AM681)&gt;0,AL293+1,0),0)</f>
        <v>0</v>
      </c>
      <c r="AN293" s="208">
        <f>IF(AN$2&lt;=AnalysisPeriod,IF(SUM($C681:AN681)&gt;0,AM293+1,0),0)</f>
        <v>0</v>
      </c>
      <c r="AO293" s="208">
        <f>IF(AO$2&lt;=AnalysisPeriod,IF(SUM($C681:AO681)&gt;0,AN293+1,0),0)</f>
        <v>0</v>
      </c>
      <c r="AP293" s="208">
        <f>IF(AP$2&lt;=AnalysisPeriod,IF(SUM($C681:AP681)&gt;0,AO293+1,0),0)</f>
        <v>0</v>
      </c>
    </row>
    <row r="294" spans="1:42">
      <c r="A294" s="119">
        <f t="shared" si="133"/>
        <v>10</v>
      </c>
      <c r="C294" s="208">
        <f>IF(C$2&lt;=AnalysisPeriod,IF(SUM($C682:C682)&gt;0,B294+1,0),0)</f>
        <v>0</v>
      </c>
      <c r="D294" s="208">
        <f>IF(D$2&lt;=AnalysisPeriod,IF(SUM($C682:D682)&gt;0,C294+1,0),0)</f>
        <v>0</v>
      </c>
      <c r="E294" s="208">
        <f>IF(E$2&lt;=AnalysisPeriod,IF(SUM($C682:E682)&gt;0,D294+1,0),0)</f>
        <v>0</v>
      </c>
      <c r="F294" s="208">
        <f>IF(F$2&lt;=AnalysisPeriod,IF(SUM($C682:F682)&gt;0,E294+1,0),0)</f>
        <v>0</v>
      </c>
      <c r="G294" s="208">
        <f>IF(G$2&lt;=AnalysisPeriod,IF(SUM($C682:G682)&gt;0,F294+1,0),0)</f>
        <v>0</v>
      </c>
      <c r="H294" s="208">
        <f>IF(H$2&lt;=AnalysisPeriod,IF(SUM($C682:H682)&gt;0,G294+1,0),0)</f>
        <v>0</v>
      </c>
      <c r="I294" s="208">
        <f>IF(I$2&lt;=AnalysisPeriod,IF(SUM($C682:I682)&gt;0,H294+1,0),0)</f>
        <v>0</v>
      </c>
      <c r="J294" s="208">
        <f>IF(J$2&lt;=AnalysisPeriod,IF(SUM($C682:J682)&gt;0,I294+1,0),0)</f>
        <v>0</v>
      </c>
      <c r="K294" s="208">
        <f>IF(K$2&lt;=AnalysisPeriod,IF(SUM($C682:K682)&gt;0,J294+1,0),0)</f>
        <v>0</v>
      </c>
      <c r="L294" s="208">
        <f>IF(L$2&lt;=AnalysisPeriod,IF(SUM($C682:L682)&gt;0,K294+1,0),0)</f>
        <v>0</v>
      </c>
      <c r="M294" s="208">
        <f>IF(M$2&lt;=AnalysisPeriod,IF(SUM($C682:M682)&gt;0,L294+1,0),0)</f>
        <v>0</v>
      </c>
      <c r="N294" s="208">
        <f>IF(N$2&lt;=AnalysisPeriod,IF(SUM($C682:N682)&gt;0,M294+1,0),0)</f>
        <v>0</v>
      </c>
      <c r="O294" s="208">
        <f>IF(O$2&lt;=AnalysisPeriod,IF(SUM($C682:O682)&gt;0,N294+1,0),0)</f>
        <v>0</v>
      </c>
      <c r="P294" s="208">
        <f>IF(P$2&lt;=AnalysisPeriod,IF(SUM($C682:P682)&gt;0,O294+1,0),0)</f>
        <v>0</v>
      </c>
      <c r="Q294" s="208">
        <f>IF(Q$2&lt;=AnalysisPeriod,IF(SUM($C682:Q682)&gt;0,P294+1,0),0)</f>
        <v>0</v>
      </c>
      <c r="R294" s="208">
        <f>IF(R$2&lt;=AnalysisPeriod,IF(SUM($C682:R682)&gt;0,Q294+1,0),0)</f>
        <v>0</v>
      </c>
      <c r="S294" s="208">
        <f>IF(S$2&lt;=AnalysisPeriod,IF(SUM($C682:S682)&gt;0,R294+1,0),0)</f>
        <v>0</v>
      </c>
      <c r="T294" s="208">
        <f>IF(T$2&lt;=AnalysisPeriod,IF(SUM($C682:T682)&gt;0,S294+1,0),0)</f>
        <v>0</v>
      </c>
      <c r="U294" s="208">
        <f>IF(U$2&lt;=AnalysisPeriod,IF(SUM($C682:U682)&gt;0,T294+1,0),0)</f>
        <v>0</v>
      </c>
      <c r="V294" s="208">
        <f>IF(V$2&lt;=AnalysisPeriod,IF(SUM($C682:V682)&gt;0,U294+1,0),0)</f>
        <v>0</v>
      </c>
      <c r="W294" s="208">
        <f>IF(W$2&lt;=AnalysisPeriod,IF(SUM($C682:W682)&gt;0,V294+1,0),0)</f>
        <v>0</v>
      </c>
      <c r="X294" s="208">
        <f>IF(X$2&lt;=AnalysisPeriod,IF(SUM($C682:X682)&gt;0,W294+1,0),0)</f>
        <v>0</v>
      </c>
      <c r="Y294" s="208">
        <f>IF(Y$2&lt;=AnalysisPeriod,IF(SUM($C682:Y682)&gt;0,X294+1,0),0)</f>
        <v>0</v>
      </c>
      <c r="Z294" s="208">
        <f>IF(Z$2&lt;=AnalysisPeriod,IF(SUM($C682:Z682)&gt;0,Y294+1,0),0)</f>
        <v>0</v>
      </c>
      <c r="AA294" s="208">
        <f>IF(AA$2&lt;=AnalysisPeriod,IF(SUM($C682:AA682)&gt;0,Z294+1,0),0)</f>
        <v>0</v>
      </c>
      <c r="AB294" s="208">
        <f>IF(AB$2&lt;=AnalysisPeriod,IF(SUM($C682:AB682)&gt;0,AA294+1,0),0)</f>
        <v>0</v>
      </c>
      <c r="AC294" s="208">
        <f>IF(AC$2&lt;=AnalysisPeriod,IF(SUM($C682:AC682)&gt;0,AB294+1,0),0)</f>
        <v>0</v>
      </c>
      <c r="AD294" s="208">
        <f>IF(AD$2&lt;=AnalysisPeriod,IF(SUM($C682:AD682)&gt;0,AC294+1,0),0)</f>
        <v>0</v>
      </c>
      <c r="AE294" s="208">
        <f>IF(AE$2&lt;=AnalysisPeriod,IF(SUM($C682:AE682)&gt;0,AD294+1,0),0)</f>
        <v>0</v>
      </c>
      <c r="AF294" s="208">
        <f>IF(AF$2&lt;=AnalysisPeriod,IF(SUM($C682:AF682)&gt;0,AE294+1,0),0)</f>
        <v>0</v>
      </c>
      <c r="AG294" s="208">
        <f>IF(AG$2&lt;=AnalysisPeriod,IF(SUM($C682:AG682)&gt;0,AF294+1,0),0)</f>
        <v>0</v>
      </c>
      <c r="AH294" s="208">
        <f>IF(AH$2&lt;=AnalysisPeriod,IF(SUM($C682:AH682)&gt;0,AG294+1,0),0)</f>
        <v>0</v>
      </c>
      <c r="AI294" s="208">
        <f>IF(AI$2&lt;=AnalysisPeriod,IF(SUM($C682:AI682)&gt;0,AH294+1,0),0)</f>
        <v>0</v>
      </c>
      <c r="AJ294" s="208">
        <f>IF(AJ$2&lt;=AnalysisPeriod,IF(SUM($C682:AJ682)&gt;0,AI294+1,0),0)</f>
        <v>0</v>
      </c>
      <c r="AK294" s="208">
        <f>IF(AK$2&lt;=AnalysisPeriod,IF(SUM($C682:AK682)&gt;0,AJ294+1,0),0)</f>
        <v>0</v>
      </c>
      <c r="AL294" s="208">
        <f>IF(AL$2&lt;=AnalysisPeriod,IF(SUM($C682:AL682)&gt;0,AK294+1,0),0)</f>
        <v>0</v>
      </c>
      <c r="AM294" s="208">
        <f>IF(AM$2&lt;=AnalysisPeriod,IF(SUM($C682:AM682)&gt;0,AL294+1,0),0)</f>
        <v>0</v>
      </c>
      <c r="AN294" s="208">
        <f>IF(AN$2&lt;=AnalysisPeriod,IF(SUM($C682:AN682)&gt;0,AM294+1,0),0)</f>
        <v>0</v>
      </c>
      <c r="AO294" s="208">
        <f>IF(AO$2&lt;=AnalysisPeriod,IF(SUM($C682:AO682)&gt;0,AN294+1,0),0)</f>
        <v>0</v>
      </c>
      <c r="AP294" s="208">
        <f>IF(AP$2&lt;=AnalysisPeriod,IF(SUM($C682:AP682)&gt;0,AO294+1,0),0)</f>
        <v>0</v>
      </c>
    </row>
    <row r="295" spans="1:42">
      <c r="A295" s="226"/>
      <c r="C295" s="208"/>
      <c r="D295" s="208"/>
      <c r="E295" s="208"/>
      <c r="F295" s="208"/>
      <c r="G295" s="208"/>
      <c r="H295" s="208"/>
      <c r="I295" s="208"/>
      <c r="J295" s="208"/>
      <c r="K295" s="208"/>
      <c r="L295" s="208"/>
      <c r="M295" s="208"/>
      <c r="N295" s="208"/>
      <c r="O295" s="208"/>
      <c r="P295" s="208"/>
      <c r="Q295" s="208"/>
      <c r="R295" s="208"/>
      <c r="S295" s="208"/>
      <c r="T295" s="208"/>
      <c r="U295" s="208"/>
      <c r="V295" s="208"/>
      <c r="W295" s="208"/>
      <c r="X295" s="208"/>
      <c r="Y295" s="208"/>
      <c r="Z295" s="208"/>
      <c r="AA295" s="208"/>
      <c r="AB295" s="208"/>
      <c r="AC295" s="208"/>
      <c r="AD295" s="208"/>
      <c r="AE295" s="208"/>
      <c r="AF295" s="208"/>
      <c r="AG295" s="208"/>
      <c r="AH295" s="208"/>
      <c r="AI295" s="208"/>
      <c r="AJ295" s="208"/>
      <c r="AK295" s="208"/>
      <c r="AL295" s="208"/>
      <c r="AM295" s="208"/>
      <c r="AN295" s="208"/>
      <c r="AO295" s="208"/>
      <c r="AP295" s="208"/>
    </row>
    <row r="296" spans="1:42">
      <c r="A296" s="226" t="s">
        <v>221</v>
      </c>
      <c r="C296" s="208"/>
      <c r="D296" s="208"/>
      <c r="E296" s="208"/>
      <c r="F296" s="208"/>
      <c r="G296" s="208"/>
      <c r="H296" s="208"/>
      <c r="I296" s="208"/>
      <c r="J296" s="208"/>
      <c r="K296" s="208"/>
      <c r="L296" s="208"/>
      <c r="M296" s="208"/>
      <c r="N296" s="208"/>
      <c r="O296" s="208"/>
      <c r="P296" s="208"/>
      <c r="Q296" s="208"/>
      <c r="R296" s="208"/>
      <c r="S296" s="208"/>
      <c r="T296" s="208"/>
      <c r="U296" s="208"/>
      <c r="V296" s="208"/>
      <c r="W296" s="208"/>
      <c r="X296" s="208"/>
      <c r="Y296" s="208"/>
      <c r="Z296" s="208"/>
      <c r="AA296" s="208"/>
      <c r="AB296" s="208"/>
      <c r="AC296" s="208"/>
      <c r="AD296" s="208"/>
      <c r="AE296" s="208"/>
      <c r="AF296" s="208"/>
      <c r="AG296" s="208"/>
      <c r="AH296" s="208"/>
      <c r="AI296" s="208"/>
      <c r="AJ296" s="208"/>
      <c r="AK296" s="208"/>
      <c r="AL296" s="208"/>
      <c r="AM296" s="208"/>
      <c r="AN296" s="208"/>
      <c r="AO296" s="208"/>
      <c r="AP296" s="208"/>
    </row>
    <row r="297" spans="1:42">
      <c r="A297" s="119">
        <v>1</v>
      </c>
      <c r="B297" s="218">
        <f t="shared" ref="B297:B306" si="134">SUM(C297:AP297)</f>
        <v>6158778.6534697898</v>
      </c>
      <c r="C297" s="250">
        <f t="shared" ref="C297:AP303" si="135">LOOKUP(C285,$B$255:$AP$255,$B$256:$AP$256)*$B673</f>
        <v>0</v>
      </c>
      <c r="D297" s="208">
        <f t="shared" si="135"/>
        <v>0</v>
      </c>
      <c r="E297" s="208">
        <f t="shared" si="135"/>
        <v>0</v>
      </c>
      <c r="F297" s="208">
        <f t="shared" si="135"/>
        <v>0</v>
      </c>
      <c r="G297" s="208">
        <f t="shared" si="135"/>
        <v>0</v>
      </c>
      <c r="H297" s="208">
        <f t="shared" si="135"/>
        <v>0</v>
      </c>
      <c r="I297" s="208">
        <f t="shared" si="135"/>
        <v>0</v>
      </c>
      <c r="J297" s="208">
        <f t="shared" si="135"/>
        <v>0</v>
      </c>
      <c r="K297" s="208">
        <f t="shared" si="135"/>
        <v>0</v>
      </c>
      <c r="L297" s="208">
        <f t="shared" si="135"/>
        <v>0</v>
      </c>
      <c r="M297" s="208">
        <f t="shared" si="135"/>
        <v>0</v>
      </c>
      <c r="N297" s="208">
        <f t="shared" si="135"/>
        <v>0</v>
      </c>
      <c r="O297" s="208">
        <f t="shared" si="135"/>
        <v>0</v>
      </c>
      <c r="P297" s="208">
        <f t="shared" si="135"/>
        <v>0</v>
      </c>
      <c r="Q297" s="208">
        <f t="shared" si="135"/>
        <v>1231755.7306939578</v>
      </c>
      <c r="R297" s="208">
        <f t="shared" si="135"/>
        <v>1970809.1691103324</v>
      </c>
      <c r="S297" s="208">
        <f t="shared" si="135"/>
        <v>1182485.5014661995</v>
      </c>
      <c r="T297" s="208">
        <f t="shared" si="135"/>
        <v>709491.30087971967</v>
      </c>
      <c r="U297" s="208">
        <f t="shared" si="135"/>
        <v>709491.30087971967</v>
      </c>
      <c r="V297" s="208">
        <f t="shared" si="135"/>
        <v>354745.65043985983</v>
      </c>
      <c r="W297" s="208">
        <f t="shared" si="135"/>
        <v>0</v>
      </c>
      <c r="X297" s="208">
        <f t="shared" si="135"/>
        <v>0</v>
      </c>
      <c r="Y297" s="208">
        <f t="shared" si="135"/>
        <v>0</v>
      </c>
      <c r="Z297" s="208">
        <f t="shared" si="135"/>
        <v>0</v>
      </c>
      <c r="AA297" s="208">
        <f t="shared" si="135"/>
        <v>0</v>
      </c>
      <c r="AB297" s="208">
        <f t="shared" si="135"/>
        <v>0</v>
      </c>
      <c r="AC297" s="208">
        <f t="shared" si="135"/>
        <v>0</v>
      </c>
      <c r="AD297" s="208">
        <f t="shared" si="135"/>
        <v>0</v>
      </c>
      <c r="AE297" s="208">
        <f t="shared" si="135"/>
        <v>0</v>
      </c>
      <c r="AF297" s="208">
        <f t="shared" si="135"/>
        <v>0</v>
      </c>
      <c r="AG297" s="208">
        <f t="shared" si="135"/>
        <v>0</v>
      </c>
      <c r="AH297" s="208">
        <f t="shared" si="135"/>
        <v>0</v>
      </c>
      <c r="AI297" s="208">
        <f t="shared" si="135"/>
        <v>0</v>
      </c>
      <c r="AJ297" s="208">
        <f t="shared" si="135"/>
        <v>0</v>
      </c>
      <c r="AK297" s="208">
        <f t="shared" si="135"/>
        <v>0</v>
      </c>
      <c r="AL297" s="208">
        <f t="shared" si="135"/>
        <v>0</v>
      </c>
      <c r="AM297" s="208">
        <f t="shared" si="135"/>
        <v>0</v>
      </c>
      <c r="AN297" s="208">
        <f t="shared" si="135"/>
        <v>0</v>
      </c>
      <c r="AO297" s="208">
        <f t="shared" si="135"/>
        <v>0</v>
      </c>
      <c r="AP297" s="208">
        <f t="shared" si="135"/>
        <v>0</v>
      </c>
    </row>
    <row r="298" spans="1:42">
      <c r="A298" s="119">
        <f>A297+1</f>
        <v>2</v>
      </c>
      <c r="B298" s="218">
        <f t="shared" si="134"/>
        <v>1539980.512798867</v>
      </c>
      <c r="C298" s="250">
        <f t="shared" si="135"/>
        <v>0</v>
      </c>
      <c r="D298" s="208">
        <f t="shared" si="135"/>
        <v>0</v>
      </c>
      <c r="E298" s="208">
        <f t="shared" si="135"/>
        <v>0</v>
      </c>
      <c r="F298" s="208">
        <f t="shared" si="135"/>
        <v>0</v>
      </c>
      <c r="G298" s="208">
        <f t="shared" si="135"/>
        <v>0</v>
      </c>
      <c r="H298" s="208">
        <f t="shared" si="135"/>
        <v>0</v>
      </c>
      <c r="I298" s="208">
        <f t="shared" si="135"/>
        <v>0</v>
      </c>
      <c r="J298" s="208">
        <f t="shared" si="135"/>
        <v>0</v>
      </c>
      <c r="K298" s="208">
        <f t="shared" si="135"/>
        <v>0</v>
      </c>
      <c r="L298" s="208">
        <f t="shared" si="135"/>
        <v>0</v>
      </c>
      <c r="M298" s="208">
        <f t="shared" si="135"/>
        <v>0</v>
      </c>
      <c r="N298" s="208">
        <f t="shared" si="135"/>
        <v>0</v>
      </c>
      <c r="O298" s="208">
        <f t="shared" si="135"/>
        <v>0</v>
      </c>
      <c r="P298" s="208">
        <f t="shared" si="135"/>
        <v>0</v>
      </c>
      <c r="Q298" s="208">
        <f t="shared" si="135"/>
        <v>0</v>
      </c>
      <c r="R298" s="208">
        <f t="shared" si="135"/>
        <v>0</v>
      </c>
      <c r="S298" s="208">
        <f t="shared" si="135"/>
        <v>0</v>
      </c>
      <c r="T298" s="208">
        <f t="shared" si="135"/>
        <v>0</v>
      </c>
      <c r="U298" s="208">
        <f t="shared" si="135"/>
        <v>0</v>
      </c>
      <c r="V298" s="208">
        <f t="shared" si="135"/>
        <v>0</v>
      </c>
      <c r="W298" s="208">
        <f t="shared" si="135"/>
        <v>0</v>
      </c>
      <c r="X298" s="208">
        <f t="shared" si="135"/>
        <v>0</v>
      </c>
      <c r="Y298" s="208">
        <f t="shared" si="135"/>
        <v>0</v>
      </c>
      <c r="Z298" s="208">
        <f t="shared" si="135"/>
        <v>0</v>
      </c>
      <c r="AA298" s="208">
        <f t="shared" si="135"/>
        <v>0</v>
      </c>
      <c r="AB298" s="208">
        <f t="shared" si="135"/>
        <v>0</v>
      </c>
      <c r="AC298" s="208">
        <f t="shared" si="135"/>
        <v>0</v>
      </c>
      <c r="AD298" s="208">
        <f t="shared" si="135"/>
        <v>0</v>
      </c>
      <c r="AE298" s="208">
        <f t="shared" si="135"/>
        <v>0</v>
      </c>
      <c r="AF298" s="208">
        <f t="shared" si="135"/>
        <v>1539980.512798867</v>
      </c>
      <c r="AG298" s="208">
        <f t="shared" si="135"/>
        <v>0</v>
      </c>
      <c r="AH298" s="208">
        <f t="shared" si="135"/>
        <v>0</v>
      </c>
      <c r="AI298" s="208">
        <f t="shared" si="135"/>
        <v>0</v>
      </c>
      <c r="AJ298" s="208">
        <f t="shared" si="135"/>
        <v>0</v>
      </c>
      <c r="AK298" s="208">
        <f t="shared" si="135"/>
        <v>0</v>
      </c>
      <c r="AL298" s="208">
        <f t="shared" si="135"/>
        <v>0</v>
      </c>
      <c r="AM298" s="208">
        <f t="shared" si="135"/>
        <v>0</v>
      </c>
      <c r="AN298" s="208">
        <f t="shared" si="135"/>
        <v>0</v>
      </c>
      <c r="AO298" s="208">
        <f t="shared" si="135"/>
        <v>0</v>
      </c>
      <c r="AP298" s="208">
        <f t="shared" si="135"/>
        <v>0</v>
      </c>
    </row>
    <row r="299" spans="1:42">
      <c r="A299" s="119">
        <f t="shared" ref="A299:A306" si="136">A298+1</f>
        <v>3</v>
      </c>
      <c r="B299" s="218">
        <f t="shared" si="134"/>
        <v>0</v>
      </c>
      <c r="C299" s="250">
        <f t="shared" si="135"/>
        <v>0</v>
      </c>
      <c r="D299" s="208">
        <f t="shared" si="135"/>
        <v>0</v>
      </c>
      <c r="E299" s="208">
        <f t="shared" si="135"/>
        <v>0</v>
      </c>
      <c r="F299" s="208">
        <f t="shared" si="135"/>
        <v>0</v>
      </c>
      <c r="G299" s="208">
        <f t="shared" si="135"/>
        <v>0</v>
      </c>
      <c r="H299" s="208">
        <f t="shared" si="135"/>
        <v>0</v>
      </c>
      <c r="I299" s="208">
        <f t="shared" si="135"/>
        <v>0</v>
      </c>
      <c r="J299" s="208">
        <f t="shared" si="135"/>
        <v>0</v>
      </c>
      <c r="K299" s="208">
        <f t="shared" si="135"/>
        <v>0</v>
      </c>
      <c r="L299" s="208">
        <f t="shared" si="135"/>
        <v>0</v>
      </c>
      <c r="M299" s="208">
        <f t="shared" si="135"/>
        <v>0</v>
      </c>
      <c r="N299" s="208">
        <f t="shared" si="135"/>
        <v>0</v>
      </c>
      <c r="O299" s="208">
        <f t="shared" si="135"/>
        <v>0</v>
      </c>
      <c r="P299" s="208">
        <f t="shared" si="135"/>
        <v>0</v>
      </c>
      <c r="Q299" s="208">
        <f t="shared" si="135"/>
        <v>0</v>
      </c>
      <c r="R299" s="208">
        <f t="shared" si="135"/>
        <v>0</v>
      </c>
      <c r="S299" s="208">
        <f t="shared" si="135"/>
        <v>0</v>
      </c>
      <c r="T299" s="208">
        <f t="shared" si="135"/>
        <v>0</v>
      </c>
      <c r="U299" s="208">
        <f t="shared" si="135"/>
        <v>0</v>
      </c>
      <c r="V299" s="208">
        <f t="shared" si="135"/>
        <v>0</v>
      </c>
      <c r="W299" s="208">
        <f t="shared" si="135"/>
        <v>0</v>
      </c>
      <c r="X299" s="208">
        <f t="shared" si="135"/>
        <v>0</v>
      </c>
      <c r="Y299" s="208">
        <f t="shared" si="135"/>
        <v>0</v>
      </c>
      <c r="Z299" s="208">
        <f t="shared" si="135"/>
        <v>0</v>
      </c>
      <c r="AA299" s="208">
        <f t="shared" si="135"/>
        <v>0</v>
      </c>
      <c r="AB299" s="208">
        <f t="shared" si="135"/>
        <v>0</v>
      </c>
      <c r="AC299" s="208">
        <f t="shared" si="135"/>
        <v>0</v>
      </c>
      <c r="AD299" s="208">
        <f t="shared" si="135"/>
        <v>0</v>
      </c>
      <c r="AE299" s="208">
        <f t="shared" si="135"/>
        <v>0</v>
      </c>
      <c r="AF299" s="208">
        <f t="shared" si="135"/>
        <v>0</v>
      </c>
      <c r="AG299" s="208">
        <f t="shared" si="135"/>
        <v>0</v>
      </c>
      <c r="AH299" s="208">
        <f t="shared" si="135"/>
        <v>0</v>
      </c>
      <c r="AI299" s="208">
        <f t="shared" si="135"/>
        <v>0</v>
      </c>
      <c r="AJ299" s="208">
        <f t="shared" si="135"/>
        <v>0</v>
      </c>
      <c r="AK299" s="208">
        <f t="shared" si="135"/>
        <v>0</v>
      </c>
      <c r="AL299" s="208">
        <f t="shared" si="135"/>
        <v>0</v>
      </c>
      <c r="AM299" s="208">
        <f t="shared" si="135"/>
        <v>0</v>
      </c>
      <c r="AN299" s="208">
        <f t="shared" si="135"/>
        <v>0</v>
      </c>
      <c r="AO299" s="208">
        <f t="shared" si="135"/>
        <v>0</v>
      </c>
      <c r="AP299" s="208">
        <f t="shared" si="135"/>
        <v>0</v>
      </c>
    </row>
    <row r="300" spans="1:42">
      <c r="A300" s="119">
        <f t="shared" si="136"/>
        <v>4</v>
      </c>
      <c r="B300" s="218">
        <f t="shared" si="134"/>
        <v>0</v>
      </c>
      <c r="C300" s="250">
        <f t="shared" si="135"/>
        <v>0</v>
      </c>
      <c r="D300" s="208">
        <f t="shared" si="135"/>
        <v>0</v>
      </c>
      <c r="E300" s="208">
        <f t="shared" si="135"/>
        <v>0</v>
      </c>
      <c r="F300" s="208">
        <f t="shared" si="135"/>
        <v>0</v>
      </c>
      <c r="G300" s="208">
        <f t="shared" si="135"/>
        <v>0</v>
      </c>
      <c r="H300" s="208">
        <f t="shared" si="135"/>
        <v>0</v>
      </c>
      <c r="I300" s="208">
        <f t="shared" si="135"/>
        <v>0</v>
      </c>
      <c r="J300" s="208">
        <f t="shared" si="135"/>
        <v>0</v>
      </c>
      <c r="K300" s="208">
        <f t="shared" si="135"/>
        <v>0</v>
      </c>
      <c r="L300" s="208">
        <f t="shared" si="135"/>
        <v>0</v>
      </c>
      <c r="M300" s="208">
        <f t="shared" si="135"/>
        <v>0</v>
      </c>
      <c r="N300" s="208">
        <f t="shared" si="135"/>
        <v>0</v>
      </c>
      <c r="O300" s="208">
        <f t="shared" si="135"/>
        <v>0</v>
      </c>
      <c r="P300" s="208">
        <f t="shared" si="135"/>
        <v>0</v>
      </c>
      <c r="Q300" s="208">
        <f t="shared" si="135"/>
        <v>0</v>
      </c>
      <c r="R300" s="208">
        <f t="shared" si="135"/>
        <v>0</v>
      </c>
      <c r="S300" s="208">
        <f t="shared" si="135"/>
        <v>0</v>
      </c>
      <c r="T300" s="208">
        <f t="shared" si="135"/>
        <v>0</v>
      </c>
      <c r="U300" s="208">
        <f t="shared" si="135"/>
        <v>0</v>
      </c>
      <c r="V300" s="208">
        <f t="shared" si="135"/>
        <v>0</v>
      </c>
      <c r="W300" s="208">
        <f t="shared" si="135"/>
        <v>0</v>
      </c>
      <c r="X300" s="208">
        <f t="shared" si="135"/>
        <v>0</v>
      </c>
      <c r="Y300" s="208">
        <f t="shared" si="135"/>
        <v>0</v>
      </c>
      <c r="Z300" s="208">
        <f t="shared" si="135"/>
        <v>0</v>
      </c>
      <c r="AA300" s="208">
        <f t="shared" si="135"/>
        <v>0</v>
      </c>
      <c r="AB300" s="208">
        <f t="shared" si="135"/>
        <v>0</v>
      </c>
      <c r="AC300" s="208">
        <f t="shared" si="135"/>
        <v>0</v>
      </c>
      <c r="AD300" s="208">
        <f t="shared" si="135"/>
        <v>0</v>
      </c>
      <c r="AE300" s="208">
        <f t="shared" si="135"/>
        <v>0</v>
      </c>
      <c r="AF300" s="208">
        <f t="shared" si="135"/>
        <v>0</v>
      </c>
      <c r="AG300" s="208">
        <f t="shared" si="135"/>
        <v>0</v>
      </c>
      <c r="AH300" s="208">
        <f t="shared" si="135"/>
        <v>0</v>
      </c>
      <c r="AI300" s="208">
        <f t="shared" si="135"/>
        <v>0</v>
      </c>
      <c r="AJ300" s="208">
        <f t="shared" si="135"/>
        <v>0</v>
      </c>
      <c r="AK300" s="208">
        <f t="shared" si="135"/>
        <v>0</v>
      </c>
      <c r="AL300" s="208">
        <f t="shared" si="135"/>
        <v>0</v>
      </c>
      <c r="AM300" s="208">
        <f t="shared" si="135"/>
        <v>0</v>
      </c>
      <c r="AN300" s="208">
        <f t="shared" si="135"/>
        <v>0</v>
      </c>
      <c r="AO300" s="208">
        <f t="shared" si="135"/>
        <v>0</v>
      </c>
      <c r="AP300" s="208">
        <f t="shared" si="135"/>
        <v>0</v>
      </c>
    </row>
    <row r="301" spans="1:42">
      <c r="A301" s="119">
        <f t="shared" si="136"/>
        <v>5</v>
      </c>
      <c r="B301" s="218">
        <f t="shared" si="134"/>
        <v>0</v>
      </c>
      <c r="C301" s="250">
        <f t="shared" si="135"/>
        <v>0</v>
      </c>
      <c r="D301" s="208">
        <f t="shared" si="135"/>
        <v>0</v>
      </c>
      <c r="E301" s="208">
        <f t="shared" si="135"/>
        <v>0</v>
      </c>
      <c r="F301" s="208">
        <f t="shared" si="135"/>
        <v>0</v>
      </c>
      <c r="G301" s="208">
        <f t="shared" si="135"/>
        <v>0</v>
      </c>
      <c r="H301" s="208">
        <f t="shared" si="135"/>
        <v>0</v>
      </c>
      <c r="I301" s="208">
        <f t="shared" si="135"/>
        <v>0</v>
      </c>
      <c r="J301" s="208">
        <f t="shared" si="135"/>
        <v>0</v>
      </c>
      <c r="K301" s="208">
        <f t="shared" si="135"/>
        <v>0</v>
      </c>
      <c r="L301" s="208">
        <f t="shared" si="135"/>
        <v>0</v>
      </c>
      <c r="M301" s="208">
        <f t="shared" si="135"/>
        <v>0</v>
      </c>
      <c r="N301" s="208">
        <f t="shared" si="135"/>
        <v>0</v>
      </c>
      <c r="O301" s="208">
        <f t="shared" si="135"/>
        <v>0</v>
      </c>
      <c r="P301" s="208">
        <f t="shared" si="135"/>
        <v>0</v>
      </c>
      <c r="Q301" s="208">
        <f t="shared" si="135"/>
        <v>0</v>
      </c>
      <c r="R301" s="208">
        <f t="shared" si="135"/>
        <v>0</v>
      </c>
      <c r="S301" s="208">
        <f t="shared" si="135"/>
        <v>0</v>
      </c>
      <c r="T301" s="208">
        <f t="shared" si="135"/>
        <v>0</v>
      </c>
      <c r="U301" s="208">
        <f t="shared" si="135"/>
        <v>0</v>
      </c>
      <c r="V301" s="208">
        <f t="shared" si="135"/>
        <v>0</v>
      </c>
      <c r="W301" s="208">
        <f t="shared" si="135"/>
        <v>0</v>
      </c>
      <c r="X301" s="208">
        <f t="shared" si="135"/>
        <v>0</v>
      </c>
      <c r="Y301" s="208">
        <f t="shared" si="135"/>
        <v>0</v>
      </c>
      <c r="Z301" s="208">
        <f t="shared" si="135"/>
        <v>0</v>
      </c>
      <c r="AA301" s="208">
        <f t="shared" si="135"/>
        <v>0</v>
      </c>
      <c r="AB301" s="208">
        <f t="shared" si="135"/>
        <v>0</v>
      </c>
      <c r="AC301" s="208">
        <f t="shared" si="135"/>
        <v>0</v>
      </c>
      <c r="AD301" s="208">
        <f t="shared" si="135"/>
        <v>0</v>
      </c>
      <c r="AE301" s="208">
        <f t="shared" si="135"/>
        <v>0</v>
      </c>
      <c r="AF301" s="208">
        <f t="shared" si="135"/>
        <v>0</v>
      </c>
      <c r="AG301" s="208">
        <f t="shared" si="135"/>
        <v>0</v>
      </c>
      <c r="AH301" s="208">
        <f t="shared" si="135"/>
        <v>0</v>
      </c>
      <c r="AI301" s="208">
        <f t="shared" si="135"/>
        <v>0</v>
      </c>
      <c r="AJ301" s="208">
        <f t="shared" si="135"/>
        <v>0</v>
      </c>
      <c r="AK301" s="208">
        <f t="shared" si="135"/>
        <v>0</v>
      </c>
      <c r="AL301" s="208">
        <f t="shared" si="135"/>
        <v>0</v>
      </c>
      <c r="AM301" s="208">
        <f t="shared" si="135"/>
        <v>0</v>
      </c>
      <c r="AN301" s="208">
        <f t="shared" si="135"/>
        <v>0</v>
      </c>
      <c r="AO301" s="208">
        <f t="shared" si="135"/>
        <v>0</v>
      </c>
      <c r="AP301" s="208">
        <f t="shared" si="135"/>
        <v>0</v>
      </c>
    </row>
    <row r="302" spans="1:42">
      <c r="A302" s="119">
        <f t="shared" si="136"/>
        <v>6</v>
      </c>
      <c r="B302" s="218">
        <f t="shared" si="134"/>
        <v>0</v>
      </c>
      <c r="C302" s="250">
        <f t="shared" si="135"/>
        <v>0</v>
      </c>
      <c r="D302" s="208">
        <f t="shared" si="135"/>
        <v>0</v>
      </c>
      <c r="E302" s="208">
        <f t="shared" si="135"/>
        <v>0</v>
      </c>
      <c r="F302" s="208">
        <f t="shared" si="135"/>
        <v>0</v>
      </c>
      <c r="G302" s="208">
        <f t="shared" si="135"/>
        <v>0</v>
      </c>
      <c r="H302" s="208">
        <f t="shared" si="135"/>
        <v>0</v>
      </c>
      <c r="I302" s="208">
        <f t="shared" si="135"/>
        <v>0</v>
      </c>
      <c r="J302" s="208">
        <f t="shared" si="135"/>
        <v>0</v>
      </c>
      <c r="K302" s="208">
        <f t="shared" si="135"/>
        <v>0</v>
      </c>
      <c r="L302" s="208">
        <f t="shared" si="135"/>
        <v>0</v>
      </c>
      <c r="M302" s="208">
        <f t="shared" si="135"/>
        <v>0</v>
      </c>
      <c r="N302" s="208">
        <f t="shared" si="135"/>
        <v>0</v>
      </c>
      <c r="O302" s="208">
        <f t="shared" si="135"/>
        <v>0</v>
      </c>
      <c r="P302" s="208">
        <f t="shared" si="135"/>
        <v>0</v>
      </c>
      <c r="Q302" s="208">
        <f t="shared" si="135"/>
        <v>0</v>
      </c>
      <c r="R302" s="208">
        <f t="shared" si="135"/>
        <v>0</v>
      </c>
      <c r="S302" s="208">
        <f t="shared" si="135"/>
        <v>0</v>
      </c>
      <c r="T302" s="208">
        <f t="shared" si="135"/>
        <v>0</v>
      </c>
      <c r="U302" s="208">
        <f t="shared" si="135"/>
        <v>0</v>
      </c>
      <c r="V302" s="208">
        <f t="shared" si="135"/>
        <v>0</v>
      </c>
      <c r="W302" s="208">
        <f t="shared" si="135"/>
        <v>0</v>
      </c>
      <c r="X302" s="208">
        <f t="shared" si="135"/>
        <v>0</v>
      </c>
      <c r="Y302" s="208">
        <f t="shared" si="135"/>
        <v>0</v>
      </c>
      <c r="Z302" s="208">
        <f t="shared" si="135"/>
        <v>0</v>
      </c>
      <c r="AA302" s="208">
        <f t="shared" si="135"/>
        <v>0</v>
      </c>
      <c r="AB302" s="208">
        <f t="shared" si="135"/>
        <v>0</v>
      </c>
      <c r="AC302" s="208">
        <f t="shared" si="135"/>
        <v>0</v>
      </c>
      <c r="AD302" s="208">
        <f t="shared" si="135"/>
        <v>0</v>
      </c>
      <c r="AE302" s="208">
        <f t="shared" si="135"/>
        <v>0</v>
      </c>
      <c r="AF302" s="208">
        <f t="shared" si="135"/>
        <v>0</v>
      </c>
      <c r="AG302" s="208">
        <f t="shared" si="135"/>
        <v>0</v>
      </c>
      <c r="AH302" s="208">
        <f t="shared" si="135"/>
        <v>0</v>
      </c>
      <c r="AI302" s="208">
        <f t="shared" si="135"/>
        <v>0</v>
      </c>
      <c r="AJ302" s="208">
        <f t="shared" si="135"/>
        <v>0</v>
      </c>
      <c r="AK302" s="208">
        <f t="shared" si="135"/>
        <v>0</v>
      </c>
      <c r="AL302" s="208">
        <f t="shared" si="135"/>
        <v>0</v>
      </c>
      <c r="AM302" s="208">
        <f t="shared" si="135"/>
        <v>0</v>
      </c>
      <c r="AN302" s="208">
        <f t="shared" si="135"/>
        <v>0</v>
      </c>
      <c r="AO302" s="208">
        <f t="shared" si="135"/>
        <v>0</v>
      </c>
      <c r="AP302" s="208">
        <f t="shared" si="135"/>
        <v>0</v>
      </c>
    </row>
    <row r="303" spans="1:42">
      <c r="A303" s="119">
        <f t="shared" si="136"/>
        <v>7</v>
      </c>
      <c r="B303" s="218">
        <f t="shared" si="134"/>
        <v>0</v>
      </c>
      <c r="C303" s="250">
        <f t="shared" si="135"/>
        <v>0</v>
      </c>
      <c r="D303" s="208">
        <f t="shared" si="135"/>
        <v>0</v>
      </c>
      <c r="E303" s="208">
        <f t="shared" si="135"/>
        <v>0</v>
      </c>
      <c r="F303" s="208">
        <f t="shared" si="135"/>
        <v>0</v>
      </c>
      <c r="G303" s="208">
        <f t="shared" si="135"/>
        <v>0</v>
      </c>
      <c r="H303" s="208">
        <f t="shared" si="135"/>
        <v>0</v>
      </c>
      <c r="I303" s="208">
        <f t="shared" si="135"/>
        <v>0</v>
      </c>
      <c r="J303" s="208">
        <f t="shared" si="135"/>
        <v>0</v>
      </c>
      <c r="K303" s="208">
        <f t="shared" si="135"/>
        <v>0</v>
      </c>
      <c r="L303" s="208">
        <f t="shared" si="135"/>
        <v>0</v>
      </c>
      <c r="M303" s="208">
        <f t="shared" si="135"/>
        <v>0</v>
      </c>
      <c r="N303" s="208">
        <f t="shared" si="135"/>
        <v>0</v>
      </c>
      <c r="O303" s="208">
        <f t="shared" si="135"/>
        <v>0</v>
      </c>
      <c r="P303" s="208">
        <f t="shared" si="135"/>
        <v>0</v>
      </c>
      <c r="Q303" s="208">
        <f t="shared" si="135"/>
        <v>0</v>
      </c>
      <c r="R303" s="208">
        <f t="shared" ref="R303:AP303" si="137">LOOKUP(R291,$B$255:$AP$255,$B$256:$AP$256)*$B679</f>
        <v>0</v>
      </c>
      <c r="S303" s="208">
        <f t="shared" si="137"/>
        <v>0</v>
      </c>
      <c r="T303" s="208">
        <f t="shared" si="137"/>
        <v>0</v>
      </c>
      <c r="U303" s="208">
        <f t="shared" si="137"/>
        <v>0</v>
      </c>
      <c r="V303" s="208">
        <f t="shared" si="137"/>
        <v>0</v>
      </c>
      <c r="W303" s="208">
        <f t="shared" si="137"/>
        <v>0</v>
      </c>
      <c r="X303" s="208">
        <f t="shared" si="137"/>
        <v>0</v>
      </c>
      <c r="Y303" s="208">
        <f t="shared" si="137"/>
        <v>0</v>
      </c>
      <c r="Z303" s="208">
        <f t="shared" si="137"/>
        <v>0</v>
      </c>
      <c r="AA303" s="208">
        <f t="shared" si="137"/>
        <v>0</v>
      </c>
      <c r="AB303" s="208">
        <f t="shared" si="137"/>
        <v>0</v>
      </c>
      <c r="AC303" s="208">
        <f t="shared" si="137"/>
        <v>0</v>
      </c>
      <c r="AD303" s="208">
        <f t="shared" si="137"/>
        <v>0</v>
      </c>
      <c r="AE303" s="208">
        <f t="shared" si="137"/>
        <v>0</v>
      </c>
      <c r="AF303" s="208">
        <f t="shared" si="137"/>
        <v>0</v>
      </c>
      <c r="AG303" s="208">
        <f t="shared" si="137"/>
        <v>0</v>
      </c>
      <c r="AH303" s="208">
        <f t="shared" si="137"/>
        <v>0</v>
      </c>
      <c r="AI303" s="208">
        <f t="shared" si="137"/>
        <v>0</v>
      </c>
      <c r="AJ303" s="208">
        <f t="shared" si="137"/>
        <v>0</v>
      </c>
      <c r="AK303" s="208">
        <f t="shared" si="137"/>
        <v>0</v>
      </c>
      <c r="AL303" s="208">
        <f t="shared" si="137"/>
        <v>0</v>
      </c>
      <c r="AM303" s="208">
        <f t="shared" si="137"/>
        <v>0</v>
      </c>
      <c r="AN303" s="208">
        <f t="shared" si="137"/>
        <v>0</v>
      </c>
      <c r="AO303" s="208">
        <f t="shared" si="137"/>
        <v>0</v>
      </c>
      <c r="AP303" s="208">
        <f t="shared" si="137"/>
        <v>0</v>
      </c>
    </row>
    <row r="304" spans="1:42">
      <c r="A304" s="119">
        <f t="shared" si="136"/>
        <v>8</v>
      </c>
      <c r="B304" s="218">
        <f t="shared" si="134"/>
        <v>0</v>
      </c>
      <c r="C304" s="250">
        <f t="shared" ref="C304:AP306" si="138">LOOKUP(C292,$B$255:$AP$255,$B$256:$AP$256)*$B680</f>
        <v>0</v>
      </c>
      <c r="D304" s="208">
        <f t="shared" si="138"/>
        <v>0</v>
      </c>
      <c r="E304" s="208">
        <f t="shared" si="138"/>
        <v>0</v>
      </c>
      <c r="F304" s="208">
        <f t="shared" si="138"/>
        <v>0</v>
      </c>
      <c r="G304" s="208">
        <f t="shared" si="138"/>
        <v>0</v>
      </c>
      <c r="H304" s="208">
        <f t="shared" si="138"/>
        <v>0</v>
      </c>
      <c r="I304" s="208">
        <f t="shared" si="138"/>
        <v>0</v>
      </c>
      <c r="J304" s="208">
        <f t="shared" si="138"/>
        <v>0</v>
      </c>
      <c r="K304" s="208">
        <f t="shared" si="138"/>
        <v>0</v>
      </c>
      <c r="L304" s="208">
        <f t="shared" si="138"/>
        <v>0</v>
      </c>
      <c r="M304" s="208">
        <f t="shared" si="138"/>
        <v>0</v>
      </c>
      <c r="N304" s="208">
        <f t="shared" si="138"/>
        <v>0</v>
      </c>
      <c r="O304" s="208">
        <f t="shared" si="138"/>
        <v>0</v>
      </c>
      <c r="P304" s="208">
        <f t="shared" si="138"/>
        <v>0</v>
      </c>
      <c r="Q304" s="208">
        <f t="shared" si="138"/>
        <v>0</v>
      </c>
      <c r="R304" s="208">
        <f t="shared" si="138"/>
        <v>0</v>
      </c>
      <c r="S304" s="208">
        <f t="shared" si="138"/>
        <v>0</v>
      </c>
      <c r="T304" s="208">
        <f t="shared" si="138"/>
        <v>0</v>
      </c>
      <c r="U304" s="208">
        <f t="shared" si="138"/>
        <v>0</v>
      </c>
      <c r="V304" s="208">
        <f t="shared" si="138"/>
        <v>0</v>
      </c>
      <c r="W304" s="208">
        <f t="shared" si="138"/>
        <v>0</v>
      </c>
      <c r="X304" s="208">
        <f t="shared" si="138"/>
        <v>0</v>
      </c>
      <c r="Y304" s="208">
        <f t="shared" si="138"/>
        <v>0</v>
      </c>
      <c r="Z304" s="208">
        <f t="shared" si="138"/>
        <v>0</v>
      </c>
      <c r="AA304" s="208">
        <f t="shared" si="138"/>
        <v>0</v>
      </c>
      <c r="AB304" s="208">
        <f t="shared" si="138"/>
        <v>0</v>
      </c>
      <c r="AC304" s="208">
        <f t="shared" si="138"/>
        <v>0</v>
      </c>
      <c r="AD304" s="208">
        <f t="shared" si="138"/>
        <v>0</v>
      </c>
      <c r="AE304" s="208">
        <f t="shared" si="138"/>
        <v>0</v>
      </c>
      <c r="AF304" s="208">
        <f t="shared" si="138"/>
        <v>0</v>
      </c>
      <c r="AG304" s="208">
        <f t="shared" si="138"/>
        <v>0</v>
      </c>
      <c r="AH304" s="208">
        <f t="shared" si="138"/>
        <v>0</v>
      </c>
      <c r="AI304" s="208">
        <f t="shared" si="138"/>
        <v>0</v>
      </c>
      <c r="AJ304" s="208">
        <f t="shared" si="138"/>
        <v>0</v>
      </c>
      <c r="AK304" s="208">
        <f t="shared" si="138"/>
        <v>0</v>
      </c>
      <c r="AL304" s="208">
        <f t="shared" si="138"/>
        <v>0</v>
      </c>
      <c r="AM304" s="208">
        <f t="shared" si="138"/>
        <v>0</v>
      </c>
      <c r="AN304" s="208">
        <f t="shared" si="138"/>
        <v>0</v>
      </c>
      <c r="AO304" s="208">
        <f t="shared" si="138"/>
        <v>0</v>
      </c>
      <c r="AP304" s="208">
        <f t="shared" si="138"/>
        <v>0</v>
      </c>
    </row>
    <row r="305" spans="1:42">
      <c r="A305" s="119">
        <f>A304+1</f>
        <v>9</v>
      </c>
      <c r="B305" s="218">
        <f t="shared" si="134"/>
        <v>0</v>
      </c>
      <c r="C305" s="250">
        <f t="shared" si="138"/>
        <v>0</v>
      </c>
      <c r="D305" s="208">
        <f t="shared" si="138"/>
        <v>0</v>
      </c>
      <c r="E305" s="208">
        <f t="shared" si="138"/>
        <v>0</v>
      </c>
      <c r="F305" s="208">
        <f t="shared" si="138"/>
        <v>0</v>
      </c>
      <c r="G305" s="208">
        <f t="shared" si="138"/>
        <v>0</v>
      </c>
      <c r="H305" s="208">
        <f t="shared" si="138"/>
        <v>0</v>
      </c>
      <c r="I305" s="208">
        <f t="shared" si="138"/>
        <v>0</v>
      </c>
      <c r="J305" s="208">
        <f t="shared" si="138"/>
        <v>0</v>
      </c>
      <c r="K305" s="208">
        <f t="shared" si="138"/>
        <v>0</v>
      </c>
      <c r="L305" s="208">
        <f t="shared" si="138"/>
        <v>0</v>
      </c>
      <c r="M305" s="208">
        <f t="shared" si="138"/>
        <v>0</v>
      </c>
      <c r="N305" s="208">
        <f t="shared" si="138"/>
        <v>0</v>
      </c>
      <c r="O305" s="208">
        <f t="shared" si="138"/>
        <v>0</v>
      </c>
      <c r="P305" s="208">
        <f t="shared" si="138"/>
        <v>0</v>
      </c>
      <c r="Q305" s="208">
        <f t="shared" si="138"/>
        <v>0</v>
      </c>
      <c r="R305" s="208">
        <f t="shared" si="138"/>
        <v>0</v>
      </c>
      <c r="S305" s="208">
        <f t="shared" si="138"/>
        <v>0</v>
      </c>
      <c r="T305" s="208">
        <f t="shared" si="138"/>
        <v>0</v>
      </c>
      <c r="U305" s="208">
        <f t="shared" si="138"/>
        <v>0</v>
      </c>
      <c r="V305" s="208">
        <f t="shared" si="138"/>
        <v>0</v>
      </c>
      <c r="W305" s="208">
        <f t="shared" si="138"/>
        <v>0</v>
      </c>
      <c r="X305" s="208">
        <f t="shared" si="138"/>
        <v>0</v>
      </c>
      <c r="Y305" s="208">
        <f t="shared" si="138"/>
        <v>0</v>
      </c>
      <c r="Z305" s="208">
        <f t="shared" si="138"/>
        <v>0</v>
      </c>
      <c r="AA305" s="208">
        <f t="shared" si="138"/>
        <v>0</v>
      </c>
      <c r="AB305" s="208">
        <f t="shared" si="138"/>
        <v>0</v>
      </c>
      <c r="AC305" s="208">
        <f t="shared" si="138"/>
        <v>0</v>
      </c>
      <c r="AD305" s="208">
        <f t="shared" si="138"/>
        <v>0</v>
      </c>
      <c r="AE305" s="208">
        <f t="shared" si="138"/>
        <v>0</v>
      </c>
      <c r="AF305" s="208">
        <f t="shared" si="138"/>
        <v>0</v>
      </c>
      <c r="AG305" s="208">
        <f t="shared" si="138"/>
        <v>0</v>
      </c>
      <c r="AH305" s="208">
        <f t="shared" si="138"/>
        <v>0</v>
      </c>
      <c r="AI305" s="208">
        <f t="shared" si="138"/>
        <v>0</v>
      </c>
      <c r="AJ305" s="208">
        <f t="shared" si="138"/>
        <v>0</v>
      </c>
      <c r="AK305" s="208">
        <f t="shared" si="138"/>
        <v>0</v>
      </c>
      <c r="AL305" s="208">
        <f t="shared" si="138"/>
        <v>0</v>
      </c>
      <c r="AM305" s="208">
        <f t="shared" si="138"/>
        <v>0</v>
      </c>
      <c r="AN305" s="208">
        <f t="shared" si="138"/>
        <v>0</v>
      </c>
      <c r="AO305" s="208">
        <f t="shared" si="138"/>
        <v>0</v>
      </c>
      <c r="AP305" s="208">
        <f t="shared" si="138"/>
        <v>0</v>
      </c>
    </row>
    <row r="306" spans="1:42">
      <c r="A306" s="119">
        <f t="shared" si="136"/>
        <v>10</v>
      </c>
      <c r="B306" s="218">
        <f t="shared" si="134"/>
        <v>0</v>
      </c>
      <c r="C306" s="246">
        <f t="shared" si="138"/>
        <v>0</v>
      </c>
      <c r="D306" s="209">
        <f t="shared" si="138"/>
        <v>0</v>
      </c>
      <c r="E306" s="209">
        <f t="shared" si="138"/>
        <v>0</v>
      </c>
      <c r="F306" s="209">
        <f t="shared" si="138"/>
        <v>0</v>
      </c>
      <c r="G306" s="209">
        <f t="shared" si="138"/>
        <v>0</v>
      </c>
      <c r="H306" s="209">
        <f t="shared" si="138"/>
        <v>0</v>
      </c>
      <c r="I306" s="209">
        <f t="shared" si="138"/>
        <v>0</v>
      </c>
      <c r="J306" s="209">
        <f t="shared" si="138"/>
        <v>0</v>
      </c>
      <c r="K306" s="209">
        <f t="shared" si="138"/>
        <v>0</v>
      </c>
      <c r="L306" s="209">
        <f t="shared" si="138"/>
        <v>0</v>
      </c>
      <c r="M306" s="209">
        <f t="shared" si="138"/>
        <v>0</v>
      </c>
      <c r="N306" s="209">
        <f t="shared" si="138"/>
        <v>0</v>
      </c>
      <c r="O306" s="209">
        <f t="shared" si="138"/>
        <v>0</v>
      </c>
      <c r="P306" s="209">
        <f t="shared" si="138"/>
        <v>0</v>
      </c>
      <c r="Q306" s="209">
        <f t="shared" si="138"/>
        <v>0</v>
      </c>
      <c r="R306" s="209">
        <f t="shared" si="138"/>
        <v>0</v>
      </c>
      <c r="S306" s="209">
        <f t="shared" si="138"/>
        <v>0</v>
      </c>
      <c r="T306" s="209">
        <f t="shared" si="138"/>
        <v>0</v>
      </c>
      <c r="U306" s="209">
        <f t="shared" si="138"/>
        <v>0</v>
      </c>
      <c r="V306" s="209">
        <f t="shared" si="138"/>
        <v>0</v>
      </c>
      <c r="W306" s="209">
        <f t="shared" si="138"/>
        <v>0</v>
      </c>
      <c r="X306" s="209">
        <f t="shared" si="138"/>
        <v>0</v>
      </c>
      <c r="Y306" s="209">
        <f t="shared" si="138"/>
        <v>0</v>
      </c>
      <c r="Z306" s="209">
        <f t="shared" si="138"/>
        <v>0</v>
      </c>
      <c r="AA306" s="209">
        <f t="shared" si="138"/>
        <v>0</v>
      </c>
      <c r="AB306" s="209">
        <f t="shared" si="138"/>
        <v>0</v>
      </c>
      <c r="AC306" s="209">
        <f t="shared" si="138"/>
        <v>0</v>
      </c>
      <c r="AD306" s="209">
        <f t="shared" si="138"/>
        <v>0</v>
      </c>
      <c r="AE306" s="209">
        <f t="shared" si="138"/>
        <v>0</v>
      </c>
      <c r="AF306" s="209">
        <f t="shared" si="138"/>
        <v>0</v>
      </c>
      <c r="AG306" s="209">
        <f t="shared" si="138"/>
        <v>0</v>
      </c>
      <c r="AH306" s="209">
        <f t="shared" si="138"/>
        <v>0</v>
      </c>
      <c r="AI306" s="209">
        <f t="shared" si="138"/>
        <v>0</v>
      </c>
      <c r="AJ306" s="209">
        <f t="shared" si="138"/>
        <v>0</v>
      </c>
      <c r="AK306" s="209">
        <f t="shared" si="138"/>
        <v>0</v>
      </c>
      <c r="AL306" s="209">
        <f t="shared" si="138"/>
        <v>0</v>
      </c>
      <c r="AM306" s="209">
        <f t="shared" si="138"/>
        <v>0</v>
      </c>
      <c r="AN306" s="209">
        <f t="shared" si="138"/>
        <v>0</v>
      </c>
      <c r="AO306" s="209">
        <f t="shared" si="138"/>
        <v>0</v>
      </c>
      <c r="AP306" s="209">
        <f t="shared" si="138"/>
        <v>0</v>
      </c>
    </row>
    <row r="307" spans="1:42" s="119" customFormat="1" ht="12" customHeight="1">
      <c r="A307" s="247" t="s">
        <v>53</v>
      </c>
      <c r="B307" s="146"/>
      <c r="C307" s="146">
        <f>SUM(C297:C306)</f>
        <v>0</v>
      </c>
      <c r="D307" s="146">
        <f t="shared" ref="D307:AP307" si="139">SUM(D297:D306)</f>
        <v>0</v>
      </c>
      <c r="E307" s="146">
        <f t="shared" si="139"/>
        <v>0</v>
      </c>
      <c r="F307" s="146">
        <f t="shared" si="139"/>
        <v>0</v>
      </c>
      <c r="G307" s="146">
        <f t="shared" si="139"/>
        <v>0</v>
      </c>
      <c r="H307" s="146">
        <f t="shared" si="139"/>
        <v>0</v>
      </c>
      <c r="I307" s="146">
        <f t="shared" si="139"/>
        <v>0</v>
      </c>
      <c r="J307" s="146">
        <f t="shared" si="139"/>
        <v>0</v>
      </c>
      <c r="K307" s="146">
        <f t="shared" si="139"/>
        <v>0</v>
      </c>
      <c r="L307" s="146">
        <f t="shared" si="139"/>
        <v>0</v>
      </c>
      <c r="M307" s="146">
        <f t="shared" si="139"/>
        <v>0</v>
      </c>
      <c r="N307" s="146">
        <f t="shared" si="139"/>
        <v>0</v>
      </c>
      <c r="O307" s="146">
        <f t="shared" si="139"/>
        <v>0</v>
      </c>
      <c r="P307" s="146">
        <f t="shared" si="139"/>
        <v>0</v>
      </c>
      <c r="Q307" s="146">
        <f t="shared" si="139"/>
        <v>1231755.7306939578</v>
      </c>
      <c r="R307" s="146">
        <f t="shared" si="139"/>
        <v>1970809.1691103324</v>
      </c>
      <c r="S307" s="146">
        <f t="shared" si="139"/>
        <v>1182485.5014661995</v>
      </c>
      <c r="T307" s="146">
        <f t="shared" si="139"/>
        <v>709491.30087971967</v>
      </c>
      <c r="U307" s="146">
        <f t="shared" si="139"/>
        <v>709491.30087971967</v>
      </c>
      <c r="V307" s="146">
        <f t="shared" si="139"/>
        <v>354745.65043985983</v>
      </c>
      <c r="W307" s="146">
        <f t="shared" si="139"/>
        <v>0</v>
      </c>
      <c r="X307" s="146">
        <f t="shared" si="139"/>
        <v>0</v>
      </c>
      <c r="Y307" s="146">
        <f t="shared" si="139"/>
        <v>0</v>
      </c>
      <c r="Z307" s="146">
        <f t="shared" si="139"/>
        <v>0</v>
      </c>
      <c r="AA307" s="146">
        <f t="shared" si="139"/>
        <v>0</v>
      </c>
      <c r="AB307" s="146">
        <f t="shared" si="139"/>
        <v>0</v>
      </c>
      <c r="AC307" s="146">
        <f t="shared" si="139"/>
        <v>0</v>
      </c>
      <c r="AD307" s="146">
        <f t="shared" si="139"/>
        <v>0</v>
      </c>
      <c r="AE307" s="146">
        <f t="shared" si="139"/>
        <v>0</v>
      </c>
      <c r="AF307" s="146">
        <f t="shared" si="139"/>
        <v>1539980.512798867</v>
      </c>
      <c r="AG307" s="146">
        <f t="shared" si="139"/>
        <v>0</v>
      </c>
      <c r="AH307" s="146">
        <f t="shared" si="139"/>
        <v>0</v>
      </c>
      <c r="AI307" s="146">
        <f t="shared" si="139"/>
        <v>0</v>
      </c>
      <c r="AJ307" s="146">
        <f t="shared" si="139"/>
        <v>0</v>
      </c>
      <c r="AK307" s="146">
        <f t="shared" si="139"/>
        <v>0</v>
      </c>
      <c r="AL307" s="146">
        <f t="shared" si="139"/>
        <v>0</v>
      </c>
      <c r="AM307" s="146">
        <f t="shared" si="139"/>
        <v>0</v>
      </c>
      <c r="AN307" s="146">
        <f t="shared" si="139"/>
        <v>0</v>
      </c>
      <c r="AO307" s="146">
        <f t="shared" si="139"/>
        <v>0</v>
      </c>
      <c r="AP307" s="146">
        <f t="shared" si="139"/>
        <v>0</v>
      </c>
    </row>
    <row r="308" spans="1:42">
      <c r="A308" s="226"/>
      <c r="C308" s="208"/>
      <c r="D308" s="208"/>
      <c r="E308" s="208"/>
      <c r="F308" s="208"/>
      <c r="G308" s="208"/>
      <c r="H308" s="208"/>
      <c r="I308" s="208"/>
      <c r="J308" s="208"/>
      <c r="K308" s="208"/>
      <c r="L308" s="208"/>
      <c r="M308" s="208"/>
      <c r="N308" s="208"/>
      <c r="O308" s="208"/>
      <c r="P308" s="208"/>
      <c r="Q308" s="208"/>
      <c r="R308" s="208"/>
      <c r="S308" s="208"/>
      <c r="T308" s="208"/>
      <c r="U308" s="208"/>
      <c r="V308" s="208"/>
      <c r="W308" s="208"/>
      <c r="X308" s="208"/>
      <c r="Y308" s="208"/>
      <c r="Z308" s="208"/>
      <c r="AA308" s="208"/>
      <c r="AB308" s="208"/>
      <c r="AC308" s="208"/>
      <c r="AD308" s="208"/>
      <c r="AE308" s="208"/>
      <c r="AF308" s="208"/>
      <c r="AG308" s="208"/>
      <c r="AH308" s="208"/>
      <c r="AI308" s="208"/>
      <c r="AJ308" s="208"/>
      <c r="AK308" s="208"/>
      <c r="AL308" s="208"/>
      <c r="AM308" s="208"/>
      <c r="AN308" s="208"/>
      <c r="AO308" s="208"/>
      <c r="AP308" s="208"/>
    </row>
    <row r="309" spans="1:42">
      <c r="A309" s="219" t="s">
        <v>385</v>
      </c>
      <c r="C309" s="208"/>
      <c r="D309" s="208"/>
      <c r="E309" s="208"/>
      <c r="F309" s="208"/>
      <c r="G309" s="208"/>
      <c r="H309" s="208"/>
      <c r="I309" s="208"/>
      <c r="J309" s="208"/>
      <c r="K309" s="208"/>
      <c r="L309" s="208"/>
      <c r="M309" s="208"/>
      <c r="N309" s="208"/>
      <c r="O309" s="208"/>
      <c r="P309" s="208"/>
      <c r="Q309" s="208"/>
      <c r="R309" s="208"/>
      <c r="S309" s="208"/>
      <c r="T309" s="208"/>
      <c r="U309" s="208"/>
      <c r="V309" s="208"/>
      <c r="W309" s="208"/>
      <c r="X309" s="208"/>
      <c r="Y309" s="208"/>
      <c r="Z309" s="208"/>
      <c r="AA309" s="208"/>
      <c r="AB309" s="208"/>
      <c r="AC309" s="208"/>
      <c r="AD309" s="208"/>
      <c r="AE309" s="208"/>
      <c r="AF309" s="208"/>
      <c r="AG309" s="208"/>
      <c r="AH309" s="208"/>
      <c r="AI309" s="208"/>
      <c r="AJ309" s="208"/>
      <c r="AK309" s="208"/>
      <c r="AL309" s="208"/>
      <c r="AM309" s="208"/>
      <c r="AN309" s="208"/>
      <c r="AO309" s="208"/>
      <c r="AP309" s="208"/>
    </row>
    <row r="310" spans="1:42">
      <c r="A310" s="226" t="s">
        <v>217</v>
      </c>
      <c r="C310" s="208"/>
      <c r="D310" s="208"/>
      <c r="E310" s="208"/>
      <c r="F310" s="208"/>
      <c r="G310" s="208"/>
      <c r="H310" s="208"/>
      <c r="I310" s="208"/>
      <c r="J310" s="208"/>
      <c r="K310" s="208"/>
      <c r="L310" s="208"/>
      <c r="M310" s="208"/>
      <c r="N310" s="208"/>
      <c r="O310" s="208"/>
      <c r="P310" s="208"/>
      <c r="Q310" s="208"/>
      <c r="R310" s="208"/>
      <c r="S310" s="208"/>
      <c r="T310" s="208"/>
      <c r="U310" s="208"/>
      <c r="V310" s="208"/>
      <c r="W310" s="208"/>
      <c r="X310" s="208"/>
      <c r="Y310" s="208"/>
      <c r="Z310" s="208"/>
      <c r="AA310" s="208"/>
      <c r="AB310" s="208"/>
      <c r="AC310" s="208"/>
      <c r="AD310" s="208"/>
      <c r="AE310" s="208"/>
      <c r="AF310" s="208"/>
      <c r="AG310" s="208"/>
      <c r="AH310" s="208"/>
      <c r="AI310" s="208"/>
      <c r="AJ310" s="208"/>
      <c r="AK310" s="208"/>
      <c r="AL310" s="208"/>
      <c r="AM310" s="208"/>
      <c r="AN310" s="208"/>
      <c r="AO310" s="208"/>
      <c r="AP310" s="208"/>
    </row>
    <row r="311" spans="1:42">
      <c r="A311" s="119">
        <v>1</v>
      </c>
      <c r="C311" s="208">
        <f>IF(C$2&lt;=AnalysisPeriod,IF(SUM($C705:C705)&gt;0,B311+1,0),0)</f>
        <v>0</v>
      </c>
      <c r="D311" s="208">
        <f>IF(D$2&lt;=AnalysisPeriod,IF(SUM($C705:D705)&gt;0,C311+1,0),0)</f>
        <v>0</v>
      </c>
      <c r="E311" s="208">
        <f>IF(E$2&lt;=AnalysisPeriod,IF(SUM($C705:E705)&gt;0,D311+1,0),0)</f>
        <v>1</v>
      </c>
      <c r="F311" s="208">
        <f>IF(F$2&lt;=AnalysisPeriod,IF(SUM($C705:F705)&gt;0,E311+1,0),0)</f>
        <v>2</v>
      </c>
      <c r="G311" s="208">
        <f>IF(G$2&lt;=AnalysisPeriod,IF(SUM($C705:G705)&gt;0,F311+1,0),0)</f>
        <v>3</v>
      </c>
      <c r="H311" s="208">
        <f>IF(H$2&lt;=AnalysisPeriod,IF(SUM($C705:H705)&gt;0,G311+1,0),0)</f>
        <v>4</v>
      </c>
      <c r="I311" s="208">
        <f>IF(I$2&lt;=AnalysisPeriod,IF(SUM($C705:I705)&gt;0,H311+1,0),0)</f>
        <v>5</v>
      </c>
      <c r="J311" s="208">
        <f>IF(J$2&lt;=AnalysisPeriod,IF(SUM($C705:J705)&gt;0,I311+1,0),0)</f>
        <v>6</v>
      </c>
      <c r="K311" s="208">
        <f>IF(K$2&lt;=AnalysisPeriod,IF(SUM($C705:K705)&gt;0,J311+1,0),0)</f>
        <v>7</v>
      </c>
      <c r="L311" s="208">
        <f>IF(L$2&lt;=AnalysisPeriod,IF(SUM($C705:L705)&gt;0,K311+1,0),0)</f>
        <v>8</v>
      </c>
      <c r="M311" s="208">
        <f>IF(M$2&lt;=AnalysisPeriod,IF(SUM($C705:M705)&gt;0,L311+1,0),0)</f>
        <v>9</v>
      </c>
      <c r="N311" s="208">
        <f>IF(N$2&lt;=AnalysisPeriod,IF(SUM($C705:N705)&gt;0,M311+1,0),0)</f>
        <v>10</v>
      </c>
      <c r="O311" s="208">
        <f>IF(O$2&lt;=AnalysisPeriod,IF(SUM($C705:O705)&gt;0,N311+1,0),0)</f>
        <v>11</v>
      </c>
      <c r="P311" s="208">
        <f>IF(P$2&lt;=AnalysisPeriod,IF(SUM($C705:P705)&gt;0,O311+1,0),0)</f>
        <v>12</v>
      </c>
      <c r="Q311" s="208">
        <f>IF(Q$2&lt;=AnalysisPeriod,IF(SUM($C705:Q705)&gt;0,P311+1,0),0)</f>
        <v>13</v>
      </c>
      <c r="R311" s="208">
        <f>IF(R$2&lt;=AnalysisPeriod,IF(SUM($C705:R705)&gt;0,Q311+1,0),0)</f>
        <v>14</v>
      </c>
      <c r="S311" s="208">
        <f>IF(S$2&lt;=AnalysisPeriod,IF(SUM($C705:S705)&gt;0,R311+1,0),0)</f>
        <v>15</v>
      </c>
      <c r="T311" s="208">
        <f>IF(T$2&lt;=AnalysisPeriod,IF(SUM($C705:T705)&gt;0,S311+1,0),0)</f>
        <v>16</v>
      </c>
      <c r="U311" s="208">
        <f>IF(U$2&lt;=AnalysisPeriod,IF(SUM($C705:U705)&gt;0,T311+1,0),0)</f>
        <v>17</v>
      </c>
      <c r="V311" s="208">
        <f>IF(V$2&lt;=AnalysisPeriod,IF(SUM($C705:V705)&gt;0,U311+1,0),0)</f>
        <v>18</v>
      </c>
      <c r="W311" s="208">
        <f>IF(W$2&lt;=AnalysisPeriod,IF(SUM($C705:W705)&gt;0,V311+1,0),0)</f>
        <v>19</v>
      </c>
      <c r="X311" s="208">
        <f>IF(X$2&lt;=AnalysisPeriod,IF(SUM($C705:X705)&gt;0,W311+1,0),0)</f>
        <v>20</v>
      </c>
      <c r="Y311" s="208">
        <f>IF(Y$2&lt;=AnalysisPeriod,IF(SUM($C705:Y705)&gt;0,X311+1,0),0)</f>
        <v>21</v>
      </c>
      <c r="Z311" s="208">
        <f>IF(Z$2&lt;=AnalysisPeriod,IF(SUM($C705:Z705)&gt;0,Y311+1,0),0)</f>
        <v>22</v>
      </c>
      <c r="AA311" s="208">
        <f>IF(AA$2&lt;=AnalysisPeriod,IF(SUM($C705:AA705)&gt;0,Z311+1,0),0)</f>
        <v>23</v>
      </c>
      <c r="AB311" s="208">
        <f>IF(AB$2&lt;=AnalysisPeriod,IF(SUM($C705:AB705)&gt;0,AA311+1,0),0)</f>
        <v>24</v>
      </c>
      <c r="AC311" s="208">
        <f>IF(AC$2&lt;=AnalysisPeriod,IF(SUM($C705:AC705)&gt;0,AB311+1,0),0)</f>
        <v>25</v>
      </c>
      <c r="AD311" s="208">
        <f>IF(AD$2&lt;=AnalysisPeriod,IF(SUM($C705:AD705)&gt;0,AC311+1,0),0)</f>
        <v>26</v>
      </c>
      <c r="AE311" s="208">
        <f>IF(AE$2&lt;=AnalysisPeriod,IF(SUM($C705:AE705)&gt;0,AD311+1,0),0)</f>
        <v>27</v>
      </c>
      <c r="AF311" s="208">
        <f>IF(AF$2&lt;=AnalysisPeriod,IF(SUM($C705:AF705)&gt;0,AE311+1,0),0)</f>
        <v>28</v>
      </c>
      <c r="AG311" s="208">
        <f>IF(AG$2&lt;=AnalysisPeriod,IF(SUM($C705:AG705)&gt;0,AF311+1,0),0)</f>
        <v>0</v>
      </c>
      <c r="AH311" s="208">
        <f>IF(AH$2&lt;=AnalysisPeriod,IF(SUM($C705:AH705)&gt;0,AG311+1,0),0)</f>
        <v>0</v>
      </c>
      <c r="AI311" s="208">
        <f>IF(AI$2&lt;=AnalysisPeriod,IF(SUM($C705:AI705)&gt;0,AH311+1,0),0)</f>
        <v>0</v>
      </c>
      <c r="AJ311" s="208">
        <f>IF(AJ$2&lt;=AnalysisPeriod,IF(SUM($C705:AJ705)&gt;0,AI311+1,0),0)</f>
        <v>0</v>
      </c>
      <c r="AK311" s="208">
        <f>IF(AK$2&lt;=AnalysisPeriod,IF(SUM($C705:AK705)&gt;0,AJ311+1,0),0)</f>
        <v>0</v>
      </c>
      <c r="AL311" s="208">
        <f>IF(AL$2&lt;=AnalysisPeriod,IF(SUM($C705:AL705)&gt;0,AK311+1,0),0)</f>
        <v>0</v>
      </c>
      <c r="AM311" s="208">
        <f>IF(AM$2&lt;=AnalysisPeriod,IF(SUM($C705:AM705)&gt;0,AL311+1,0),0)</f>
        <v>0</v>
      </c>
      <c r="AN311" s="208">
        <f>IF(AN$2&lt;=AnalysisPeriod,IF(SUM($C705:AN705)&gt;0,AM311+1,0),0)</f>
        <v>0</v>
      </c>
      <c r="AO311" s="208">
        <f>IF(AO$2&lt;=AnalysisPeriod,IF(SUM($C705:AO705)&gt;0,AN311+1,0),0)</f>
        <v>0</v>
      </c>
      <c r="AP311" s="208">
        <f>IF(AP$2&lt;=AnalysisPeriod,IF(SUM($C705:AP705)&gt;0,AO311+1,0),0)</f>
        <v>0</v>
      </c>
    </row>
    <row r="312" spans="1:42">
      <c r="A312" s="119">
        <f>A311+1</f>
        <v>2</v>
      </c>
      <c r="C312" s="208">
        <f>IF(C$2&lt;=AnalysisPeriod,IF(SUM($C706:C706)&gt;0,B312+1,0),0)</f>
        <v>0</v>
      </c>
      <c r="D312" s="208">
        <f>IF(D$2&lt;=AnalysisPeriod,IF(SUM($C706:D706)&gt;0,C312+1,0),0)</f>
        <v>0</v>
      </c>
      <c r="E312" s="208">
        <f>IF(E$2&lt;=AnalysisPeriod,IF(SUM($C706:E706)&gt;0,D312+1,0),0)</f>
        <v>0</v>
      </c>
      <c r="F312" s="208">
        <f>IF(F$2&lt;=AnalysisPeriod,IF(SUM($C706:F706)&gt;0,E312+1,0),0)</f>
        <v>0</v>
      </c>
      <c r="G312" s="208">
        <f>IF(G$2&lt;=AnalysisPeriod,IF(SUM($C706:G706)&gt;0,F312+1,0),0)</f>
        <v>0</v>
      </c>
      <c r="H312" s="208">
        <f>IF(H$2&lt;=AnalysisPeriod,IF(SUM($C706:H706)&gt;0,G312+1,0),0)</f>
        <v>1</v>
      </c>
      <c r="I312" s="208">
        <f>IF(I$2&lt;=AnalysisPeriod,IF(SUM($C706:I706)&gt;0,H312+1,0),0)</f>
        <v>2</v>
      </c>
      <c r="J312" s="208">
        <f>IF(J$2&lt;=AnalysisPeriod,IF(SUM($C706:J706)&gt;0,I312+1,0),0)</f>
        <v>3</v>
      </c>
      <c r="K312" s="208">
        <f>IF(K$2&lt;=AnalysisPeriod,IF(SUM($C706:K706)&gt;0,J312+1,0),0)</f>
        <v>4</v>
      </c>
      <c r="L312" s="208">
        <f>IF(L$2&lt;=AnalysisPeriod,IF(SUM($C706:L706)&gt;0,K312+1,0),0)</f>
        <v>5</v>
      </c>
      <c r="M312" s="208">
        <f>IF(M$2&lt;=AnalysisPeriod,IF(SUM($C706:M706)&gt;0,L312+1,0),0)</f>
        <v>6</v>
      </c>
      <c r="N312" s="208">
        <f>IF(N$2&lt;=AnalysisPeriod,IF(SUM($C706:N706)&gt;0,M312+1,0),0)</f>
        <v>7</v>
      </c>
      <c r="O312" s="208">
        <f>IF(O$2&lt;=AnalysisPeriod,IF(SUM($C706:O706)&gt;0,N312+1,0),0)</f>
        <v>8</v>
      </c>
      <c r="P312" s="208">
        <f>IF(P$2&lt;=AnalysisPeriod,IF(SUM($C706:P706)&gt;0,O312+1,0),0)</f>
        <v>9</v>
      </c>
      <c r="Q312" s="208">
        <f>IF(Q$2&lt;=AnalysisPeriod,IF(SUM($C706:Q706)&gt;0,P312+1,0),0)</f>
        <v>10</v>
      </c>
      <c r="R312" s="208">
        <f>IF(R$2&lt;=AnalysisPeriod,IF(SUM($C706:R706)&gt;0,Q312+1,0),0)</f>
        <v>11</v>
      </c>
      <c r="S312" s="208">
        <f>IF(S$2&lt;=AnalysisPeriod,IF(SUM($C706:S706)&gt;0,R312+1,0),0)</f>
        <v>12</v>
      </c>
      <c r="T312" s="208">
        <f>IF(T$2&lt;=AnalysisPeriod,IF(SUM($C706:T706)&gt;0,S312+1,0),0)</f>
        <v>13</v>
      </c>
      <c r="U312" s="208">
        <f>IF(U$2&lt;=AnalysisPeriod,IF(SUM($C706:U706)&gt;0,T312+1,0),0)</f>
        <v>14</v>
      </c>
      <c r="V312" s="208">
        <f>IF(V$2&lt;=AnalysisPeriod,IF(SUM($C706:V706)&gt;0,U312+1,0),0)</f>
        <v>15</v>
      </c>
      <c r="W312" s="208">
        <f>IF(W$2&lt;=AnalysisPeriod,IF(SUM($C706:W706)&gt;0,V312+1,0),0)</f>
        <v>16</v>
      </c>
      <c r="X312" s="208">
        <f>IF(X$2&lt;=AnalysisPeriod,IF(SUM($C706:X706)&gt;0,W312+1,0),0)</f>
        <v>17</v>
      </c>
      <c r="Y312" s="208">
        <f>IF(Y$2&lt;=AnalysisPeriod,IF(SUM($C706:Y706)&gt;0,X312+1,0),0)</f>
        <v>18</v>
      </c>
      <c r="Z312" s="208">
        <f>IF(Z$2&lt;=AnalysisPeriod,IF(SUM($C706:Z706)&gt;0,Y312+1,0),0)</f>
        <v>19</v>
      </c>
      <c r="AA312" s="208">
        <f>IF(AA$2&lt;=AnalysisPeriod,IF(SUM($C706:AA706)&gt;0,Z312+1,0),0)</f>
        <v>20</v>
      </c>
      <c r="AB312" s="208">
        <f>IF(AB$2&lt;=AnalysisPeriod,IF(SUM($C706:AB706)&gt;0,AA312+1,0),0)</f>
        <v>21</v>
      </c>
      <c r="AC312" s="208">
        <f>IF(AC$2&lt;=AnalysisPeriod,IF(SUM($C706:AC706)&gt;0,AB312+1,0),0)</f>
        <v>22</v>
      </c>
      <c r="AD312" s="208">
        <f>IF(AD$2&lt;=AnalysisPeriod,IF(SUM($C706:AD706)&gt;0,AC312+1,0),0)</f>
        <v>23</v>
      </c>
      <c r="AE312" s="208">
        <f>IF(AE$2&lt;=AnalysisPeriod,IF(SUM($C706:AE706)&gt;0,AD312+1,0),0)</f>
        <v>24</v>
      </c>
      <c r="AF312" s="208">
        <f>IF(AF$2&lt;=AnalysisPeriod,IF(SUM($C706:AF706)&gt;0,AE312+1,0),0)</f>
        <v>25</v>
      </c>
      <c r="AG312" s="208">
        <f>IF(AG$2&lt;=AnalysisPeriod,IF(SUM($C706:AG706)&gt;0,AF312+1,0),0)</f>
        <v>0</v>
      </c>
      <c r="AH312" s="208">
        <f>IF(AH$2&lt;=AnalysisPeriod,IF(SUM($C706:AH706)&gt;0,AG312+1,0),0)</f>
        <v>0</v>
      </c>
      <c r="AI312" s="208">
        <f>IF(AI$2&lt;=AnalysisPeriod,IF(SUM($C706:AI706)&gt;0,AH312+1,0),0)</f>
        <v>0</v>
      </c>
      <c r="AJ312" s="208">
        <f>IF(AJ$2&lt;=AnalysisPeriod,IF(SUM($C706:AJ706)&gt;0,AI312+1,0),0)</f>
        <v>0</v>
      </c>
      <c r="AK312" s="208">
        <f>IF(AK$2&lt;=AnalysisPeriod,IF(SUM($C706:AK706)&gt;0,AJ312+1,0),0)</f>
        <v>0</v>
      </c>
      <c r="AL312" s="208">
        <f>IF(AL$2&lt;=AnalysisPeriod,IF(SUM($C706:AL706)&gt;0,AK312+1,0),0)</f>
        <v>0</v>
      </c>
      <c r="AM312" s="208">
        <f>IF(AM$2&lt;=AnalysisPeriod,IF(SUM($C706:AM706)&gt;0,AL312+1,0),0)</f>
        <v>0</v>
      </c>
      <c r="AN312" s="208">
        <f>IF(AN$2&lt;=AnalysisPeriod,IF(SUM($C706:AN706)&gt;0,AM312+1,0),0)</f>
        <v>0</v>
      </c>
      <c r="AO312" s="208">
        <f>IF(AO$2&lt;=AnalysisPeriod,IF(SUM($C706:AO706)&gt;0,AN312+1,0),0)</f>
        <v>0</v>
      </c>
      <c r="AP312" s="208">
        <f>IF(AP$2&lt;=AnalysisPeriod,IF(SUM($C706:AP706)&gt;0,AO312+1,0),0)</f>
        <v>0</v>
      </c>
    </row>
    <row r="313" spans="1:42">
      <c r="A313" s="119">
        <f t="shared" ref="A313:A320" si="140">A312+1</f>
        <v>3</v>
      </c>
      <c r="C313" s="208">
        <f>IF(C$2&lt;=AnalysisPeriod,IF(SUM($C707:C707)&gt;0,B313+1,0),0)</f>
        <v>0</v>
      </c>
      <c r="D313" s="208">
        <f>IF(D$2&lt;=AnalysisPeriod,IF(SUM($C707:D707)&gt;0,C313+1,0),0)</f>
        <v>0</v>
      </c>
      <c r="E313" s="208">
        <f>IF(E$2&lt;=AnalysisPeriod,IF(SUM($C707:E707)&gt;0,D313+1,0),0)</f>
        <v>0</v>
      </c>
      <c r="F313" s="208">
        <f>IF(F$2&lt;=AnalysisPeriod,IF(SUM($C707:F707)&gt;0,E313+1,0),0)</f>
        <v>0</v>
      </c>
      <c r="G313" s="208">
        <f>IF(G$2&lt;=AnalysisPeriod,IF(SUM($C707:G707)&gt;0,F313+1,0),0)</f>
        <v>0</v>
      </c>
      <c r="H313" s="208">
        <f>IF(H$2&lt;=AnalysisPeriod,IF(SUM($C707:H707)&gt;0,G313+1,0),0)</f>
        <v>0</v>
      </c>
      <c r="I313" s="208">
        <f>IF(I$2&lt;=AnalysisPeriod,IF(SUM($C707:I707)&gt;0,H313+1,0),0)</f>
        <v>0</v>
      </c>
      <c r="J313" s="208">
        <f>IF(J$2&lt;=AnalysisPeriod,IF(SUM($C707:J707)&gt;0,I313+1,0),0)</f>
        <v>0</v>
      </c>
      <c r="K313" s="208">
        <f>IF(K$2&lt;=AnalysisPeriod,IF(SUM($C707:K707)&gt;0,J313+1,0),0)</f>
        <v>1</v>
      </c>
      <c r="L313" s="208">
        <f>IF(L$2&lt;=AnalysisPeriod,IF(SUM($C707:L707)&gt;0,K313+1,0),0)</f>
        <v>2</v>
      </c>
      <c r="M313" s="208">
        <f>IF(M$2&lt;=AnalysisPeriod,IF(SUM($C707:M707)&gt;0,L313+1,0),0)</f>
        <v>3</v>
      </c>
      <c r="N313" s="208">
        <f>IF(N$2&lt;=AnalysisPeriod,IF(SUM($C707:N707)&gt;0,M313+1,0),0)</f>
        <v>4</v>
      </c>
      <c r="O313" s="208">
        <f>IF(O$2&lt;=AnalysisPeriod,IF(SUM($C707:O707)&gt;0,N313+1,0),0)</f>
        <v>5</v>
      </c>
      <c r="P313" s="208">
        <f>IF(P$2&lt;=AnalysisPeriod,IF(SUM($C707:P707)&gt;0,O313+1,0),0)</f>
        <v>6</v>
      </c>
      <c r="Q313" s="208">
        <f>IF(Q$2&lt;=AnalysisPeriod,IF(SUM($C707:Q707)&gt;0,P313+1,0),0)</f>
        <v>7</v>
      </c>
      <c r="R313" s="208">
        <f>IF(R$2&lt;=AnalysisPeriod,IF(SUM($C707:R707)&gt;0,Q313+1,0),0)</f>
        <v>8</v>
      </c>
      <c r="S313" s="208">
        <f>IF(S$2&lt;=AnalysisPeriod,IF(SUM($C707:S707)&gt;0,R313+1,0),0)</f>
        <v>9</v>
      </c>
      <c r="T313" s="208">
        <f>IF(T$2&lt;=AnalysisPeriod,IF(SUM($C707:T707)&gt;0,S313+1,0),0)</f>
        <v>10</v>
      </c>
      <c r="U313" s="208">
        <f>IF(U$2&lt;=AnalysisPeriod,IF(SUM($C707:U707)&gt;0,T313+1,0),0)</f>
        <v>11</v>
      </c>
      <c r="V313" s="208">
        <f>IF(V$2&lt;=AnalysisPeriod,IF(SUM($C707:V707)&gt;0,U313+1,0),0)</f>
        <v>12</v>
      </c>
      <c r="W313" s="208">
        <f>IF(W$2&lt;=AnalysisPeriod,IF(SUM($C707:W707)&gt;0,V313+1,0),0)</f>
        <v>13</v>
      </c>
      <c r="X313" s="208">
        <f>IF(X$2&lt;=AnalysisPeriod,IF(SUM($C707:X707)&gt;0,W313+1,0),0)</f>
        <v>14</v>
      </c>
      <c r="Y313" s="208">
        <f>IF(Y$2&lt;=AnalysisPeriod,IF(SUM($C707:Y707)&gt;0,X313+1,0),0)</f>
        <v>15</v>
      </c>
      <c r="Z313" s="208">
        <f>IF(Z$2&lt;=AnalysisPeriod,IF(SUM($C707:Z707)&gt;0,Y313+1,0),0)</f>
        <v>16</v>
      </c>
      <c r="AA313" s="208">
        <f>IF(AA$2&lt;=AnalysisPeriod,IF(SUM($C707:AA707)&gt;0,Z313+1,0),0)</f>
        <v>17</v>
      </c>
      <c r="AB313" s="208">
        <f>IF(AB$2&lt;=AnalysisPeriod,IF(SUM($C707:AB707)&gt;0,AA313+1,0),0)</f>
        <v>18</v>
      </c>
      <c r="AC313" s="208">
        <f>IF(AC$2&lt;=AnalysisPeriod,IF(SUM($C707:AC707)&gt;0,AB313+1,0),0)</f>
        <v>19</v>
      </c>
      <c r="AD313" s="208">
        <f>IF(AD$2&lt;=AnalysisPeriod,IF(SUM($C707:AD707)&gt;0,AC313+1,0),0)</f>
        <v>20</v>
      </c>
      <c r="AE313" s="208">
        <f>IF(AE$2&lt;=AnalysisPeriod,IF(SUM($C707:AE707)&gt;0,AD313+1,0),0)</f>
        <v>21</v>
      </c>
      <c r="AF313" s="208">
        <f>IF(AF$2&lt;=AnalysisPeriod,IF(SUM($C707:AF707)&gt;0,AE313+1,0),0)</f>
        <v>22</v>
      </c>
      <c r="AG313" s="208">
        <f>IF(AG$2&lt;=AnalysisPeriod,IF(SUM($C707:AG707)&gt;0,AF313+1,0),0)</f>
        <v>0</v>
      </c>
      <c r="AH313" s="208">
        <f>IF(AH$2&lt;=AnalysisPeriod,IF(SUM($C707:AH707)&gt;0,AG313+1,0),0)</f>
        <v>0</v>
      </c>
      <c r="AI313" s="208">
        <f>IF(AI$2&lt;=AnalysisPeriod,IF(SUM($C707:AI707)&gt;0,AH313+1,0),0)</f>
        <v>0</v>
      </c>
      <c r="AJ313" s="208">
        <f>IF(AJ$2&lt;=AnalysisPeriod,IF(SUM($C707:AJ707)&gt;0,AI313+1,0),0)</f>
        <v>0</v>
      </c>
      <c r="AK313" s="208">
        <f>IF(AK$2&lt;=AnalysisPeriod,IF(SUM($C707:AK707)&gt;0,AJ313+1,0),0)</f>
        <v>0</v>
      </c>
      <c r="AL313" s="208">
        <f>IF(AL$2&lt;=AnalysisPeriod,IF(SUM($C707:AL707)&gt;0,AK313+1,0),0)</f>
        <v>0</v>
      </c>
      <c r="AM313" s="208">
        <f>IF(AM$2&lt;=AnalysisPeriod,IF(SUM($C707:AM707)&gt;0,AL313+1,0),0)</f>
        <v>0</v>
      </c>
      <c r="AN313" s="208">
        <f>IF(AN$2&lt;=AnalysisPeriod,IF(SUM($C707:AN707)&gt;0,AM313+1,0),0)</f>
        <v>0</v>
      </c>
      <c r="AO313" s="208">
        <f>IF(AO$2&lt;=AnalysisPeriod,IF(SUM($C707:AO707)&gt;0,AN313+1,0),0)</f>
        <v>0</v>
      </c>
      <c r="AP313" s="208">
        <f>IF(AP$2&lt;=AnalysisPeriod,IF(SUM($C707:AP707)&gt;0,AO313+1,0),0)</f>
        <v>0</v>
      </c>
    </row>
    <row r="314" spans="1:42">
      <c r="A314" s="119">
        <f t="shared" si="140"/>
        <v>4</v>
      </c>
      <c r="C314" s="208">
        <f>IF(C$2&lt;=AnalysisPeriod,IF(SUM($C708:C708)&gt;0,B314+1,0),0)</f>
        <v>0</v>
      </c>
      <c r="D314" s="208">
        <f>IF(D$2&lt;=AnalysisPeriod,IF(SUM($C708:D708)&gt;0,C314+1,0),0)</f>
        <v>0</v>
      </c>
      <c r="E314" s="208">
        <f>IF(E$2&lt;=AnalysisPeriod,IF(SUM($C708:E708)&gt;0,D314+1,0),0)</f>
        <v>0</v>
      </c>
      <c r="F314" s="208">
        <f>IF(F$2&lt;=AnalysisPeriod,IF(SUM($C708:F708)&gt;0,E314+1,0),0)</f>
        <v>0</v>
      </c>
      <c r="G314" s="208">
        <f>IF(G$2&lt;=AnalysisPeriod,IF(SUM($C708:G708)&gt;0,F314+1,0),0)</f>
        <v>0</v>
      </c>
      <c r="H314" s="208">
        <f>IF(H$2&lt;=AnalysisPeriod,IF(SUM($C708:H708)&gt;0,G314+1,0),0)</f>
        <v>0</v>
      </c>
      <c r="I314" s="208">
        <f>IF(I$2&lt;=AnalysisPeriod,IF(SUM($C708:I708)&gt;0,H314+1,0),0)</f>
        <v>0</v>
      </c>
      <c r="J314" s="208">
        <f>IF(J$2&lt;=AnalysisPeriod,IF(SUM($C708:J708)&gt;0,I314+1,0),0)</f>
        <v>0</v>
      </c>
      <c r="K314" s="208">
        <f>IF(K$2&lt;=AnalysisPeriod,IF(SUM($C708:K708)&gt;0,J314+1,0),0)</f>
        <v>0</v>
      </c>
      <c r="L314" s="208">
        <f>IF(L$2&lt;=AnalysisPeriod,IF(SUM($C708:L708)&gt;0,K314+1,0),0)</f>
        <v>0</v>
      </c>
      <c r="M314" s="208">
        <f>IF(M$2&lt;=AnalysisPeriod,IF(SUM($C708:M708)&gt;0,L314+1,0),0)</f>
        <v>0</v>
      </c>
      <c r="N314" s="208">
        <f>IF(N$2&lt;=AnalysisPeriod,IF(SUM($C708:N708)&gt;0,M314+1,0),0)</f>
        <v>1</v>
      </c>
      <c r="O314" s="208">
        <f>IF(O$2&lt;=AnalysisPeriod,IF(SUM($C708:O708)&gt;0,N314+1,0),0)</f>
        <v>2</v>
      </c>
      <c r="P314" s="208">
        <f>IF(P$2&lt;=AnalysisPeriod,IF(SUM($C708:P708)&gt;0,O314+1,0),0)</f>
        <v>3</v>
      </c>
      <c r="Q314" s="208">
        <f>IF(Q$2&lt;=AnalysisPeriod,IF(SUM($C708:Q708)&gt;0,P314+1,0),0)</f>
        <v>4</v>
      </c>
      <c r="R314" s="208">
        <f>IF(R$2&lt;=AnalysisPeriod,IF(SUM($C708:R708)&gt;0,Q314+1,0),0)</f>
        <v>5</v>
      </c>
      <c r="S314" s="208">
        <f>IF(S$2&lt;=AnalysisPeriod,IF(SUM($C708:S708)&gt;0,R314+1,0),0)</f>
        <v>6</v>
      </c>
      <c r="T314" s="208">
        <f>IF(T$2&lt;=AnalysisPeriod,IF(SUM($C708:T708)&gt;0,S314+1,0),0)</f>
        <v>7</v>
      </c>
      <c r="U314" s="208">
        <f>IF(U$2&lt;=AnalysisPeriod,IF(SUM($C708:U708)&gt;0,T314+1,0),0)</f>
        <v>8</v>
      </c>
      <c r="V314" s="208">
        <f>IF(V$2&lt;=AnalysisPeriod,IF(SUM($C708:V708)&gt;0,U314+1,0),0)</f>
        <v>9</v>
      </c>
      <c r="W314" s="208">
        <f>IF(W$2&lt;=AnalysisPeriod,IF(SUM($C708:W708)&gt;0,V314+1,0),0)</f>
        <v>10</v>
      </c>
      <c r="X314" s="208">
        <f>IF(X$2&lt;=AnalysisPeriod,IF(SUM($C708:X708)&gt;0,W314+1,0),0)</f>
        <v>11</v>
      </c>
      <c r="Y314" s="208">
        <f>IF(Y$2&lt;=AnalysisPeriod,IF(SUM($C708:Y708)&gt;0,X314+1,0),0)</f>
        <v>12</v>
      </c>
      <c r="Z314" s="208">
        <f>IF(Z$2&lt;=AnalysisPeriod,IF(SUM($C708:Z708)&gt;0,Y314+1,0),0)</f>
        <v>13</v>
      </c>
      <c r="AA314" s="208">
        <f>IF(AA$2&lt;=AnalysisPeriod,IF(SUM($C708:AA708)&gt;0,Z314+1,0),0)</f>
        <v>14</v>
      </c>
      <c r="AB314" s="208">
        <f>IF(AB$2&lt;=AnalysisPeriod,IF(SUM($C708:AB708)&gt;0,AA314+1,0),0)</f>
        <v>15</v>
      </c>
      <c r="AC314" s="208">
        <f>IF(AC$2&lt;=AnalysisPeriod,IF(SUM($C708:AC708)&gt;0,AB314+1,0),0)</f>
        <v>16</v>
      </c>
      <c r="AD314" s="208">
        <f>IF(AD$2&lt;=AnalysisPeriod,IF(SUM($C708:AD708)&gt;0,AC314+1,0),0)</f>
        <v>17</v>
      </c>
      <c r="AE314" s="208">
        <f>IF(AE$2&lt;=AnalysisPeriod,IF(SUM($C708:AE708)&gt;0,AD314+1,0),0)</f>
        <v>18</v>
      </c>
      <c r="AF314" s="208">
        <f>IF(AF$2&lt;=AnalysisPeriod,IF(SUM($C708:AF708)&gt;0,AE314+1,0),0)</f>
        <v>19</v>
      </c>
      <c r="AG314" s="208">
        <f>IF(AG$2&lt;=AnalysisPeriod,IF(SUM($C708:AG708)&gt;0,AF314+1,0),0)</f>
        <v>0</v>
      </c>
      <c r="AH314" s="208">
        <f>IF(AH$2&lt;=AnalysisPeriod,IF(SUM($C708:AH708)&gt;0,AG314+1,0),0)</f>
        <v>0</v>
      </c>
      <c r="AI314" s="208">
        <f>IF(AI$2&lt;=AnalysisPeriod,IF(SUM($C708:AI708)&gt;0,AH314+1,0),0)</f>
        <v>0</v>
      </c>
      <c r="AJ314" s="208">
        <f>IF(AJ$2&lt;=AnalysisPeriod,IF(SUM($C708:AJ708)&gt;0,AI314+1,0),0)</f>
        <v>0</v>
      </c>
      <c r="AK314" s="208">
        <f>IF(AK$2&lt;=AnalysisPeriod,IF(SUM($C708:AK708)&gt;0,AJ314+1,0),0)</f>
        <v>0</v>
      </c>
      <c r="AL314" s="208">
        <f>IF(AL$2&lt;=AnalysisPeriod,IF(SUM($C708:AL708)&gt;0,AK314+1,0),0)</f>
        <v>0</v>
      </c>
      <c r="AM314" s="208">
        <f>IF(AM$2&lt;=AnalysisPeriod,IF(SUM($C708:AM708)&gt;0,AL314+1,0),0)</f>
        <v>0</v>
      </c>
      <c r="AN314" s="208">
        <f>IF(AN$2&lt;=AnalysisPeriod,IF(SUM($C708:AN708)&gt;0,AM314+1,0),0)</f>
        <v>0</v>
      </c>
      <c r="AO314" s="208">
        <f>IF(AO$2&lt;=AnalysisPeriod,IF(SUM($C708:AO708)&gt;0,AN314+1,0),0)</f>
        <v>0</v>
      </c>
      <c r="AP314" s="208">
        <f>IF(AP$2&lt;=AnalysisPeriod,IF(SUM($C708:AP708)&gt;0,AO314+1,0),0)</f>
        <v>0</v>
      </c>
    </row>
    <row r="315" spans="1:42">
      <c r="A315" s="119">
        <f t="shared" si="140"/>
        <v>5</v>
      </c>
      <c r="C315" s="208">
        <f>IF(C$2&lt;=AnalysisPeriod,IF(SUM($C709:C709)&gt;0,B315+1,0),0)</f>
        <v>0</v>
      </c>
      <c r="D315" s="208">
        <f>IF(D$2&lt;=AnalysisPeriod,IF(SUM($C709:D709)&gt;0,C315+1,0),0)</f>
        <v>0</v>
      </c>
      <c r="E315" s="208">
        <f>IF(E$2&lt;=AnalysisPeriod,IF(SUM($C709:E709)&gt;0,D315+1,0),0)</f>
        <v>0</v>
      </c>
      <c r="F315" s="208">
        <f>IF(F$2&lt;=AnalysisPeriod,IF(SUM($C709:F709)&gt;0,E315+1,0),0)</f>
        <v>0</v>
      </c>
      <c r="G315" s="208">
        <f>IF(G$2&lt;=AnalysisPeriod,IF(SUM($C709:G709)&gt;0,F315+1,0),0)</f>
        <v>0</v>
      </c>
      <c r="H315" s="208">
        <f>IF(H$2&lt;=AnalysisPeriod,IF(SUM($C709:H709)&gt;0,G315+1,0),0)</f>
        <v>0</v>
      </c>
      <c r="I315" s="208">
        <f>IF(I$2&lt;=AnalysisPeriod,IF(SUM($C709:I709)&gt;0,H315+1,0),0)</f>
        <v>0</v>
      </c>
      <c r="J315" s="208">
        <f>IF(J$2&lt;=AnalysisPeriod,IF(SUM($C709:J709)&gt;0,I315+1,0),0)</f>
        <v>0</v>
      </c>
      <c r="K315" s="208">
        <f>IF(K$2&lt;=AnalysisPeriod,IF(SUM($C709:K709)&gt;0,J315+1,0),0)</f>
        <v>0</v>
      </c>
      <c r="L315" s="208">
        <f>IF(L$2&lt;=AnalysisPeriod,IF(SUM($C709:L709)&gt;0,K315+1,0),0)</f>
        <v>0</v>
      </c>
      <c r="M315" s="208">
        <f>IF(M$2&lt;=AnalysisPeriod,IF(SUM($C709:M709)&gt;0,L315+1,0),0)</f>
        <v>0</v>
      </c>
      <c r="N315" s="208">
        <f>IF(N$2&lt;=AnalysisPeriod,IF(SUM($C709:N709)&gt;0,M315+1,0),0)</f>
        <v>0</v>
      </c>
      <c r="O315" s="208">
        <f>IF(O$2&lt;=AnalysisPeriod,IF(SUM($C709:O709)&gt;0,N315+1,0),0)</f>
        <v>0</v>
      </c>
      <c r="P315" s="208">
        <f>IF(P$2&lt;=AnalysisPeriod,IF(SUM($C709:P709)&gt;0,O315+1,0),0)</f>
        <v>0</v>
      </c>
      <c r="Q315" s="208">
        <f>IF(Q$2&lt;=AnalysisPeriod,IF(SUM($C709:Q709)&gt;0,P315+1,0),0)</f>
        <v>1</v>
      </c>
      <c r="R315" s="208">
        <f>IF(R$2&lt;=AnalysisPeriod,IF(SUM($C709:R709)&gt;0,Q315+1,0),0)</f>
        <v>2</v>
      </c>
      <c r="S315" s="208">
        <f>IF(S$2&lt;=AnalysisPeriod,IF(SUM($C709:S709)&gt;0,R315+1,0),0)</f>
        <v>3</v>
      </c>
      <c r="T315" s="208">
        <f>IF(T$2&lt;=AnalysisPeriod,IF(SUM($C709:T709)&gt;0,S315+1,0),0)</f>
        <v>4</v>
      </c>
      <c r="U315" s="208">
        <f>IF(U$2&lt;=AnalysisPeriod,IF(SUM($C709:U709)&gt;0,T315+1,0),0)</f>
        <v>5</v>
      </c>
      <c r="V315" s="208">
        <f>IF(V$2&lt;=AnalysisPeriod,IF(SUM($C709:V709)&gt;0,U315+1,0),0)</f>
        <v>6</v>
      </c>
      <c r="W315" s="208">
        <f>IF(W$2&lt;=AnalysisPeriod,IF(SUM($C709:W709)&gt;0,V315+1,0),0)</f>
        <v>7</v>
      </c>
      <c r="X315" s="208">
        <f>IF(X$2&lt;=AnalysisPeriod,IF(SUM($C709:X709)&gt;0,W315+1,0),0)</f>
        <v>8</v>
      </c>
      <c r="Y315" s="208">
        <f>IF(Y$2&lt;=AnalysisPeriod,IF(SUM($C709:Y709)&gt;0,X315+1,0),0)</f>
        <v>9</v>
      </c>
      <c r="Z315" s="208">
        <f>IF(Z$2&lt;=AnalysisPeriod,IF(SUM($C709:Z709)&gt;0,Y315+1,0),0)</f>
        <v>10</v>
      </c>
      <c r="AA315" s="208">
        <f>IF(AA$2&lt;=AnalysisPeriod,IF(SUM($C709:AA709)&gt;0,Z315+1,0),0)</f>
        <v>11</v>
      </c>
      <c r="AB315" s="208">
        <f>IF(AB$2&lt;=AnalysisPeriod,IF(SUM($C709:AB709)&gt;0,AA315+1,0),0)</f>
        <v>12</v>
      </c>
      <c r="AC315" s="208">
        <f>IF(AC$2&lt;=AnalysisPeriod,IF(SUM($C709:AC709)&gt;0,AB315+1,0),0)</f>
        <v>13</v>
      </c>
      <c r="AD315" s="208">
        <f>IF(AD$2&lt;=AnalysisPeriod,IF(SUM($C709:AD709)&gt;0,AC315+1,0),0)</f>
        <v>14</v>
      </c>
      <c r="AE315" s="208">
        <f>IF(AE$2&lt;=AnalysisPeriod,IF(SUM($C709:AE709)&gt;0,AD315+1,0),0)</f>
        <v>15</v>
      </c>
      <c r="AF315" s="208">
        <f>IF(AF$2&lt;=AnalysisPeriod,IF(SUM($C709:AF709)&gt;0,AE315+1,0),0)</f>
        <v>16</v>
      </c>
      <c r="AG315" s="208">
        <f>IF(AG$2&lt;=AnalysisPeriod,IF(SUM($C709:AG709)&gt;0,AF315+1,0),0)</f>
        <v>0</v>
      </c>
      <c r="AH315" s="208">
        <f>IF(AH$2&lt;=AnalysisPeriod,IF(SUM($C709:AH709)&gt;0,AG315+1,0),0)</f>
        <v>0</v>
      </c>
      <c r="AI315" s="208">
        <f>IF(AI$2&lt;=AnalysisPeriod,IF(SUM($C709:AI709)&gt;0,AH315+1,0),0)</f>
        <v>0</v>
      </c>
      <c r="AJ315" s="208">
        <f>IF(AJ$2&lt;=AnalysisPeriod,IF(SUM($C709:AJ709)&gt;0,AI315+1,0),0)</f>
        <v>0</v>
      </c>
      <c r="AK315" s="208">
        <f>IF(AK$2&lt;=AnalysisPeriod,IF(SUM($C709:AK709)&gt;0,AJ315+1,0),0)</f>
        <v>0</v>
      </c>
      <c r="AL315" s="208">
        <f>IF(AL$2&lt;=AnalysisPeriod,IF(SUM($C709:AL709)&gt;0,AK315+1,0),0)</f>
        <v>0</v>
      </c>
      <c r="AM315" s="208">
        <f>IF(AM$2&lt;=AnalysisPeriod,IF(SUM($C709:AM709)&gt;0,AL315+1,0),0)</f>
        <v>0</v>
      </c>
      <c r="AN315" s="208">
        <f>IF(AN$2&lt;=AnalysisPeriod,IF(SUM($C709:AN709)&gt;0,AM315+1,0),0)</f>
        <v>0</v>
      </c>
      <c r="AO315" s="208">
        <f>IF(AO$2&lt;=AnalysisPeriod,IF(SUM($C709:AO709)&gt;0,AN315+1,0),0)</f>
        <v>0</v>
      </c>
      <c r="AP315" s="208">
        <f>IF(AP$2&lt;=AnalysisPeriod,IF(SUM($C709:AP709)&gt;0,AO315+1,0),0)</f>
        <v>0</v>
      </c>
    </row>
    <row r="316" spans="1:42">
      <c r="A316" s="119">
        <f t="shared" si="140"/>
        <v>6</v>
      </c>
      <c r="C316" s="208">
        <f>IF(C$2&lt;=AnalysisPeriod,IF(SUM($C710:C710)&gt;0,B316+1,0),0)</f>
        <v>0</v>
      </c>
      <c r="D316" s="208">
        <f>IF(D$2&lt;=AnalysisPeriod,IF(SUM($C710:D710)&gt;0,C316+1,0),0)</f>
        <v>0</v>
      </c>
      <c r="E316" s="208">
        <f>IF(E$2&lt;=AnalysisPeriod,IF(SUM($C710:E710)&gt;0,D316+1,0),0)</f>
        <v>0</v>
      </c>
      <c r="F316" s="208">
        <f>IF(F$2&lt;=AnalysisPeriod,IF(SUM($C710:F710)&gt;0,E316+1,0),0)</f>
        <v>0</v>
      </c>
      <c r="G316" s="208">
        <f>IF(G$2&lt;=AnalysisPeriod,IF(SUM($C710:G710)&gt;0,F316+1,0),0)</f>
        <v>0</v>
      </c>
      <c r="H316" s="208">
        <f>IF(H$2&lt;=AnalysisPeriod,IF(SUM($C710:H710)&gt;0,G316+1,0),0)</f>
        <v>0</v>
      </c>
      <c r="I316" s="208">
        <f>IF(I$2&lt;=AnalysisPeriod,IF(SUM($C710:I710)&gt;0,H316+1,0),0)</f>
        <v>0</v>
      </c>
      <c r="J316" s="208">
        <f>IF(J$2&lt;=AnalysisPeriod,IF(SUM($C710:J710)&gt;0,I316+1,0),0)</f>
        <v>0</v>
      </c>
      <c r="K316" s="208">
        <f>IF(K$2&lt;=AnalysisPeriod,IF(SUM($C710:K710)&gt;0,J316+1,0),0)</f>
        <v>0</v>
      </c>
      <c r="L316" s="208">
        <f>IF(L$2&lt;=AnalysisPeriod,IF(SUM($C710:L710)&gt;0,K316+1,0),0)</f>
        <v>0</v>
      </c>
      <c r="M316" s="208">
        <f>IF(M$2&lt;=AnalysisPeriod,IF(SUM($C710:M710)&gt;0,L316+1,0),0)</f>
        <v>0</v>
      </c>
      <c r="N316" s="208">
        <f>IF(N$2&lt;=AnalysisPeriod,IF(SUM($C710:N710)&gt;0,M316+1,0),0)</f>
        <v>0</v>
      </c>
      <c r="O316" s="208">
        <f>IF(O$2&lt;=AnalysisPeriod,IF(SUM($C710:O710)&gt;0,N316+1,0),0)</f>
        <v>0</v>
      </c>
      <c r="P316" s="208">
        <f>IF(P$2&lt;=AnalysisPeriod,IF(SUM($C710:P710)&gt;0,O316+1,0),0)</f>
        <v>0</v>
      </c>
      <c r="Q316" s="208">
        <f>IF(Q$2&lt;=AnalysisPeriod,IF(SUM($C710:Q710)&gt;0,P316+1,0),0)</f>
        <v>0</v>
      </c>
      <c r="R316" s="208">
        <f>IF(R$2&lt;=AnalysisPeriod,IF(SUM($C710:R710)&gt;0,Q316+1,0),0)</f>
        <v>0</v>
      </c>
      <c r="S316" s="208">
        <f>IF(S$2&lt;=AnalysisPeriod,IF(SUM($C710:S710)&gt;0,R316+1,0),0)</f>
        <v>0</v>
      </c>
      <c r="T316" s="208">
        <f>IF(T$2&lt;=AnalysisPeriod,IF(SUM($C710:T710)&gt;0,S316+1,0),0)</f>
        <v>1</v>
      </c>
      <c r="U316" s="208">
        <f>IF(U$2&lt;=AnalysisPeriod,IF(SUM($C710:U710)&gt;0,T316+1,0),0)</f>
        <v>2</v>
      </c>
      <c r="V316" s="208">
        <f>IF(V$2&lt;=AnalysisPeriod,IF(SUM($C710:V710)&gt;0,U316+1,0),0)</f>
        <v>3</v>
      </c>
      <c r="W316" s="208">
        <f>IF(W$2&lt;=AnalysisPeriod,IF(SUM($C710:W710)&gt;0,V316+1,0),0)</f>
        <v>4</v>
      </c>
      <c r="X316" s="208">
        <f>IF(X$2&lt;=AnalysisPeriod,IF(SUM($C710:X710)&gt;0,W316+1,0),0)</f>
        <v>5</v>
      </c>
      <c r="Y316" s="208">
        <f>IF(Y$2&lt;=AnalysisPeriod,IF(SUM($C710:Y710)&gt;0,X316+1,0),0)</f>
        <v>6</v>
      </c>
      <c r="Z316" s="208">
        <f>IF(Z$2&lt;=AnalysisPeriod,IF(SUM($C710:Z710)&gt;0,Y316+1,0),0)</f>
        <v>7</v>
      </c>
      <c r="AA316" s="208">
        <f>IF(AA$2&lt;=AnalysisPeriod,IF(SUM($C710:AA710)&gt;0,Z316+1,0),0)</f>
        <v>8</v>
      </c>
      <c r="AB316" s="208">
        <f>IF(AB$2&lt;=AnalysisPeriod,IF(SUM($C710:AB710)&gt;0,AA316+1,0),0)</f>
        <v>9</v>
      </c>
      <c r="AC316" s="208">
        <f>IF(AC$2&lt;=AnalysisPeriod,IF(SUM($C710:AC710)&gt;0,AB316+1,0),0)</f>
        <v>10</v>
      </c>
      <c r="AD316" s="208">
        <f>IF(AD$2&lt;=AnalysisPeriod,IF(SUM($C710:AD710)&gt;0,AC316+1,0),0)</f>
        <v>11</v>
      </c>
      <c r="AE316" s="208">
        <f>IF(AE$2&lt;=AnalysisPeriod,IF(SUM($C710:AE710)&gt;0,AD316+1,0),0)</f>
        <v>12</v>
      </c>
      <c r="AF316" s="208">
        <f>IF(AF$2&lt;=AnalysisPeriod,IF(SUM($C710:AF710)&gt;0,AE316+1,0),0)</f>
        <v>13</v>
      </c>
      <c r="AG316" s="208">
        <f>IF(AG$2&lt;=AnalysisPeriod,IF(SUM($C710:AG710)&gt;0,AF316+1,0),0)</f>
        <v>0</v>
      </c>
      <c r="AH316" s="208">
        <f>IF(AH$2&lt;=AnalysisPeriod,IF(SUM($C710:AH710)&gt;0,AG316+1,0),0)</f>
        <v>0</v>
      </c>
      <c r="AI316" s="208">
        <f>IF(AI$2&lt;=AnalysisPeriod,IF(SUM($C710:AI710)&gt;0,AH316+1,0),0)</f>
        <v>0</v>
      </c>
      <c r="AJ316" s="208">
        <f>IF(AJ$2&lt;=AnalysisPeriod,IF(SUM($C710:AJ710)&gt;0,AI316+1,0),0)</f>
        <v>0</v>
      </c>
      <c r="AK316" s="208">
        <f>IF(AK$2&lt;=AnalysisPeriod,IF(SUM($C710:AK710)&gt;0,AJ316+1,0),0)</f>
        <v>0</v>
      </c>
      <c r="AL316" s="208">
        <f>IF(AL$2&lt;=AnalysisPeriod,IF(SUM($C710:AL710)&gt;0,AK316+1,0),0)</f>
        <v>0</v>
      </c>
      <c r="AM316" s="208">
        <f>IF(AM$2&lt;=AnalysisPeriod,IF(SUM($C710:AM710)&gt;0,AL316+1,0),0)</f>
        <v>0</v>
      </c>
      <c r="AN316" s="208">
        <f>IF(AN$2&lt;=AnalysisPeriod,IF(SUM($C710:AN710)&gt;0,AM316+1,0),0)</f>
        <v>0</v>
      </c>
      <c r="AO316" s="208">
        <f>IF(AO$2&lt;=AnalysisPeriod,IF(SUM($C710:AO710)&gt;0,AN316+1,0),0)</f>
        <v>0</v>
      </c>
      <c r="AP316" s="208">
        <f>IF(AP$2&lt;=AnalysisPeriod,IF(SUM($C710:AP710)&gt;0,AO316+1,0),0)</f>
        <v>0</v>
      </c>
    </row>
    <row r="317" spans="1:42">
      <c r="A317" s="119">
        <f t="shared" si="140"/>
        <v>7</v>
      </c>
      <c r="C317" s="208">
        <f>IF(C$2&lt;=AnalysisPeriod,IF(SUM($C711:C711)&gt;0,B317+1,0),0)</f>
        <v>0</v>
      </c>
      <c r="D317" s="208">
        <f>IF(D$2&lt;=AnalysisPeriod,IF(SUM($C711:D711)&gt;0,C317+1,0),0)</f>
        <v>0</v>
      </c>
      <c r="E317" s="208">
        <f>IF(E$2&lt;=AnalysisPeriod,IF(SUM($C711:E711)&gt;0,D317+1,0),0)</f>
        <v>0</v>
      </c>
      <c r="F317" s="208">
        <f>IF(F$2&lt;=AnalysisPeriod,IF(SUM($C711:F711)&gt;0,E317+1,0),0)</f>
        <v>0</v>
      </c>
      <c r="G317" s="208">
        <f>IF(G$2&lt;=AnalysisPeriod,IF(SUM($C711:G711)&gt;0,F317+1,0),0)</f>
        <v>0</v>
      </c>
      <c r="H317" s="208">
        <f>IF(H$2&lt;=AnalysisPeriod,IF(SUM($C711:H711)&gt;0,G317+1,0),0)</f>
        <v>0</v>
      </c>
      <c r="I317" s="208">
        <f>IF(I$2&lt;=AnalysisPeriod,IF(SUM($C711:I711)&gt;0,H317+1,0),0)</f>
        <v>0</v>
      </c>
      <c r="J317" s="208">
        <f>IF(J$2&lt;=AnalysisPeriod,IF(SUM($C711:J711)&gt;0,I317+1,0),0)</f>
        <v>0</v>
      </c>
      <c r="K317" s="208">
        <f>IF(K$2&lt;=AnalysisPeriod,IF(SUM($C711:K711)&gt;0,J317+1,0),0)</f>
        <v>0</v>
      </c>
      <c r="L317" s="208">
        <f>IF(L$2&lt;=AnalysisPeriod,IF(SUM($C711:L711)&gt;0,K317+1,0),0)</f>
        <v>0</v>
      </c>
      <c r="M317" s="208">
        <f>IF(M$2&lt;=AnalysisPeriod,IF(SUM($C711:M711)&gt;0,L317+1,0),0)</f>
        <v>0</v>
      </c>
      <c r="N317" s="208">
        <f>IF(N$2&lt;=AnalysisPeriod,IF(SUM($C711:N711)&gt;0,M317+1,0),0)</f>
        <v>0</v>
      </c>
      <c r="O317" s="208">
        <f>IF(O$2&lt;=AnalysisPeriod,IF(SUM($C711:O711)&gt;0,N317+1,0),0)</f>
        <v>0</v>
      </c>
      <c r="P317" s="208">
        <f>IF(P$2&lt;=AnalysisPeriod,IF(SUM($C711:P711)&gt;0,O317+1,0),0)</f>
        <v>0</v>
      </c>
      <c r="Q317" s="208">
        <f>IF(Q$2&lt;=AnalysisPeriod,IF(SUM($C711:Q711)&gt;0,P317+1,0),0)</f>
        <v>0</v>
      </c>
      <c r="R317" s="208">
        <f>IF(R$2&lt;=AnalysisPeriod,IF(SUM($C711:R711)&gt;0,Q317+1,0),0)</f>
        <v>0</v>
      </c>
      <c r="S317" s="208">
        <f>IF(S$2&lt;=AnalysisPeriod,IF(SUM($C711:S711)&gt;0,R317+1,0),0)</f>
        <v>0</v>
      </c>
      <c r="T317" s="208">
        <f>IF(T$2&lt;=AnalysisPeriod,IF(SUM($C711:T711)&gt;0,S317+1,0),0)</f>
        <v>0</v>
      </c>
      <c r="U317" s="208">
        <f>IF(U$2&lt;=AnalysisPeriod,IF(SUM($C711:U711)&gt;0,T317+1,0),0)</f>
        <v>0</v>
      </c>
      <c r="V317" s="208">
        <f>IF(V$2&lt;=AnalysisPeriod,IF(SUM($C711:V711)&gt;0,U317+1,0),0)</f>
        <v>0</v>
      </c>
      <c r="W317" s="208">
        <f>IF(W$2&lt;=AnalysisPeriod,IF(SUM($C711:W711)&gt;0,V317+1,0),0)</f>
        <v>1</v>
      </c>
      <c r="X317" s="208">
        <f>IF(X$2&lt;=AnalysisPeriod,IF(SUM($C711:X711)&gt;0,W317+1,0),0)</f>
        <v>2</v>
      </c>
      <c r="Y317" s="208">
        <f>IF(Y$2&lt;=AnalysisPeriod,IF(SUM($C711:Y711)&gt;0,X317+1,0),0)</f>
        <v>3</v>
      </c>
      <c r="Z317" s="208">
        <f>IF(Z$2&lt;=AnalysisPeriod,IF(SUM($C711:Z711)&gt;0,Y317+1,0),0)</f>
        <v>4</v>
      </c>
      <c r="AA317" s="208">
        <f>IF(AA$2&lt;=AnalysisPeriod,IF(SUM($C711:AA711)&gt;0,Z317+1,0),0)</f>
        <v>5</v>
      </c>
      <c r="AB317" s="208">
        <f>IF(AB$2&lt;=AnalysisPeriod,IF(SUM($C711:AB711)&gt;0,AA317+1,0),0)</f>
        <v>6</v>
      </c>
      <c r="AC317" s="208">
        <f>IF(AC$2&lt;=AnalysisPeriod,IF(SUM($C711:AC711)&gt;0,AB317+1,0),0)</f>
        <v>7</v>
      </c>
      <c r="AD317" s="208">
        <f>IF(AD$2&lt;=AnalysisPeriod,IF(SUM($C711:AD711)&gt;0,AC317+1,0),0)</f>
        <v>8</v>
      </c>
      <c r="AE317" s="208">
        <f>IF(AE$2&lt;=AnalysisPeriod,IF(SUM($C711:AE711)&gt;0,AD317+1,0),0)</f>
        <v>9</v>
      </c>
      <c r="AF317" s="208">
        <f>IF(AF$2&lt;=AnalysisPeriod,IF(SUM($C711:AF711)&gt;0,AE317+1,0),0)</f>
        <v>10</v>
      </c>
      <c r="AG317" s="208">
        <f>IF(AG$2&lt;=AnalysisPeriod,IF(SUM($C711:AG711)&gt;0,AF317+1,0),0)</f>
        <v>0</v>
      </c>
      <c r="AH317" s="208">
        <f>IF(AH$2&lt;=AnalysisPeriod,IF(SUM($C711:AH711)&gt;0,AG317+1,0),0)</f>
        <v>0</v>
      </c>
      <c r="AI317" s="208">
        <f>IF(AI$2&lt;=AnalysisPeriod,IF(SUM($C711:AI711)&gt;0,AH317+1,0),0)</f>
        <v>0</v>
      </c>
      <c r="AJ317" s="208">
        <f>IF(AJ$2&lt;=AnalysisPeriod,IF(SUM($C711:AJ711)&gt;0,AI317+1,0),0)</f>
        <v>0</v>
      </c>
      <c r="AK317" s="208">
        <f>IF(AK$2&lt;=AnalysisPeriod,IF(SUM($C711:AK711)&gt;0,AJ317+1,0),0)</f>
        <v>0</v>
      </c>
      <c r="AL317" s="208">
        <f>IF(AL$2&lt;=AnalysisPeriod,IF(SUM($C711:AL711)&gt;0,AK317+1,0),0)</f>
        <v>0</v>
      </c>
      <c r="AM317" s="208">
        <f>IF(AM$2&lt;=AnalysisPeriod,IF(SUM($C711:AM711)&gt;0,AL317+1,0),0)</f>
        <v>0</v>
      </c>
      <c r="AN317" s="208">
        <f>IF(AN$2&lt;=AnalysisPeriod,IF(SUM($C711:AN711)&gt;0,AM317+1,0),0)</f>
        <v>0</v>
      </c>
      <c r="AO317" s="208">
        <f>IF(AO$2&lt;=AnalysisPeriod,IF(SUM($C711:AO711)&gt;0,AN317+1,0),0)</f>
        <v>0</v>
      </c>
      <c r="AP317" s="208">
        <f>IF(AP$2&lt;=AnalysisPeriod,IF(SUM($C711:AP711)&gt;0,AO317+1,0),0)</f>
        <v>0</v>
      </c>
    </row>
    <row r="318" spans="1:42">
      <c r="A318" s="119">
        <f t="shared" si="140"/>
        <v>8</v>
      </c>
      <c r="C318" s="208">
        <f>IF(C$2&lt;=AnalysisPeriod,IF(SUM($C712:C712)&gt;0,B318+1,0),0)</f>
        <v>0</v>
      </c>
      <c r="D318" s="208">
        <f>IF(D$2&lt;=AnalysisPeriod,IF(SUM($C712:D712)&gt;0,C318+1,0),0)</f>
        <v>0</v>
      </c>
      <c r="E318" s="208">
        <f>IF(E$2&lt;=AnalysisPeriod,IF(SUM($C712:E712)&gt;0,D318+1,0),0)</f>
        <v>0</v>
      </c>
      <c r="F318" s="208">
        <f>IF(F$2&lt;=AnalysisPeriod,IF(SUM($C712:F712)&gt;0,E318+1,0),0)</f>
        <v>0</v>
      </c>
      <c r="G318" s="208">
        <f>IF(G$2&lt;=AnalysisPeriod,IF(SUM($C712:G712)&gt;0,F318+1,0),0)</f>
        <v>0</v>
      </c>
      <c r="H318" s="208">
        <f>IF(H$2&lt;=AnalysisPeriod,IF(SUM($C712:H712)&gt;0,G318+1,0),0)</f>
        <v>0</v>
      </c>
      <c r="I318" s="208">
        <f>IF(I$2&lt;=AnalysisPeriod,IF(SUM($C712:I712)&gt;0,H318+1,0),0)</f>
        <v>0</v>
      </c>
      <c r="J318" s="208">
        <f>IF(J$2&lt;=AnalysisPeriod,IF(SUM($C712:J712)&gt;0,I318+1,0),0)</f>
        <v>0</v>
      </c>
      <c r="K318" s="208">
        <f>IF(K$2&lt;=AnalysisPeriod,IF(SUM($C712:K712)&gt;0,J318+1,0),0)</f>
        <v>0</v>
      </c>
      <c r="L318" s="208">
        <f>IF(L$2&lt;=AnalysisPeriod,IF(SUM($C712:L712)&gt;0,K318+1,0),0)</f>
        <v>0</v>
      </c>
      <c r="M318" s="208">
        <f>IF(M$2&lt;=AnalysisPeriod,IF(SUM($C712:M712)&gt;0,L318+1,0),0)</f>
        <v>0</v>
      </c>
      <c r="N318" s="208">
        <f>IF(N$2&lt;=AnalysisPeriod,IF(SUM($C712:N712)&gt;0,M318+1,0),0)</f>
        <v>0</v>
      </c>
      <c r="O318" s="208">
        <f>IF(O$2&lt;=AnalysisPeriod,IF(SUM($C712:O712)&gt;0,N318+1,0),0)</f>
        <v>0</v>
      </c>
      <c r="P318" s="208">
        <f>IF(P$2&lt;=AnalysisPeriod,IF(SUM($C712:P712)&gt;0,O318+1,0),0)</f>
        <v>0</v>
      </c>
      <c r="Q318" s="208">
        <f>IF(Q$2&lt;=AnalysisPeriod,IF(SUM($C712:Q712)&gt;0,P318+1,0),0)</f>
        <v>0</v>
      </c>
      <c r="R318" s="208">
        <f>IF(R$2&lt;=AnalysisPeriod,IF(SUM($C712:R712)&gt;0,Q318+1,0),0)</f>
        <v>0</v>
      </c>
      <c r="S318" s="208">
        <f>IF(S$2&lt;=AnalysisPeriod,IF(SUM($C712:S712)&gt;0,R318+1,0),0)</f>
        <v>0</v>
      </c>
      <c r="T318" s="208">
        <f>IF(T$2&lt;=AnalysisPeriod,IF(SUM($C712:T712)&gt;0,S318+1,0),0)</f>
        <v>0</v>
      </c>
      <c r="U318" s="208">
        <f>IF(U$2&lt;=AnalysisPeriod,IF(SUM($C712:U712)&gt;0,T318+1,0),0)</f>
        <v>0</v>
      </c>
      <c r="V318" s="208">
        <f>IF(V$2&lt;=AnalysisPeriod,IF(SUM($C712:V712)&gt;0,U318+1,0),0)</f>
        <v>0</v>
      </c>
      <c r="W318" s="208">
        <f>IF(W$2&lt;=AnalysisPeriod,IF(SUM($C712:W712)&gt;0,V318+1,0),0)</f>
        <v>0</v>
      </c>
      <c r="X318" s="208">
        <f>IF(X$2&lt;=AnalysisPeriod,IF(SUM($C712:X712)&gt;0,W318+1,0),0)</f>
        <v>0</v>
      </c>
      <c r="Y318" s="208">
        <f>IF(Y$2&lt;=AnalysisPeriod,IF(SUM($C712:Y712)&gt;0,X318+1,0),0)</f>
        <v>0</v>
      </c>
      <c r="Z318" s="208">
        <f>IF(Z$2&lt;=AnalysisPeriod,IF(SUM($C712:Z712)&gt;0,Y318+1,0),0)</f>
        <v>1</v>
      </c>
      <c r="AA318" s="208">
        <f>IF(AA$2&lt;=AnalysisPeriod,IF(SUM($C712:AA712)&gt;0,Z318+1,0),0)</f>
        <v>2</v>
      </c>
      <c r="AB318" s="208">
        <f>IF(AB$2&lt;=AnalysisPeriod,IF(SUM($C712:AB712)&gt;0,AA318+1,0),0)</f>
        <v>3</v>
      </c>
      <c r="AC318" s="208">
        <f>IF(AC$2&lt;=AnalysisPeriod,IF(SUM($C712:AC712)&gt;0,AB318+1,0),0)</f>
        <v>4</v>
      </c>
      <c r="AD318" s="208">
        <f>IF(AD$2&lt;=AnalysisPeriod,IF(SUM($C712:AD712)&gt;0,AC318+1,0),0)</f>
        <v>5</v>
      </c>
      <c r="AE318" s="208">
        <f>IF(AE$2&lt;=AnalysisPeriod,IF(SUM($C712:AE712)&gt;0,AD318+1,0),0)</f>
        <v>6</v>
      </c>
      <c r="AF318" s="208">
        <f>IF(AF$2&lt;=AnalysisPeriod,IF(SUM($C712:AF712)&gt;0,AE318+1,0),0)</f>
        <v>7</v>
      </c>
      <c r="AG318" s="208">
        <f>IF(AG$2&lt;=AnalysisPeriod,IF(SUM($C712:AG712)&gt;0,AF318+1,0),0)</f>
        <v>0</v>
      </c>
      <c r="AH318" s="208">
        <f>IF(AH$2&lt;=AnalysisPeriod,IF(SUM($C712:AH712)&gt;0,AG318+1,0),0)</f>
        <v>0</v>
      </c>
      <c r="AI318" s="208">
        <f>IF(AI$2&lt;=AnalysisPeriod,IF(SUM($C712:AI712)&gt;0,AH318+1,0),0)</f>
        <v>0</v>
      </c>
      <c r="AJ318" s="208">
        <f>IF(AJ$2&lt;=AnalysisPeriod,IF(SUM($C712:AJ712)&gt;0,AI318+1,0),0)</f>
        <v>0</v>
      </c>
      <c r="AK318" s="208">
        <f>IF(AK$2&lt;=AnalysisPeriod,IF(SUM($C712:AK712)&gt;0,AJ318+1,0),0)</f>
        <v>0</v>
      </c>
      <c r="AL318" s="208">
        <f>IF(AL$2&lt;=AnalysisPeriod,IF(SUM($C712:AL712)&gt;0,AK318+1,0),0)</f>
        <v>0</v>
      </c>
      <c r="AM318" s="208">
        <f>IF(AM$2&lt;=AnalysisPeriod,IF(SUM($C712:AM712)&gt;0,AL318+1,0),0)</f>
        <v>0</v>
      </c>
      <c r="AN318" s="208">
        <f>IF(AN$2&lt;=AnalysisPeriod,IF(SUM($C712:AN712)&gt;0,AM318+1,0),0)</f>
        <v>0</v>
      </c>
      <c r="AO318" s="208">
        <f>IF(AO$2&lt;=AnalysisPeriod,IF(SUM($C712:AO712)&gt;0,AN318+1,0),0)</f>
        <v>0</v>
      </c>
      <c r="AP318" s="208">
        <f>IF(AP$2&lt;=AnalysisPeriod,IF(SUM($C712:AP712)&gt;0,AO318+1,0),0)</f>
        <v>0</v>
      </c>
    </row>
    <row r="319" spans="1:42">
      <c r="A319" s="119">
        <f>A318+1</f>
        <v>9</v>
      </c>
      <c r="C319" s="208">
        <f>IF(C$2&lt;=AnalysisPeriod,IF(SUM($C713:C713)&gt;0,B319+1,0),0)</f>
        <v>0</v>
      </c>
      <c r="D319" s="208">
        <f>IF(D$2&lt;=AnalysisPeriod,IF(SUM($C713:D713)&gt;0,C319+1,0),0)</f>
        <v>0</v>
      </c>
      <c r="E319" s="208">
        <f>IF(E$2&lt;=AnalysisPeriod,IF(SUM($C713:E713)&gt;0,D319+1,0),0)</f>
        <v>0</v>
      </c>
      <c r="F319" s="208">
        <f>IF(F$2&lt;=AnalysisPeriod,IF(SUM($C713:F713)&gt;0,E319+1,0),0)</f>
        <v>0</v>
      </c>
      <c r="G319" s="208">
        <f>IF(G$2&lt;=AnalysisPeriod,IF(SUM($C713:G713)&gt;0,F319+1,0),0)</f>
        <v>0</v>
      </c>
      <c r="H319" s="208">
        <f>IF(H$2&lt;=AnalysisPeriod,IF(SUM($C713:H713)&gt;0,G319+1,0),0)</f>
        <v>0</v>
      </c>
      <c r="I319" s="208">
        <f>IF(I$2&lt;=AnalysisPeriod,IF(SUM($C713:I713)&gt;0,H319+1,0),0)</f>
        <v>0</v>
      </c>
      <c r="J319" s="208">
        <f>IF(J$2&lt;=AnalysisPeriod,IF(SUM($C713:J713)&gt;0,I319+1,0),0)</f>
        <v>0</v>
      </c>
      <c r="K319" s="208">
        <f>IF(K$2&lt;=AnalysisPeriod,IF(SUM($C713:K713)&gt;0,J319+1,0),0)</f>
        <v>0</v>
      </c>
      <c r="L319" s="208">
        <f>IF(L$2&lt;=AnalysisPeriod,IF(SUM($C713:L713)&gt;0,K319+1,0),0)</f>
        <v>0</v>
      </c>
      <c r="M319" s="208">
        <f>IF(M$2&lt;=AnalysisPeriod,IF(SUM($C713:M713)&gt;0,L319+1,0),0)</f>
        <v>0</v>
      </c>
      <c r="N319" s="208">
        <f>IF(N$2&lt;=AnalysisPeriod,IF(SUM($C713:N713)&gt;0,M319+1,0),0)</f>
        <v>0</v>
      </c>
      <c r="O319" s="208">
        <f>IF(O$2&lt;=AnalysisPeriod,IF(SUM($C713:O713)&gt;0,N319+1,0),0)</f>
        <v>0</v>
      </c>
      <c r="P319" s="208">
        <f>IF(P$2&lt;=AnalysisPeriod,IF(SUM($C713:P713)&gt;0,O319+1,0),0)</f>
        <v>0</v>
      </c>
      <c r="Q319" s="208">
        <f>IF(Q$2&lt;=AnalysisPeriod,IF(SUM($C713:Q713)&gt;0,P319+1,0),0)</f>
        <v>0</v>
      </c>
      <c r="R319" s="208">
        <f>IF(R$2&lt;=AnalysisPeriod,IF(SUM($C713:R713)&gt;0,Q319+1,0),0)</f>
        <v>0</v>
      </c>
      <c r="S319" s="208">
        <f>IF(S$2&lt;=AnalysisPeriod,IF(SUM($C713:S713)&gt;0,R319+1,0),0)</f>
        <v>0</v>
      </c>
      <c r="T319" s="208">
        <f>IF(T$2&lt;=AnalysisPeriod,IF(SUM($C713:T713)&gt;0,S319+1,0),0)</f>
        <v>0</v>
      </c>
      <c r="U319" s="208">
        <f>IF(U$2&lt;=AnalysisPeriod,IF(SUM($C713:U713)&gt;0,T319+1,0),0)</f>
        <v>0</v>
      </c>
      <c r="V319" s="208">
        <f>IF(V$2&lt;=AnalysisPeriod,IF(SUM($C713:V713)&gt;0,U319+1,0),0)</f>
        <v>0</v>
      </c>
      <c r="W319" s="208">
        <f>IF(W$2&lt;=AnalysisPeriod,IF(SUM($C713:W713)&gt;0,V319+1,0),0)</f>
        <v>0</v>
      </c>
      <c r="X319" s="208">
        <f>IF(X$2&lt;=AnalysisPeriod,IF(SUM($C713:X713)&gt;0,W319+1,0),0)</f>
        <v>0</v>
      </c>
      <c r="Y319" s="208">
        <f>IF(Y$2&lt;=AnalysisPeriod,IF(SUM($C713:Y713)&gt;0,X319+1,0),0)</f>
        <v>0</v>
      </c>
      <c r="Z319" s="208">
        <f>IF(Z$2&lt;=AnalysisPeriod,IF(SUM($C713:Z713)&gt;0,Y319+1,0),0)</f>
        <v>0</v>
      </c>
      <c r="AA319" s="208">
        <f>IF(AA$2&lt;=AnalysisPeriod,IF(SUM($C713:AA713)&gt;0,Z319+1,0),0)</f>
        <v>0</v>
      </c>
      <c r="AB319" s="208">
        <f>IF(AB$2&lt;=AnalysisPeriod,IF(SUM($C713:AB713)&gt;0,AA319+1,0),0)</f>
        <v>0</v>
      </c>
      <c r="AC319" s="208">
        <f>IF(AC$2&lt;=AnalysisPeriod,IF(SUM($C713:AC713)&gt;0,AB319+1,0),0)</f>
        <v>1</v>
      </c>
      <c r="AD319" s="208">
        <f>IF(AD$2&lt;=AnalysisPeriod,IF(SUM($C713:AD713)&gt;0,AC319+1,0),0)</f>
        <v>2</v>
      </c>
      <c r="AE319" s="208">
        <f>IF(AE$2&lt;=AnalysisPeriod,IF(SUM($C713:AE713)&gt;0,AD319+1,0),0)</f>
        <v>3</v>
      </c>
      <c r="AF319" s="208">
        <f>IF(AF$2&lt;=AnalysisPeriod,IF(SUM($C713:AF713)&gt;0,AE319+1,0),0)</f>
        <v>4</v>
      </c>
      <c r="AG319" s="208">
        <f>IF(AG$2&lt;=AnalysisPeriod,IF(SUM($C713:AG713)&gt;0,AF319+1,0),0)</f>
        <v>0</v>
      </c>
      <c r="AH319" s="208">
        <f>IF(AH$2&lt;=AnalysisPeriod,IF(SUM($C713:AH713)&gt;0,AG319+1,0),0)</f>
        <v>0</v>
      </c>
      <c r="AI319" s="208">
        <f>IF(AI$2&lt;=AnalysisPeriod,IF(SUM($C713:AI713)&gt;0,AH319+1,0),0)</f>
        <v>0</v>
      </c>
      <c r="AJ319" s="208">
        <f>IF(AJ$2&lt;=AnalysisPeriod,IF(SUM($C713:AJ713)&gt;0,AI319+1,0),0)</f>
        <v>0</v>
      </c>
      <c r="AK319" s="208">
        <f>IF(AK$2&lt;=AnalysisPeriod,IF(SUM($C713:AK713)&gt;0,AJ319+1,0),0)</f>
        <v>0</v>
      </c>
      <c r="AL319" s="208">
        <f>IF(AL$2&lt;=AnalysisPeriod,IF(SUM($C713:AL713)&gt;0,AK319+1,0),0)</f>
        <v>0</v>
      </c>
      <c r="AM319" s="208">
        <f>IF(AM$2&lt;=AnalysisPeriod,IF(SUM($C713:AM713)&gt;0,AL319+1,0),0)</f>
        <v>0</v>
      </c>
      <c r="AN319" s="208">
        <f>IF(AN$2&lt;=AnalysisPeriod,IF(SUM($C713:AN713)&gt;0,AM319+1,0),0)</f>
        <v>0</v>
      </c>
      <c r="AO319" s="208">
        <f>IF(AO$2&lt;=AnalysisPeriod,IF(SUM($C713:AO713)&gt;0,AN319+1,0),0)</f>
        <v>0</v>
      </c>
      <c r="AP319" s="208">
        <f>IF(AP$2&lt;=AnalysisPeriod,IF(SUM($C713:AP713)&gt;0,AO319+1,0),0)</f>
        <v>0</v>
      </c>
    </row>
    <row r="320" spans="1:42">
      <c r="A320" s="119">
        <f t="shared" si="140"/>
        <v>10</v>
      </c>
      <c r="C320" s="208">
        <f>IF(C$2&lt;=AnalysisPeriod,IF(SUM($C714:C714)&gt;0,B320+1,0),0)</f>
        <v>0</v>
      </c>
      <c r="D320" s="208">
        <f>IF(D$2&lt;=AnalysisPeriod,IF(SUM($C714:D714)&gt;0,C320+1,0),0)</f>
        <v>0</v>
      </c>
      <c r="E320" s="208">
        <f>IF(E$2&lt;=AnalysisPeriod,IF(SUM($C714:E714)&gt;0,D320+1,0),0)</f>
        <v>0</v>
      </c>
      <c r="F320" s="208">
        <f>IF(F$2&lt;=AnalysisPeriod,IF(SUM($C714:F714)&gt;0,E320+1,0),0)</f>
        <v>0</v>
      </c>
      <c r="G320" s="208">
        <f>IF(G$2&lt;=AnalysisPeriod,IF(SUM($C714:G714)&gt;0,F320+1,0),0)</f>
        <v>0</v>
      </c>
      <c r="H320" s="208">
        <f>IF(H$2&lt;=AnalysisPeriod,IF(SUM($C714:H714)&gt;0,G320+1,0),0)</f>
        <v>0</v>
      </c>
      <c r="I320" s="208">
        <f>IF(I$2&lt;=AnalysisPeriod,IF(SUM($C714:I714)&gt;0,H320+1,0),0)</f>
        <v>0</v>
      </c>
      <c r="J320" s="208">
        <f>IF(J$2&lt;=AnalysisPeriod,IF(SUM($C714:J714)&gt;0,I320+1,0),0)</f>
        <v>0</v>
      </c>
      <c r="K320" s="208">
        <f>IF(K$2&lt;=AnalysisPeriod,IF(SUM($C714:K714)&gt;0,J320+1,0),0)</f>
        <v>0</v>
      </c>
      <c r="L320" s="208">
        <f>IF(L$2&lt;=AnalysisPeriod,IF(SUM($C714:L714)&gt;0,K320+1,0),0)</f>
        <v>0</v>
      </c>
      <c r="M320" s="208">
        <f>IF(M$2&lt;=AnalysisPeriod,IF(SUM($C714:M714)&gt;0,L320+1,0),0)</f>
        <v>0</v>
      </c>
      <c r="N320" s="208">
        <f>IF(N$2&lt;=AnalysisPeriod,IF(SUM($C714:N714)&gt;0,M320+1,0),0)</f>
        <v>0</v>
      </c>
      <c r="O320" s="208">
        <f>IF(O$2&lt;=AnalysisPeriod,IF(SUM($C714:O714)&gt;0,N320+1,0),0)</f>
        <v>0</v>
      </c>
      <c r="P320" s="208">
        <f>IF(P$2&lt;=AnalysisPeriod,IF(SUM($C714:P714)&gt;0,O320+1,0),0)</f>
        <v>0</v>
      </c>
      <c r="Q320" s="208">
        <f>IF(Q$2&lt;=AnalysisPeriod,IF(SUM($C714:Q714)&gt;0,P320+1,0),0)</f>
        <v>0</v>
      </c>
      <c r="R320" s="208">
        <f>IF(R$2&lt;=AnalysisPeriod,IF(SUM($C714:R714)&gt;0,Q320+1,0),0)</f>
        <v>0</v>
      </c>
      <c r="S320" s="208">
        <f>IF(S$2&lt;=AnalysisPeriod,IF(SUM($C714:S714)&gt;0,R320+1,0),0)</f>
        <v>0</v>
      </c>
      <c r="T320" s="208">
        <f>IF(T$2&lt;=AnalysisPeriod,IF(SUM($C714:T714)&gt;0,S320+1,0),0)</f>
        <v>0</v>
      </c>
      <c r="U320" s="208">
        <f>IF(U$2&lt;=AnalysisPeriod,IF(SUM($C714:U714)&gt;0,T320+1,0),0)</f>
        <v>0</v>
      </c>
      <c r="V320" s="208">
        <f>IF(V$2&lt;=AnalysisPeriod,IF(SUM($C714:V714)&gt;0,U320+1,0),0)</f>
        <v>0</v>
      </c>
      <c r="W320" s="208">
        <f>IF(W$2&lt;=AnalysisPeriod,IF(SUM($C714:W714)&gt;0,V320+1,0),0)</f>
        <v>0</v>
      </c>
      <c r="X320" s="208">
        <f>IF(X$2&lt;=AnalysisPeriod,IF(SUM($C714:X714)&gt;0,W320+1,0),0)</f>
        <v>0</v>
      </c>
      <c r="Y320" s="208">
        <f>IF(Y$2&lt;=AnalysisPeriod,IF(SUM($C714:Y714)&gt;0,X320+1,0),0)</f>
        <v>0</v>
      </c>
      <c r="Z320" s="208">
        <f>IF(Z$2&lt;=AnalysisPeriod,IF(SUM($C714:Z714)&gt;0,Y320+1,0),0)</f>
        <v>0</v>
      </c>
      <c r="AA320" s="208">
        <f>IF(AA$2&lt;=AnalysisPeriod,IF(SUM($C714:AA714)&gt;0,Z320+1,0),0)</f>
        <v>0</v>
      </c>
      <c r="AB320" s="208">
        <f>IF(AB$2&lt;=AnalysisPeriod,IF(SUM($C714:AB714)&gt;0,AA320+1,0),0)</f>
        <v>0</v>
      </c>
      <c r="AC320" s="208">
        <f>IF(AC$2&lt;=AnalysisPeriod,IF(SUM($C714:AC714)&gt;0,AB320+1,0),0)</f>
        <v>0</v>
      </c>
      <c r="AD320" s="208">
        <f>IF(AD$2&lt;=AnalysisPeriod,IF(SUM($C714:AD714)&gt;0,AC320+1,0),0)</f>
        <v>0</v>
      </c>
      <c r="AE320" s="208">
        <f>IF(AE$2&lt;=AnalysisPeriod,IF(SUM($C714:AE714)&gt;0,AD320+1,0),0)</f>
        <v>0</v>
      </c>
      <c r="AF320" s="208">
        <f>IF(AF$2&lt;=AnalysisPeriod,IF(SUM($C714:AF714)&gt;0,AE320+1,0),0)</f>
        <v>1</v>
      </c>
      <c r="AG320" s="208">
        <f>IF(AG$2&lt;=AnalysisPeriod,IF(SUM($C714:AG714)&gt;0,AF320+1,0),0)</f>
        <v>0</v>
      </c>
      <c r="AH320" s="208">
        <f>IF(AH$2&lt;=AnalysisPeriod,IF(SUM($C714:AH714)&gt;0,AG320+1,0),0)</f>
        <v>0</v>
      </c>
      <c r="AI320" s="208">
        <f>IF(AI$2&lt;=AnalysisPeriod,IF(SUM($C714:AI714)&gt;0,AH320+1,0),0)</f>
        <v>0</v>
      </c>
      <c r="AJ320" s="208">
        <f>IF(AJ$2&lt;=AnalysisPeriod,IF(SUM($C714:AJ714)&gt;0,AI320+1,0),0)</f>
        <v>0</v>
      </c>
      <c r="AK320" s="208">
        <f>IF(AK$2&lt;=AnalysisPeriod,IF(SUM($C714:AK714)&gt;0,AJ320+1,0),0)</f>
        <v>0</v>
      </c>
      <c r="AL320" s="208">
        <f>IF(AL$2&lt;=AnalysisPeriod,IF(SUM($C714:AL714)&gt;0,AK320+1,0),0)</f>
        <v>0</v>
      </c>
      <c r="AM320" s="208">
        <f>IF(AM$2&lt;=AnalysisPeriod,IF(SUM($C714:AM714)&gt;0,AL320+1,0),0)</f>
        <v>0</v>
      </c>
      <c r="AN320" s="208">
        <f>IF(AN$2&lt;=AnalysisPeriod,IF(SUM($C714:AN714)&gt;0,AM320+1,0),0)</f>
        <v>0</v>
      </c>
      <c r="AO320" s="208">
        <f>IF(AO$2&lt;=AnalysisPeriod,IF(SUM($C714:AO714)&gt;0,AN320+1,0),0)</f>
        <v>0</v>
      </c>
      <c r="AP320" s="208">
        <f>IF(AP$2&lt;=AnalysisPeriod,IF(SUM($C714:AP714)&gt;0,AO320+1,0),0)</f>
        <v>0</v>
      </c>
    </row>
    <row r="321" spans="1:42">
      <c r="A321" s="226"/>
      <c r="C321" s="208"/>
      <c r="D321" s="208"/>
      <c r="E321" s="208"/>
      <c r="F321" s="208"/>
      <c r="G321" s="208"/>
      <c r="H321" s="208"/>
      <c r="I321" s="208"/>
      <c r="J321" s="208"/>
      <c r="K321" s="208"/>
      <c r="L321" s="208"/>
      <c r="M321" s="208"/>
      <c r="N321" s="208"/>
      <c r="O321" s="208"/>
      <c r="P321" s="208"/>
      <c r="Q321" s="208"/>
      <c r="R321" s="208"/>
      <c r="S321" s="208"/>
      <c r="T321" s="208"/>
      <c r="U321" s="208"/>
      <c r="V321" s="208"/>
      <c r="W321" s="208"/>
      <c r="X321" s="208"/>
      <c r="Y321" s="208"/>
      <c r="Z321" s="208"/>
      <c r="AA321" s="208"/>
      <c r="AB321" s="208"/>
      <c r="AC321" s="208"/>
      <c r="AD321" s="208"/>
      <c r="AE321" s="208"/>
      <c r="AF321" s="208"/>
      <c r="AG321" s="208"/>
      <c r="AH321" s="208"/>
      <c r="AI321" s="208"/>
      <c r="AJ321" s="208"/>
      <c r="AK321" s="208"/>
      <c r="AL321" s="208"/>
      <c r="AM321" s="208"/>
      <c r="AN321" s="208"/>
      <c r="AO321" s="208"/>
      <c r="AP321" s="208"/>
    </row>
    <row r="322" spans="1:42">
      <c r="A322" s="226" t="s">
        <v>221</v>
      </c>
      <c r="C322" s="208"/>
      <c r="D322" s="208"/>
      <c r="E322" s="208"/>
      <c r="F322" s="208"/>
      <c r="G322" s="208"/>
      <c r="H322" s="208"/>
      <c r="I322" s="208"/>
      <c r="J322" s="208"/>
      <c r="K322" s="208"/>
      <c r="L322" s="208"/>
      <c r="M322" s="208"/>
      <c r="N322" s="208"/>
      <c r="O322" s="208"/>
      <c r="P322" s="208"/>
      <c r="Q322" s="208"/>
      <c r="R322" s="208"/>
      <c r="S322" s="208"/>
      <c r="T322" s="208"/>
      <c r="U322" s="208"/>
      <c r="V322" s="208"/>
      <c r="W322" s="208"/>
      <c r="X322" s="208"/>
      <c r="Y322" s="208"/>
      <c r="Z322" s="208"/>
      <c r="AA322" s="208"/>
      <c r="AB322" s="208"/>
      <c r="AC322" s="208"/>
      <c r="AD322" s="208"/>
      <c r="AE322" s="208"/>
      <c r="AF322" s="208"/>
      <c r="AG322" s="208"/>
      <c r="AH322" s="208"/>
      <c r="AI322" s="208"/>
      <c r="AJ322" s="208"/>
      <c r="AK322" s="208"/>
      <c r="AL322" s="208"/>
      <c r="AM322" s="208"/>
      <c r="AN322" s="208"/>
      <c r="AO322" s="208"/>
      <c r="AP322" s="208"/>
    </row>
    <row r="323" spans="1:42">
      <c r="A323" s="119">
        <v>1</v>
      </c>
      <c r="B323" s="218">
        <f t="shared" ref="B323:B332" si="141">SUM(C323:AP323)</f>
        <v>103022.49999999997</v>
      </c>
      <c r="C323" s="250">
        <f t="shared" ref="C323:AP329" si="142">LOOKUP(C311,$B$255:$AP$255,$B$256:$AP$256)*$B705</f>
        <v>0</v>
      </c>
      <c r="D323" s="208">
        <f t="shared" si="142"/>
        <v>0</v>
      </c>
      <c r="E323" s="208">
        <f t="shared" si="142"/>
        <v>20604.499999999996</v>
      </c>
      <c r="F323" s="208">
        <f t="shared" si="142"/>
        <v>32967.19999999999</v>
      </c>
      <c r="G323" s="208">
        <f t="shared" si="142"/>
        <v>19780.319999999996</v>
      </c>
      <c r="H323" s="208">
        <f t="shared" si="142"/>
        <v>11868.191999999995</v>
      </c>
      <c r="I323" s="208">
        <f t="shared" si="142"/>
        <v>11868.191999999995</v>
      </c>
      <c r="J323" s="208">
        <f t="shared" si="142"/>
        <v>5934.0959999999977</v>
      </c>
      <c r="K323" s="208">
        <f t="shared" si="142"/>
        <v>0</v>
      </c>
      <c r="L323" s="208">
        <f t="shared" si="142"/>
        <v>0</v>
      </c>
      <c r="M323" s="208">
        <f t="shared" si="142"/>
        <v>0</v>
      </c>
      <c r="N323" s="208">
        <f t="shared" si="142"/>
        <v>0</v>
      </c>
      <c r="O323" s="208">
        <f t="shared" si="142"/>
        <v>0</v>
      </c>
      <c r="P323" s="208">
        <f t="shared" si="142"/>
        <v>0</v>
      </c>
      <c r="Q323" s="208">
        <f t="shared" si="142"/>
        <v>0</v>
      </c>
      <c r="R323" s="208">
        <f t="shared" si="142"/>
        <v>0</v>
      </c>
      <c r="S323" s="208">
        <f t="shared" si="142"/>
        <v>0</v>
      </c>
      <c r="T323" s="208">
        <f t="shared" si="142"/>
        <v>0</v>
      </c>
      <c r="U323" s="208">
        <f t="shared" si="142"/>
        <v>0</v>
      </c>
      <c r="V323" s="208">
        <f t="shared" si="142"/>
        <v>0</v>
      </c>
      <c r="W323" s="208">
        <f t="shared" si="142"/>
        <v>0</v>
      </c>
      <c r="X323" s="208">
        <f t="shared" si="142"/>
        <v>0</v>
      </c>
      <c r="Y323" s="208">
        <f t="shared" si="142"/>
        <v>0</v>
      </c>
      <c r="Z323" s="208">
        <f t="shared" si="142"/>
        <v>0</v>
      </c>
      <c r="AA323" s="208">
        <f t="shared" si="142"/>
        <v>0</v>
      </c>
      <c r="AB323" s="208">
        <f t="shared" si="142"/>
        <v>0</v>
      </c>
      <c r="AC323" s="208">
        <f t="shared" si="142"/>
        <v>0</v>
      </c>
      <c r="AD323" s="208">
        <f t="shared" si="142"/>
        <v>0</v>
      </c>
      <c r="AE323" s="208">
        <f t="shared" si="142"/>
        <v>0</v>
      </c>
      <c r="AF323" s="208">
        <f t="shared" si="142"/>
        <v>0</v>
      </c>
      <c r="AG323" s="208">
        <f t="shared" si="142"/>
        <v>0</v>
      </c>
      <c r="AH323" s="208">
        <f t="shared" si="142"/>
        <v>0</v>
      </c>
      <c r="AI323" s="208">
        <f t="shared" si="142"/>
        <v>0</v>
      </c>
      <c r="AJ323" s="208">
        <f t="shared" si="142"/>
        <v>0</v>
      </c>
      <c r="AK323" s="208">
        <f t="shared" si="142"/>
        <v>0</v>
      </c>
      <c r="AL323" s="208">
        <f t="shared" si="142"/>
        <v>0</v>
      </c>
      <c r="AM323" s="208">
        <f t="shared" si="142"/>
        <v>0</v>
      </c>
      <c r="AN323" s="208">
        <f t="shared" si="142"/>
        <v>0</v>
      </c>
      <c r="AO323" s="208">
        <f t="shared" si="142"/>
        <v>0</v>
      </c>
      <c r="AP323" s="208">
        <f t="shared" si="142"/>
        <v>0</v>
      </c>
    </row>
    <row r="324" spans="1:42">
      <c r="A324" s="119">
        <f>A323+1</f>
        <v>2</v>
      </c>
      <c r="B324" s="218">
        <f t="shared" si="141"/>
        <v>107728.40038843744</v>
      </c>
      <c r="C324" s="250">
        <f t="shared" si="142"/>
        <v>0</v>
      </c>
      <c r="D324" s="208">
        <f t="shared" si="142"/>
        <v>0</v>
      </c>
      <c r="E324" s="208">
        <f t="shared" si="142"/>
        <v>0</v>
      </c>
      <c r="F324" s="208">
        <f t="shared" si="142"/>
        <v>0</v>
      </c>
      <c r="G324" s="208">
        <f t="shared" si="142"/>
        <v>0</v>
      </c>
      <c r="H324" s="208">
        <f t="shared" si="142"/>
        <v>21545.680077687488</v>
      </c>
      <c r="I324" s="208">
        <f t="shared" si="142"/>
        <v>34473.088124299975</v>
      </c>
      <c r="J324" s="208">
        <f t="shared" si="142"/>
        <v>20683.852874579985</v>
      </c>
      <c r="K324" s="208">
        <f t="shared" si="142"/>
        <v>12410.311724747991</v>
      </c>
      <c r="L324" s="208">
        <f t="shared" si="142"/>
        <v>12410.311724747991</v>
      </c>
      <c r="M324" s="208">
        <f t="shared" si="142"/>
        <v>6205.1558623739957</v>
      </c>
      <c r="N324" s="208">
        <f t="shared" si="142"/>
        <v>0</v>
      </c>
      <c r="O324" s="208">
        <f t="shared" si="142"/>
        <v>0</v>
      </c>
      <c r="P324" s="208">
        <f t="shared" si="142"/>
        <v>0</v>
      </c>
      <c r="Q324" s="208">
        <f t="shared" si="142"/>
        <v>0</v>
      </c>
      <c r="R324" s="208">
        <f t="shared" si="142"/>
        <v>0</v>
      </c>
      <c r="S324" s="208">
        <f t="shared" si="142"/>
        <v>0</v>
      </c>
      <c r="T324" s="208">
        <f t="shared" si="142"/>
        <v>0</v>
      </c>
      <c r="U324" s="208">
        <f t="shared" si="142"/>
        <v>0</v>
      </c>
      <c r="V324" s="208">
        <f t="shared" si="142"/>
        <v>0</v>
      </c>
      <c r="W324" s="208">
        <f t="shared" si="142"/>
        <v>0</v>
      </c>
      <c r="X324" s="208">
        <f t="shared" si="142"/>
        <v>0</v>
      </c>
      <c r="Y324" s="208">
        <f t="shared" si="142"/>
        <v>0</v>
      </c>
      <c r="Z324" s="208">
        <f t="shared" si="142"/>
        <v>0</v>
      </c>
      <c r="AA324" s="208">
        <f t="shared" si="142"/>
        <v>0</v>
      </c>
      <c r="AB324" s="208">
        <f t="shared" si="142"/>
        <v>0</v>
      </c>
      <c r="AC324" s="208">
        <f t="shared" si="142"/>
        <v>0</v>
      </c>
      <c r="AD324" s="208">
        <f t="shared" si="142"/>
        <v>0</v>
      </c>
      <c r="AE324" s="208">
        <f t="shared" si="142"/>
        <v>0</v>
      </c>
      <c r="AF324" s="208">
        <f t="shared" si="142"/>
        <v>0</v>
      </c>
      <c r="AG324" s="208">
        <f t="shared" si="142"/>
        <v>0</v>
      </c>
      <c r="AH324" s="208">
        <f t="shared" si="142"/>
        <v>0</v>
      </c>
      <c r="AI324" s="208">
        <f t="shared" si="142"/>
        <v>0</v>
      </c>
      <c r="AJ324" s="208">
        <f t="shared" si="142"/>
        <v>0</v>
      </c>
      <c r="AK324" s="208">
        <f t="shared" si="142"/>
        <v>0</v>
      </c>
      <c r="AL324" s="208">
        <f t="shared" si="142"/>
        <v>0</v>
      </c>
      <c r="AM324" s="208">
        <f t="shared" si="142"/>
        <v>0</v>
      </c>
      <c r="AN324" s="208">
        <f t="shared" si="142"/>
        <v>0</v>
      </c>
      <c r="AO324" s="208">
        <f t="shared" si="142"/>
        <v>0</v>
      </c>
      <c r="AP324" s="208">
        <f t="shared" si="142"/>
        <v>0</v>
      </c>
    </row>
    <row r="325" spans="1:42">
      <c r="A325" s="119">
        <f t="shared" ref="A325:A332" si="143">A324+1</f>
        <v>3</v>
      </c>
      <c r="B325" s="218">
        <f t="shared" si="141"/>
        <v>112649.25865953058</v>
      </c>
      <c r="C325" s="250">
        <f t="shared" si="142"/>
        <v>0</v>
      </c>
      <c r="D325" s="208">
        <f t="shared" si="142"/>
        <v>0</v>
      </c>
      <c r="E325" s="208">
        <f t="shared" si="142"/>
        <v>0</v>
      </c>
      <c r="F325" s="208">
        <f t="shared" si="142"/>
        <v>0</v>
      </c>
      <c r="G325" s="208">
        <f t="shared" si="142"/>
        <v>0</v>
      </c>
      <c r="H325" s="208">
        <f t="shared" si="142"/>
        <v>0</v>
      </c>
      <c r="I325" s="208">
        <f t="shared" si="142"/>
        <v>0</v>
      </c>
      <c r="J325" s="208">
        <f t="shared" si="142"/>
        <v>0</v>
      </c>
      <c r="K325" s="208">
        <f t="shared" si="142"/>
        <v>22529.851731906117</v>
      </c>
      <c r="L325" s="208">
        <f t="shared" si="142"/>
        <v>36047.762771049784</v>
      </c>
      <c r="M325" s="208">
        <f t="shared" si="142"/>
        <v>21628.65766262987</v>
      </c>
      <c r="N325" s="208">
        <f t="shared" si="142"/>
        <v>12977.194597577922</v>
      </c>
      <c r="O325" s="208">
        <f t="shared" si="142"/>
        <v>12977.194597577922</v>
      </c>
      <c r="P325" s="208">
        <f t="shared" si="142"/>
        <v>6488.5972987889609</v>
      </c>
      <c r="Q325" s="208">
        <f t="shared" si="142"/>
        <v>0</v>
      </c>
      <c r="R325" s="208">
        <f t="shared" si="142"/>
        <v>0</v>
      </c>
      <c r="S325" s="208">
        <f t="shared" si="142"/>
        <v>0</v>
      </c>
      <c r="T325" s="208">
        <f t="shared" si="142"/>
        <v>0</v>
      </c>
      <c r="U325" s="208">
        <f t="shared" si="142"/>
        <v>0</v>
      </c>
      <c r="V325" s="208">
        <f t="shared" si="142"/>
        <v>0</v>
      </c>
      <c r="W325" s="208">
        <f t="shared" si="142"/>
        <v>0</v>
      </c>
      <c r="X325" s="208">
        <f t="shared" si="142"/>
        <v>0</v>
      </c>
      <c r="Y325" s="208">
        <f t="shared" si="142"/>
        <v>0</v>
      </c>
      <c r="Z325" s="208">
        <f t="shared" si="142"/>
        <v>0</v>
      </c>
      <c r="AA325" s="208">
        <f t="shared" si="142"/>
        <v>0</v>
      </c>
      <c r="AB325" s="208">
        <f t="shared" si="142"/>
        <v>0</v>
      </c>
      <c r="AC325" s="208">
        <f t="shared" si="142"/>
        <v>0</v>
      </c>
      <c r="AD325" s="208">
        <f t="shared" si="142"/>
        <v>0</v>
      </c>
      <c r="AE325" s="208">
        <f t="shared" si="142"/>
        <v>0</v>
      </c>
      <c r="AF325" s="208">
        <f t="shared" si="142"/>
        <v>0</v>
      </c>
      <c r="AG325" s="208">
        <f t="shared" si="142"/>
        <v>0</v>
      </c>
      <c r="AH325" s="208">
        <f t="shared" si="142"/>
        <v>0</v>
      </c>
      <c r="AI325" s="208">
        <f t="shared" si="142"/>
        <v>0</v>
      </c>
      <c r="AJ325" s="208">
        <f t="shared" si="142"/>
        <v>0</v>
      </c>
      <c r="AK325" s="208">
        <f t="shared" si="142"/>
        <v>0</v>
      </c>
      <c r="AL325" s="208">
        <f t="shared" si="142"/>
        <v>0</v>
      </c>
      <c r="AM325" s="208">
        <f t="shared" si="142"/>
        <v>0</v>
      </c>
      <c r="AN325" s="208">
        <f t="shared" si="142"/>
        <v>0</v>
      </c>
      <c r="AO325" s="208">
        <f t="shared" si="142"/>
        <v>0</v>
      </c>
      <c r="AP325" s="208">
        <f t="shared" si="142"/>
        <v>0</v>
      </c>
    </row>
    <row r="326" spans="1:42">
      <c r="A326" s="119">
        <f t="shared" si="143"/>
        <v>4</v>
      </c>
      <c r="B326" s="218">
        <f t="shared" si="141"/>
        <v>117794.89374005256</v>
      </c>
      <c r="C326" s="250">
        <f t="shared" si="142"/>
        <v>0</v>
      </c>
      <c r="D326" s="208">
        <f t="shared" si="142"/>
        <v>0</v>
      </c>
      <c r="E326" s="208">
        <f t="shared" si="142"/>
        <v>0</v>
      </c>
      <c r="F326" s="208">
        <f t="shared" si="142"/>
        <v>0</v>
      </c>
      <c r="G326" s="208">
        <f t="shared" si="142"/>
        <v>0</v>
      </c>
      <c r="H326" s="208">
        <f t="shared" si="142"/>
        <v>0</v>
      </c>
      <c r="I326" s="208">
        <f t="shared" si="142"/>
        <v>0</v>
      </c>
      <c r="J326" s="208">
        <f t="shared" si="142"/>
        <v>0</v>
      </c>
      <c r="K326" s="208">
        <f t="shared" si="142"/>
        <v>0</v>
      </c>
      <c r="L326" s="208">
        <f t="shared" si="142"/>
        <v>0</v>
      </c>
      <c r="M326" s="208">
        <f t="shared" si="142"/>
        <v>0</v>
      </c>
      <c r="N326" s="208">
        <f t="shared" si="142"/>
        <v>23558.978748010515</v>
      </c>
      <c r="O326" s="208">
        <f t="shared" si="142"/>
        <v>37694.365996816821</v>
      </c>
      <c r="P326" s="208">
        <f t="shared" si="142"/>
        <v>22616.619598090092</v>
      </c>
      <c r="Q326" s="208">
        <f t="shared" si="142"/>
        <v>13569.971758854055</v>
      </c>
      <c r="R326" s="208">
        <f t="shared" si="142"/>
        <v>13569.971758854055</v>
      </c>
      <c r="S326" s="208">
        <f t="shared" si="142"/>
        <v>6784.9858794270276</v>
      </c>
      <c r="T326" s="208">
        <f t="shared" si="142"/>
        <v>0</v>
      </c>
      <c r="U326" s="208">
        <f t="shared" si="142"/>
        <v>0</v>
      </c>
      <c r="V326" s="208">
        <f t="shared" si="142"/>
        <v>0</v>
      </c>
      <c r="W326" s="208">
        <f t="shared" si="142"/>
        <v>0</v>
      </c>
      <c r="X326" s="208">
        <f t="shared" si="142"/>
        <v>0</v>
      </c>
      <c r="Y326" s="208">
        <f t="shared" si="142"/>
        <v>0</v>
      </c>
      <c r="Z326" s="208">
        <f t="shared" si="142"/>
        <v>0</v>
      </c>
      <c r="AA326" s="208">
        <f t="shared" si="142"/>
        <v>0</v>
      </c>
      <c r="AB326" s="208">
        <f t="shared" si="142"/>
        <v>0</v>
      </c>
      <c r="AC326" s="208">
        <f t="shared" si="142"/>
        <v>0</v>
      </c>
      <c r="AD326" s="208">
        <f t="shared" si="142"/>
        <v>0</v>
      </c>
      <c r="AE326" s="208">
        <f t="shared" si="142"/>
        <v>0</v>
      </c>
      <c r="AF326" s="208">
        <f t="shared" si="142"/>
        <v>0</v>
      </c>
      <c r="AG326" s="208">
        <f t="shared" si="142"/>
        <v>0</v>
      </c>
      <c r="AH326" s="208">
        <f t="shared" si="142"/>
        <v>0</v>
      </c>
      <c r="AI326" s="208">
        <f t="shared" si="142"/>
        <v>0</v>
      </c>
      <c r="AJ326" s="208">
        <f t="shared" si="142"/>
        <v>0</v>
      </c>
      <c r="AK326" s="208">
        <f t="shared" si="142"/>
        <v>0</v>
      </c>
      <c r="AL326" s="208">
        <f t="shared" si="142"/>
        <v>0</v>
      </c>
      <c r="AM326" s="208">
        <f t="shared" si="142"/>
        <v>0</v>
      </c>
      <c r="AN326" s="208">
        <f t="shared" si="142"/>
        <v>0</v>
      </c>
      <c r="AO326" s="208">
        <f t="shared" si="142"/>
        <v>0</v>
      </c>
      <c r="AP326" s="208">
        <f t="shared" si="142"/>
        <v>0</v>
      </c>
    </row>
    <row r="327" spans="1:42">
      <c r="A327" s="119">
        <f t="shared" si="143"/>
        <v>5</v>
      </c>
      <c r="B327" s="218">
        <f t="shared" si="141"/>
        <v>123175.57306939577</v>
      </c>
      <c r="C327" s="250">
        <f t="shared" si="142"/>
        <v>0</v>
      </c>
      <c r="D327" s="208">
        <f t="shared" si="142"/>
        <v>0</v>
      </c>
      <c r="E327" s="208">
        <f t="shared" si="142"/>
        <v>0</v>
      </c>
      <c r="F327" s="208">
        <f t="shared" si="142"/>
        <v>0</v>
      </c>
      <c r="G327" s="208">
        <f t="shared" si="142"/>
        <v>0</v>
      </c>
      <c r="H327" s="208">
        <f t="shared" si="142"/>
        <v>0</v>
      </c>
      <c r="I327" s="208">
        <f t="shared" si="142"/>
        <v>0</v>
      </c>
      <c r="J327" s="208">
        <f t="shared" si="142"/>
        <v>0</v>
      </c>
      <c r="K327" s="208">
        <f t="shared" si="142"/>
        <v>0</v>
      </c>
      <c r="L327" s="208">
        <f t="shared" si="142"/>
        <v>0</v>
      </c>
      <c r="M327" s="208">
        <f t="shared" si="142"/>
        <v>0</v>
      </c>
      <c r="N327" s="208">
        <f t="shared" si="142"/>
        <v>0</v>
      </c>
      <c r="O327" s="208">
        <f t="shared" si="142"/>
        <v>0</v>
      </c>
      <c r="P327" s="208">
        <f t="shared" si="142"/>
        <v>0</v>
      </c>
      <c r="Q327" s="208">
        <f t="shared" si="142"/>
        <v>24635.114613879156</v>
      </c>
      <c r="R327" s="208">
        <f t="shared" si="142"/>
        <v>39416.183382206647</v>
      </c>
      <c r="S327" s="208">
        <f t="shared" si="142"/>
        <v>23649.710029323989</v>
      </c>
      <c r="T327" s="208">
        <f t="shared" si="142"/>
        <v>14189.826017594392</v>
      </c>
      <c r="U327" s="208">
        <f t="shared" si="142"/>
        <v>14189.826017594392</v>
      </c>
      <c r="V327" s="208">
        <f t="shared" si="142"/>
        <v>7094.9130087971962</v>
      </c>
      <c r="W327" s="208">
        <f t="shared" si="142"/>
        <v>0</v>
      </c>
      <c r="X327" s="208">
        <f t="shared" si="142"/>
        <v>0</v>
      </c>
      <c r="Y327" s="208">
        <f t="shared" si="142"/>
        <v>0</v>
      </c>
      <c r="Z327" s="208">
        <f t="shared" si="142"/>
        <v>0</v>
      </c>
      <c r="AA327" s="208">
        <f t="shared" si="142"/>
        <v>0</v>
      </c>
      <c r="AB327" s="208">
        <f t="shared" si="142"/>
        <v>0</v>
      </c>
      <c r="AC327" s="208">
        <f t="shared" si="142"/>
        <v>0</v>
      </c>
      <c r="AD327" s="208">
        <f t="shared" si="142"/>
        <v>0</v>
      </c>
      <c r="AE327" s="208">
        <f t="shared" si="142"/>
        <v>0</v>
      </c>
      <c r="AF327" s="208">
        <f t="shared" si="142"/>
        <v>0</v>
      </c>
      <c r="AG327" s="208">
        <f t="shared" si="142"/>
        <v>0</v>
      </c>
      <c r="AH327" s="208">
        <f t="shared" si="142"/>
        <v>0</v>
      </c>
      <c r="AI327" s="208">
        <f t="shared" si="142"/>
        <v>0</v>
      </c>
      <c r="AJ327" s="208">
        <f t="shared" si="142"/>
        <v>0</v>
      </c>
      <c r="AK327" s="208">
        <f t="shared" si="142"/>
        <v>0</v>
      </c>
      <c r="AL327" s="208">
        <f t="shared" si="142"/>
        <v>0</v>
      </c>
      <c r="AM327" s="208">
        <f t="shared" si="142"/>
        <v>0</v>
      </c>
      <c r="AN327" s="208">
        <f t="shared" si="142"/>
        <v>0</v>
      </c>
      <c r="AO327" s="208">
        <f t="shared" si="142"/>
        <v>0</v>
      </c>
      <c r="AP327" s="208">
        <f t="shared" si="142"/>
        <v>0</v>
      </c>
    </row>
    <row r="328" spans="1:42">
      <c r="A328" s="119">
        <f t="shared" si="143"/>
        <v>6</v>
      </c>
      <c r="B328" s="218">
        <f t="shared" si="141"/>
        <v>128802.03308689946</v>
      </c>
      <c r="C328" s="250">
        <f t="shared" si="142"/>
        <v>0</v>
      </c>
      <c r="D328" s="208">
        <f t="shared" si="142"/>
        <v>0</v>
      </c>
      <c r="E328" s="208">
        <f t="shared" si="142"/>
        <v>0</v>
      </c>
      <c r="F328" s="208">
        <f t="shared" si="142"/>
        <v>0</v>
      </c>
      <c r="G328" s="208">
        <f t="shared" si="142"/>
        <v>0</v>
      </c>
      <c r="H328" s="208">
        <f t="shared" si="142"/>
        <v>0</v>
      </c>
      <c r="I328" s="208">
        <f t="shared" si="142"/>
        <v>0</v>
      </c>
      <c r="J328" s="208">
        <f t="shared" si="142"/>
        <v>0</v>
      </c>
      <c r="K328" s="208">
        <f t="shared" si="142"/>
        <v>0</v>
      </c>
      <c r="L328" s="208">
        <f t="shared" si="142"/>
        <v>0</v>
      </c>
      <c r="M328" s="208">
        <f t="shared" si="142"/>
        <v>0</v>
      </c>
      <c r="N328" s="208">
        <f t="shared" si="142"/>
        <v>0</v>
      </c>
      <c r="O328" s="208">
        <f t="shared" si="142"/>
        <v>0</v>
      </c>
      <c r="P328" s="208">
        <f t="shared" si="142"/>
        <v>0</v>
      </c>
      <c r="Q328" s="208">
        <f t="shared" si="142"/>
        <v>0</v>
      </c>
      <c r="R328" s="208">
        <f t="shared" si="142"/>
        <v>0</v>
      </c>
      <c r="S328" s="208">
        <f t="shared" si="142"/>
        <v>0</v>
      </c>
      <c r="T328" s="208">
        <f t="shared" si="142"/>
        <v>25760.406617379896</v>
      </c>
      <c r="U328" s="208">
        <f t="shared" si="142"/>
        <v>41216.650587807831</v>
      </c>
      <c r="V328" s="208">
        <f t="shared" si="142"/>
        <v>24729.990352684701</v>
      </c>
      <c r="W328" s="208">
        <f t="shared" si="142"/>
        <v>14837.99421161082</v>
      </c>
      <c r="X328" s="208">
        <f t="shared" si="142"/>
        <v>14837.99421161082</v>
      </c>
      <c r="Y328" s="208">
        <f t="shared" si="142"/>
        <v>7418.9971058054098</v>
      </c>
      <c r="Z328" s="208">
        <f t="shared" si="142"/>
        <v>0</v>
      </c>
      <c r="AA328" s="208">
        <f t="shared" si="142"/>
        <v>0</v>
      </c>
      <c r="AB328" s="208">
        <f t="shared" si="142"/>
        <v>0</v>
      </c>
      <c r="AC328" s="208">
        <f t="shared" si="142"/>
        <v>0</v>
      </c>
      <c r="AD328" s="208">
        <f t="shared" si="142"/>
        <v>0</v>
      </c>
      <c r="AE328" s="208">
        <f t="shared" si="142"/>
        <v>0</v>
      </c>
      <c r="AF328" s="208">
        <f t="shared" si="142"/>
        <v>0</v>
      </c>
      <c r="AG328" s="208">
        <f t="shared" si="142"/>
        <v>0</v>
      </c>
      <c r="AH328" s="208">
        <f t="shared" si="142"/>
        <v>0</v>
      </c>
      <c r="AI328" s="208">
        <f t="shared" si="142"/>
        <v>0</v>
      </c>
      <c r="AJ328" s="208">
        <f t="shared" si="142"/>
        <v>0</v>
      </c>
      <c r="AK328" s="208">
        <f t="shared" si="142"/>
        <v>0</v>
      </c>
      <c r="AL328" s="208">
        <f t="shared" si="142"/>
        <v>0</v>
      </c>
      <c r="AM328" s="208">
        <f t="shared" si="142"/>
        <v>0</v>
      </c>
      <c r="AN328" s="208">
        <f t="shared" si="142"/>
        <v>0</v>
      </c>
      <c r="AO328" s="208">
        <f t="shared" si="142"/>
        <v>0</v>
      </c>
      <c r="AP328" s="208">
        <f t="shared" si="142"/>
        <v>0</v>
      </c>
    </row>
    <row r="329" spans="1:42">
      <c r="A329" s="119">
        <f t="shared" si="143"/>
        <v>7</v>
      </c>
      <c r="B329" s="218">
        <f t="shared" si="141"/>
        <v>134685.50065500522</v>
      </c>
      <c r="C329" s="250">
        <f t="shared" si="142"/>
        <v>0</v>
      </c>
      <c r="D329" s="208">
        <f t="shared" si="142"/>
        <v>0</v>
      </c>
      <c r="E329" s="208">
        <f t="shared" si="142"/>
        <v>0</v>
      </c>
      <c r="F329" s="208">
        <f t="shared" si="142"/>
        <v>0</v>
      </c>
      <c r="G329" s="208">
        <f t="shared" si="142"/>
        <v>0</v>
      </c>
      <c r="H329" s="208">
        <f t="shared" si="142"/>
        <v>0</v>
      </c>
      <c r="I329" s="208">
        <f t="shared" si="142"/>
        <v>0</v>
      </c>
      <c r="J329" s="208">
        <f t="shared" si="142"/>
        <v>0</v>
      </c>
      <c r="K329" s="208">
        <f t="shared" si="142"/>
        <v>0</v>
      </c>
      <c r="L329" s="208">
        <f t="shared" si="142"/>
        <v>0</v>
      </c>
      <c r="M329" s="208">
        <f t="shared" si="142"/>
        <v>0</v>
      </c>
      <c r="N329" s="208">
        <f t="shared" si="142"/>
        <v>0</v>
      </c>
      <c r="O329" s="208">
        <f t="shared" si="142"/>
        <v>0</v>
      </c>
      <c r="P329" s="208">
        <f t="shared" si="142"/>
        <v>0</v>
      </c>
      <c r="Q329" s="208">
        <f t="shared" si="142"/>
        <v>0</v>
      </c>
      <c r="R329" s="208">
        <f t="shared" ref="R329:AP329" si="144">LOOKUP(R317,$B$255:$AP$255,$B$256:$AP$256)*$B711</f>
        <v>0</v>
      </c>
      <c r="S329" s="208">
        <f t="shared" si="144"/>
        <v>0</v>
      </c>
      <c r="T329" s="208">
        <f t="shared" si="144"/>
        <v>0</v>
      </c>
      <c r="U329" s="208">
        <f t="shared" si="144"/>
        <v>0</v>
      </c>
      <c r="V329" s="208">
        <f t="shared" si="144"/>
        <v>0</v>
      </c>
      <c r="W329" s="208">
        <f t="shared" si="144"/>
        <v>26937.100131001047</v>
      </c>
      <c r="X329" s="208">
        <f t="shared" si="144"/>
        <v>43099.360209601669</v>
      </c>
      <c r="Y329" s="208">
        <f t="shared" si="144"/>
        <v>25859.616125761004</v>
      </c>
      <c r="Z329" s="208">
        <f t="shared" si="144"/>
        <v>15515.7696754566</v>
      </c>
      <c r="AA329" s="208">
        <f t="shared" si="144"/>
        <v>15515.7696754566</v>
      </c>
      <c r="AB329" s="208">
        <f t="shared" si="144"/>
        <v>7757.8848377283002</v>
      </c>
      <c r="AC329" s="208">
        <f t="shared" si="144"/>
        <v>0</v>
      </c>
      <c r="AD329" s="208">
        <f t="shared" si="144"/>
        <v>0</v>
      </c>
      <c r="AE329" s="208">
        <f t="shared" si="144"/>
        <v>0</v>
      </c>
      <c r="AF329" s="208">
        <f t="shared" si="144"/>
        <v>0</v>
      </c>
      <c r="AG329" s="208">
        <f t="shared" si="144"/>
        <v>0</v>
      </c>
      <c r="AH329" s="208">
        <f t="shared" si="144"/>
        <v>0</v>
      </c>
      <c r="AI329" s="208">
        <f t="shared" si="144"/>
        <v>0</v>
      </c>
      <c r="AJ329" s="208">
        <f t="shared" si="144"/>
        <v>0</v>
      </c>
      <c r="AK329" s="208">
        <f t="shared" si="144"/>
        <v>0</v>
      </c>
      <c r="AL329" s="208">
        <f t="shared" si="144"/>
        <v>0</v>
      </c>
      <c r="AM329" s="208">
        <f t="shared" si="144"/>
        <v>0</v>
      </c>
      <c r="AN329" s="208">
        <f t="shared" si="144"/>
        <v>0</v>
      </c>
      <c r="AO329" s="208">
        <f t="shared" si="144"/>
        <v>0</v>
      </c>
      <c r="AP329" s="208">
        <f t="shared" si="144"/>
        <v>0</v>
      </c>
    </row>
    <row r="330" spans="1:42">
      <c r="A330" s="119">
        <f t="shared" si="143"/>
        <v>8</v>
      </c>
      <c r="B330" s="218">
        <f t="shared" si="141"/>
        <v>140837.71546098724</v>
      </c>
      <c r="C330" s="250">
        <f t="shared" ref="C330:AP332" si="145">LOOKUP(C318,$B$255:$AP$255,$B$256:$AP$256)*$B712</f>
        <v>0</v>
      </c>
      <c r="D330" s="208">
        <f t="shared" si="145"/>
        <v>0</v>
      </c>
      <c r="E330" s="208">
        <f t="shared" si="145"/>
        <v>0</v>
      </c>
      <c r="F330" s="208">
        <f t="shared" si="145"/>
        <v>0</v>
      </c>
      <c r="G330" s="208">
        <f t="shared" si="145"/>
        <v>0</v>
      </c>
      <c r="H330" s="208">
        <f t="shared" si="145"/>
        <v>0</v>
      </c>
      <c r="I330" s="208">
        <f t="shared" si="145"/>
        <v>0</v>
      </c>
      <c r="J330" s="208">
        <f t="shared" si="145"/>
        <v>0</v>
      </c>
      <c r="K330" s="208">
        <f t="shared" si="145"/>
        <v>0</v>
      </c>
      <c r="L330" s="208">
        <f t="shared" si="145"/>
        <v>0</v>
      </c>
      <c r="M330" s="208">
        <f t="shared" si="145"/>
        <v>0</v>
      </c>
      <c r="N330" s="208">
        <f t="shared" si="145"/>
        <v>0</v>
      </c>
      <c r="O330" s="208">
        <f t="shared" si="145"/>
        <v>0</v>
      </c>
      <c r="P330" s="208">
        <f t="shared" si="145"/>
        <v>0</v>
      </c>
      <c r="Q330" s="208">
        <f t="shared" si="145"/>
        <v>0</v>
      </c>
      <c r="R330" s="208">
        <f t="shared" si="145"/>
        <v>0</v>
      </c>
      <c r="S330" s="208">
        <f t="shared" si="145"/>
        <v>0</v>
      </c>
      <c r="T330" s="208">
        <f t="shared" si="145"/>
        <v>0</v>
      </c>
      <c r="U330" s="208">
        <f t="shared" si="145"/>
        <v>0</v>
      </c>
      <c r="V330" s="208">
        <f t="shared" si="145"/>
        <v>0</v>
      </c>
      <c r="W330" s="208">
        <f t="shared" si="145"/>
        <v>0</v>
      </c>
      <c r="X330" s="208">
        <f t="shared" si="145"/>
        <v>0</v>
      </c>
      <c r="Y330" s="208">
        <f t="shared" si="145"/>
        <v>0</v>
      </c>
      <c r="Z330" s="208">
        <f t="shared" si="145"/>
        <v>28167.543092197448</v>
      </c>
      <c r="AA330" s="208">
        <f t="shared" si="145"/>
        <v>45068.068947515916</v>
      </c>
      <c r="AB330" s="208">
        <f t="shared" si="145"/>
        <v>27040.841368509551</v>
      </c>
      <c r="AC330" s="208">
        <f t="shared" si="145"/>
        <v>16224.504821105729</v>
      </c>
      <c r="AD330" s="208">
        <f t="shared" si="145"/>
        <v>16224.504821105729</v>
      </c>
      <c r="AE330" s="208">
        <f t="shared" si="145"/>
        <v>8112.2524105528646</v>
      </c>
      <c r="AF330" s="208">
        <f t="shared" si="145"/>
        <v>0</v>
      </c>
      <c r="AG330" s="208">
        <f t="shared" si="145"/>
        <v>0</v>
      </c>
      <c r="AH330" s="208">
        <f t="shared" si="145"/>
        <v>0</v>
      </c>
      <c r="AI330" s="208">
        <f t="shared" si="145"/>
        <v>0</v>
      </c>
      <c r="AJ330" s="208">
        <f t="shared" si="145"/>
        <v>0</v>
      </c>
      <c r="AK330" s="208">
        <f t="shared" si="145"/>
        <v>0</v>
      </c>
      <c r="AL330" s="208">
        <f t="shared" si="145"/>
        <v>0</v>
      </c>
      <c r="AM330" s="208">
        <f t="shared" si="145"/>
        <v>0</v>
      </c>
      <c r="AN330" s="208">
        <f t="shared" si="145"/>
        <v>0</v>
      </c>
      <c r="AO330" s="208">
        <f t="shared" si="145"/>
        <v>0</v>
      </c>
      <c r="AP330" s="208">
        <f t="shared" si="145"/>
        <v>0</v>
      </c>
    </row>
    <row r="331" spans="1:42">
      <c r="A331" s="119">
        <f>A330+1</f>
        <v>9</v>
      </c>
      <c r="B331" s="218">
        <f t="shared" si="141"/>
        <v>121822.53268718722</v>
      </c>
      <c r="C331" s="250">
        <f t="shared" si="145"/>
        <v>0</v>
      </c>
      <c r="D331" s="208">
        <f t="shared" si="145"/>
        <v>0</v>
      </c>
      <c r="E331" s="208">
        <f t="shared" si="145"/>
        <v>0</v>
      </c>
      <c r="F331" s="208">
        <f t="shared" si="145"/>
        <v>0</v>
      </c>
      <c r="G331" s="208">
        <f t="shared" si="145"/>
        <v>0</v>
      </c>
      <c r="H331" s="208">
        <f t="shared" si="145"/>
        <v>0</v>
      </c>
      <c r="I331" s="208">
        <f t="shared" si="145"/>
        <v>0</v>
      </c>
      <c r="J331" s="208">
        <f t="shared" si="145"/>
        <v>0</v>
      </c>
      <c r="K331" s="208">
        <f t="shared" si="145"/>
        <v>0</v>
      </c>
      <c r="L331" s="208">
        <f t="shared" si="145"/>
        <v>0</v>
      </c>
      <c r="M331" s="208">
        <f t="shared" si="145"/>
        <v>0</v>
      </c>
      <c r="N331" s="208">
        <f t="shared" si="145"/>
        <v>0</v>
      </c>
      <c r="O331" s="208">
        <f t="shared" si="145"/>
        <v>0</v>
      </c>
      <c r="P331" s="208">
        <f t="shared" si="145"/>
        <v>0</v>
      </c>
      <c r="Q331" s="208">
        <f t="shared" si="145"/>
        <v>0</v>
      </c>
      <c r="R331" s="208">
        <f t="shared" si="145"/>
        <v>0</v>
      </c>
      <c r="S331" s="208">
        <f t="shared" si="145"/>
        <v>0</v>
      </c>
      <c r="T331" s="208">
        <f t="shared" si="145"/>
        <v>0</v>
      </c>
      <c r="U331" s="208">
        <f t="shared" si="145"/>
        <v>0</v>
      </c>
      <c r="V331" s="208">
        <f t="shared" si="145"/>
        <v>0</v>
      </c>
      <c r="W331" s="208">
        <f t="shared" si="145"/>
        <v>0</v>
      </c>
      <c r="X331" s="208">
        <f t="shared" si="145"/>
        <v>0</v>
      </c>
      <c r="Y331" s="208">
        <f t="shared" si="145"/>
        <v>0</v>
      </c>
      <c r="Z331" s="208">
        <f t="shared" si="145"/>
        <v>0</v>
      </c>
      <c r="AA331" s="208">
        <f t="shared" si="145"/>
        <v>0</v>
      </c>
      <c r="AB331" s="208">
        <f t="shared" si="145"/>
        <v>0</v>
      </c>
      <c r="AC331" s="208">
        <f t="shared" si="145"/>
        <v>29454.190688391496</v>
      </c>
      <c r="AD331" s="208">
        <f t="shared" si="145"/>
        <v>47126.705101426393</v>
      </c>
      <c r="AE331" s="208">
        <f t="shared" si="145"/>
        <v>28276.023060855838</v>
      </c>
      <c r="AF331" s="208">
        <f t="shared" si="145"/>
        <v>16965.613836513501</v>
      </c>
      <c r="AG331" s="208">
        <f t="shared" si="145"/>
        <v>0</v>
      </c>
      <c r="AH331" s="208">
        <f t="shared" si="145"/>
        <v>0</v>
      </c>
      <c r="AI331" s="208">
        <f t="shared" si="145"/>
        <v>0</v>
      </c>
      <c r="AJ331" s="208">
        <f t="shared" si="145"/>
        <v>0</v>
      </c>
      <c r="AK331" s="208">
        <f t="shared" si="145"/>
        <v>0</v>
      </c>
      <c r="AL331" s="208">
        <f t="shared" si="145"/>
        <v>0</v>
      </c>
      <c r="AM331" s="208">
        <f t="shared" si="145"/>
        <v>0</v>
      </c>
      <c r="AN331" s="208">
        <f t="shared" si="145"/>
        <v>0</v>
      </c>
      <c r="AO331" s="208">
        <f t="shared" si="145"/>
        <v>0</v>
      </c>
      <c r="AP331" s="208">
        <f t="shared" si="145"/>
        <v>0</v>
      </c>
    </row>
    <row r="332" spans="1:42">
      <c r="A332" s="119">
        <f t="shared" si="143"/>
        <v>10</v>
      </c>
      <c r="B332" s="218">
        <f t="shared" si="141"/>
        <v>30799.610255977339</v>
      </c>
      <c r="C332" s="246">
        <f t="shared" si="145"/>
        <v>0</v>
      </c>
      <c r="D332" s="209">
        <f t="shared" si="145"/>
        <v>0</v>
      </c>
      <c r="E332" s="209">
        <f t="shared" si="145"/>
        <v>0</v>
      </c>
      <c r="F332" s="209">
        <f t="shared" si="145"/>
        <v>0</v>
      </c>
      <c r="G332" s="209">
        <f t="shared" si="145"/>
        <v>0</v>
      </c>
      <c r="H332" s="209">
        <f t="shared" si="145"/>
        <v>0</v>
      </c>
      <c r="I332" s="209">
        <f t="shared" si="145"/>
        <v>0</v>
      </c>
      <c r="J332" s="209">
        <f t="shared" si="145"/>
        <v>0</v>
      </c>
      <c r="K332" s="209">
        <f t="shared" si="145"/>
        <v>0</v>
      </c>
      <c r="L332" s="209">
        <f t="shared" si="145"/>
        <v>0</v>
      </c>
      <c r="M332" s="209">
        <f t="shared" si="145"/>
        <v>0</v>
      </c>
      <c r="N332" s="209">
        <f t="shared" si="145"/>
        <v>0</v>
      </c>
      <c r="O332" s="209">
        <f t="shared" si="145"/>
        <v>0</v>
      </c>
      <c r="P332" s="209">
        <f t="shared" si="145"/>
        <v>0</v>
      </c>
      <c r="Q332" s="209">
        <f t="shared" si="145"/>
        <v>0</v>
      </c>
      <c r="R332" s="209">
        <f t="shared" si="145"/>
        <v>0</v>
      </c>
      <c r="S332" s="209">
        <f t="shared" si="145"/>
        <v>0</v>
      </c>
      <c r="T332" s="209">
        <f t="shared" si="145"/>
        <v>0</v>
      </c>
      <c r="U332" s="209">
        <f t="shared" si="145"/>
        <v>0</v>
      </c>
      <c r="V332" s="209">
        <f t="shared" si="145"/>
        <v>0</v>
      </c>
      <c r="W332" s="209">
        <f t="shared" si="145"/>
        <v>0</v>
      </c>
      <c r="X332" s="209">
        <f t="shared" si="145"/>
        <v>0</v>
      </c>
      <c r="Y332" s="209">
        <f t="shared" si="145"/>
        <v>0</v>
      </c>
      <c r="Z332" s="209">
        <f t="shared" si="145"/>
        <v>0</v>
      </c>
      <c r="AA332" s="209">
        <f t="shared" si="145"/>
        <v>0</v>
      </c>
      <c r="AB332" s="209">
        <f t="shared" si="145"/>
        <v>0</v>
      </c>
      <c r="AC332" s="209">
        <f t="shared" si="145"/>
        <v>0</v>
      </c>
      <c r="AD332" s="209">
        <f t="shared" si="145"/>
        <v>0</v>
      </c>
      <c r="AE332" s="209">
        <f t="shared" si="145"/>
        <v>0</v>
      </c>
      <c r="AF332" s="209">
        <f t="shared" si="145"/>
        <v>30799.610255977339</v>
      </c>
      <c r="AG332" s="209">
        <f t="shared" si="145"/>
        <v>0</v>
      </c>
      <c r="AH332" s="209">
        <f t="shared" si="145"/>
        <v>0</v>
      </c>
      <c r="AI332" s="209">
        <f t="shared" si="145"/>
        <v>0</v>
      </c>
      <c r="AJ332" s="209">
        <f t="shared" si="145"/>
        <v>0</v>
      </c>
      <c r="AK332" s="209">
        <f t="shared" si="145"/>
        <v>0</v>
      </c>
      <c r="AL332" s="209">
        <f t="shared" si="145"/>
        <v>0</v>
      </c>
      <c r="AM332" s="209">
        <f t="shared" si="145"/>
        <v>0</v>
      </c>
      <c r="AN332" s="209">
        <f t="shared" si="145"/>
        <v>0</v>
      </c>
      <c r="AO332" s="209">
        <f t="shared" si="145"/>
        <v>0</v>
      </c>
      <c r="AP332" s="209">
        <f t="shared" si="145"/>
        <v>0</v>
      </c>
    </row>
    <row r="333" spans="1:42" s="119" customFormat="1" ht="12" customHeight="1">
      <c r="A333" s="247" t="s">
        <v>53</v>
      </c>
      <c r="B333" s="146"/>
      <c r="C333" s="146">
        <f>SUM(C323:C332)</f>
        <v>0</v>
      </c>
      <c r="D333" s="146">
        <f t="shared" ref="D333:AP333" si="146">SUM(D323:D332)</f>
        <v>0</v>
      </c>
      <c r="E333" s="146">
        <f t="shared" si="146"/>
        <v>20604.499999999996</v>
      </c>
      <c r="F333" s="146">
        <f t="shared" si="146"/>
        <v>32967.19999999999</v>
      </c>
      <c r="G333" s="146">
        <f t="shared" si="146"/>
        <v>19780.319999999996</v>
      </c>
      <c r="H333" s="146">
        <f t="shared" si="146"/>
        <v>33413.872077687483</v>
      </c>
      <c r="I333" s="146">
        <f t="shared" si="146"/>
        <v>46341.28012429997</v>
      </c>
      <c r="J333" s="146">
        <f t="shared" si="146"/>
        <v>26617.948874579983</v>
      </c>
      <c r="K333" s="146">
        <f t="shared" si="146"/>
        <v>34940.163456654111</v>
      </c>
      <c r="L333" s="146">
        <f t="shared" si="146"/>
        <v>48458.074495797773</v>
      </c>
      <c r="M333" s="146">
        <f t="shared" si="146"/>
        <v>27833.813525003865</v>
      </c>
      <c r="N333" s="146">
        <f t="shared" si="146"/>
        <v>36536.173345588439</v>
      </c>
      <c r="O333" s="146">
        <f t="shared" si="146"/>
        <v>50671.560594394745</v>
      </c>
      <c r="P333" s="146">
        <f t="shared" si="146"/>
        <v>29105.216896879054</v>
      </c>
      <c r="Q333" s="146">
        <f t="shared" si="146"/>
        <v>38205.086372733211</v>
      </c>
      <c r="R333" s="146">
        <f t="shared" si="146"/>
        <v>52986.155141060706</v>
      </c>
      <c r="S333" s="146">
        <f t="shared" si="146"/>
        <v>30434.695908751019</v>
      </c>
      <c r="T333" s="146">
        <f t="shared" si="146"/>
        <v>39950.232634974287</v>
      </c>
      <c r="U333" s="146">
        <f t="shared" si="146"/>
        <v>55406.476605402226</v>
      </c>
      <c r="V333" s="146">
        <f t="shared" si="146"/>
        <v>31824.903361481898</v>
      </c>
      <c r="W333" s="146">
        <f t="shared" si="146"/>
        <v>41775.094342611868</v>
      </c>
      <c r="X333" s="146">
        <f t="shared" si="146"/>
        <v>57937.354421212491</v>
      </c>
      <c r="Y333" s="146">
        <f t="shared" si="146"/>
        <v>33278.613231566414</v>
      </c>
      <c r="Z333" s="146">
        <f t="shared" si="146"/>
        <v>43683.312767654046</v>
      </c>
      <c r="AA333" s="146">
        <f t="shared" si="146"/>
        <v>60583.838622972515</v>
      </c>
      <c r="AB333" s="146">
        <f t="shared" si="146"/>
        <v>34798.72620623785</v>
      </c>
      <c r="AC333" s="146">
        <f t="shared" si="146"/>
        <v>45678.695509497222</v>
      </c>
      <c r="AD333" s="146">
        <f t="shared" si="146"/>
        <v>63351.209922532122</v>
      </c>
      <c r="AE333" s="146">
        <f t="shared" si="146"/>
        <v>36388.275471408706</v>
      </c>
      <c r="AF333" s="146">
        <f t="shared" si="146"/>
        <v>47765.22409249084</v>
      </c>
      <c r="AG333" s="146">
        <f t="shared" si="146"/>
        <v>0</v>
      </c>
      <c r="AH333" s="146">
        <f t="shared" si="146"/>
        <v>0</v>
      </c>
      <c r="AI333" s="146">
        <f t="shared" si="146"/>
        <v>0</v>
      </c>
      <c r="AJ333" s="146">
        <f t="shared" si="146"/>
        <v>0</v>
      </c>
      <c r="AK333" s="146">
        <f t="shared" si="146"/>
        <v>0</v>
      </c>
      <c r="AL333" s="146">
        <f t="shared" si="146"/>
        <v>0</v>
      </c>
      <c r="AM333" s="146">
        <f t="shared" si="146"/>
        <v>0</v>
      </c>
      <c r="AN333" s="146">
        <f t="shared" si="146"/>
        <v>0</v>
      </c>
      <c r="AO333" s="146">
        <f t="shared" si="146"/>
        <v>0</v>
      </c>
      <c r="AP333" s="146">
        <f t="shared" si="146"/>
        <v>0</v>
      </c>
    </row>
    <row r="334" spans="1:42">
      <c r="A334" s="226"/>
      <c r="C334" s="208"/>
      <c r="D334" s="208"/>
      <c r="E334" s="208"/>
      <c r="F334" s="208"/>
      <c r="G334" s="208"/>
      <c r="H334" s="208"/>
      <c r="I334" s="208"/>
      <c r="J334" s="208"/>
      <c r="K334" s="208"/>
      <c r="L334" s="208"/>
      <c r="M334" s="208"/>
      <c r="N334" s="208"/>
      <c r="O334" s="208"/>
      <c r="P334" s="208"/>
      <c r="Q334" s="208"/>
      <c r="R334" s="208"/>
      <c r="S334" s="208"/>
      <c r="T334" s="208"/>
      <c r="U334" s="208"/>
      <c r="V334" s="208"/>
      <c r="W334" s="208"/>
      <c r="X334" s="208"/>
      <c r="Y334" s="208"/>
      <c r="Z334" s="208"/>
      <c r="AA334" s="208"/>
      <c r="AB334" s="208"/>
      <c r="AC334" s="208"/>
      <c r="AD334" s="208"/>
      <c r="AE334" s="208"/>
      <c r="AF334" s="208"/>
      <c r="AG334" s="208"/>
      <c r="AH334" s="208"/>
      <c r="AI334" s="208"/>
      <c r="AJ334" s="208"/>
      <c r="AK334" s="208"/>
      <c r="AL334" s="208"/>
      <c r="AM334" s="208"/>
      <c r="AN334" s="208"/>
      <c r="AO334" s="208"/>
      <c r="AP334" s="208"/>
    </row>
    <row r="335" spans="1:42">
      <c r="A335" s="217" t="s">
        <v>150</v>
      </c>
    </row>
    <row r="336" spans="1:42">
      <c r="A336" s="119" t="s">
        <v>83</v>
      </c>
    </row>
    <row r="337" spans="1:11" ht="51">
      <c r="A337" s="119"/>
      <c r="B337" s="133" t="s">
        <v>157</v>
      </c>
      <c r="C337" s="133" t="s">
        <v>153</v>
      </c>
      <c r="D337" s="133" t="s">
        <v>155</v>
      </c>
      <c r="E337" s="228" t="s">
        <v>156</v>
      </c>
      <c r="F337" s="133" t="s">
        <v>158</v>
      </c>
      <c r="G337" s="229" t="s">
        <v>175</v>
      </c>
      <c r="H337" s="229" t="s">
        <v>176</v>
      </c>
      <c r="I337" s="133" t="s">
        <v>159</v>
      </c>
      <c r="J337" s="230" t="s">
        <v>332</v>
      </c>
      <c r="K337" s="133" t="s">
        <v>337</v>
      </c>
    </row>
    <row r="338" spans="1:11">
      <c r="A338" s="297" t="str">
        <f>A204</f>
        <v>5-yr MACRS</v>
      </c>
      <c r="B338" s="231">
        <f>C338/$C$345</f>
        <v>0.92783505154639179</v>
      </c>
      <c r="C338" s="208">
        <f>'Inputs &amp; Results'!E221</f>
        <v>38298159.919078313</v>
      </c>
      <c r="D338" s="146">
        <f>$B338*D$345</f>
        <v>0</v>
      </c>
      <c r="E338" s="146">
        <f>$B338*E$345</f>
        <v>0</v>
      </c>
      <c r="F338" s="248">
        <f>C338-D338-E338</f>
        <v>38298159.919078313</v>
      </c>
      <c r="G338" s="208">
        <f t="shared" ref="G338:G343" si="147">IF(ITCStateFixedFedDeprec="Yes",K474,0)+IF(ITCStatePercentFedDeprec="Yes",I474,0)</f>
        <v>0</v>
      </c>
      <c r="H338" s="208">
        <f t="shared" ref="H338:H343" si="148">IF(ITCFedFixedFedDeprec="Yes",K509,0)+IF(ITCFedPercentFedDeprec="Yes",I509,0)</f>
        <v>5000</v>
      </c>
      <c r="I338" s="232">
        <f>F338-G338-H338</f>
        <v>38293159.919078313</v>
      </c>
      <c r="J338" s="208">
        <f>IF('Inputs &amp; Results'!B242="Yes",I338*FedBonusDeprec,0)</f>
        <v>3829315.9919078313</v>
      </c>
      <c r="K338" s="165">
        <f>I338-J338</f>
        <v>34463843.927170485</v>
      </c>
    </row>
    <row r="339" spans="1:11">
      <c r="A339" s="297" t="str">
        <f t="shared" ref="A339:A343" si="149">A205</f>
        <v>15-yr MACRS</v>
      </c>
      <c r="B339" s="231">
        <f t="shared" ref="B339:B343" si="150">C339/$C$345</f>
        <v>1.5463917525773195E-2</v>
      </c>
      <c r="C339" s="208">
        <f>'Inputs &amp; Results'!E222</f>
        <v>638302.66531797184</v>
      </c>
      <c r="D339" s="146">
        <f t="shared" ref="D339:E343" si="151">$B339*D$345</f>
        <v>0</v>
      </c>
      <c r="E339" s="146">
        <f t="shared" si="151"/>
        <v>0</v>
      </c>
      <c r="F339" s="248">
        <f t="shared" ref="F339:F343" si="152">C339-D339-E339</f>
        <v>638302.66531797184</v>
      </c>
      <c r="G339" s="208">
        <f t="shared" si="147"/>
        <v>0</v>
      </c>
      <c r="H339" s="208">
        <f t="shared" si="148"/>
        <v>0</v>
      </c>
      <c r="I339" s="165">
        <f t="shared" ref="I339:I343" si="153">F339-G339-H339</f>
        <v>638302.66531797184</v>
      </c>
      <c r="J339" s="208">
        <f>IF('Inputs &amp; Results'!B243="Yes",I339*FedBonusDeprec,0)</f>
        <v>0</v>
      </c>
      <c r="K339" s="165">
        <f t="shared" ref="K339:K343" si="154">I339-J339</f>
        <v>638302.66531797184</v>
      </c>
    </row>
    <row r="340" spans="1:11">
      <c r="A340" s="297" t="str">
        <f t="shared" si="149"/>
        <v>5-yr SL</v>
      </c>
      <c r="B340" s="231">
        <f t="shared" si="150"/>
        <v>0</v>
      </c>
      <c r="C340" s="208">
        <f>'Inputs &amp; Results'!E223</f>
        <v>0</v>
      </c>
      <c r="D340" s="146">
        <f t="shared" si="151"/>
        <v>0</v>
      </c>
      <c r="E340" s="146">
        <f t="shared" si="151"/>
        <v>0</v>
      </c>
      <c r="F340" s="248">
        <f t="shared" si="152"/>
        <v>0</v>
      </c>
      <c r="G340" s="208">
        <f t="shared" si="147"/>
        <v>0</v>
      </c>
      <c r="H340" s="208">
        <f t="shared" si="148"/>
        <v>0</v>
      </c>
      <c r="I340" s="165">
        <f t="shared" si="153"/>
        <v>0</v>
      </c>
      <c r="J340" s="208">
        <f>IF('Inputs &amp; Results'!B244="Yes",I340*FedBonusDeprec,0)</f>
        <v>0</v>
      </c>
      <c r="K340" s="165">
        <f t="shared" si="154"/>
        <v>0</v>
      </c>
    </row>
    <row r="341" spans="1:11">
      <c r="A341" s="297" t="str">
        <f t="shared" si="149"/>
        <v>15-yr SL</v>
      </c>
      <c r="B341" s="231">
        <f t="shared" si="150"/>
        <v>2.5773195876288662E-2</v>
      </c>
      <c r="C341" s="208">
        <f>'Inputs &amp; Results'!E224</f>
        <v>1063837.7755299532</v>
      </c>
      <c r="D341" s="146">
        <f t="shared" si="151"/>
        <v>0</v>
      </c>
      <c r="E341" s="146">
        <f t="shared" si="151"/>
        <v>0</v>
      </c>
      <c r="F341" s="248">
        <f t="shared" si="152"/>
        <v>1063837.7755299532</v>
      </c>
      <c r="G341" s="208">
        <f t="shared" si="147"/>
        <v>0</v>
      </c>
      <c r="H341" s="208">
        <f t="shared" si="148"/>
        <v>0</v>
      </c>
      <c r="I341" s="165">
        <f t="shared" si="153"/>
        <v>1063837.7755299532</v>
      </c>
      <c r="J341" s="208">
        <f>IF('Inputs &amp; Results'!B245="Yes",I341*FedBonusDeprec,0)</f>
        <v>0</v>
      </c>
      <c r="K341" s="165">
        <f t="shared" si="154"/>
        <v>1063837.7755299532</v>
      </c>
    </row>
    <row r="342" spans="1:11">
      <c r="A342" s="297" t="str">
        <f t="shared" si="149"/>
        <v>20-yr SL</v>
      </c>
      <c r="B342" s="231">
        <f t="shared" si="150"/>
        <v>2.5773195876288662E-2</v>
      </c>
      <c r="C342" s="208">
        <f>'Inputs &amp; Results'!E225</f>
        <v>1063837.7755299532</v>
      </c>
      <c r="D342" s="146">
        <f t="shared" si="151"/>
        <v>0</v>
      </c>
      <c r="E342" s="146">
        <f t="shared" si="151"/>
        <v>0</v>
      </c>
      <c r="F342" s="248">
        <f t="shared" si="152"/>
        <v>1063837.7755299532</v>
      </c>
      <c r="G342" s="208">
        <f t="shared" si="147"/>
        <v>0</v>
      </c>
      <c r="H342" s="208">
        <f t="shared" si="148"/>
        <v>0</v>
      </c>
      <c r="I342" s="165">
        <f t="shared" si="153"/>
        <v>1063837.7755299532</v>
      </c>
      <c r="J342" s="208">
        <f>IF('Inputs &amp; Results'!B246="Yes",I342*FedBonusDeprec,0)</f>
        <v>0</v>
      </c>
      <c r="K342" s="165">
        <f t="shared" si="154"/>
        <v>1063837.7755299532</v>
      </c>
    </row>
    <row r="343" spans="1:11">
      <c r="A343" s="297" t="str">
        <f t="shared" si="149"/>
        <v>39-yr SL</v>
      </c>
      <c r="B343" s="231">
        <f t="shared" si="150"/>
        <v>5.1546391752577319E-3</v>
      </c>
      <c r="C343" s="208">
        <f>'Inputs &amp; Results'!E226</f>
        <v>212767.55510599061</v>
      </c>
      <c r="D343" s="146">
        <f t="shared" si="151"/>
        <v>0</v>
      </c>
      <c r="E343" s="146">
        <f t="shared" si="151"/>
        <v>0</v>
      </c>
      <c r="F343" s="248">
        <f t="shared" si="152"/>
        <v>212767.55510599061</v>
      </c>
      <c r="G343" s="208">
        <f t="shared" si="147"/>
        <v>0</v>
      </c>
      <c r="H343" s="208">
        <f t="shared" si="148"/>
        <v>0</v>
      </c>
      <c r="I343" s="165">
        <f t="shared" si="153"/>
        <v>212767.55510599061</v>
      </c>
      <c r="J343" s="208">
        <f>IF('Inputs &amp; Results'!B247="Yes",I343*FedBonusDeprec,0)</f>
        <v>0</v>
      </c>
      <c r="K343" s="165">
        <f t="shared" si="154"/>
        <v>212767.55510599061</v>
      </c>
    </row>
    <row r="344" spans="1:11">
      <c r="A344" s="301" t="s">
        <v>391</v>
      </c>
      <c r="B344" s="233"/>
      <c r="C344" s="234"/>
      <c r="D344" s="234"/>
      <c r="E344" s="234"/>
      <c r="F344" s="234"/>
      <c r="G344" s="235"/>
      <c r="H344" s="235"/>
      <c r="I344" s="103"/>
      <c r="J344" s="235"/>
      <c r="K344" s="103"/>
    </row>
    <row r="345" spans="1:11">
      <c r="A345" s="119"/>
      <c r="B345" s="236">
        <f>SUM(B338:B344)</f>
        <v>1</v>
      </c>
      <c r="C345" s="209">
        <f>SUM(C338:C344)</f>
        <v>41276905.690562181</v>
      </c>
      <c r="D345" s="225">
        <f>B354+B360</f>
        <v>0</v>
      </c>
      <c r="E345" s="225">
        <f>B366</f>
        <v>0</v>
      </c>
      <c r="F345" s="249">
        <f t="shared" ref="F345:K345" si="155">SUM(F338:F344)</f>
        <v>41276905.690562181</v>
      </c>
      <c r="G345" s="209">
        <f t="shared" si="155"/>
        <v>0</v>
      </c>
      <c r="H345" s="209">
        <f t="shared" si="155"/>
        <v>5000</v>
      </c>
      <c r="I345" s="237">
        <f t="shared" si="155"/>
        <v>41271905.690562181</v>
      </c>
      <c r="J345" s="237">
        <f t="shared" si="155"/>
        <v>3829315.9919078313</v>
      </c>
      <c r="K345" s="237">
        <f t="shared" si="155"/>
        <v>37442589.698654354</v>
      </c>
    </row>
    <row r="346" spans="1:11">
      <c r="A346" s="119"/>
    </row>
    <row r="347" spans="1:11">
      <c r="A347" s="119" t="s">
        <v>171</v>
      </c>
    </row>
    <row r="348" spans="1:11">
      <c r="A348" s="297" t="str">
        <f>A214</f>
        <v>Investment Based Incentive (IBI)</v>
      </c>
    </row>
    <row r="349" spans="1:11">
      <c r="A349" s="298" t="str">
        <f t="shared" ref="A349:A367" si="156">A215</f>
        <v>Fixed Amount ($)</v>
      </c>
    </row>
    <row r="350" spans="1:11">
      <c r="A350" s="299" t="str">
        <f t="shared" si="156"/>
        <v>Federal</v>
      </c>
      <c r="B350" s="164">
        <f>IF(IBIFedFixedFedDeprec="Yes",IBIFedFixed,0)</f>
        <v>0</v>
      </c>
    </row>
    <row r="351" spans="1:11">
      <c r="A351" s="299" t="str">
        <f t="shared" si="156"/>
        <v>State</v>
      </c>
      <c r="B351" s="164">
        <f>IF(IBIStateFixedFedDeprec="Yes",IBIStateFixed,0)</f>
        <v>0</v>
      </c>
    </row>
    <row r="352" spans="1:11">
      <c r="A352" s="299" t="str">
        <f t="shared" si="156"/>
        <v>Utility</v>
      </c>
      <c r="B352" s="164">
        <f>IF(IBIUtilityFixedFedDeprec="Yes",IBIUtilityFixed,0)</f>
        <v>0</v>
      </c>
    </row>
    <row r="353" spans="1:2">
      <c r="A353" s="299" t="str">
        <f t="shared" si="156"/>
        <v>Other</v>
      </c>
      <c r="B353" s="209">
        <f>IF(IBIOtherFixedFedDeprec="Yes",IBIOtherFixed,0)</f>
        <v>0</v>
      </c>
    </row>
    <row r="354" spans="1:2">
      <c r="A354" s="299" t="str">
        <f t="shared" si="156"/>
        <v>Total</v>
      </c>
      <c r="B354" s="164">
        <f>SUM(B350:B353)</f>
        <v>0</v>
      </c>
    </row>
    <row r="355" spans="1:2">
      <c r="A355" s="298" t="str">
        <f t="shared" si="156"/>
        <v>Percentage of Pre-Financing Costs</v>
      </c>
    </row>
    <row r="356" spans="1:2">
      <c r="A356" s="299" t="str">
        <f t="shared" si="156"/>
        <v>Federal</v>
      </c>
      <c r="B356" s="164">
        <f>IF(IBIFedPercentFedDeprec="Yes",IBIFedPercent,0)</f>
        <v>0</v>
      </c>
    </row>
    <row r="357" spans="1:2">
      <c r="A357" s="299" t="str">
        <f t="shared" si="156"/>
        <v>State</v>
      </c>
      <c r="B357" s="164">
        <f>IF(IBIStatePercentFedDeprec="Yes",IBIStatePercent,0)</f>
        <v>0</v>
      </c>
    </row>
    <row r="358" spans="1:2">
      <c r="A358" s="299" t="str">
        <f t="shared" si="156"/>
        <v>Utility</v>
      </c>
      <c r="B358" s="164">
        <f>IF(IBIUtilityPercentFedDeprec="Yes",IBIUtilityPercent,0)</f>
        <v>0</v>
      </c>
    </row>
    <row r="359" spans="1:2">
      <c r="A359" s="299" t="str">
        <f t="shared" si="156"/>
        <v>Other</v>
      </c>
      <c r="B359" s="209">
        <f>IF(IBIOtherPercentFedDeprec="Yes",IBIOtherPercent,0)</f>
        <v>0</v>
      </c>
    </row>
    <row r="360" spans="1:2">
      <c r="A360" s="299" t="str">
        <f t="shared" si="156"/>
        <v>Total</v>
      </c>
      <c r="B360" s="164">
        <f>SUM(B356:B359)</f>
        <v>0</v>
      </c>
    </row>
    <row r="361" spans="1:2">
      <c r="A361" s="297" t="str">
        <f t="shared" si="156"/>
        <v>Capacity Based Incentive (CBI)</v>
      </c>
    </row>
    <row r="362" spans="1:2">
      <c r="A362" s="298" t="str">
        <f t="shared" si="156"/>
        <v>Federal</v>
      </c>
      <c r="B362" s="164">
        <f>IF(CBIFedFedDeprec="Yes",CBIFed,0)</f>
        <v>0</v>
      </c>
    </row>
    <row r="363" spans="1:2">
      <c r="A363" s="298" t="str">
        <f t="shared" si="156"/>
        <v>State</v>
      </c>
      <c r="B363" s="164">
        <f>IF(CBIStateFedDeprec="Yes",CBIState,0)</f>
        <v>0</v>
      </c>
    </row>
    <row r="364" spans="1:2">
      <c r="A364" s="298" t="str">
        <f t="shared" si="156"/>
        <v>Utility</v>
      </c>
      <c r="B364" s="164">
        <f>IF(CBIUtilityFedDeprec="Yes",CBIUtility,0)</f>
        <v>0</v>
      </c>
    </row>
    <row r="365" spans="1:2">
      <c r="A365" s="298" t="str">
        <f t="shared" si="156"/>
        <v>Other</v>
      </c>
      <c r="B365" s="209">
        <f>IF(CBIOtherFedDeprec="Yes",CBIOther,0)</f>
        <v>0</v>
      </c>
    </row>
    <row r="366" spans="1:2">
      <c r="A366" s="298" t="str">
        <f t="shared" si="156"/>
        <v>Total</v>
      </c>
      <c r="B366" s="216">
        <f>SUM(B362:B365)</f>
        <v>0</v>
      </c>
    </row>
    <row r="367" spans="1:2">
      <c r="A367" s="297" t="str">
        <f t="shared" si="156"/>
        <v>Total Basis Reduction</v>
      </c>
      <c r="B367" s="164">
        <f>B354+B360+B366</f>
        <v>0</v>
      </c>
    </row>
    <row r="368" spans="1:2">
      <c r="A368" s="119"/>
    </row>
    <row r="369" spans="1:42">
      <c r="A369" s="119" t="s">
        <v>264</v>
      </c>
    </row>
    <row r="370" spans="1:42">
      <c r="A370" s="297" t="s">
        <v>160</v>
      </c>
    </row>
    <row r="371" spans="1:42">
      <c r="A371" s="227" t="str">
        <f>A338</f>
        <v>5-yr MACRS</v>
      </c>
      <c r="B371" s="239">
        <f>SUM(C371:AP371)</f>
        <v>0.99999999999999989</v>
      </c>
      <c r="C371" s="240">
        <f>LOOKUP(C$2,'Depreciation Schedules'!$A$3:$A$42,'Depreciation Schedules'!$B$3:$B$42)</f>
        <v>0.2</v>
      </c>
      <c r="D371" s="240">
        <f>LOOKUP(D$2,'Depreciation Schedules'!$A$3:$A$42,'Depreciation Schedules'!$B$3:$B$42)</f>
        <v>0.32</v>
      </c>
      <c r="E371" s="240">
        <f>LOOKUP(E$2,'Depreciation Schedules'!$A$3:$A$42,'Depreciation Schedules'!$B$3:$B$42)</f>
        <v>0.192</v>
      </c>
      <c r="F371" s="240">
        <f>LOOKUP(F$2,'Depreciation Schedules'!$A$3:$A$42,'Depreciation Schedules'!$B$3:$B$42)</f>
        <v>0.1152</v>
      </c>
      <c r="G371" s="240">
        <f>LOOKUP(G$2,'Depreciation Schedules'!$A$3:$A$42,'Depreciation Schedules'!$B$3:$B$42)</f>
        <v>0.1152</v>
      </c>
      <c r="H371" s="240">
        <f>LOOKUP(H$2,'Depreciation Schedules'!$A$3:$A$42,'Depreciation Schedules'!$B$3:$B$42)</f>
        <v>5.7599999999999998E-2</v>
      </c>
      <c r="I371" s="240">
        <f>LOOKUP(I$2,'Depreciation Schedules'!$A$3:$A$42,'Depreciation Schedules'!$B$3:$B$42)</f>
        <v>0</v>
      </c>
      <c r="J371" s="240">
        <f>LOOKUP(J$2,'Depreciation Schedules'!$A$3:$A$42,'Depreciation Schedules'!$B$3:$B$42)</f>
        <v>0</v>
      </c>
      <c r="K371" s="240">
        <f>LOOKUP(K$2,'Depreciation Schedules'!$A$3:$A$42,'Depreciation Schedules'!$B$3:$B$42)</f>
        <v>0</v>
      </c>
      <c r="L371" s="240">
        <f>LOOKUP(L$2,'Depreciation Schedules'!$A$3:$A$42,'Depreciation Schedules'!$B$3:$B$42)</f>
        <v>0</v>
      </c>
      <c r="M371" s="240">
        <f>LOOKUP(M$2,'Depreciation Schedules'!$A$3:$A$42,'Depreciation Schedules'!$B$3:$B$42)</f>
        <v>0</v>
      </c>
      <c r="N371" s="240">
        <f>LOOKUP(N$2,'Depreciation Schedules'!$A$3:$A$42,'Depreciation Schedules'!$B$3:$B$42)</f>
        <v>0</v>
      </c>
      <c r="O371" s="240">
        <f>LOOKUP(O$2,'Depreciation Schedules'!$A$3:$A$42,'Depreciation Schedules'!$B$3:$B$42)</f>
        <v>0</v>
      </c>
      <c r="P371" s="240">
        <f>LOOKUP(P$2,'Depreciation Schedules'!$A$3:$A$42,'Depreciation Schedules'!$B$3:$B$42)</f>
        <v>0</v>
      </c>
      <c r="Q371" s="240">
        <f>LOOKUP(Q$2,'Depreciation Schedules'!$A$3:$A$42,'Depreciation Schedules'!$B$3:$B$42)</f>
        <v>0</v>
      </c>
      <c r="R371" s="240">
        <f>LOOKUP(R$2,'Depreciation Schedules'!$A$3:$A$42,'Depreciation Schedules'!$B$3:$B$42)</f>
        <v>0</v>
      </c>
      <c r="S371" s="240">
        <f>LOOKUP(S$2,'Depreciation Schedules'!$A$3:$A$42,'Depreciation Schedules'!$B$3:$B$42)</f>
        <v>0</v>
      </c>
      <c r="T371" s="240">
        <f>LOOKUP(T$2,'Depreciation Schedules'!$A$3:$A$42,'Depreciation Schedules'!$B$3:$B$42)</f>
        <v>0</v>
      </c>
      <c r="U371" s="240">
        <f>LOOKUP(U$2,'Depreciation Schedules'!$A$3:$A$42,'Depreciation Schedules'!$B$3:$B$42)</f>
        <v>0</v>
      </c>
      <c r="V371" s="240">
        <f>LOOKUP(V$2,'Depreciation Schedules'!$A$3:$A$42,'Depreciation Schedules'!$B$3:$B$42)</f>
        <v>0</v>
      </c>
      <c r="W371" s="240">
        <f>LOOKUP(W$2,'Depreciation Schedules'!$A$3:$A$42,'Depreciation Schedules'!$B$3:$B$42)</f>
        <v>0</v>
      </c>
      <c r="X371" s="240">
        <f>LOOKUP(X$2,'Depreciation Schedules'!$A$3:$A$42,'Depreciation Schedules'!$B$3:$B$42)</f>
        <v>0</v>
      </c>
      <c r="Y371" s="240">
        <f>LOOKUP(Y$2,'Depreciation Schedules'!$A$3:$A$42,'Depreciation Schedules'!$B$3:$B$42)</f>
        <v>0</v>
      </c>
      <c r="Z371" s="240">
        <f>LOOKUP(Z$2,'Depreciation Schedules'!$A$3:$A$42,'Depreciation Schedules'!$B$3:$B$42)</f>
        <v>0</v>
      </c>
      <c r="AA371" s="240">
        <f>LOOKUP(AA$2,'Depreciation Schedules'!$A$3:$A$42,'Depreciation Schedules'!$B$3:$B$42)</f>
        <v>0</v>
      </c>
      <c r="AB371" s="240">
        <f>LOOKUP(AB$2,'Depreciation Schedules'!$A$3:$A$42,'Depreciation Schedules'!$B$3:$B$42)</f>
        <v>0</v>
      </c>
      <c r="AC371" s="240">
        <f>LOOKUP(AC$2,'Depreciation Schedules'!$A$3:$A$42,'Depreciation Schedules'!$B$3:$B$42)</f>
        <v>0</v>
      </c>
      <c r="AD371" s="240">
        <f>LOOKUP(AD$2,'Depreciation Schedules'!$A$3:$A$42,'Depreciation Schedules'!$B$3:$B$42)</f>
        <v>0</v>
      </c>
      <c r="AE371" s="240">
        <f>LOOKUP(AE$2,'Depreciation Schedules'!$A$3:$A$42,'Depreciation Schedules'!$B$3:$B$42)</f>
        <v>0</v>
      </c>
      <c r="AF371" s="240">
        <f>LOOKUP(AF$2,'Depreciation Schedules'!$A$3:$A$42,'Depreciation Schedules'!$B$3:$B$42)</f>
        <v>0</v>
      </c>
      <c r="AG371" s="240">
        <f>LOOKUP(AG$2,'Depreciation Schedules'!$A$3:$A$42,'Depreciation Schedules'!$B$3:$B$42)</f>
        <v>0</v>
      </c>
      <c r="AH371" s="240">
        <f>LOOKUP(AH$2,'Depreciation Schedules'!$A$3:$A$42,'Depreciation Schedules'!$B$3:$B$42)</f>
        <v>0</v>
      </c>
      <c r="AI371" s="240">
        <f>LOOKUP(AI$2,'Depreciation Schedules'!$A$3:$A$42,'Depreciation Schedules'!$B$3:$B$42)</f>
        <v>0</v>
      </c>
      <c r="AJ371" s="240">
        <f>LOOKUP(AJ$2,'Depreciation Schedules'!$A$3:$A$42,'Depreciation Schedules'!$B$3:$B$42)</f>
        <v>0</v>
      </c>
      <c r="AK371" s="240">
        <f>LOOKUP(AK$2,'Depreciation Schedules'!$A$3:$A$42,'Depreciation Schedules'!$B$3:$B$42)</f>
        <v>0</v>
      </c>
      <c r="AL371" s="240">
        <f>LOOKUP(AL$2,'Depreciation Schedules'!$A$3:$A$42,'Depreciation Schedules'!$B$3:$B$42)</f>
        <v>0</v>
      </c>
      <c r="AM371" s="240">
        <f>LOOKUP(AM$2,'Depreciation Schedules'!$A$3:$A$42,'Depreciation Schedules'!$B$3:$B$42)</f>
        <v>0</v>
      </c>
      <c r="AN371" s="240">
        <f>LOOKUP(AN$2,'Depreciation Schedules'!$A$3:$A$42,'Depreciation Schedules'!$B$3:$B$42)</f>
        <v>0</v>
      </c>
      <c r="AO371" s="240">
        <f>LOOKUP(AO$2,'Depreciation Schedules'!$A$3:$A$42,'Depreciation Schedules'!$B$3:$B$42)</f>
        <v>0</v>
      </c>
      <c r="AP371" s="240">
        <f>LOOKUP(AP$2,'Depreciation Schedules'!$A$3:$A$42,'Depreciation Schedules'!$B$3:$B$42)</f>
        <v>0</v>
      </c>
    </row>
    <row r="372" spans="1:42">
      <c r="A372" s="227" t="str">
        <f t="shared" ref="A372:A376" si="157">A339</f>
        <v>15-yr MACRS</v>
      </c>
      <c r="B372" s="241">
        <f t="shared" ref="B372:B376" si="158">SUM(C372:AP372)</f>
        <v>1.0000000000000002</v>
      </c>
      <c r="C372" s="240">
        <f>LOOKUP(C$2,'Depreciation Schedules'!$A$3:$A$42,'Depreciation Schedules'!$C$3:$C$42)</f>
        <v>0.05</v>
      </c>
      <c r="D372" s="240">
        <f>LOOKUP(D$2,'Depreciation Schedules'!$A$3:$A$42,'Depreciation Schedules'!$C$3:$C$42)</f>
        <v>9.5000000000000001E-2</v>
      </c>
      <c r="E372" s="240">
        <f>LOOKUP(E$2,'Depreciation Schedules'!$A$3:$A$42,'Depreciation Schedules'!$C$3:$C$42)</f>
        <v>8.5500000000000007E-2</v>
      </c>
      <c r="F372" s="240">
        <f>LOOKUP(F$2,'Depreciation Schedules'!$A$3:$A$42,'Depreciation Schedules'!$C$3:$C$42)</f>
        <v>7.6999999999999999E-2</v>
      </c>
      <c r="G372" s="240">
        <f>LOOKUP(G$2,'Depreciation Schedules'!$A$3:$A$42,'Depreciation Schedules'!$C$3:$C$42)</f>
        <v>6.93E-2</v>
      </c>
      <c r="H372" s="240">
        <f>LOOKUP(H$2,'Depreciation Schedules'!$A$3:$A$42,'Depreciation Schedules'!$C$3:$C$42)</f>
        <v>6.2300000000000001E-2</v>
      </c>
      <c r="I372" s="240">
        <f>LOOKUP(I$2,'Depreciation Schedules'!$A$3:$A$42,'Depreciation Schedules'!$C$3:$C$42)</f>
        <v>5.8999999999999997E-2</v>
      </c>
      <c r="J372" s="240">
        <f>LOOKUP(J$2,'Depreciation Schedules'!$A$3:$A$42,'Depreciation Schedules'!$C$3:$C$42)</f>
        <v>5.8999999999999997E-2</v>
      </c>
      <c r="K372" s="240">
        <f>LOOKUP(K$2,'Depreciation Schedules'!$A$3:$A$42,'Depreciation Schedules'!$C$3:$C$42)</f>
        <v>5.91E-2</v>
      </c>
      <c r="L372" s="240">
        <f>LOOKUP(L$2,'Depreciation Schedules'!$A$3:$A$42,'Depreciation Schedules'!$C$3:$C$42)</f>
        <v>5.8999999999999997E-2</v>
      </c>
      <c r="M372" s="240">
        <f>LOOKUP(M$2,'Depreciation Schedules'!$A$3:$A$42,'Depreciation Schedules'!$C$3:$C$42)</f>
        <v>5.91E-2</v>
      </c>
      <c r="N372" s="240">
        <f>LOOKUP(N$2,'Depreciation Schedules'!$A$3:$A$42,'Depreciation Schedules'!$C$3:$C$42)</f>
        <v>5.8999999999999997E-2</v>
      </c>
      <c r="O372" s="240">
        <f>LOOKUP(O$2,'Depreciation Schedules'!$A$3:$A$42,'Depreciation Schedules'!$C$3:$C$42)</f>
        <v>5.91E-2</v>
      </c>
      <c r="P372" s="240">
        <f>LOOKUP(P$2,'Depreciation Schedules'!$A$3:$A$42,'Depreciation Schedules'!$C$3:$C$42)</f>
        <v>5.8999999999999997E-2</v>
      </c>
      <c r="Q372" s="240">
        <f>LOOKUP(Q$2,'Depreciation Schedules'!$A$3:$A$42,'Depreciation Schedules'!$C$3:$C$42)</f>
        <v>5.91E-2</v>
      </c>
      <c r="R372" s="240">
        <f>LOOKUP(R$2,'Depreciation Schedules'!$A$3:$A$42,'Depreciation Schedules'!$C$3:$C$42)</f>
        <v>2.9499999999999998E-2</v>
      </c>
      <c r="S372" s="240">
        <f>LOOKUP(S$2,'Depreciation Schedules'!$A$3:$A$42,'Depreciation Schedules'!$C$3:$C$42)</f>
        <v>0</v>
      </c>
      <c r="T372" s="240">
        <f>LOOKUP(T$2,'Depreciation Schedules'!$A$3:$A$42,'Depreciation Schedules'!$C$3:$C$42)</f>
        <v>0</v>
      </c>
      <c r="U372" s="240">
        <f>LOOKUP(U$2,'Depreciation Schedules'!$A$3:$A$42,'Depreciation Schedules'!$C$3:$C$42)</f>
        <v>0</v>
      </c>
      <c r="V372" s="240">
        <f>LOOKUP(V$2,'Depreciation Schedules'!$A$3:$A$42,'Depreciation Schedules'!$C$3:$C$42)</f>
        <v>0</v>
      </c>
      <c r="W372" s="240">
        <f>LOOKUP(W$2,'Depreciation Schedules'!$A$3:$A$42,'Depreciation Schedules'!$C$3:$C$42)</f>
        <v>0</v>
      </c>
      <c r="X372" s="240">
        <f>LOOKUP(X$2,'Depreciation Schedules'!$A$3:$A$42,'Depreciation Schedules'!$C$3:$C$42)</f>
        <v>0</v>
      </c>
      <c r="Y372" s="240">
        <f>LOOKUP(Y$2,'Depreciation Schedules'!$A$3:$A$42,'Depreciation Schedules'!$C$3:$C$42)</f>
        <v>0</v>
      </c>
      <c r="Z372" s="240">
        <f>LOOKUP(Z$2,'Depreciation Schedules'!$A$3:$A$42,'Depreciation Schedules'!$C$3:$C$42)</f>
        <v>0</v>
      </c>
      <c r="AA372" s="240">
        <f>LOOKUP(AA$2,'Depreciation Schedules'!$A$3:$A$42,'Depreciation Schedules'!$C$3:$C$42)</f>
        <v>0</v>
      </c>
      <c r="AB372" s="240">
        <f>LOOKUP(AB$2,'Depreciation Schedules'!$A$3:$A$42,'Depreciation Schedules'!$C$3:$C$42)</f>
        <v>0</v>
      </c>
      <c r="AC372" s="240">
        <f>LOOKUP(AC$2,'Depreciation Schedules'!$A$3:$A$42,'Depreciation Schedules'!$C$3:$C$42)</f>
        <v>0</v>
      </c>
      <c r="AD372" s="240">
        <f>LOOKUP(AD$2,'Depreciation Schedules'!$A$3:$A$42,'Depreciation Schedules'!$C$3:$C$42)</f>
        <v>0</v>
      </c>
      <c r="AE372" s="240">
        <f>LOOKUP(AE$2,'Depreciation Schedules'!$A$3:$A$42,'Depreciation Schedules'!$C$3:$C$42)</f>
        <v>0</v>
      </c>
      <c r="AF372" s="240">
        <f>LOOKUP(AF$2,'Depreciation Schedules'!$A$3:$A$42,'Depreciation Schedules'!$C$3:$C$42)</f>
        <v>0</v>
      </c>
      <c r="AG372" s="240">
        <f>LOOKUP(AG$2,'Depreciation Schedules'!$A$3:$A$42,'Depreciation Schedules'!$C$3:$C$42)</f>
        <v>0</v>
      </c>
      <c r="AH372" s="240">
        <f>LOOKUP(AH$2,'Depreciation Schedules'!$A$3:$A$42,'Depreciation Schedules'!$C$3:$C$42)</f>
        <v>0</v>
      </c>
      <c r="AI372" s="240">
        <f>LOOKUP(AI$2,'Depreciation Schedules'!$A$3:$A$42,'Depreciation Schedules'!$C$3:$C$42)</f>
        <v>0</v>
      </c>
      <c r="AJ372" s="240">
        <f>LOOKUP(AJ$2,'Depreciation Schedules'!$A$3:$A$42,'Depreciation Schedules'!$C$3:$C$42)</f>
        <v>0</v>
      </c>
      <c r="AK372" s="240">
        <f>LOOKUP(AK$2,'Depreciation Schedules'!$A$3:$A$42,'Depreciation Schedules'!$C$3:$C$42)</f>
        <v>0</v>
      </c>
      <c r="AL372" s="240">
        <f>LOOKUP(AL$2,'Depreciation Schedules'!$A$3:$A$42,'Depreciation Schedules'!$C$3:$C$42)</f>
        <v>0</v>
      </c>
      <c r="AM372" s="240">
        <f>LOOKUP(AM$2,'Depreciation Schedules'!$A$3:$A$42,'Depreciation Schedules'!$C$3:$C$42)</f>
        <v>0</v>
      </c>
      <c r="AN372" s="240">
        <f>LOOKUP(AN$2,'Depreciation Schedules'!$A$3:$A$42,'Depreciation Schedules'!$C$3:$C$42)</f>
        <v>0</v>
      </c>
      <c r="AO372" s="240">
        <f>LOOKUP(AO$2,'Depreciation Schedules'!$A$3:$A$42,'Depreciation Schedules'!$C$3:$C$42)</f>
        <v>0</v>
      </c>
      <c r="AP372" s="240">
        <f>LOOKUP(AP$2,'Depreciation Schedules'!$A$3:$A$42,'Depreciation Schedules'!$C$3:$C$42)</f>
        <v>0</v>
      </c>
    </row>
    <row r="373" spans="1:42">
      <c r="A373" s="227" t="str">
        <f t="shared" si="157"/>
        <v>5-yr SL</v>
      </c>
      <c r="B373" s="241">
        <f t="shared" si="158"/>
        <v>0.99999999999999989</v>
      </c>
      <c r="C373" s="240">
        <f>LOOKUP(C$2,'Depreciation Schedules'!$A$3:$A$42,'Depreciation Schedules'!$D$3:$D$42)</f>
        <v>0.1</v>
      </c>
      <c r="D373" s="240">
        <f>LOOKUP(D$2,'Depreciation Schedules'!$A$3:$A$42,'Depreciation Schedules'!$D$3:$D$42)</f>
        <v>0.2</v>
      </c>
      <c r="E373" s="240">
        <f>LOOKUP(E$2,'Depreciation Schedules'!$A$3:$A$42,'Depreciation Schedules'!$D$3:$D$42)</f>
        <v>0.2</v>
      </c>
      <c r="F373" s="240">
        <f>LOOKUP(F$2,'Depreciation Schedules'!$A$3:$A$42,'Depreciation Schedules'!$D$3:$D$42)</f>
        <v>0.2</v>
      </c>
      <c r="G373" s="240">
        <f>LOOKUP(G$2,'Depreciation Schedules'!$A$3:$A$42,'Depreciation Schedules'!$D$3:$D$42)</f>
        <v>0.2</v>
      </c>
      <c r="H373" s="240">
        <f>LOOKUP(H$2,'Depreciation Schedules'!$A$3:$A$42,'Depreciation Schedules'!$D$3:$D$42)</f>
        <v>0.1</v>
      </c>
      <c r="I373" s="240">
        <f>LOOKUP(I$2,'Depreciation Schedules'!$A$3:$A$42,'Depreciation Schedules'!$D$3:$D$42)</f>
        <v>0</v>
      </c>
      <c r="J373" s="240">
        <f>LOOKUP(J$2,'Depreciation Schedules'!$A$3:$A$42,'Depreciation Schedules'!$D$3:$D$42)</f>
        <v>0</v>
      </c>
      <c r="K373" s="240">
        <f>LOOKUP(K$2,'Depreciation Schedules'!$A$3:$A$42,'Depreciation Schedules'!$D$3:$D$42)</f>
        <v>0</v>
      </c>
      <c r="L373" s="240">
        <f>LOOKUP(L$2,'Depreciation Schedules'!$A$3:$A$42,'Depreciation Schedules'!$D$3:$D$42)</f>
        <v>0</v>
      </c>
      <c r="M373" s="240">
        <f>LOOKUP(M$2,'Depreciation Schedules'!$A$3:$A$42,'Depreciation Schedules'!$D$3:$D$42)</f>
        <v>0</v>
      </c>
      <c r="N373" s="240">
        <f>LOOKUP(N$2,'Depreciation Schedules'!$A$3:$A$42,'Depreciation Schedules'!$D$3:$D$42)</f>
        <v>0</v>
      </c>
      <c r="O373" s="240">
        <f>LOOKUP(O$2,'Depreciation Schedules'!$A$3:$A$42,'Depreciation Schedules'!$D$3:$D$42)</f>
        <v>0</v>
      </c>
      <c r="P373" s="240">
        <f>LOOKUP(P$2,'Depreciation Schedules'!$A$3:$A$42,'Depreciation Schedules'!$D$3:$D$42)</f>
        <v>0</v>
      </c>
      <c r="Q373" s="240">
        <f>LOOKUP(Q$2,'Depreciation Schedules'!$A$3:$A$42,'Depreciation Schedules'!$D$3:$D$42)</f>
        <v>0</v>
      </c>
      <c r="R373" s="240">
        <f>LOOKUP(R$2,'Depreciation Schedules'!$A$3:$A$42,'Depreciation Schedules'!$D$3:$D$42)</f>
        <v>0</v>
      </c>
      <c r="S373" s="240">
        <f>LOOKUP(S$2,'Depreciation Schedules'!$A$3:$A$42,'Depreciation Schedules'!$D$3:$D$42)</f>
        <v>0</v>
      </c>
      <c r="T373" s="240">
        <f>LOOKUP(T$2,'Depreciation Schedules'!$A$3:$A$42,'Depreciation Schedules'!$D$3:$D$42)</f>
        <v>0</v>
      </c>
      <c r="U373" s="240">
        <f>LOOKUP(U$2,'Depreciation Schedules'!$A$3:$A$42,'Depreciation Schedules'!$D$3:$D$42)</f>
        <v>0</v>
      </c>
      <c r="V373" s="240">
        <f>LOOKUP(V$2,'Depreciation Schedules'!$A$3:$A$42,'Depreciation Schedules'!$D$3:$D$42)</f>
        <v>0</v>
      </c>
      <c r="W373" s="240">
        <f>LOOKUP(W$2,'Depreciation Schedules'!$A$3:$A$42,'Depreciation Schedules'!$D$3:$D$42)</f>
        <v>0</v>
      </c>
      <c r="X373" s="240">
        <f>LOOKUP(X$2,'Depreciation Schedules'!$A$3:$A$42,'Depreciation Schedules'!$D$3:$D$42)</f>
        <v>0</v>
      </c>
      <c r="Y373" s="240">
        <f>LOOKUP(Y$2,'Depreciation Schedules'!$A$3:$A$42,'Depreciation Schedules'!$D$3:$D$42)</f>
        <v>0</v>
      </c>
      <c r="Z373" s="240">
        <f>LOOKUP(Z$2,'Depreciation Schedules'!$A$3:$A$42,'Depreciation Schedules'!$D$3:$D$42)</f>
        <v>0</v>
      </c>
      <c r="AA373" s="240">
        <f>LOOKUP(AA$2,'Depreciation Schedules'!$A$3:$A$42,'Depreciation Schedules'!$D$3:$D$42)</f>
        <v>0</v>
      </c>
      <c r="AB373" s="240">
        <f>LOOKUP(AB$2,'Depreciation Schedules'!$A$3:$A$42,'Depreciation Schedules'!$D$3:$D$42)</f>
        <v>0</v>
      </c>
      <c r="AC373" s="240">
        <f>LOOKUP(AC$2,'Depreciation Schedules'!$A$3:$A$42,'Depreciation Schedules'!$D$3:$D$42)</f>
        <v>0</v>
      </c>
      <c r="AD373" s="240">
        <f>LOOKUP(AD$2,'Depreciation Schedules'!$A$3:$A$42,'Depreciation Schedules'!$D$3:$D$42)</f>
        <v>0</v>
      </c>
      <c r="AE373" s="240">
        <f>LOOKUP(AE$2,'Depreciation Schedules'!$A$3:$A$42,'Depreciation Schedules'!$D$3:$D$42)</f>
        <v>0</v>
      </c>
      <c r="AF373" s="240">
        <f>LOOKUP(AF$2,'Depreciation Schedules'!$A$3:$A$42,'Depreciation Schedules'!$D$3:$D$42)</f>
        <v>0</v>
      </c>
      <c r="AG373" s="240">
        <f>LOOKUP(AG$2,'Depreciation Schedules'!$A$3:$A$42,'Depreciation Schedules'!$D$3:$D$42)</f>
        <v>0</v>
      </c>
      <c r="AH373" s="240">
        <f>LOOKUP(AH$2,'Depreciation Schedules'!$A$3:$A$42,'Depreciation Schedules'!$D$3:$D$42)</f>
        <v>0</v>
      </c>
      <c r="AI373" s="240">
        <f>LOOKUP(AI$2,'Depreciation Schedules'!$A$3:$A$42,'Depreciation Schedules'!$D$3:$D$42)</f>
        <v>0</v>
      </c>
      <c r="AJ373" s="240">
        <f>LOOKUP(AJ$2,'Depreciation Schedules'!$A$3:$A$42,'Depreciation Schedules'!$D$3:$D$42)</f>
        <v>0</v>
      </c>
      <c r="AK373" s="240">
        <f>LOOKUP(AK$2,'Depreciation Schedules'!$A$3:$A$42,'Depreciation Schedules'!$D$3:$D$42)</f>
        <v>0</v>
      </c>
      <c r="AL373" s="240">
        <f>LOOKUP(AL$2,'Depreciation Schedules'!$A$3:$A$42,'Depreciation Schedules'!$D$3:$D$42)</f>
        <v>0</v>
      </c>
      <c r="AM373" s="240">
        <f>LOOKUP(AM$2,'Depreciation Schedules'!$A$3:$A$42,'Depreciation Schedules'!$D$3:$D$42)</f>
        <v>0</v>
      </c>
      <c r="AN373" s="240">
        <f>LOOKUP(AN$2,'Depreciation Schedules'!$A$3:$A$42,'Depreciation Schedules'!$D$3:$D$42)</f>
        <v>0</v>
      </c>
      <c r="AO373" s="240">
        <f>LOOKUP(AO$2,'Depreciation Schedules'!$A$3:$A$42,'Depreciation Schedules'!$D$3:$D$42)</f>
        <v>0</v>
      </c>
      <c r="AP373" s="240">
        <f>LOOKUP(AP$2,'Depreciation Schedules'!$A$3:$A$42,'Depreciation Schedules'!$D$3:$D$42)</f>
        <v>0</v>
      </c>
    </row>
    <row r="374" spans="1:42">
      <c r="A374" s="227" t="str">
        <f t="shared" si="157"/>
        <v>15-yr SL</v>
      </c>
      <c r="B374" s="241">
        <f t="shared" si="158"/>
        <v>0.99999999999999989</v>
      </c>
      <c r="C374" s="240">
        <f>LOOKUP(C$2,'Depreciation Schedules'!$A$3:$A$42,'Depreciation Schedules'!$E$3:$E$42)</f>
        <v>3.3300000000000003E-2</v>
      </c>
      <c r="D374" s="240">
        <f>LOOKUP(D$2,'Depreciation Schedules'!$A$3:$A$42,'Depreciation Schedules'!$E$3:$E$42)</f>
        <v>6.6699999999999995E-2</v>
      </c>
      <c r="E374" s="240">
        <f>LOOKUP(E$2,'Depreciation Schedules'!$A$3:$A$42,'Depreciation Schedules'!$E$3:$E$42)</f>
        <v>6.6699999999999995E-2</v>
      </c>
      <c r="F374" s="240">
        <f>LOOKUP(F$2,'Depreciation Schedules'!$A$3:$A$42,'Depreciation Schedules'!$E$3:$E$42)</f>
        <v>6.6699999999999995E-2</v>
      </c>
      <c r="G374" s="240">
        <f>LOOKUP(G$2,'Depreciation Schedules'!$A$3:$A$42,'Depreciation Schedules'!$E$3:$E$42)</f>
        <v>6.6699999999999995E-2</v>
      </c>
      <c r="H374" s="240">
        <f>LOOKUP(H$2,'Depreciation Schedules'!$A$3:$A$42,'Depreciation Schedules'!$E$3:$E$42)</f>
        <v>6.6699999999999995E-2</v>
      </c>
      <c r="I374" s="240">
        <f>LOOKUP(I$2,'Depreciation Schedules'!$A$3:$A$42,'Depreciation Schedules'!$E$3:$E$42)</f>
        <v>6.6699999999999995E-2</v>
      </c>
      <c r="J374" s="240">
        <f>LOOKUP(J$2,'Depreciation Schedules'!$A$3:$A$42,'Depreciation Schedules'!$E$3:$E$42)</f>
        <v>6.6600000000000006E-2</v>
      </c>
      <c r="K374" s="240">
        <f>LOOKUP(K$2,'Depreciation Schedules'!$A$3:$A$42,'Depreciation Schedules'!$E$3:$E$42)</f>
        <v>6.6699999999999995E-2</v>
      </c>
      <c r="L374" s="240">
        <f>LOOKUP(L$2,'Depreciation Schedules'!$A$3:$A$42,'Depreciation Schedules'!$E$3:$E$42)</f>
        <v>6.6600000000000006E-2</v>
      </c>
      <c r="M374" s="240">
        <f>LOOKUP(M$2,'Depreciation Schedules'!$A$3:$A$42,'Depreciation Schedules'!$E$3:$E$42)</f>
        <v>6.6699999999999995E-2</v>
      </c>
      <c r="N374" s="240">
        <f>LOOKUP(N$2,'Depreciation Schedules'!$A$3:$A$42,'Depreciation Schedules'!$E$3:$E$42)</f>
        <v>6.6600000000000006E-2</v>
      </c>
      <c r="O374" s="240">
        <f>LOOKUP(O$2,'Depreciation Schedules'!$A$3:$A$42,'Depreciation Schedules'!$E$3:$E$42)</f>
        <v>6.6699999999999995E-2</v>
      </c>
      <c r="P374" s="240">
        <f>LOOKUP(P$2,'Depreciation Schedules'!$A$3:$A$42,'Depreciation Schedules'!$E$3:$E$42)</f>
        <v>6.6600000000000006E-2</v>
      </c>
      <c r="Q374" s="240">
        <f>LOOKUP(Q$2,'Depreciation Schedules'!$A$3:$A$42,'Depreciation Schedules'!$E$3:$E$42)</f>
        <v>6.6699999999999995E-2</v>
      </c>
      <c r="R374" s="240">
        <f>LOOKUP(R$2,'Depreciation Schedules'!$A$3:$A$42,'Depreciation Schedules'!$E$3:$E$42)</f>
        <v>3.3300000000000003E-2</v>
      </c>
      <c r="S374" s="240">
        <f>LOOKUP(S$2,'Depreciation Schedules'!$A$3:$A$42,'Depreciation Schedules'!$E$3:$E$42)</f>
        <v>0</v>
      </c>
      <c r="T374" s="240">
        <f>LOOKUP(T$2,'Depreciation Schedules'!$A$3:$A$42,'Depreciation Schedules'!$E$3:$E$42)</f>
        <v>0</v>
      </c>
      <c r="U374" s="240">
        <f>LOOKUP(U$2,'Depreciation Schedules'!$A$3:$A$42,'Depreciation Schedules'!$E$3:$E$42)</f>
        <v>0</v>
      </c>
      <c r="V374" s="240">
        <f>LOOKUP(V$2,'Depreciation Schedules'!$A$3:$A$42,'Depreciation Schedules'!$E$3:$E$42)</f>
        <v>0</v>
      </c>
      <c r="W374" s="240">
        <f>LOOKUP(W$2,'Depreciation Schedules'!$A$3:$A$42,'Depreciation Schedules'!$E$3:$E$42)</f>
        <v>0</v>
      </c>
      <c r="X374" s="240">
        <f>LOOKUP(X$2,'Depreciation Schedules'!$A$3:$A$42,'Depreciation Schedules'!$E$3:$E$42)</f>
        <v>0</v>
      </c>
      <c r="Y374" s="240">
        <f>LOOKUP(Y$2,'Depreciation Schedules'!$A$3:$A$42,'Depreciation Schedules'!$E$3:$E$42)</f>
        <v>0</v>
      </c>
      <c r="Z374" s="240">
        <f>LOOKUP(Z$2,'Depreciation Schedules'!$A$3:$A$42,'Depreciation Schedules'!$E$3:$E$42)</f>
        <v>0</v>
      </c>
      <c r="AA374" s="240">
        <f>LOOKUP(AA$2,'Depreciation Schedules'!$A$3:$A$42,'Depreciation Schedules'!$E$3:$E$42)</f>
        <v>0</v>
      </c>
      <c r="AB374" s="240">
        <f>LOOKUP(AB$2,'Depreciation Schedules'!$A$3:$A$42,'Depreciation Schedules'!$E$3:$E$42)</f>
        <v>0</v>
      </c>
      <c r="AC374" s="240">
        <f>LOOKUP(AC$2,'Depreciation Schedules'!$A$3:$A$42,'Depreciation Schedules'!$E$3:$E$42)</f>
        <v>0</v>
      </c>
      <c r="AD374" s="240">
        <f>LOOKUP(AD$2,'Depreciation Schedules'!$A$3:$A$42,'Depreciation Schedules'!$E$3:$E$42)</f>
        <v>0</v>
      </c>
      <c r="AE374" s="240">
        <f>LOOKUP(AE$2,'Depreciation Schedules'!$A$3:$A$42,'Depreciation Schedules'!$E$3:$E$42)</f>
        <v>0</v>
      </c>
      <c r="AF374" s="240">
        <f>LOOKUP(AF$2,'Depreciation Schedules'!$A$3:$A$42,'Depreciation Schedules'!$E$3:$E$42)</f>
        <v>0</v>
      </c>
      <c r="AG374" s="240">
        <f>LOOKUP(AG$2,'Depreciation Schedules'!$A$3:$A$42,'Depreciation Schedules'!$E$3:$E$42)</f>
        <v>0</v>
      </c>
      <c r="AH374" s="240">
        <f>LOOKUP(AH$2,'Depreciation Schedules'!$A$3:$A$42,'Depreciation Schedules'!$E$3:$E$42)</f>
        <v>0</v>
      </c>
      <c r="AI374" s="240">
        <f>LOOKUP(AI$2,'Depreciation Schedules'!$A$3:$A$42,'Depreciation Schedules'!$E$3:$E$42)</f>
        <v>0</v>
      </c>
      <c r="AJ374" s="240">
        <f>LOOKUP(AJ$2,'Depreciation Schedules'!$A$3:$A$42,'Depreciation Schedules'!$E$3:$E$42)</f>
        <v>0</v>
      </c>
      <c r="AK374" s="240">
        <f>LOOKUP(AK$2,'Depreciation Schedules'!$A$3:$A$42,'Depreciation Schedules'!$E$3:$E$42)</f>
        <v>0</v>
      </c>
      <c r="AL374" s="240">
        <f>LOOKUP(AL$2,'Depreciation Schedules'!$A$3:$A$42,'Depreciation Schedules'!$E$3:$E$42)</f>
        <v>0</v>
      </c>
      <c r="AM374" s="240">
        <f>LOOKUP(AM$2,'Depreciation Schedules'!$A$3:$A$42,'Depreciation Schedules'!$E$3:$E$42)</f>
        <v>0</v>
      </c>
      <c r="AN374" s="240">
        <f>LOOKUP(AN$2,'Depreciation Schedules'!$A$3:$A$42,'Depreciation Schedules'!$E$3:$E$42)</f>
        <v>0</v>
      </c>
      <c r="AO374" s="240">
        <f>LOOKUP(AO$2,'Depreciation Schedules'!$A$3:$A$42,'Depreciation Schedules'!$E$3:$E$42)</f>
        <v>0</v>
      </c>
      <c r="AP374" s="240">
        <f>LOOKUP(AP$2,'Depreciation Schedules'!$A$3:$A$42,'Depreciation Schedules'!$E$3:$E$42)</f>
        <v>0</v>
      </c>
    </row>
    <row r="375" spans="1:42">
      <c r="A375" s="227" t="str">
        <f t="shared" si="157"/>
        <v>20-yr SL</v>
      </c>
      <c r="B375" s="241">
        <f t="shared" si="158"/>
        <v>1.0000000000000002</v>
      </c>
      <c r="C375" s="240">
        <f>LOOKUP(C$2,'Depreciation Schedules'!$A$3:$A$42,'Depreciation Schedules'!$F$3:$F$42)</f>
        <v>2.5000000000000001E-2</v>
      </c>
      <c r="D375" s="240">
        <f>LOOKUP(D$2,'Depreciation Schedules'!$A$3:$A$42,'Depreciation Schedules'!$F$3:$F$42)</f>
        <v>0.05</v>
      </c>
      <c r="E375" s="240">
        <f>LOOKUP(E$2,'Depreciation Schedules'!$A$3:$A$42,'Depreciation Schedules'!$F$3:$F$42)</f>
        <v>0.05</v>
      </c>
      <c r="F375" s="240">
        <f>LOOKUP(F$2,'Depreciation Schedules'!$A$3:$A$42,'Depreciation Schedules'!$F$3:$F$42)</f>
        <v>0.05</v>
      </c>
      <c r="G375" s="240">
        <f>LOOKUP(G$2,'Depreciation Schedules'!$A$3:$A$42,'Depreciation Schedules'!$F$3:$F$42)</f>
        <v>0.05</v>
      </c>
      <c r="H375" s="240">
        <f>LOOKUP(H$2,'Depreciation Schedules'!$A$3:$A$42,'Depreciation Schedules'!$F$3:$F$42)</f>
        <v>0.05</v>
      </c>
      <c r="I375" s="240">
        <f>LOOKUP(I$2,'Depreciation Schedules'!$A$3:$A$42,'Depreciation Schedules'!$F$3:$F$42)</f>
        <v>0.05</v>
      </c>
      <c r="J375" s="240">
        <f>LOOKUP(J$2,'Depreciation Schedules'!$A$3:$A$42,'Depreciation Schedules'!$F$3:$F$42)</f>
        <v>0.05</v>
      </c>
      <c r="K375" s="240">
        <f>LOOKUP(K$2,'Depreciation Schedules'!$A$3:$A$42,'Depreciation Schedules'!$F$3:$F$42)</f>
        <v>0.05</v>
      </c>
      <c r="L375" s="240">
        <f>LOOKUP(L$2,'Depreciation Schedules'!$A$3:$A$42,'Depreciation Schedules'!$F$3:$F$42)</f>
        <v>0.05</v>
      </c>
      <c r="M375" s="240">
        <f>LOOKUP(M$2,'Depreciation Schedules'!$A$3:$A$42,'Depreciation Schedules'!$F$3:$F$42)</f>
        <v>0.05</v>
      </c>
      <c r="N375" s="240">
        <f>LOOKUP(N$2,'Depreciation Schedules'!$A$3:$A$42,'Depreciation Schedules'!$F$3:$F$42)</f>
        <v>0.05</v>
      </c>
      <c r="O375" s="240">
        <f>LOOKUP(O$2,'Depreciation Schedules'!$A$3:$A$42,'Depreciation Schedules'!$F$3:$F$42)</f>
        <v>0.05</v>
      </c>
      <c r="P375" s="240">
        <f>LOOKUP(P$2,'Depreciation Schedules'!$A$3:$A$42,'Depreciation Schedules'!$F$3:$F$42)</f>
        <v>0.05</v>
      </c>
      <c r="Q375" s="240">
        <f>LOOKUP(Q$2,'Depreciation Schedules'!$A$3:$A$42,'Depreciation Schedules'!$F$3:$F$42)</f>
        <v>0.05</v>
      </c>
      <c r="R375" s="240">
        <f>LOOKUP(R$2,'Depreciation Schedules'!$A$3:$A$42,'Depreciation Schedules'!$F$3:$F$42)</f>
        <v>0.05</v>
      </c>
      <c r="S375" s="240">
        <f>LOOKUP(S$2,'Depreciation Schedules'!$A$3:$A$42,'Depreciation Schedules'!$F$3:$F$42)</f>
        <v>0.05</v>
      </c>
      <c r="T375" s="240">
        <f>LOOKUP(T$2,'Depreciation Schedules'!$A$3:$A$42,'Depreciation Schedules'!$F$3:$F$42)</f>
        <v>0.05</v>
      </c>
      <c r="U375" s="240">
        <f>LOOKUP(U$2,'Depreciation Schedules'!$A$3:$A$42,'Depreciation Schedules'!$F$3:$F$42)</f>
        <v>0.05</v>
      </c>
      <c r="V375" s="240">
        <f>LOOKUP(V$2,'Depreciation Schedules'!$A$3:$A$42,'Depreciation Schedules'!$F$3:$F$42)</f>
        <v>0.05</v>
      </c>
      <c r="W375" s="240">
        <f>LOOKUP(W$2,'Depreciation Schedules'!$A$3:$A$42,'Depreciation Schedules'!$F$3:$F$42)</f>
        <v>2.5000000000000001E-2</v>
      </c>
      <c r="X375" s="240">
        <f>LOOKUP(X$2,'Depreciation Schedules'!$A$3:$A$42,'Depreciation Schedules'!$F$3:$F$42)</f>
        <v>0</v>
      </c>
      <c r="Y375" s="240">
        <f>LOOKUP(Y$2,'Depreciation Schedules'!$A$3:$A$42,'Depreciation Schedules'!$F$3:$F$42)</f>
        <v>0</v>
      </c>
      <c r="Z375" s="240">
        <f>LOOKUP(Z$2,'Depreciation Schedules'!$A$3:$A$42,'Depreciation Schedules'!$F$3:$F$42)</f>
        <v>0</v>
      </c>
      <c r="AA375" s="240">
        <f>LOOKUP(AA$2,'Depreciation Schedules'!$A$3:$A$42,'Depreciation Schedules'!$F$3:$F$42)</f>
        <v>0</v>
      </c>
      <c r="AB375" s="240">
        <f>LOOKUP(AB$2,'Depreciation Schedules'!$A$3:$A$42,'Depreciation Schedules'!$F$3:$F$42)</f>
        <v>0</v>
      </c>
      <c r="AC375" s="240">
        <f>LOOKUP(AC$2,'Depreciation Schedules'!$A$3:$A$42,'Depreciation Schedules'!$F$3:$F$42)</f>
        <v>0</v>
      </c>
      <c r="AD375" s="240">
        <f>LOOKUP(AD$2,'Depreciation Schedules'!$A$3:$A$42,'Depreciation Schedules'!$F$3:$F$42)</f>
        <v>0</v>
      </c>
      <c r="AE375" s="240">
        <f>LOOKUP(AE$2,'Depreciation Schedules'!$A$3:$A$42,'Depreciation Schedules'!$F$3:$F$42)</f>
        <v>0</v>
      </c>
      <c r="AF375" s="240">
        <f>LOOKUP(AF$2,'Depreciation Schedules'!$A$3:$A$42,'Depreciation Schedules'!$F$3:$F$42)</f>
        <v>0</v>
      </c>
      <c r="AG375" s="240">
        <f>LOOKUP(AG$2,'Depreciation Schedules'!$A$3:$A$42,'Depreciation Schedules'!$F$3:$F$42)</f>
        <v>0</v>
      </c>
      <c r="AH375" s="240">
        <f>LOOKUP(AH$2,'Depreciation Schedules'!$A$3:$A$42,'Depreciation Schedules'!$F$3:$F$42)</f>
        <v>0</v>
      </c>
      <c r="AI375" s="240">
        <f>LOOKUP(AI$2,'Depreciation Schedules'!$A$3:$A$42,'Depreciation Schedules'!$F$3:$F$42)</f>
        <v>0</v>
      </c>
      <c r="AJ375" s="240">
        <f>LOOKUP(AJ$2,'Depreciation Schedules'!$A$3:$A$42,'Depreciation Schedules'!$F$3:$F$42)</f>
        <v>0</v>
      </c>
      <c r="AK375" s="240">
        <f>LOOKUP(AK$2,'Depreciation Schedules'!$A$3:$A$42,'Depreciation Schedules'!$F$3:$F$42)</f>
        <v>0</v>
      </c>
      <c r="AL375" s="240">
        <f>LOOKUP(AL$2,'Depreciation Schedules'!$A$3:$A$42,'Depreciation Schedules'!$F$3:$F$42)</f>
        <v>0</v>
      </c>
      <c r="AM375" s="240">
        <f>LOOKUP(AM$2,'Depreciation Schedules'!$A$3:$A$42,'Depreciation Schedules'!$F$3:$F$42)</f>
        <v>0</v>
      </c>
      <c r="AN375" s="240">
        <f>LOOKUP(AN$2,'Depreciation Schedules'!$A$3:$A$42,'Depreciation Schedules'!$F$3:$F$42)</f>
        <v>0</v>
      </c>
      <c r="AO375" s="240">
        <f>LOOKUP(AO$2,'Depreciation Schedules'!$A$3:$A$42,'Depreciation Schedules'!$F$3:$F$42)</f>
        <v>0</v>
      </c>
      <c r="AP375" s="240">
        <f>LOOKUP(AP$2,'Depreciation Schedules'!$A$3:$A$42,'Depreciation Schedules'!$F$3:$F$42)</f>
        <v>0</v>
      </c>
    </row>
    <row r="376" spans="1:42">
      <c r="A376" s="227" t="str">
        <f t="shared" si="157"/>
        <v>39-yr SL</v>
      </c>
      <c r="B376" s="242">
        <f t="shared" si="158"/>
        <v>1.0000000000000004</v>
      </c>
      <c r="C376" s="240">
        <f>LOOKUP(C$2,'Depreciation Schedules'!$A$3:$A$42,'Depreciation Schedules'!$G$3:$G$42)</f>
        <v>1.2820512820512799E-2</v>
      </c>
      <c r="D376" s="240">
        <f>LOOKUP(D$2,'Depreciation Schedules'!$A$3:$A$42,'Depreciation Schedules'!$G$3:$G$42)</f>
        <v>2.564102564102564E-2</v>
      </c>
      <c r="E376" s="240">
        <f>LOOKUP(E$2,'Depreciation Schedules'!$A$3:$A$42,'Depreciation Schedules'!$G$3:$G$42)</f>
        <v>2.564102564102564E-2</v>
      </c>
      <c r="F376" s="240">
        <f>LOOKUP(F$2,'Depreciation Schedules'!$A$3:$A$42,'Depreciation Schedules'!$G$3:$G$42)</f>
        <v>2.564102564102564E-2</v>
      </c>
      <c r="G376" s="240">
        <f>LOOKUP(G$2,'Depreciation Schedules'!$A$3:$A$42,'Depreciation Schedules'!$G$3:$G$42)</f>
        <v>2.564102564102564E-2</v>
      </c>
      <c r="H376" s="240">
        <f>LOOKUP(H$2,'Depreciation Schedules'!$A$3:$A$42,'Depreciation Schedules'!$G$3:$G$42)</f>
        <v>2.564102564102564E-2</v>
      </c>
      <c r="I376" s="240">
        <f>LOOKUP(I$2,'Depreciation Schedules'!$A$3:$A$42,'Depreciation Schedules'!$G$3:$G$42)</f>
        <v>2.564102564102564E-2</v>
      </c>
      <c r="J376" s="240">
        <f>LOOKUP(J$2,'Depreciation Schedules'!$A$3:$A$42,'Depreciation Schedules'!$G$3:$G$42)</f>
        <v>2.564102564102564E-2</v>
      </c>
      <c r="K376" s="240">
        <f>LOOKUP(K$2,'Depreciation Schedules'!$A$3:$A$42,'Depreciation Schedules'!$G$3:$G$42)</f>
        <v>2.564102564102564E-2</v>
      </c>
      <c r="L376" s="240">
        <f>LOOKUP(L$2,'Depreciation Schedules'!$A$3:$A$42,'Depreciation Schedules'!$G$3:$G$42)</f>
        <v>2.564102564102564E-2</v>
      </c>
      <c r="M376" s="240">
        <f>LOOKUP(M$2,'Depreciation Schedules'!$A$3:$A$42,'Depreciation Schedules'!$G$3:$G$42)</f>
        <v>2.564102564102564E-2</v>
      </c>
      <c r="N376" s="240">
        <f>LOOKUP(N$2,'Depreciation Schedules'!$A$3:$A$42,'Depreciation Schedules'!$G$3:$G$42)</f>
        <v>2.564102564102564E-2</v>
      </c>
      <c r="O376" s="240">
        <f>LOOKUP(O$2,'Depreciation Schedules'!$A$3:$A$42,'Depreciation Schedules'!$G$3:$G$42)</f>
        <v>2.564102564102564E-2</v>
      </c>
      <c r="P376" s="240">
        <f>LOOKUP(P$2,'Depreciation Schedules'!$A$3:$A$42,'Depreciation Schedules'!$G$3:$G$42)</f>
        <v>2.564102564102564E-2</v>
      </c>
      <c r="Q376" s="240">
        <f>LOOKUP(Q$2,'Depreciation Schedules'!$A$3:$A$42,'Depreciation Schedules'!$G$3:$G$42)</f>
        <v>2.564102564102564E-2</v>
      </c>
      <c r="R376" s="240">
        <f>LOOKUP(R$2,'Depreciation Schedules'!$A$3:$A$42,'Depreciation Schedules'!$G$3:$G$42)</f>
        <v>2.564102564102564E-2</v>
      </c>
      <c r="S376" s="240">
        <f>LOOKUP(S$2,'Depreciation Schedules'!$A$3:$A$42,'Depreciation Schedules'!$G$3:$G$42)</f>
        <v>2.564102564102564E-2</v>
      </c>
      <c r="T376" s="240">
        <f>LOOKUP(T$2,'Depreciation Schedules'!$A$3:$A$42,'Depreciation Schedules'!$G$3:$G$42)</f>
        <v>2.564102564102564E-2</v>
      </c>
      <c r="U376" s="240">
        <f>LOOKUP(U$2,'Depreciation Schedules'!$A$3:$A$42,'Depreciation Schedules'!$G$3:$G$42)</f>
        <v>2.564102564102564E-2</v>
      </c>
      <c r="V376" s="240">
        <f>LOOKUP(V$2,'Depreciation Schedules'!$A$3:$A$42,'Depreciation Schedules'!$G$3:$G$42)</f>
        <v>2.564102564102564E-2</v>
      </c>
      <c r="W376" s="240">
        <f>LOOKUP(W$2,'Depreciation Schedules'!$A$3:$A$42,'Depreciation Schedules'!$G$3:$G$42)</f>
        <v>2.564102564102564E-2</v>
      </c>
      <c r="X376" s="240">
        <f>LOOKUP(X$2,'Depreciation Schedules'!$A$3:$A$42,'Depreciation Schedules'!$G$3:$G$42)</f>
        <v>2.564102564102564E-2</v>
      </c>
      <c r="Y376" s="240">
        <f>LOOKUP(Y$2,'Depreciation Schedules'!$A$3:$A$42,'Depreciation Schedules'!$G$3:$G$42)</f>
        <v>2.564102564102564E-2</v>
      </c>
      <c r="Z376" s="240">
        <f>LOOKUP(Z$2,'Depreciation Schedules'!$A$3:$A$42,'Depreciation Schedules'!$G$3:$G$42)</f>
        <v>2.564102564102564E-2</v>
      </c>
      <c r="AA376" s="240">
        <f>LOOKUP(AA$2,'Depreciation Schedules'!$A$3:$A$42,'Depreciation Schedules'!$G$3:$G$42)</f>
        <v>2.564102564102564E-2</v>
      </c>
      <c r="AB376" s="240">
        <f>LOOKUP(AB$2,'Depreciation Schedules'!$A$3:$A$42,'Depreciation Schedules'!$G$3:$G$42)</f>
        <v>2.564102564102564E-2</v>
      </c>
      <c r="AC376" s="240">
        <f>LOOKUP(AC$2,'Depreciation Schedules'!$A$3:$A$42,'Depreciation Schedules'!$G$3:$G$42)</f>
        <v>2.564102564102564E-2</v>
      </c>
      <c r="AD376" s="240">
        <f>LOOKUP(AD$2,'Depreciation Schedules'!$A$3:$A$42,'Depreciation Schedules'!$G$3:$G$42)</f>
        <v>2.564102564102564E-2</v>
      </c>
      <c r="AE376" s="240">
        <f>LOOKUP(AE$2,'Depreciation Schedules'!$A$3:$A$42,'Depreciation Schedules'!$G$3:$G$42)</f>
        <v>2.564102564102564E-2</v>
      </c>
      <c r="AF376" s="240">
        <f>LOOKUP(AF$2,'Depreciation Schedules'!$A$3:$A$42,'Depreciation Schedules'!$G$3:$G$42)</f>
        <v>2.564102564102564E-2</v>
      </c>
      <c r="AG376" s="240">
        <f>LOOKUP(AG$2,'Depreciation Schedules'!$A$3:$A$42,'Depreciation Schedules'!$G$3:$G$42)</f>
        <v>2.564102564102564E-2</v>
      </c>
      <c r="AH376" s="240">
        <f>LOOKUP(AH$2,'Depreciation Schedules'!$A$3:$A$42,'Depreciation Schedules'!$G$3:$G$42)</f>
        <v>2.564102564102564E-2</v>
      </c>
      <c r="AI376" s="240">
        <f>LOOKUP(AI$2,'Depreciation Schedules'!$A$3:$A$42,'Depreciation Schedules'!$G$3:$G$42)</f>
        <v>2.564102564102564E-2</v>
      </c>
      <c r="AJ376" s="240">
        <f>LOOKUP(AJ$2,'Depreciation Schedules'!$A$3:$A$42,'Depreciation Schedules'!$G$3:$G$42)</f>
        <v>2.564102564102564E-2</v>
      </c>
      <c r="AK376" s="240">
        <f>LOOKUP(AK$2,'Depreciation Schedules'!$A$3:$A$42,'Depreciation Schedules'!$G$3:$G$42)</f>
        <v>2.564102564102564E-2</v>
      </c>
      <c r="AL376" s="240">
        <f>LOOKUP(AL$2,'Depreciation Schedules'!$A$3:$A$42,'Depreciation Schedules'!$G$3:$G$42)</f>
        <v>2.564102564102564E-2</v>
      </c>
      <c r="AM376" s="240">
        <f>LOOKUP(AM$2,'Depreciation Schedules'!$A$3:$A$42,'Depreciation Schedules'!$G$3:$G$42)</f>
        <v>2.564102564102564E-2</v>
      </c>
      <c r="AN376" s="240">
        <f>LOOKUP(AN$2,'Depreciation Schedules'!$A$3:$A$42,'Depreciation Schedules'!$G$3:$G$42)</f>
        <v>2.564102564102564E-2</v>
      </c>
      <c r="AO376" s="240">
        <f>LOOKUP(AO$2,'Depreciation Schedules'!$A$3:$A$42,'Depreciation Schedules'!$G$3:$G$42)</f>
        <v>2.564102564102564E-2</v>
      </c>
      <c r="AP376" s="240">
        <f>LOOKUP(AP$2,'Depreciation Schedules'!$A$3:$A$42,'Depreciation Schedules'!$G$3:$G$42)</f>
        <v>1.2820512820512799E-2</v>
      </c>
    </row>
    <row r="377" spans="1:42">
      <c r="A377" s="297" t="s">
        <v>34</v>
      </c>
      <c r="C377" s="208"/>
      <c r="D377" s="208"/>
      <c r="E377" s="208"/>
      <c r="F377" s="208"/>
      <c r="G377" s="208"/>
      <c r="H377" s="208"/>
      <c r="I377" s="208"/>
      <c r="J377" s="208"/>
      <c r="K377" s="208"/>
      <c r="L377" s="208"/>
      <c r="M377" s="208"/>
      <c r="N377" s="208"/>
      <c r="O377" s="208"/>
      <c r="P377" s="208"/>
      <c r="Q377" s="208"/>
      <c r="R377" s="208"/>
      <c r="S377" s="208"/>
      <c r="T377" s="208"/>
      <c r="U377" s="208"/>
      <c r="V377" s="208"/>
      <c r="W377" s="208"/>
      <c r="X377" s="208"/>
      <c r="Y377" s="208"/>
      <c r="Z377" s="208"/>
      <c r="AA377" s="208"/>
      <c r="AB377" s="208"/>
      <c r="AC377" s="208"/>
      <c r="AD377" s="208"/>
      <c r="AE377" s="208"/>
      <c r="AF377" s="208"/>
      <c r="AG377" s="208"/>
      <c r="AH377" s="208"/>
      <c r="AI377" s="208"/>
      <c r="AJ377" s="208"/>
      <c r="AK377" s="208"/>
      <c r="AL377" s="208"/>
      <c r="AM377" s="208"/>
      <c r="AN377" s="208"/>
      <c r="AO377" s="208"/>
      <c r="AP377" s="208"/>
    </row>
    <row r="378" spans="1:42">
      <c r="A378" s="227" t="str">
        <f>A371</f>
        <v>5-yr MACRS</v>
      </c>
      <c r="B378" s="243">
        <f>SUM(C378:AP378)</f>
        <v>34463843.927170485</v>
      </c>
      <c r="C378" s="208">
        <f t="shared" ref="C378:AP383" si="159">C371*$K338</f>
        <v>6892768.7854340971</v>
      </c>
      <c r="D378" s="208">
        <f t="shared" si="159"/>
        <v>11028430.056694556</v>
      </c>
      <c r="E378" s="208">
        <f t="shared" si="159"/>
        <v>6617058.0340167331</v>
      </c>
      <c r="F378" s="208">
        <f t="shared" si="159"/>
        <v>3970234.8204100397</v>
      </c>
      <c r="G378" s="208">
        <f t="shared" si="159"/>
        <v>3970234.8204100397</v>
      </c>
      <c r="H378" s="208">
        <f t="shared" si="159"/>
        <v>1985117.4102050199</v>
      </c>
      <c r="I378" s="208">
        <f t="shared" si="159"/>
        <v>0</v>
      </c>
      <c r="J378" s="208">
        <f t="shared" si="159"/>
        <v>0</v>
      </c>
      <c r="K378" s="208">
        <f t="shared" si="159"/>
        <v>0</v>
      </c>
      <c r="L378" s="208">
        <f t="shared" si="159"/>
        <v>0</v>
      </c>
      <c r="M378" s="208">
        <f t="shared" si="159"/>
        <v>0</v>
      </c>
      <c r="N378" s="208">
        <f t="shared" si="159"/>
        <v>0</v>
      </c>
      <c r="O378" s="208">
        <f t="shared" si="159"/>
        <v>0</v>
      </c>
      <c r="P378" s="208">
        <f t="shared" si="159"/>
        <v>0</v>
      </c>
      <c r="Q378" s="208">
        <f t="shared" si="159"/>
        <v>0</v>
      </c>
      <c r="R378" s="208">
        <f t="shared" si="159"/>
        <v>0</v>
      </c>
      <c r="S378" s="208">
        <f t="shared" si="159"/>
        <v>0</v>
      </c>
      <c r="T378" s="208">
        <f t="shared" si="159"/>
        <v>0</v>
      </c>
      <c r="U378" s="208">
        <f t="shared" si="159"/>
        <v>0</v>
      </c>
      <c r="V378" s="208">
        <f t="shared" si="159"/>
        <v>0</v>
      </c>
      <c r="W378" s="208">
        <f t="shared" si="159"/>
        <v>0</v>
      </c>
      <c r="X378" s="208">
        <f t="shared" si="159"/>
        <v>0</v>
      </c>
      <c r="Y378" s="208">
        <f t="shared" si="159"/>
        <v>0</v>
      </c>
      <c r="Z378" s="208">
        <f t="shared" si="159"/>
        <v>0</v>
      </c>
      <c r="AA378" s="208">
        <f t="shared" si="159"/>
        <v>0</v>
      </c>
      <c r="AB378" s="208">
        <f t="shared" si="159"/>
        <v>0</v>
      </c>
      <c r="AC378" s="208">
        <f t="shared" si="159"/>
        <v>0</v>
      </c>
      <c r="AD378" s="208">
        <f t="shared" si="159"/>
        <v>0</v>
      </c>
      <c r="AE378" s="208">
        <f t="shared" si="159"/>
        <v>0</v>
      </c>
      <c r="AF378" s="208">
        <f t="shared" si="159"/>
        <v>0</v>
      </c>
      <c r="AG378" s="208">
        <f t="shared" si="159"/>
        <v>0</v>
      </c>
      <c r="AH378" s="208">
        <f t="shared" si="159"/>
        <v>0</v>
      </c>
      <c r="AI378" s="208">
        <f t="shared" si="159"/>
        <v>0</v>
      </c>
      <c r="AJ378" s="208">
        <f t="shared" si="159"/>
        <v>0</v>
      </c>
      <c r="AK378" s="208">
        <f t="shared" si="159"/>
        <v>0</v>
      </c>
      <c r="AL378" s="208">
        <f t="shared" si="159"/>
        <v>0</v>
      </c>
      <c r="AM378" s="208">
        <f t="shared" si="159"/>
        <v>0</v>
      </c>
      <c r="AN378" s="208">
        <f t="shared" si="159"/>
        <v>0</v>
      </c>
      <c r="AO378" s="208">
        <f t="shared" si="159"/>
        <v>0</v>
      </c>
      <c r="AP378" s="208">
        <f t="shared" si="159"/>
        <v>0</v>
      </c>
    </row>
    <row r="379" spans="1:42">
      <c r="A379" s="227" t="str">
        <f t="shared" ref="A379:A383" si="160">A372</f>
        <v>15-yr MACRS</v>
      </c>
      <c r="B379" s="165">
        <f t="shared" ref="B379:B385" si="161">SUM(C379:AP379)</f>
        <v>638302.66531797184</v>
      </c>
      <c r="C379" s="208">
        <f t="shared" si="159"/>
        <v>31915.133265898592</v>
      </c>
      <c r="D379" s="208">
        <f t="shared" si="159"/>
        <v>60638.753205207322</v>
      </c>
      <c r="E379" s="208">
        <f t="shared" si="159"/>
        <v>54574.877884686597</v>
      </c>
      <c r="F379" s="208">
        <f t="shared" si="159"/>
        <v>49149.305229483834</v>
      </c>
      <c r="G379" s="208">
        <f t="shared" si="159"/>
        <v>44234.374706535447</v>
      </c>
      <c r="H379" s="208">
        <f t="shared" si="159"/>
        <v>39766.256049309646</v>
      </c>
      <c r="I379" s="208">
        <f t="shared" si="159"/>
        <v>37659.85725376034</v>
      </c>
      <c r="J379" s="208">
        <f t="shared" si="159"/>
        <v>37659.85725376034</v>
      </c>
      <c r="K379" s="208">
        <f t="shared" si="159"/>
        <v>37723.687520292136</v>
      </c>
      <c r="L379" s="208">
        <f t="shared" si="159"/>
        <v>37659.85725376034</v>
      </c>
      <c r="M379" s="208">
        <f t="shared" si="159"/>
        <v>37723.687520292136</v>
      </c>
      <c r="N379" s="208">
        <f t="shared" si="159"/>
        <v>37659.85725376034</v>
      </c>
      <c r="O379" s="208">
        <f t="shared" si="159"/>
        <v>37723.687520292136</v>
      </c>
      <c r="P379" s="208">
        <f t="shared" si="159"/>
        <v>37659.85725376034</v>
      </c>
      <c r="Q379" s="208">
        <f t="shared" si="159"/>
        <v>37723.687520292136</v>
      </c>
      <c r="R379" s="208">
        <f t="shared" si="159"/>
        <v>18829.92862688017</v>
      </c>
      <c r="S379" s="208">
        <f t="shared" si="159"/>
        <v>0</v>
      </c>
      <c r="T379" s="208">
        <f t="shared" si="159"/>
        <v>0</v>
      </c>
      <c r="U379" s="208">
        <f t="shared" si="159"/>
        <v>0</v>
      </c>
      <c r="V379" s="208">
        <f t="shared" si="159"/>
        <v>0</v>
      </c>
      <c r="W379" s="208">
        <f t="shared" si="159"/>
        <v>0</v>
      </c>
      <c r="X379" s="208">
        <f t="shared" si="159"/>
        <v>0</v>
      </c>
      <c r="Y379" s="208">
        <f t="shared" si="159"/>
        <v>0</v>
      </c>
      <c r="Z379" s="208">
        <f t="shared" si="159"/>
        <v>0</v>
      </c>
      <c r="AA379" s="208">
        <f t="shared" si="159"/>
        <v>0</v>
      </c>
      <c r="AB379" s="208">
        <f t="shared" si="159"/>
        <v>0</v>
      </c>
      <c r="AC379" s="208">
        <f t="shared" si="159"/>
        <v>0</v>
      </c>
      <c r="AD379" s="208">
        <f t="shared" si="159"/>
        <v>0</v>
      </c>
      <c r="AE379" s="208">
        <f t="shared" si="159"/>
        <v>0</v>
      </c>
      <c r="AF379" s="208">
        <f t="shared" si="159"/>
        <v>0</v>
      </c>
      <c r="AG379" s="208">
        <f t="shared" si="159"/>
        <v>0</v>
      </c>
      <c r="AH379" s="208">
        <f t="shared" si="159"/>
        <v>0</v>
      </c>
      <c r="AI379" s="208">
        <f t="shared" si="159"/>
        <v>0</v>
      </c>
      <c r="AJ379" s="208">
        <f t="shared" si="159"/>
        <v>0</v>
      </c>
      <c r="AK379" s="208">
        <f t="shared" si="159"/>
        <v>0</v>
      </c>
      <c r="AL379" s="208">
        <f t="shared" si="159"/>
        <v>0</v>
      </c>
      <c r="AM379" s="208">
        <f t="shared" si="159"/>
        <v>0</v>
      </c>
      <c r="AN379" s="208">
        <f t="shared" si="159"/>
        <v>0</v>
      </c>
      <c r="AO379" s="208">
        <f t="shared" si="159"/>
        <v>0</v>
      </c>
      <c r="AP379" s="208">
        <f t="shared" si="159"/>
        <v>0</v>
      </c>
    </row>
    <row r="380" spans="1:42">
      <c r="A380" s="227" t="str">
        <f t="shared" si="160"/>
        <v>5-yr SL</v>
      </c>
      <c r="B380" s="165">
        <f t="shared" si="161"/>
        <v>0</v>
      </c>
      <c r="C380" s="208">
        <f t="shared" si="159"/>
        <v>0</v>
      </c>
      <c r="D380" s="208">
        <f t="shared" si="159"/>
        <v>0</v>
      </c>
      <c r="E380" s="208">
        <f t="shared" si="159"/>
        <v>0</v>
      </c>
      <c r="F380" s="208">
        <f t="shared" si="159"/>
        <v>0</v>
      </c>
      <c r="G380" s="208">
        <f t="shared" si="159"/>
        <v>0</v>
      </c>
      <c r="H380" s="208">
        <f t="shared" si="159"/>
        <v>0</v>
      </c>
      <c r="I380" s="208">
        <f t="shared" si="159"/>
        <v>0</v>
      </c>
      <c r="J380" s="208">
        <f t="shared" si="159"/>
        <v>0</v>
      </c>
      <c r="K380" s="208">
        <f t="shared" si="159"/>
        <v>0</v>
      </c>
      <c r="L380" s="208">
        <f t="shared" si="159"/>
        <v>0</v>
      </c>
      <c r="M380" s="208">
        <f t="shared" si="159"/>
        <v>0</v>
      </c>
      <c r="N380" s="208">
        <f t="shared" si="159"/>
        <v>0</v>
      </c>
      <c r="O380" s="208">
        <f t="shared" si="159"/>
        <v>0</v>
      </c>
      <c r="P380" s="208">
        <f t="shared" si="159"/>
        <v>0</v>
      </c>
      <c r="Q380" s="208">
        <f t="shared" si="159"/>
        <v>0</v>
      </c>
      <c r="R380" s="208">
        <f t="shared" si="159"/>
        <v>0</v>
      </c>
      <c r="S380" s="208">
        <f t="shared" si="159"/>
        <v>0</v>
      </c>
      <c r="T380" s="208">
        <f t="shared" si="159"/>
        <v>0</v>
      </c>
      <c r="U380" s="208">
        <f t="shared" si="159"/>
        <v>0</v>
      </c>
      <c r="V380" s="208">
        <f t="shared" si="159"/>
        <v>0</v>
      </c>
      <c r="W380" s="208">
        <f t="shared" si="159"/>
        <v>0</v>
      </c>
      <c r="X380" s="208">
        <f t="shared" si="159"/>
        <v>0</v>
      </c>
      <c r="Y380" s="208">
        <f t="shared" si="159"/>
        <v>0</v>
      </c>
      <c r="Z380" s="208">
        <f t="shared" si="159"/>
        <v>0</v>
      </c>
      <c r="AA380" s="208">
        <f t="shared" si="159"/>
        <v>0</v>
      </c>
      <c r="AB380" s="208">
        <f t="shared" si="159"/>
        <v>0</v>
      </c>
      <c r="AC380" s="208">
        <f t="shared" si="159"/>
        <v>0</v>
      </c>
      <c r="AD380" s="208">
        <f t="shared" si="159"/>
        <v>0</v>
      </c>
      <c r="AE380" s="208">
        <f t="shared" si="159"/>
        <v>0</v>
      </c>
      <c r="AF380" s="208">
        <f t="shared" si="159"/>
        <v>0</v>
      </c>
      <c r="AG380" s="208">
        <f t="shared" si="159"/>
        <v>0</v>
      </c>
      <c r="AH380" s="208">
        <f t="shared" si="159"/>
        <v>0</v>
      </c>
      <c r="AI380" s="208">
        <f t="shared" si="159"/>
        <v>0</v>
      </c>
      <c r="AJ380" s="208">
        <f t="shared" si="159"/>
        <v>0</v>
      </c>
      <c r="AK380" s="208">
        <f t="shared" si="159"/>
        <v>0</v>
      </c>
      <c r="AL380" s="208">
        <f t="shared" si="159"/>
        <v>0</v>
      </c>
      <c r="AM380" s="208">
        <f t="shared" si="159"/>
        <v>0</v>
      </c>
      <c r="AN380" s="208">
        <f t="shared" si="159"/>
        <v>0</v>
      </c>
      <c r="AO380" s="208">
        <f t="shared" si="159"/>
        <v>0</v>
      </c>
      <c r="AP380" s="208">
        <f t="shared" si="159"/>
        <v>0</v>
      </c>
    </row>
    <row r="381" spans="1:42">
      <c r="A381" s="227" t="str">
        <f t="shared" si="160"/>
        <v>15-yr SL</v>
      </c>
      <c r="B381" s="165">
        <f t="shared" si="161"/>
        <v>1063837.7755299534</v>
      </c>
      <c r="C381" s="208">
        <f t="shared" si="159"/>
        <v>35425.797925147446</v>
      </c>
      <c r="D381" s="208">
        <f t="shared" si="159"/>
        <v>70957.979627847875</v>
      </c>
      <c r="E381" s="208">
        <f t="shared" si="159"/>
        <v>70957.979627847875</v>
      </c>
      <c r="F381" s="208">
        <f t="shared" si="159"/>
        <v>70957.979627847875</v>
      </c>
      <c r="G381" s="208">
        <f t="shared" si="159"/>
        <v>70957.979627847875</v>
      </c>
      <c r="H381" s="208">
        <f t="shared" si="159"/>
        <v>70957.979627847875</v>
      </c>
      <c r="I381" s="208">
        <f t="shared" si="159"/>
        <v>70957.979627847875</v>
      </c>
      <c r="J381" s="208">
        <f t="shared" si="159"/>
        <v>70851.595850294892</v>
      </c>
      <c r="K381" s="208">
        <f t="shared" si="159"/>
        <v>70957.979627847875</v>
      </c>
      <c r="L381" s="208">
        <f t="shared" si="159"/>
        <v>70851.595850294892</v>
      </c>
      <c r="M381" s="208">
        <f t="shared" si="159"/>
        <v>70957.979627847875</v>
      </c>
      <c r="N381" s="208">
        <f t="shared" si="159"/>
        <v>70851.595850294892</v>
      </c>
      <c r="O381" s="208">
        <f t="shared" si="159"/>
        <v>70957.979627847875</v>
      </c>
      <c r="P381" s="208">
        <f t="shared" si="159"/>
        <v>70851.595850294892</v>
      </c>
      <c r="Q381" s="208">
        <f t="shared" si="159"/>
        <v>70957.979627847875</v>
      </c>
      <c r="R381" s="208">
        <f t="shared" si="159"/>
        <v>35425.797925147446</v>
      </c>
      <c r="S381" s="208">
        <f t="shared" si="159"/>
        <v>0</v>
      </c>
      <c r="T381" s="208">
        <f t="shared" si="159"/>
        <v>0</v>
      </c>
      <c r="U381" s="208">
        <f t="shared" si="159"/>
        <v>0</v>
      </c>
      <c r="V381" s="208">
        <f t="shared" si="159"/>
        <v>0</v>
      </c>
      <c r="W381" s="208">
        <f t="shared" si="159"/>
        <v>0</v>
      </c>
      <c r="X381" s="208">
        <f t="shared" si="159"/>
        <v>0</v>
      </c>
      <c r="Y381" s="208">
        <f t="shared" si="159"/>
        <v>0</v>
      </c>
      <c r="Z381" s="208">
        <f t="shared" si="159"/>
        <v>0</v>
      </c>
      <c r="AA381" s="208">
        <f t="shared" si="159"/>
        <v>0</v>
      </c>
      <c r="AB381" s="208">
        <f t="shared" si="159"/>
        <v>0</v>
      </c>
      <c r="AC381" s="208">
        <f t="shared" si="159"/>
        <v>0</v>
      </c>
      <c r="AD381" s="208">
        <f t="shared" si="159"/>
        <v>0</v>
      </c>
      <c r="AE381" s="208">
        <f t="shared" si="159"/>
        <v>0</v>
      </c>
      <c r="AF381" s="208">
        <f t="shared" si="159"/>
        <v>0</v>
      </c>
      <c r="AG381" s="208">
        <f t="shared" si="159"/>
        <v>0</v>
      </c>
      <c r="AH381" s="208">
        <f t="shared" si="159"/>
        <v>0</v>
      </c>
      <c r="AI381" s="208">
        <f t="shared" si="159"/>
        <v>0</v>
      </c>
      <c r="AJ381" s="208">
        <f t="shared" si="159"/>
        <v>0</v>
      </c>
      <c r="AK381" s="208">
        <f t="shared" si="159"/>
        <v>0</v>
      </c>
      <c r="AL381" s="208">
        <f t="shared" si="159"/>
        <v>0</v>
      </c>
      <c r="AM381" s="208">
        <f t="shared" si="159"/>
        <v>0</v>
      </c>
      <c r="AN381" s="208">
        <f t="shared" si="159"/>
        <v>0</v>
      </c>
      <c r="AO381" s="208">
        <f t="shared" si="159"/>
        <v>0</v>
      </c>
      <c r="AP381" s="208">
        <f t="shared" si="159"/>
        <v>0</v>
      </c>
    </row>
    <row r="382" spans="1:42">
      <c r="A382" s="227" t="str">
        <f t="shared" si="160"/>
        <v>20-yr SL</v>
      </c>
      <c r="B382" s="165">
        <f t="shared" si="161"/>
        <v>1063837.7755299534</v>
      </c>
      <c r="C382" s="208">
        <f t="shared" si="159"/>
        <v>26595.94438824883</v>
      </c>
      <c r="D382" s="208">
        <f t="shared" si="159"/>
        <v>53191.888776497661</v>
      </c>
      <c r="E382" s="208">
        <f t="shared" si="159"/>
        <v>53191.888776497661</v>
      </c>
      <c r="F382" s="208">
        <f t="shared" si="159"/>
        <v>53191.888776497661</v>
      </c>
      <c r="G382" s="208">
        <f t="shared" si="159"/>
        <v>53191.888776497661</v>
      </c>
      <c r="H382" s="208">
        <f t="shared" si="159"/>
        <v>53191.888776497661</v>
      </c>
      <c r="I382" s="208">
        <f t="shared" si="159"/>
        <v>53191.888776497661</v>
      </c>
      <c r="J382" s="208">
        <f t="shared" si="159"/>
        <v>53191.888776497661</v>
      </c>
      <c r="K382" s="208">
        <f t="shared" si="159"/>
        <v>53191.888776497661</v>
      </c>
      <c r="L382" s="208">
        <f t="shared" si="159"/>
        <v>53191.888776497661</v>
      </c>
      <c r="M382" s="208">
        <f t="shared" si="159"/>
        <v>53191.888776497661</v>
      </c>
      <c r="N382" s="208">
        <f t="shared" si="159"/>
        <v>53191.888776497661</v>
      </c>
      <c r="O382" s="208">
        <f t="shared" si="159"/>
        <v>53191.888776497661</v>
      </c>
      <c r="P382" s="208">
        <f t="shared" si="159"/>
        <v>53191.888776497661</v>
      </c>
      <c r="Q382" s="208">
        <f t="shared" si="159"/>
        <v>53191.888776497661</v>
      </c>
      <c r="R382" s="208">
        <f t="shared" si="159"/>
        <v>53191.888776497661</v>
      </c>
      <c r="S382" s="208">
        <f t="shared" si="159"/>
        <v>53191.888776497661</v>
      </c>
      <c r="T382" s="208">
        <f t="shared" si="159"/>
        <v>53191.888776497661</v>
      </c>
      <c r="U382" s="208">
        <f t="shared" si="159"/>
        <v>53191.888776497661</v>
      </c>
      <c r="V382" s="208">
        <f t="shared" si="159"/>
        <v>53191.888776497661</v>
      </c>
      <c r="W382" s="208">
        <f t="shared" si="159"/>
        <v>26595.94438824883</v>
      </c>
      <c r="X382" s="208">
        <f t="shared" si="159"/>
        <v>0</v>
      </c>
      <c r="Y382" s="208">
        <f t="shared" si="159"/>
        <v>0</v>
      </c>
      <c r="Z382" s="208">
        <f t="shared" si="159"/>
        <v>0</v>
      </c>
      <c r="AA382" s="208">
        <f t="shared" si="159"/>
        <v>0</v>
      </c>
      <c r="AB382" s="208">
        <f t="shared" si="159"/>
        <v>0</v>
      </c>
      <c r="AC382" s="208">
        <f t="shared" si="159"/>
        <v>0</v>
      </c>
      <c r="AD382" s="208">
        <f t="shared" si="159"/>
        <v>0</v>
      </c>
      <c r="AE382" s="208">
        <f t="shared" si="159"/>
        <v>0</v>
      </c>
      <c r="AF382" s="208">
        <f t="shared" si="159"/>
        <v>0</v>
      </c>
      <c r="AG382" s="208">
        <f t="shared" si="159"/>
        <v>0</v>
      </c>
      <c r="AH382" s="208">
        <f t="shared" si="159"/>
        <v>0</v>
      </c>
      <c r="AI382" s="208">
        <f t="shared" si="159"/>
        <v>0</v>
      </c>
      <c r="AJ382" s="208">
        <f t="shared" si="159"/>
        <v>0</v>
      </c>
      <c r="AK382" s="208">
        <f t="shared" si="159"/>
        <v>0</v>
      </c>
      <c r="AL382" s="208">
        <f t="shared" si="159"/>
        <v>0</v>
      </c>
      <c r="AM382" s="208">
        <f t="shared" si="159"/>
        <v>0</v>
      </c>
      <c r="AN382" s="208">
        <f t="shared" si="159"/>
        <v>0</v>
      </c>
      <c r="AO382" s="208">
        <f t="shared" si="159"/>
        <v>0</v>
      </c>
      <c r="AP382" s="208">
        <f t="shared" si="159"/>
        <v>0</v>
      </c>
    </row>
    <row r="383" spans="1:42">
      <c r="A383" s="227" t="str">
        <f t="shared" si="160"/>
        <v>39-yr SL</v>
      </c>
      <c r="B383" s="165">
        <f t="shared" si="161"/>
        <v>212767.55510599076</v>
      </c>
      <c r="C383" s="208">
        <f t="shared" si="159"/>
        <v>2727.7891680255161</v>
      </c>
      <c r="D383" s="208">
        <f t="shared" si="159"/>
        <v>5455.5783360510413</v>
      </c>
      <c r="E383" s="208">
        <f t="shared" si="159"/>
        <v>5455.5783360510413</v>
      </c>
      <c r="F383" s="208">
        <f t="shared" si="159"/>
        <v>5455.5783360510413</v>
      </c>
      <c r="G383" s="208">
        <f t="shared" si="159"/>
        <v>5455.5783360510413</v>
      </c>
      <c r="H383" s="208">
        <f t="shared" si="159"/>
        <v>5455.5783360510413</v>
      </c>
      <c r="I383" s="208">
        <f t="shared" si="159"/>
        <v>5455.5783360510413</v>
      </c>
      <c r="J383" s="208">
        <f t="shared" si="159"/>
        <v>5455.5783360510413</v>
      </c>
      <c r="K383" s="208">
        <f t="shared" si="159"/>
        <v>5455.5783360510413</v>
      </c>
      <c r="L383" s="208">
        <f t="shared" si="159"/>
        <v>5455.5783360510413</v>
      </c>
      <c r="M383" s="208">
        <f t="shared" si="159"/>
        <v>5455.5783360510413</v>
      </c>
      <c r="N383" s="208">
        <f t="shared" si="159"/>
        <v>5455.5783360510413</v>
      </c>
      <c r="O383" s="208">
        <f t="shared" si="159"/>
        <v>5455.5783360510413</v>
      </c>
      <c r="P383" s="208">
        <f t="shared" si="159"/>
        <v>5455.5783360510413</v>
      </c>
      <c r="Q383" s="208">
        <f t="shared" si="159"/>
        <v>5455.5783360510413</v>
      </c>
      <c r="R383" s="208">
        <f t="shared" si="159"/>
        <v>5455.5783360510413</v>
      </c>
      <c r="S383" s="208">
        <f t="shared" si="159"/>
        <v>5455.5783360510413</v>
      </c>
      <c r="T383" s="208">
        <f t="shared" si="159"/>
        <v>5455.5783360510413</v>
      </c>
      <c r="U383" s="208">
        <f t="shared" si="159"/>
        <v>5455.5783360510413</v>
      </c>
      <c r="V383" s="208">
        <f t="shared" si="159"/>
        <v>5455.5783360510413</v>
      </c>
      <c r="W383" s="208">
        <f t="shared" si="159"/>
        <v>5455.5783360510413</v>
      </c>
      <c r="X383" s="208">
        <f t="shared" si="159"/>
        <v>5455.5783360510413</v>
      </c>
      <c r="Y383" s="208">
        <f t="shared" si="159"/>
        <v>5455.5783360510413</v>
      </c>
      <c r="Z383" s="208">
        <f t="shared" si="159"/>
        <v>5455.5783360510413</v>
      </c>
      <c r="AA383" s="208">
        <f t="shared" si="159"/>
        <v>5455.5783360510413</v>
      </c>
      <c r="AB383" s="208">
        <f t="shared" si="159"/>
        <v>5455.5783360510413</v>
      </c>
      <c r="AC383" s="208">
        <f t="shared" si="159"/>
        <v>5455.5783360510413</v>
      </c>
      <c r="AD383" s="208">
        <f t="shared" si="159"/>
        <v>5455.5783360510413</v>
      </c>
      <c r="AE383" s="208">
        <f t="shared" si="159"/>
        <v>5455.5783360510413</v>
      </c>
      <c r="AF383" s="208">
        <f t="shared" si="159"/>
        <v>5455.5783360510413</v>
      </c>
      <c r="AG383" s="208">
        <f t="shared" si="159"/>
        <v>5455.5783360510413</v>
      </c>
      <c r="AH383" s="208">
        <f t="shared" si="159"/>
        <v>5455.5783360510413</v>
      </c>
      <c r="AI383" s="208">
        <f t="shared" si="159"/>
        <v>5455.5783360510413</v>
      </c>
      <c r="AJ383" s="208">
        <f t="shared" si="159"/>
        <v>5455.5783360510413</v>
      </c>
      <c r="AK383" s="208">
        <f t="shared" si="159"/>
        <v>5455.5783360510413</v>
      </c>
      <c r="AL383" s="208">
        <f t="shared" si="159"/>
        <v>5455.5783360510413</v>
      </c>
      <c r="AM383" s="208">
        <f t="shared" si="159"/>
        <v>5455.5783360510413</v>
      </c>
      <c r="AN383" s="208">
        <f t="shared" si="159"/>
        <v>5455.5783360510413</v>
      </c>
      <c r="AO383" s="208">
        <f t="shared" si="159"/>
        <v>5455.5783360510413</v>
      </c>
      <c r="AP383" s="208">
        <f t="shared" si="159"/>
        <v>2727.7891680255161</v>
      </c>
    </row>
    <row r="384" spans="1:42">
      <c r="A384" s="227" t="s">
        <v>332</v>
      </c>
      <c r="B384" s="237">
        <f t="shared" si="161"/>
        <v>3829315.9919078313</v>
      </c>
      <c r="C384" s="209">
        <f>J345</f>
        <v>3829315.9919078313</v>
      </c>
      <c r="D384" s="209">
        <v>0</v>
      </c>
      <c r="E384" s="209">
        <v>0</v>
      </c>
      <c r="F384" s="209">
        <v>0</v>
      </c>
      <c r="G384" s="209">
        <v>0</v>
      </c>
      <c r="H384" s="209">
        <v>0</v>
      </c>
      <c r="I384" s="209">
        <v>0</v>
      </c>
      <c r="J384" s="209">
        <v>0</v>
      </c>
      <c r="K384" s="209">
        <v>0</v>
      </c>
      <c r="L384" s="209">
        <v>0</v>
      </c>
      <c r="M384" s="209">
        <v>0</v>
      </c>
      <c r="N384" s="209">
        <v>0</v>
      </c>
      <c r="O384" s="209">
        <v>0</v>
      </c>
      <c r="P384" s="209">
        <v>0</v>
      </c>
      <c r="Q384" s="209">
        <v>0</v>
      </c>
      <c r="R384" s="209">
        <v>0</v>
      </c>
      <c r="S384" s="209">
        <v>0</v>
      </c>
      <c r="T384" s="209">
        <v>0</v>
      </c>
      <c r="U384" s="209">
        <v>0</v>
      </c>
      <c r="V384" s="209">
        <v>0</v>
      </c>
      <c r="W384" s="209">
        <v>0</v>
      </c>
      <c r="X384" s="209">
        <v>0</v>
      </c>
      <c r="Y384" s="209">
        <v>0</v>
      </c>
      <c r="Z384" s="209">
        <v>0</v>
      </c>
      <c r="AA384" s="209">
        <v>0</v>
      </c>
      <c r="AB384" s="209">
        <v>0</v>
      </c>
      <c r="AC384" s="209">
        <v>0</v>
      </c>
      <c r="AD384" s="209">
        <v>0</v>
      </c>
      <c r="AE384" s="209">
        <v>0</v>
      </c>
      <c r="AF384" s="209">
        <v>0</v>
      </c>
      <c r="AG384" s="209">
        <v>0</v>
      </c>
      <c r="AH384" s="209">
        <v>0</v>
      </c>
      <c r="AI384" s="209">
        <v>0</v>
      </c>
      <c r="AJ384" s="209">
        <v>0</v>
      </c>
      <c r="AK384" s="209">
        <v>0</v>
      </c>
      <c r="AL384" s="209">
        <v>0</v>
      </c>
      <c r="AM384" s="209">
        <v>0</v>
      </c>
      <c r="AN384" s="209">
        <v>0</v>
      </c>
      <c r="AO384" s="209">
        <v>0</v>
      </c>
      <c r="AP384" s="209">
        <v>0</v>
      </c>
    </row>
    <row r="385" spans="1:42">
      <c r="A385" s="226"/>
      <c r="B385" s="237">
        <f t="shared" si="161"/>
        <v>41271905.690562226</v>
      </c>
      <c r="C385" s="208">
        <f>SUM(C378:C384)</f>
        <v>10818749.442089248</v>
      </c>
      <c r="D385" s="208">
        <f t="shared" ref="D385:AP385" si="162">SUM(D378:D384)</f>
        <v>11218674.25664016</v>
      </c>
      <c r="E385" s="208">
        <f t="shared" si="162"/>
        <v>6801238.3586418163</v>
      </c>
      <c r="F385" s="208">
        <f t="shared" si="162"/>
        <v>4148989.5723799197</v>
      </c>
      <c r="G385" s="208">
        <f t="shared" si="162"/>
        <v>4144074.6418569717</v>
      </c>
      <c r="H385" s="208">
        <f t="shared" si="162"/>
        <v>2154489.1129947263</v>
      </c>
      <c r="I385" s="208">
        <f t="shared" si="162"/>
        <v>167265.30399415691</v>
      </c>
      <c r="J385" s="208">
        <f t="shared" si="162"/>
        <v>167158.92021660393</v>
      </c>
      <c r="K385" s="208">
        <f t="shared" si="162"/>
        <v>167329.13426068873</v>
      </c>
      <c r="L385" s="208">
        <f t="shared" si="162"/>
        <v>167158.92021660393</v>
      </c>
      <c r="M385" s="208">
        <f t="shared" si="162"/>
        <v>167329.13426068873</v>
      </c>
      <c r="N385" s="208">
        <f t="shared" si="162"/>
        <v>167158.92021660393</v>
      </c>
      <c r="O385" s="208">
        <f t="shared" si="162"/>
        <v>167329.13426068873</v>
      </c>
      <c r="P385" s="208">
        <f t="shared" si="162"/>
        <v>167158.92021660393</v>
      </c>
      <c r="Q385" s="208">
        <f t="shared" si="162"/>
        <v>167329.13426068873</v>
      </c>
      <c r="R385" s="208">
        <f t="shared" si="162"/>
        <v>112903.19366457632</v>
      </c>
      <c r="S385" s="208">
        <f t="shared" si="162"/>
        <v>58647.4671125487</v>
      </c>
      <c r="T385" s="208">
        <f t="shared" si="162"/>
        <v>58647.4671125487</v>
      </c>
      <c r="U385" s="208">
        <f t="shared" si="162"/>
        <v>58647.4671125487</v>
      </c>
      <c r="V385" s="208">
        <f t="shared" si="162"/>
        <v>58647.4671125487</v>
      </c>
      <c r="W385" s="208">
        <f t="shared" si="162"/>
        <v>32051.522724299874</v>
      </c>
      <c r="X385" s="208">
        <f t="shared" si="162"/>
        <v>5455.5783360510413</v>
      </c>
      <c r="Y385" s="208">
        <f t="shared" si="162"/>
        <v>5455.5783360510413</v>
      </c>
      <c r="Z385" s="208">
        <f t="shared" si="162"/>
        <v>5455.5783360510413</v>
      </c>
      <c r="AA385" s="208">
        <f t="shared" si="162"/>
        <v>5455.5783360510413</v>
      </c>
      <c r="AB385" s="208">
        <f t="shared" si="162"/>
        <v>5455.5783360510413</v>
      </c>
      <c r="AC385" s="208">
        <f t="shared" si="162"/>
        <v>5455.5783360510413</v>
      </c>
      <c r="AD385" s="208">
        <f t="shared" si="162"/>
        <v>5455.5783360510413</v>
      </c>
      <c r="AE385" s="208">
        <f t="shared" si="162"/>
        <v>5455.5783360510413</v>
      </c>
      <c r="AF385" s="208">
        <f t="shared" si="162"/>
        <v>5455.5783360510413</v>
      </c>
      <c r="AG385" s="208">
        <f t="shared" si="162"/>
        <v>5455.5783360510413</v>
      </c>
      <c r="AH385" s="208">
        <f t="shared" si="162"/>
        <v>5455.5783360510413</v>
      </c>
      <c r="AI385" s="208">
        <f t="shared" si="162"/>
        <v>5455.5783360510413</v>
      </c>
      <c r="AJ385" s="208">
        <f t="shared" si="162"/>
        <v>5455.5783360510413</v>
      </c>
      <c r="AK385" s="208">
        <f t="shared" si="162"/>
        <v>5455.5783360510413</v>
      </c>
      <c r="AL385" s="208">
        <f t="shared" si="162"/>
        <v>5455.5783360510413</v>
      </c>
      <c r="AM385" s="208">
        <f t="shared" si="162"/>
        <v>5455.5783360510413</v>
      </c>
      <c r="AN385" s="208">
        <f t="shared" si="162"/>
        <v>5455.5783360510413</v>
      </c>
      <c r="AO385" s="208">
        <f t="shared" si="162"/>
        <v>5455.5783360510413</v>
      </c>
      <c r="AP385" s="208">
        <f t="shared" si="162"/>
        <v>2727.7891680255161</v>
      </c>
    </row>
    <row r="386" spans="1:42">
      <c r="A386" s="226"/>
      <c r="B386" s="208"/>
      <c r="C386" s="208"/>
      <c r="D386" s="208"/>
      <c r="E386" s="208"/>
      <c r="F386" s="208"/>
      <c r="G386" s="208"/>
      <c r="H386" s="208"/>
      <c r="I386" s="208"/>
      <c r="J386" s="208"/>
      <c r="K386" s="208"/>
      <c r="L386" s="208"/>
      <c r="M386" s="208"/>
      <c r="N386" s="208"/>
      <c r="O386" s="208"/>
      <c r="P386" s="208"/>
      <c r="Q386" s="208"/>
      <c r="R386" s="208"/>
      <c r="S386" s="208"/>
      <c r="T386" s="208"/>
      <c r="U386" s="208"/>
      <c r="V386" s="208"/>
      <c r="W386" s="208"/>
      <c r="X386" s="208"/>
      <c r="Y386" s="208"/>
      <c r="Z386" s="208"/>
      <c r="AA386" s="208"/>
      <c r="AB386" s="208"/>
      <c r="AC386" s="208"/>
      <c r="AD386" s="208"/>
      <c r="AE386" s="208"/>
      <c r="AF386" s="208"/>
      <c r="AG386" s="208"/>
      <c r="AH386" s="208"/>
      <c r="AI386" s="208"/>
      <c r="AJ386" s="208"/>
      <c r="AK386" s="208"/>
      <c r="AL386" s="208"/>
      <c r="AM386" s="208"/>
      <c r="AN386" s="208"/>
      <c r="AO386" s="208"/>
      <c r="AP386" s="208"/>
    </row>
    <row r="387" spans="1:42">
      <c r="A387" s="219" t="s">
        <v>216</v>
      </c>
      <c r="C387" s="208"/>
      <c r="D387" s="208"/>
      <c r="E387" s="208"/>
      <c r="F387" s="208"/>
      <c r="G387" s="208"/>
      <c r="H387" s="208"/>
      <c r="I387" s="208"/>
      <c r="J387" s="208"/>
      <c r="K387" s="208"/>
      <c r="L387" s="208"/>
      <c r="M387" s="208"/>
      <c r="N387" s="208"/>
      <c r="O387" s="208"/>
      <c r="P387" s="208"/>
      <c r="Q387" s="208"/>
      <c r="R387" s="208"/>
      <c r="S387" s="208"/>
      <c r="T387" s="208"/>
      <c r="U387" s="208"/>
      <c r="V387" s="208"/>
      <c r="W387" s="208"/>
      <c r="X387" s="208"/>
      <c r="Y387" s="208"/>
      <c r="Z387" s="208"/>
      <c r="AA387" s="208"/>
      <c r="AB387" s="208"/>
      <c r="AC387" s="208"/>
      <c r="AD387" s="208"/>
      <c r="AE387" s="208"/>
      <c r="AF387" s="208"/>
      <c r="AG387" s="208"/>
      <c r="AH387" s="208"/>
      <c r="AI387" s="208"/>
      <c r="AJ387" s="208"/>
      <c r="AK387" s="208"/>
      <c r="AL387" s="208"/>
      <c r="AM387" s="208"/>
      <c r="AN387" s="208"/>
      <c r="AO387" s="208"/>
      <c r="AP387" s="208"/>
    </row>
    <row r="388" spans="1:42">
      <c r="A388" s="226" t="s">
        <v>218</v>
      </c>
      <c r="B388" s="244" t="str">
        <f>MMFedTaxTreatment</f>
        <v>5-yr MACRS</v>
      </c>
      <c r="C388" s="208"/>
      <c r="D388" s="208"/>
      <c r="E388" s="208"/>
      <c r="F388" s="208"/>
      <c r="G388" s="208"/>
      <c r="H388" s="208"/>
      <c r="I388" s="208"/>
      <c r="J388" s="208"/>
      <c r="K388" s="208"/>
      <c r="L388" s="208"/>
      <c r="M388" s="208"/>
      <c r="N388" s="208"/>
      <c r="O388" s="208"/>
      <c r="P388" s="208"/>
      <c r="Q388" s="208"/>
      <c r="R388" s="208"/>
      <c r="S388" s="208"/>
      <c r="T388" s="208"/>
      <c r="U388" s="208"/>
      <c r="V388" s="208"/>
      <c r="W388" s="208"/>
      <c r="X388" s="208"/>
      <c r="Y388" s="208"/>
      <c r="Z388" s="208"/>
      <c r="AA388" s="208"/>
      <c r="AB388" s="208"/>
      <c r="AC388" s="208"/>
      <c r="AD388" s="208"/>
      <c r="AE388" s="208"/>
      <c r="AF388" s="208"/>
      <c r="AG388" s="208"/>
      <c r="AH388" s="208"/>
      <c r="AI388" s="208"/>
      <c r="AJ388" s="208"/>
      <c r="AK388" s="208"/>
      <c r="AL388" s="208"/>
      <c r="AM388" s="208"/>
      <c r="AN388" s="208"/>
      <c r="AO388" s="208"/>
      <c r="AP388" s="208"/>
    </row>
    <row r="389" spans="1:42">
      <c r="A389" s="226" t="s">
        <v>219</v>
      </c>
      <c r="B389" s="208">
        <f t="shared" ref="B389:AP389" si="163">B2</f>
        <v>0</v>
      </c>
      <c r="C389" s="208">
        <f t="shared" si="163"/>
        <v>1</v>
      </c>
      <c r="D389" s="208">
        <f t="shared" si="163"/>
        <v>2</v>
      </c>
      <c r="E389" s="208">
        <f t="shared" si="163"/>
        <v>3</v>
      </c>
      <c r="F389" s="208">
        <f t="shared" si="163"/>
        <v>4</v>
      </c>
      <c r="G389" s="208">
        <f t="shared" si="163"/>
        <v>5</v>
      </c>
      <c r="H389" s="208">
        <f t="shared" si="163"/>
        <v>6</v>
      </c>
      <c r="I389" s="208">
        <f t="shared" si="163"/>
        <v>7</v>
      </c>
      <c r="J389" s="208">
        <f t="shared" si="163"/>
        <v>8</v>
      </c>
      <c r="K389" s="208">
        <f t="shared" si="163"/>
        <v>9</v>
      </c>
      <c r="L389" s="208">
        <f t="shared" si="163"/>
        <v>10</v>
      </c>
      <c r="M389" s="208">
        <f t="shared" si="163"/>
        <v>11</v>
      </c>
      <c r="N389" s="208">
        <f t="shared" si="163"/>
        <v>12</v>
      </c>
      <c r="O389" s="208">
        <f t="shared" si="163"/>
        <v>13</v>
      </c>
      <c r="P389" s="208">
        <f t="shared" si="163"/>
        <v>14</v>
      </c>
      <c r="Q389" s="208">
        <f t="shared" si="163"/>
        <v>15</v>
      </c>
      <c r="R389" s="208">
        <f t="shared" si="163"/>
        <v>16</v>
      </c>
      <c r="S389" s="208">
        <f t="shared" si="163"/>
        <v>17</v>
      </c>
      <c r="T389" s="208">
        <f t="shared" si="163"/>
        <v>18</v>
      </c>
      <c r="U389" s="208">
        <f t="shared" si="163"/>
        <v>19</v>
      </c>
      <c r="V389" s="208">
        <f t="shared" si="163"/>
        <v>20</v>
      </c>
      <c r="W389" s="208">
        <f t="shared" si="163"/>
        <v>21</v>
      </c>
      <c r="X389" s="208">
        <f t="shared" si="163"/>
        <v>22</v>
      </c>
      <c r="Y389" s="208">
        <f t="shared" si="163"/>
        <v>23</v>
      </c>
      <c r="Z389" s="208">
        <f t="shared" si="163"/>
        <v>24</v>
      </c>
      <c r="AA389" s="208">
        <f t="shared" si="163"/>
        <v>25</v>
      </c>
      <c r="AB389" s="208">
        <f t="shared" si="163"/>
        <v>26</v>
      </c>
      <c r="AC389" s="208">
        <f t="shared" si="163"/>
        <v>27</v>
      </c>
      <c r="AD389" s="208">
        <f t="shared" si="163"/>
        <v>28</v>
      </c>
      <c r="AE389" s="208">
        <f t="shared" si="163"/>
        <v>29</v>
      </c>
      <c r="AF389" s="208">
        <f t="shared" si="163"/>
        <v>30</v>
      </c>
      <c r="AG389" s="208">
        <f t="shared" si="163"/>
        <v>31</v>
      </c>
      <c r="AH389" s="208">
        <f t="shared" si="163"/>
        <v>32</v>
      </c>
      <c r="AI389" s="208">
        <f t="shared" si="163"/>
        <v>33</v>
      </c>
      <c r="AJ389" s="208">
        <f t="shared" si="163"/>
        <v>34</v>
      </c>
      <c r="AK389" s="208">
        <f t="shared" si="163"/>
        <v>35</v>
      </c>
      <c r="AL389" s="208">
        <f t="shared" si="163"/>
        <v>36</v>
      </c>
      <c r="AM389" s="208">
        <f t="shared" si="163"/>
        <v>37</v>
      </c>
      <c r="AN389" s="208">
        <f t="shared" si="163"/>
        <v>38</v>
      </c>
      <c r="AO389" s="208">
        <f t="shared" si="163"/>
        <v>39</v>
      </c>
      <c r="AP389" s="208">
        <f t="shared" si="163"/>
        <v>40</v>
      </c>
    </row>
    <row r="390" spans="1:42">
      <c r="A390" s="226" t="s">
        <v>220</v>
      </c>
      <c r="B390" s="245">
        <v>0</v>
      </c>
      <c r="C390" s="240">
        <f t="shared" ref="C390:AP390" si="164">IF($B$388=$A371,C371,0)+IF($B$388=$A372,C372,0)+IF($B$388=$A373,C373,0)+IF($B$388=$A374,C374,0)+IF($B$388=$A375,C375,0)+IF($B$388=$A376,C376,0)</f>
        <v>0.2</v>
      </c>
      <c r="D390" s="240">
        <f t="shared" si="164"/>
        <v>0.32</v>
      </c>
      <c r="E390" s="240">
        <f t="shared" si="164"/>
        <v>0.192</v>
      </c>
      <c r="F390" s="240">
        <f t="shared" si="164"/>
        <v>0.1152</v>
      </c>
      <c r="G390" s="240">
        <f t="shared" si="164"/>
        <v>0.1152</v>
      </c>
      <c r="H390" s="240">
        <f t="shared" si="164"/>
        <v>5.7599999999999998E-2</v>
      </c>
      <c r="I390" s="240">
        <f t="shared" si="164"/>
        <v>0</v>
      </c>
      <c r="J390" s="240">
        <f t="shared" si="164"/>
        <v>0</v>
      </c>
      <c r="K390" s="240">
        <f t="shared" si="164"/>
        <v>0</v>
      </c>
      <c r="L390" s="240">
        <f t="shared" si="164"/>
        <v>0</v>
      </c>
      <c r="M390" s="240">
        <f t="shared" si="164"/>
        <v>0</v>
      </c>
      <c r="N390" s="240">
        <f t="shared" si="164"/>
        <v>0</v>
      </c>
      <c r="O390" s="240">
        <f t="shared" si="164"/>
        <v>0</v>
      </c>
      <c r="P390" s="240">
        <f t="shared" si="164"/>
        <v>0</v>
      </c>
      <c r="Q390" s="240">
        <f t="shared" si="164"/>
        <v>0</v>
      </c>
      <c r="R390" s="240">
        <f t="shared" si="164"/>
        <v>0</v>
      </c>
      <c r="S390" s="240">
        <f t="shared" si="164"/>
        <v>0</v>
      </c>
      <c r="T390" s="240">
        <f t="shared" si="164"/>
        <v>0</v>
      </c>
      <c r="U390" s="240">
        <f t="shared" si="164"/>
        <v>0</v>
      </c>
      <c r="V390" s="240">
        <f t="shared" si="164"/>
        <v>0</v>
      </c>
      <c r="W390" s="240">
        <f t="shared" si="164"/>
        <v>0</v>
      </c>
      <c r="X390" s="240">
        <f t="shared" si="164"/>
        <v>0</v>
      </c>
      <c r="Y390" s="240">
        <f t="shared" si="164"/>
        <v>0</v>
      </c>
      <c r="Z390" s="240">
        <f t="shared" si="164"/>
        <v>0</v>
      </c>
      <c r="AA390" s="240">
        <f t="shared" si="164"/>
        <v>0</v>
      </c>
      <c r="AB390" s="240">
        <f t="shared" si="164"/>
        <v>0</v>
      </c>
      <c r="AC390" s="240">
        <f t="shared" si="164"/>
        <v>0</v>
      </c>
      <c r="AD390" s="240">
        <f t="shared" si="164"/>
        <v>0</v>
      </c>
      <c r="AE390" s="240">
        <f t="shared" si="164"/>
        <v>0</v>
      </c>
      <c r="AF390" s="240">
        <f t="shared" si="164"/>
        <v>0</v>
      </c>
      <c r="AG390" s="240">
        <f t="shared" si="164"/>
        <v>0</v>
      </c>
      <c r="AH390" s="240">
        <f t="shared" si="164"/>
        <v>0</v>
      </c>
      <c r="AI390" s="240">
        <f t="shared" si="164"/>
        <v>0</v>
      </c>
      <c r="AJ390" s="240">
        <f t="shared" si="164"/>
        <v>0</v>
      </c>
      <c r="AK390" s="240">
        <f t="shared" si="164"/>
        <v>0</v>
      </c>
      <c r="AL390" s="240">
        <f t="shared" si="164"/>
        <v>0</v>
      </c>
      <c r="AM390" s="240">
        <f t="shared" si="164"/>
        <v>0</v>
      </c>
      <c r="AN390" s="240">
        <f t="shared" si="164"/>
        <v>0</v>
      </c>
      <c r="AO390" s="240">
        <f t="shared" si="164"/>
        <v>0</v>
      </c>
      <c r="AP390" s="240">
        <f t="shared" si="164"/>
        <v>0</v>
      </c>
    </row>
    <row r="391" spans="1:42">
      <c r="A391" s="219"/>
      <c r="C391" s="208"/>
      <c r="D391" s="208"/>
      <c r="E391" s="208"/>
      <c r="F391" s="208"/>
      <c r="G391" s="208"/>
      <c r="H391" s="208"/>
      <c r="I391" s="208"/>
      <c r="J391" s="208"/>
      <c r="K391" s="208"/>
      <c r="L391" s="208"/>
      <c r="M391" s="208"/>
      <c r="N391" s="208"/>
      <c r="O391" s="208"/>
      <c r="P391" s="208"/>
      <c r="Q391" s="208"/>
      <c r="R391" s="208"/>
      <c r="S391" s="208"/>
      <c r="T391" s="208"/>
      <c r="U391" s="208"/>
      <c r="V391" s="208"/>
      <c r="W391" s="208"/>
      <c r="X391" s="208"/>
      <c r="Y391" s="208"/>
      <c r="Z391" s="208"/>
      <c r="AA391" s="208"/>
      <c r="AB391" s="208"/>
      <c r="AC391" s="208"/>
      <c r="AD391" s="208"/>
      <c r="AE391" s="208"/>
      <c r="AF391" s="208"/>
      <c r="AG391" s="208"/>
      <c r="AH391" s="208"/>
      <c r="AI391" s="208"/>
      <c r="AJ391" s="208"/>
      <c r="AK391" s="208"/>
      <c r="AL391" s="208"/>
      <c r="AM391" s="208"/>
      <c r="AN391" s="208"/>
      <c r="AO391" s="208"/>
      <c r="AP391" s="208"/>
    </row>
    <row r="392" spans="1:42">
      <c r="A392" s="219" t="s">
        <v>383</v>
      </c>
      <c r="C392" s="208"/>
      <c r="D392" s="208"/>
      <c r="E392" s="208"/>
      <c r="F392" s="208"/>
      <c r="G392" s="208"/>
      <c r="H392" s="208"/>
      <c r="I392" s="208"/>
      <c r="J392" s="208"/>
      <c r="K392" s="208"/>
      <c r="L392" s="208"/>
      <c r="M392" s="208"/>
      <c r="N392" s="208"/>
      <c r="O392" s="208"/>
      <c r="P392" s="208"/>
      <c r="Q392" s="208"/>
      <c r="R392" s="208"/>
      <c r="S392" s="208"/>
      <c r="T392" s="208"/>
      <c r="U392" s="208"/>
      <c r="V392" s="208"/>
      <c r="W392" s="208"/>
      <c r="X392" s="208"/>
      <c r="Y392" s="208"/>
      <c r="Z392" s="208"/>
      <c r="AA392" s="208"/>
      <c r="AB392" s="208"/>
      <c r="AC392" s="208"/>
      <c r="AD392" s="208"/>
      <c r="AE392" s="208"/>
      <c r="AF392" s="208"/>
      <c r="AG392" s="208"/>
      <c r="AH392" s="208"/>
      <c r="AI392" s="208"/>
      <c r="AJ392" s="208"/>
      <c r="AK392" s="208"/>
      <c r="AL392" s="208"/>
      <c r="AM392" s="208"/>
      <c r="AN392" s="208"/>
      <c r="AO392" s="208"/>
      <c r="AP392" s="208"/>
    </row>
    <row r="393" spans="1:42">
      <c r="A393" s="226" t="s">
        <v>217</v>
      </c>
      <c r="C393" s="208"/>
      <c r="D393" s="208"/>
      <c r="E393" s="208"/>
      <c r="F393" s="208"/>
      <c r="G393" s="208"/>
      <c r="H393" s="208"/>
      <c r="I393" s="208"/>
      <c r="J393" s="208"/>
      <c r="K393" s="208"/>
      <c r="L393" s="208"/>
      <c r="M393" s="208"/>
      <c r="N393" s="208"/>
      <c r="O393" s="208"/>
      <c r="P393" s="208"/>
      <c r="Q393" s="208"/>
      <c r="R393" s="208"/>
      <c r="S393" s="208"/>
      <c r="T393" s="208"/>
      <c r="U393" s="208"/>
      <c r="V393" s="208"/>
      <c r="W393" s="208"/>
      <c r="X393" s="208"/>
      <c r="Y393" s="208"/>
      <c r="Z393" s="208"/>
      <c r="AA393" s="208"/>
      <c r="AB393" s="208"/>
      <c r="AC393" s="208"/>
      <c r="AD393" s="208"/>
      <c r="AE393" s="208"/>
      <c r="AF393" s="208"/>
      <c r="AG393" s="208"/>
      <c r="AH393" s="208"/>
      <c r="AI393" s="208"/>
      <c r="AJ393" s="208"/>
      <c r="AK393" s="208"/>
      <c r="AL393" s="208"/>
      <c r="AM393" s="208"/>
      <c r="AN393" s="208"/>
      <c r="AO393" s="208"/>
      <c r="AP393" s="208"/>
    </row>
    <row r="394" spans="1:42">
      <c r="A394" s="119">
        <v>1</v>
      </c>
      <c r="C394" s="208">
        <f>C260</f>
        <v>0</v>
      </c>
      <c r="D394" s="208">
        <f t="shared" ref="D394:AP400" si="165">D260</f>
        <v>0</v>
      </c>
      <c r="E394" s="208">
        <f t="shared" si="165"/>
        <v>0</v>
      </c>
      <c r="F394" s="208">
        <f t="shared" si="165"/>
        <v>0</v>
      </c>
      <c r="G394" s="208">
        <f t="shared" si="165"/>
        <v>0</v>
      </c>
      <c r="H394" s="208">
        <f t="shared" si="165"/>
        <v>0</v>
      </c>
      <c r="I394" s="208">
        <f t="shared" si="165"/>
        <v>0</v>
      </c>
      <c r="J394" s="208">
        <f t="shared" si="165"/>
        <v>0</v>
      </c>
      <c r="K394" s="208">
        <f t="shared" si="165"/>
        <v>0</v>
      </c>
      <c r="L394" s="208">
        <f t="shared" si="165"/>
        <v>0</v>
      </c>
      <c r="M394" s="208">
        <f t="shared" si="165"/>
        <v>0</v>
      </c>
      <c r="N394" s="208">
        <f t="shared" si="165"/>
        <v>1</v>
      </c>
      <c r="O394" s="208">
        <f t="shared" si="165"/>
        <v>2</v>
      </c>
      <c r="P394" s="208">
        <f t="shared" si="165"/>
        <v>3</v>
      </c>
      <c r="Q394" s="208">
        <f t="shared" si="165"/>
        <v>4</v>
      </c>
      <c r="R394" s="208">
        <f t="shared" si="165"/>
        <v>5</v>
      </c>
      <c r="S394" s="208">
        <f t="shared" si="165"/>
        <v>6</v>
      </c>
      <c r="T394" s="208">
        <f t="shared" si="165"/>
        <v>7</v>
      </c>
      <c r="U394" s="208">
        <f t="shared" si="165"/>
        <v>8</v>
      </c>
      <c r="V394" s="208">
        <f t="shared" si="165"/>
        <v>9</v>
      </c>
      <c r="W394" s="208">
        <f t="shared" si="165"/>
        <v>10</v>
      </c>
      <c r="X394" s="208">
        <f t="shared" si="165"/>
        <v>11</v>
      </c>
      <c r="Y394" s="208">
        <f t="shared" si="165"/>
        <v>12</v>
      </c>
      <c r="Z394" s="208">
        <f t="shared" si="165"/>
        <v>13</v>
      </c>
      <c r="AA394" s="208">
        <f t="shared" si="165"/>
        <v>14</v>
      </c>
      <c r="AB394" s="208">
        <f t="shared" si="165"/>
        <v>15</v>
      </c>
      <c r="AC394" s="208">
        <f t="shared" si="165"/>
        <v>16</v>
      </c>
      <c r="AD394" s="208">
        <f t="shared" si="165"/>
        <v>17</v>
      </c>
      <c r="AE394" s="208">
        <f t="shared" si="165"/>
        <v>18</v>
      </c>
      <c r="AF394" s="208">
        <f t="shared" si="165"/>
        <v>19</v>
      </c>
      <c r="AG394" s="208">
        <f t="shared" si="165"/>
        <v>0</v>
      </c>
      <c r="AH394" s="208">
        <f t="shared" si="165"/>
        <v>0</v>
      </c>
      <c r="AI394" s="208">
        <f t="shared" si="165"/>
        <v>0</v>
      </c>
      <c r="AJ394" s="208">
        <f t="shared" si="165"/>
        <v>0</v>
      </c>
      <c r="AK394" s="208">
        <f t="shared" si="165"/>
        <v>0</v>
      </c>
      <c r="AL394" s="208">
        <f t="shared" si="165"/>
        <v>0</v>
      </c>
      <c r="AM394" s="208">
        <f t="shared" si="165"/>
        <v>0</v>
      </c>
      <c r="AN394" s="208">
        <f t="shared" si="165"/>
        <v>0</v>
      </c>
      <c r="AO394" s="208">
        <f t="shared" si="165"/>
        <v>0</v>
      </c>
      <c r="AP394" s="208">
        <f t="shared" si="165"/>
        <v>0</v>
      </c>
    </row>
    <row r="395" spans="1:42">
      <c r="A395" s="119">
        <f>A394+1</f>
        <v>2</v>
      </c>
      <c r="C395" s="208">
        <f t="shared" ref="C395:R403" si="166">C261</f>
        <v>0</v>
      </c>
      <c r="D395" s="208">
        <f t="shared" si="165"/>
        <v>0</v>
      </c>
      <c r="E395" s="208">
        <f t="shared" si="165"/>
        <v>0</v>
      </c>
      <c r="F395" s="208">
        <f t="shared" si="165"/>
        <v>0</v>
      </c>
      <c r="G395" s="208">
        <f t="shared" si="165"/>
        <v>0</v>
      </c>
      <c r="H395" s="208">
        <f t="shared" si="165"/>
        <v>0</v>
      </c>
      <c r="I395" s="208">
        <f t="shared" si="165"/>
        <v>0</v>
      </c>
      <c r="J395" s="208">
        <f t="shared" si="165"/>
        <v>0</v>
      </c>
      <c r="K395" s="208">
        <f t="shared" si="165"/>
        <v>0</v>
      </c>
      <c r="L395" s="208">
        <f t="shared" si="165"/>
        <v>0</v>
      </c>
      <c r="M395" s="208">
        <f t="shared" si="165"/>
        <v>0</v>
      </c>
      <c r="N395" s="208">
        <f t="shared" si="165"/>
        <v>0</v>
      </c>
      <c r="O395" s="208">
        <f t="shared" si="165"/>
        <v>0</v>
      </c>
      <c r="P395" s="208">
        <f t="shared" si="165"/>
        <v>0</v>
      </c>
      <c r="Q395" s="208">
        <f t="shared" si="165"/>
        <v>0</v>
      </c>
      <c r="R395" s="208">
        <f t="shared" si="165"/>
        <v>0</v>
      </c>
      <c r="S395" s="208">
        <f t="shared" si="165"/>
        <v>0</v>
      </c>
      <c r="T395" s="208">
        <f t="shared" si="165"/>
        <v>0</v>
      </c>
      <c r="U395" s="208">
        <f t="shared" si="165"/>
        <v>0</v>
      </c>
      <c r="V395" s="208">
        <f t="shared" si="165"/>
        <v>0</v>
      </c>
      <c r="W395" s="208">
        <f t="shared" si="165"/>
        <v>0</v>
      </c>
      <c r="X395" s="208">
        <f t="shared" si="165"/>
        <v>0</v>
      </c>
      <c r="Y395" s="208">
        <f t="shared" si="165"/>
        <v>0</v>
      </c>
      <c r="Z395" s="208">
        <f t="shared" si="165"/>
        <v>1</v>
      </c>
      <c r="AA395" s="208">
        <f t="shared" si="165"/>
        <v>2</v>
      </c>
      <c r="AB395" s="208">
        <f t="shared" si="165"/>
        <v>3</v>
      </c>
      <c r="AC395" s="208">
        <f t="shared" si="165"/>
        <v>4</v>
      </c>
      <c r="AD395" s="208">
        <f t="shared" si="165"/>
        <v>5</v>
      </c>
      <c r="AE395" s="208">
        <f t="shared" si="165"/>
        <v>6</v>
      </c>
      <c r="AF395" s="208">
        <f t="shared" si="165"/>
        <v>7</v>
      </c>
      <c r="AG395" s="208">
        <f t="shared" si="165"/>
        <v>0</v>
      </c>
      <c r="AH395" s="208">
        <f t="shared" si="165"/>
        <v>0</v>
      </c>
      <c r="AI395" s="208">
        <f t="shared" si="165"/>
        <v>0</v>
      </c>
      <c r="AJ395" s="208">
        <f t="shared" si="165"/>
        <v>0</v>
      </c>
      <c r="AK395" s="208">
        <f t="shared" si="165"/>
        <v>0</v>
      </c>
      <c r="AL395" s="208">
        <f t="shared" si="165"/>
        <v>0</v>
      </c>
      <c r="AM395" s="208">
        <f t="shared" si="165"/>
        <v>0</v>
      </c>
      <c r="AN395" s="208">
        <f t="shared" si="165"/>
        <v>0</v>
      </c>
      <c r="AO395" s="208">
        <f t="shared" si="165"/>
        <v>0</v>
      </c>
      <c r="AP395" s="208">
        <f t="shared" si="165"/>
        <v>0</v>
      </c>
    </row>
    <row r="396" spans="1:42">
      <c r="A396" s="119">
        <f t="shared" ref="A396:A401" si="167">A395+1</f>
        <v>3</v>
      </c>
      <c r="C396" s="208">
        <f t="shared" si="166"/>
        <v>0</v>
      </c>
      <c r="D396" s="208">
        <f t="shared" si="165"/>
        <v>0</v>
      </c>
      <c r="E396" s="208">
        <f t="shared" si="165"/>
        <v>0</v>
      </c>
      <c r="F396" s="208">
        <f t="shared" si="165"/>
        <v>0</v>
      </c>
      <c r="G396" s="208">
        <f t="shared" si="165"/>
        <v>0</v>
      </c>
      <c r="H396" s="208">
        <f t="shared" si="165"/>
        <v>0</v>
      </c>
      <c r="I396" s="208">
        <f t="shared" si="165"/>
        <v>0</v>
      </c>
      <c r="J396" s="208">
        <f t="shared" si="165"/>
        <v>0</v>
      </c>
      <c r="K396" s="208">
        <f t="shared" si="165"/>
        <v>0</v>
      </c>
      <c r="L396" s="208">
        <f t="shared" si="165"/>
        <v>0</v>
      </c>
      <c r="M396" s="208">
        <f t="shared" si="165"/>
        <v>0</v>
      </c>
      <c r="N396" s="208">
        <f t="shared" si="165"/>
        <v>0</v>
      </c>
      <c r="O396" s="208">
        <f t="shared" si="165"/>
        <v>0</v>
      </c>
      <c r="P396" s="208">
        <f t="shared" si="165"/>
        <v>0</v>
      </c>
      <c r="Q396" s="208">
        <f t="shared" si="165"/>
        <v>0</v>
      </c>
      <c r="R396" s="208">
        <f t="shared" si="165"/>
        <v>0</v>
      </c>
      <c r="S396" s="208">
        <f t="shared" si="165"/>
        <v>0</v>
      </c>
      <c r="T396" s="208">
        <f t="shared" si="165"/>
        <v>0</v>
      </c>
      <c r="U396" s="208">
        <f t="shared" si="165"/>
        <v>0</v>
      </c>
      <c r="V396" s="208">
        <f t="shared" si="165"/>
        <v>0</v>
      </c>
      <c r="W396" s="208">
        <f t="shared" si="165"/>
        <v>0</v>
      </c>
      <c r="X396" s="208">
        <f t="shared" si="165"/>
        <v>0</v>
      </c>
      <c r="Y396" s="208">
        <f t="shared" si="165"/>
        <v>0</v>
      </c>
      <c r="Z396" s="208">
        <f t="shared" si="165"/>
        <v>0</v>
      </c>
      <c r="AA396" s="208">
        <f t="shared" si="165"/>
        <v>0</v>
      </c>
      <c r="AB396" s="208">
        <f t="shared" si="165"/>
        <v>0</v>
      </c>
      <c r="AC396" s="208">
        <f t="shared" si="165"/>
        <v>0</v>
      </c>
      <c r="AD396" s="208">
        <f t="shared" si="165"/>
        <v>0</v>
      </c>
      <c r="AE396" s="208">
        <f t="shared" si="165"/>
        <v>0</v>
      </c>
      <c r="AF396" s="208">
        <f t="shared" si="165"/>
        <v>0</v>
      </c>
      <c r="AG396" s="208">
        <f t="shared" si="165"/>
        <v>0</v>
      </c>
      <c r="AH396" s="208">
        <f t="shared" si="165"/>
        <v>0</v>
      </c>
      <c r="AI396" s="208">
        <f t="shared" si="165"/>
        <v>0</v>
      </c>
      <c r="AJ396" s="208">
        <f t="shared" si="165"/>
        <v>0</v>
      </c>
      <c r="AK396" s="208">
        <f t="shared" si="165"/>
        <v>0</v>
      </c>
      <c r="AL396" s="208">
        <f t="shared" si="165"/>
        <v>0</v>
      </c>
      <c r="AM396" s="208">
        <f t="shared" si="165"/>
        <v>0</v>
      </c>
      <c r="AN396" s="208">
        <f t="shared" si="165"/>
        <v>0</v>
      </c>
      <c r="AO396" s="208">
        <f t="shared" si="165"/>
        <v>0</v>
      </c>
      <c r="AP396" s="208">
        <f t="shared" si="165"/>
        <v>0</v>
      </c>
    </row>
    <row r="397" spans="1:42">
      <c r="A397" s="119">
        <f t="shared" si="167"/>
        <v>4</v>
      </c>
      <c r="C397" s="208">
        <f t="shared" si="166"/>
        <v>0</v>
      </c>
      <c r="D397" s="208">
        <f t="shared" si="165"/>
        <v>0</v>
      </c>
      <c r="E397" s="208">
        <f t="shared" si="165"/>
        <v>0</v>
      </c>
      <c r="F397" s="208">
        <f t="shared" si="165"/>
        <v>0</v>
      </c>
      <c r="G397" s="208">
        <f t="shared" si="165"/>
        <v>0</v>
      </c>
      <c r="H397" s="208">
        <f t="shared" si="165"/>
        <v>0</v>
      </c>
      <c r="I397" s="208">
        <f t="shared" si="165"/>
        <v>0</v>
      </c>
      <c r="J397" s="208">
        <f t="shared" si="165"/>
        <v>0</v>
      </c>
      <c r="K397" s="208">
        <f t="shared" si="165"/>
        <v>0</v>
      </c>
      <c r="L397" s="208">
        <f t="shared" si="165"/>
        <v>0</v>
      </c>
      <c r="M397" s="208">
        <f t="shared" si="165"/>
        <v>0</v>
      </c>
      <c r="N397" s="208">
        <f t="shared" si="165"/>
        <v>0</v>
      </c>
      <c r="O397" s="208">
        <f t="shared" si="165"/>
        <v>0</v>
      </c>
      <c r="P397" s="208">
        <f t="shared" si="165"/>
        <v>0</v>
      </c>
      <c r="Q397" s="208">
        <f t="shared" si="165"/>
        <v>0</v>
      </c>
      <c r="R397" s="208">
        <f t="shared" si="165"/>
        <v>0</v>
      </c>
      <c r="S397" s="208">
        <f t="shared" si="165"/>
        <v>0</v>
      </c>
      <c r="T397" s="208">
        <f t="shared" si="165"/>
        <v>0</v>
      </c>
      <c r="U397" s="208">
        <f t="shared" si="165"/>
        <v>0</v>
      </c>
      <c r="V397" s="208">
        <f t="shared" si="165"/>
        <v>0</v>
      </c>
      <c r="W397" s="208">
        <f t="shared" si="165"/>
        <v>0</v>
      </c>
      <c r="X397" s="208">
        <f t="shared" si="165"/>
        <v>0</v>
      </c>
      <c r="Y397" s="208">
        <f t="shared" si="165"/>
        <v>0</v>
      </c>
      <c r="Z397" s="208">
        <f t="shared" si="165"/>
        <v>0</v>
      </c>
      <c r="AA397" s="208">
        <f t="shared" si="165"/>
        <v>0</v>
      </c>
      <c r="AB397" s="208">
        <f t="shared" si="165"/>
        <v>0</v>
      </c>
      <c r="AC397" s="208">
        <f t="shared" si="165"/>
        <v>0</v>
      </c>
      <c r="AD397" s="208">
        <f t="shared" si="165"/>
        <v>0</v>
      </c>
      <c r="AE397" s="208">
        <f t="shared" si="165"/>
        <v>0</v>
      </c>
      <c r="AF397" s="208">
        <f t="shared" si="165"/>
        <v>0</v>
      </c>
      <c r="AG397" s="208">
        <f t="shared" si="165"/>
        <v>0</v>
      </c>
      <c r="AH397" s="208">
        <f t="shared" si="165"/>
        <v>0</v>
      </c>
      <c r="AI397" s="208">
        <f t="shared" si="165"/>
        <v>0</v>
      </c>
      <c r="AJ397" s="208">
        <f t="shared" si="165"/>
        <v>0</v>
      </c>
      <c r="AK397" s="208">
        <f t="shared" si="165"/>
        <v>0</v>
      </c>
      <c r="AL397" s="208">
        <f t="shared" si="165"/>
        <v>0</v>
      </c>
      <c r="AM397" s="208">
        <f t="shared" si="165"/>
        <v>0</v>
      </c>
      <c r="AN397" s="208">
        <f t="shared" si="165"/>
        <v>0</v>
      </c>
      <c r="AO397" s="208">
        <f t="shared" si="165"/>
        <v>0</v>
      </c>
      <c r="AP397" s="208">
        <f t="shared" si="165"/>
        <v>0</v>
      </c>
    </row>
    <row r="398" spans="1:42">
      <c r="A398" s="119">
        <f t="shared" si="167"/>
        <v>5</v>
      </c>
      <c r="C398" s="208">
        <f t="shared" si="166"/>
        <v>0</v>
      </c>
      <c r="D398" s="208">
        <f t="shared" si="165"/>
        <v>0</v>
      </c>
      <c r="E398" s="208">
        <f t="shared" si="165"/>
        <v>0</v>
      </c>
      <c r="F398" s="208">
        <f t="shared" si="165"/>
        <v>0</v>
      </c>
      <c r="G398" s="208">
        <f t="shared" si="165"/>
        <v>0</v>
      </c>
      <c r="H398" s="208">
        <f t="shared" si="165"/>
        <v>0</v>
      </c>
      <c r="I398" s="208">
        <f t="shared" si="165"/>
        <v>0</v>
      </c>
      <c r="J398" s="208">
        <f t="shared" si="165"/>
        <v>0</v>
      </c>
      <c r="K398" s="208">
        <f t="shared" si="165"/>
        <v>0</v>
      </c>
      <c r="L398" s="208">
        <f t="shared" si="165"/>
        <v>0</v>
      </c>
      <c r="M398" s="208">
        <f t="shared" si="165"/>
        <v>0</v>
      </c>
      <c r="N398" s="208">
        <f t="shared" si="165"/>
        <v>0</v>
      </c>
      <c r="O398" s="208">
        <f t="shared" si="165"/>
        <v>0</v>
      </c>
      <c r="P398" s="208">
        <f t="shared" si="165"/>
        <v>0</v>
      </c>
      <c r="Q398" s="208">
        <f t="shared" si="165"/>
        <v>0</v>
      </c>
      <c r="R398" s="208">
        <f t="shared" si="165"/>
        <v>0</v>
      </c>
      <c r="S398" s="208">
        <f t="shared" si="165"/>
        <v>0</v>
      </c>
      <c r="T398" s="208">
        <f t="shared" si="165"/>
        <v>0</v>
      </c>
      <c r="U398" s="208">
        <f t="shared" si="165"/>
        <v>0</v>
      </c>
      <c r="V398" s="208">
        <f t="shared" si="165"/>
        <v>0</v>
      </c>
      <c r="W398" s="208">
        <f t="shared" si="165"/>
        <v>0</v>
      </c>
      <c r="X398" s="208">
        <f t="shared" si="165"/>
        <v>0</v>
      </c>
      <c r="Y398" s="208">
        <f t="shared" si="165"/>
        <v>0</v>
      </c>
      <c r="Z398" s="208">
        <f t="shared" si="165"/>
        <v>0</v>
      </c>
      <c r="AA398" s="208">
        <f t="shared" si="165"/>
        <v>0</v>
      </c>
      <c r="AB398" s="208">
        <f t="shared" si="165"/>
        <v>0</v>
      </c>
      <c r="AC398" s="208">
        <f t="shared" si="165"/>
        <v>0</v>
      </c>
      <c r="AD398" s="208">
        <f t="shared" si="165"/>
        <v>0</v>
      </c>
      <c r="AE398" s="208">
        <f t="shared" si="165"/>
        <v>0</v>
      </c>
      <c r="AF398" s="208">
        <f t="shared" si="165"/>
        <v>0</v>
      </c>
      <c r="AG398" s="208">
        <f t="shared" si="165"/>
        <v>0</v>
      </c>
      <c r="AH398" s="208">
        <f t="shared" si="165"/>
        <v>0</v>
      </c>
      <c r="AI398" s="208">
        <f t="shared" si="165"/>
        <v>0</v>
      </c>
      <c r="AJ398" s="208">
        <f t="shared" si="165"/>
        <v>0</v>
      </c>
      <c r="AK398" s="208">
        <f t="shared" si="165"/>
        <v>0</v>
      </c>
      <c r="AL398" s="208">
        <f t="shared" si="165"/>
        <v>0</v>
      </c>
      <c r="AM398" s="208">
        <f t="shared" si="165"/>
        <v>0</v>
      </c>
      <c r="AN398" s="208">
        <f t="shared" si="165"/>
        <v>0</v>
      </c>
      <c r="AO398" s="208">
        <f t="shared" si="165"/>
        <v>0</v>
      </c>
      <c r="AP398" s="208">
        <f t="shared" si="165"/>
        <v>0</v>
      </c>
    </row>
    <row r="399" spans="1:42">
      <c r="A399" s="119">
        <f t="shared" si="167"/>
        <v>6</v>
      </c>
      <c r="C399" s="208">
        <f t="shared" si="166"/>
        <v>0</v>
      </c>
      <c r="D399" s="208">
        <f t="shared" si="165"/>
        <v>0</v>
      </c>
      <c r="E399" s="208">
        <f t="shared" si="165"/>
        <v>0</v>
      </c>
      <c r="F399" s="208">
        <f t="shared" si="165"/>
        <v>0</v>
      </c>
      <c r="G399" s="208">
        <f t="shared" si="165"/>
        <v>0</v>
      </c>
      <c r="H399" s="208">
        <f t="shared" si="165"/>
        <v>0</v>
      </c>
      <c r="I399" s="208">
        <f t="shared" si="165"/>
        <v>0</v>
      </c>
      <c r="J399" s="208">
        <f t="shared" si="165"/>
        <v>0</v>
      </c>
      <c r="K399" s="208">
        <f t="shared" si="165"/>
        <v>0</v>
      </c>
      <c r="L399" s="208">
        <f t="shared" si="165"/>
        <v>0</v>
      </c>
      <c r="M399" s="208">
        <f t="shared" si="165"/>
        <v>0</v>
      </c>
      <c r="N399" s="208">
        <f t="shared" si="165"/>
        <v>0</v>
      </c>
      <c r="O399" s="208">
        <f t="shared" si="165"/>
        <v>0</v>
      </c>
      <c r="P399" s="208">
        <f t="shared" si="165"/>
        <v>0</v>
      </c>
      <c r="Q399" s="208">
        <f t="shared" si="165"/>
        <v>0</v>
      </c>
      <c r="R399" s="208">
        <f t="shared" si="165"/>
        <v>0</v>
      </c>
      <c r="S399" s="208">
        <f t="shared" si="165"/>
        <v>0</v>
      </c>
      <c r="T399" s="208">
        <f t="shared" si="165"/>
        <v>0</v>
      </c>
      <c r="U399" s="208">
        <f t="shared" si="165"/>
        <v>0</v>
      </c>
      <c r="V399" s="208">
        <f t="shared" si="165"/>
        <v>0</v>
      </c>
      <c r="W399" s="208">
        <f t="shared" si="165"/>
        <v>0</v>
      </c>
      <c r="X399" s="208">
        <f t="shared" si="165"/>
        <v>0</v>
      </c>
      <c r="Y399" s="208">
        <f t="shared" si="165"/>
        <v>0</v>
      </c>
      <c r="Z399" s="208">
        <f t="shared" si="165"/>
        <v>0</v>
      </c>
      <c r="AA399" s="208">
        <f t="shared" si="165"/>
        <v>0</v>
      </c>
      <c r="AB399" s="208">
        <f t="shared" si="165"/>
        <v>0</v>
      </c>
      <c r="AC399" s="208">
        <f t="shared" si="165"/>
        <v>0</v>
      </c>
      <c r="AD399" s="208">
        <f t="shared" si="165"/>
        <v>0</v>
      </c>
      <c r="AE399" s="208">
        <f t="shared" si="165"/>
        <v>0</v>
      </c>
      <c r="AF399" s="208">
        <f t="shared" si="165"/>
        <v>0</v>
      </c>
      <c r="AG399" s="208">
        <f t="shared" si="165"/>
        <v>0</v>
      </c>
      <c r="AH399" s="208">
        <f t="shared" si="165"/>
        <v>0</v>
      </c>
      <c r="AI399" s="208">
        <f t="shared" si="165"/>
        <v>0</v>
      </c>
      <c r="AJ399" s="208">
        <f t="shared" si="165"/>
        <v>0</v>
      </c>
      <c r="AK399" s="208">
        <f t="shared" si="165"/>
        <v>0</v>
      </c>
      <c r="AL399" s="208">
        <f t="shared" si="165"/>
        <v>0</v>
      </c>
      <c r="AM399" s="208">
        <f t="shared" si="165"/>
        <v>0</v>
      </c>
      <c r="AN399" s="208">
        <f t="shared" si="165"/>
        <v>0</v>
      </c>
      <c r="AO399" s="208">
        <f t="shared" si="165"/>
        <v>0</v>
      </c>
      <c r="AP399" s="208">
        <f t="shared" si="165"/>
        <v>0</v>
      </c>
    </row>
    <row r="400" spans="1:42">
      <c r="A400" s="119">
        <f t="shared" si="167"/>
        <v>7</v>
      </c>
      <c r="C400" s="208">
        <f t="shared" si="166"/>
        <v>0</v>
      </c>
      <c r="D400" s="208">
        <f t="shared" si="165"/>
        <v>0</v>
      </c>
      <c r="E400" s="208">
        <f t="shared" si="165"/>
        <v>0</v>
      </c>
      <c r="F400" s="208">
        <f t="shared" si="165"/>
        <v>0</v>
      </c>
      <c r="G400" s="208">
        <f t="shared" si="165"/>
        <v>0</v>
      </c>
      <c r="H400" s="208">
        <f t="shared" si="165"/>
        <v>0</v>
      </c>
      <c r="I400" s="208">
        <f t="shared" si="165"/>
        <v>0</v>
      </c>
      <c r="J400" s="208">
        <f t="shared" si="165"/>
        <v>0</v>
      </c>
      <c r="K400" s="208">
        <f t="shared" si="165"/>
        <v>0</v>
      </c>
      <c r="L400" s="208">
        <f t="shared" si="165"/>
        <v>0</v>
      </c>
      <c r="M400" s="208">
        <f t="shared" si="165"/>
        <v>0</v>
      </c>
      <c r="N400" s="208">
        <f t="shared" si="165"/>
        <v>0</v>
      </c>
      <c r="O400" s="208">
        <f t="shared" si="165"/>
        <v>0</v>
      </c>
      <c r="P400" s="208">
        <f t="shared" si="165"/>
        <v>0</v>
      </c>
      <c r="Q400" s="208">
        <f t="shared" si="165"/>
        <v>0</v>
      </c>
      <c r="R400" s="208">
        <f t="shared" si="165"/>
        <v>0</v>
      </c>
      <c r="S400" s="208">
        <f t="shared" si="165"/>
        <v>0</v>
      </c>
      <c r="T400" s="208">
        <f t="shared" si="165"/>
        <v>0</v>
      </c>
      <c r="U400" s="208">
        <f t="shared" si="165"/>
        <v>0</v>
      </c>
      <c r="V400" s="208">
        <f t="shared" si="165"/>
        <v>0</v>
      </c>
      <c r="W400" s="208">
        <f t="shared" si="165"/>
        <v>0</v>
      </c>
      <c r="X400" s="208">
        <f t="shared" si="165"/>
        <v>0</v>
      </c>
      <c r="Y400" s="208">
        <f t="shared" ref="Y400:AP400" si="168">Y266</f>
        <v>0</v>
      </c>
      <c r="Z400" s="208">
        <f t="shared" si="168"/>
        <v>0</v>
      </c>
      <c r="AA400" s="208">
        <f t="shared" si="168"/>
        <v>0</v>
      </c>
      <c r="AB400" s="208">
        <f t="shared" si="168"/>
        <v>0</v>
      </c>
      <c r="AC400" s="208">
        <f t="shared" si="168"/>
        <v>0</v>
      </c>
      <c r="AD400" s="208">
        <f t="shared" si="168"/>
        <v>0</v>
      </c>
      <c r="AE400" s="208">
        <f t="shared" si="168"/>
        <v>0</v>
      </c>
      <c r="AF400" s="208">
        <f t="shared" si="168"/>
        <v>0</v>
      </c>
      <c r="AG400" s="208">
        <f t="shared" si="168"/>
        <v>0</v>
      </c>
      <c r="AH400" s="208">
        <f t="shared" si="168"/>
        <v>0</v>
      </c>
      <c r="AI400" s="208">
        <f t="shared" si="168"/>
        <v>0</v>
      </c>
      <c r="AJ400" s="208">
        <f t="shared" si="168"/>
        <v>0</v>
      </c>
      <c r="AK400" s="208">
        <f t="shared" si="168"/>
        <v>0</v>
      </c>
      <c r="AL400" s="208">
        <f t="shared" si="168"/>
        <v>0</v>
      </c>
      <c r="AM400" s="208">
        <f t="shared" si="168"/>
        <v>0</v>
      </c>
      <c r="AN400" s="208">
        <f t="shared" si="168"/>
        <v>0</v>
      </c>
      <c r="AO400" s="208">
        <f t="shared" si="168"/>
        <v>0</v>
      </c>
      <c r="AP400" s="208">
        <f t="shared" si="168"/>
        <v>0</v>
      </c>
    </row>
    <row r="401" spans="1:42">
      <c r="A401" s="119">
        <f t="shared" si="167"/>
        <v>8</v>
      </c>
      <c r="C401" s="208">
        <f t="shared" si="166"/>
        <v>0</v>
      </c>
      <c r="D401" s="208">
        <f t="shared" si="166"/>
        <v>0</v>
      </c>
      <c r="E401" s="208">
        <f t="shared" si="166"/>
        <v>0</v>
      </c>
      <c r="F401" s="208">
        <f t="shared" si="166"/>
        <v>0</v>
      </c>
      <c r="G401" s="208">
        <f t="shared" si="166"/>
        <v>0</v>
      </c>
      <c r="H401" s="208">
        <f t="shared" si="166"/>
        <v>0</v>
      </c>
      <c r="I401" s="208">
        <f t="shared" si="166"/>
        <v>0</v>
      </c>
      <c r="J401" s="208">
        <f t="shared" si="166"/>
        <v>0</v>
      </c>
      <c r="K401" s="208">
        <f t="shared" si="166"/>
        <v>0</v>
      </c>
      <c r="L401" s="208">
        <f t="shared" si="166"/>
        <v>0</v>
      </c>
      <c r="M401" s="208">
        <f t="shared" si="166"/>
        <v>0</v>
      </c>
      <c r="N401" s="208">
        <f t="shared" si="166"/>
        <v>0</v>
      </c>
      <c r="O401" s="208">
        <f t="shared" si="166"/>
        <v>0</v>
      </c>
      <c r="P401" s="208">
        <f t="shared" si="166"/>
        <v>0</v>
      </c>
      <c r="Q401" s="208">
        <f t="shared" si="166"/>
        <v>0</v>
      </c>
      <c r="R401" s="208">
        <f t="shared" si="166"/>
        <v>0</v>
      </c>
      <c r="S401" s="208">
        <f t="shared" ref="S401:AP403" si="169">S267</f>
        <v>0</v>
      </c>
      <c r="T401" s="208">
        <f t="shared" si="169"/>
        <v>0</v>
      </c>
      <c r="U401" s="208">
        <f t="shared" si="169"/>
        <v>0</v>
      </c>
      <c r="V401" s="208">
        <f t="shared" si="169"/>
        <v>0</v>
      </c>
      <c r="W401" s="208">
        <f t="shared" si="169"/>
        <v>0</v>
      </c>
      <c r="X401" s="208">
        <f t="shared" si="169"/>
        <v>0</v>
      </c>
      <c r="Y401" s="208">
        <f t="shared" si="169"/>
        <v>0</v>
      </c>
      <c r="Z401" s="208">
        <f t="shared" si="169"/>
        <v>0</v>
      </c>
      <c r="AA401" s="208">
        <f t="shared" si="169"/>
        <v>0</v>
      </c>
      <c r="AB401" s="208">
        <f t="shared" si="169"/>
        <v>0</v>
      </c>
      <c r="AC401" s="208">
        <f t="shared" si="169"/>
        <v>0</v>
      </c>
      <c r="AD401" s="208">
        <f t="shared" si="169"/>
        <v>0</v>
      </c>
      <c r="AE401" s="208">
        <f t="shared" si="169"/>
        <v>0</v>
      </c>
      <c r="AF401" s="208">
        <f t="shared" si="169"/>
        <v>0</v>
      </c>
      <c r="AG401" s="208">
        <f t="shared" si="169"/>
        <v>0</v>
      </c>
      <c r="AH401" s="208">
        <f t="shared" si="169"/>
        <v>0</v>
      </c>
      <c r="AI401" s="208">
        <f t="shared" si="169"/>
        <v>0</v>
      </c>
      <c r="AJ401" s="208">
        <f t="shared" si="169"/>
        <v>0</v>
      </c>
      <c r="AK401" s="208">
        <f t="shared" si="169"/>
        <v>0</v>
      </c>
      <c r="AL401" s="208">
        <f t="shared" si="169"/>
        <v>0</v>
      </c>
      <c r="AM401" s="208">
        <f t="shared" si="169"/>
        <v>0</v>
      </c>
      <c r="AN401" s="208">
        <f t="shared" si="169"/>
        <v>0</v>
      </c>
      <c r="AO401" s="208">
        <f t="shared" si="169"/>
        <v>0</v>
      </c>
      <c r="AP401" s="208">
        <f t="shared" si="169"/>
        <v>0</v>
      </c>
    </row>
    <row r="402" spans="1:42">
      <c r="A402" s="119">
        <f>A401+1</f>
        <v>9</v>
      </c>
      <c r="C402" s="208">
        <f t="shared" si="166"/>
        <v>0</v>
      </c>
      <c r="D402" s="208">
        <f t="shared" si="166"/>
        <v>0</v>
      </c>
      <c r="E402" s="208">
        <f t="shared" si="166"/>
        <v>0</v>
      </c>
      <c r="F402" s="208">
        <f t="shared" si="166"/>
        <v>0</v>
      </c>
      <c r="G402" s="208">
        <f t="shared" si="166"/>
        <v>0</v>
      </c>
      <c r="H402" s="208">
        <f t="shared" si="166"/>
        <v>0</v>
      </c>
      <c r="I402" s="208">
        <f t="shared" si="166"/>
        <v>0</v>
      </c>
      <c r="J402" s="208">
        <f t="shared" si="166"/>
        <v>0</v>
      </c>
      <c r="K402" s="208">
        <f t="shared" si="166"/>
        <v>0</v>
      </c>
      <c r="L402" s="208">
        <f t="shared" si="166"/>
        <v>0</v>
      </c>
      <c r="M402" s="208">
        <f t="shared" si="166"/>
        <v>0</v>
      </c>
      <c r="N402" s="208">
        <f t="shared" si="166"/>
        <v>0</v>
      </c>
      <c r="O402" s="208">
        <f t="shared" si="166"/>
        <v>0</v>
      </c>
      <c r="P402" s="208">
        <f t="shared" si="166"/>
        <v>0</v>
      </c>
      <c r="Q402" s="208">
        <f t="shared" si="166"/>
        <v>0</v>
      </c>
      <c r="R402" s="208">
        <f t="shared" si="166"/>
        <v>0</v>
      </c>
      <c r="S402" s="208">
        <f t="shared" si="169"/>
        <v>0</v>
      </c>
      <c r="T402" s="208">
        <f t="shared" si="169"/>
        <v>0</v>
      </c>
      <c r="U402" s="208">
        <f t="shared" si="169"/>
        <v>0</v>
      </c>
      <c r="V402" s="208">
        <f t="shared" si="169"/>
        <v>0</v>
      </c>
      <c r="W402" s="208">
        <f t="shared" si="169"/>
        <v>0</v>
      </c>
      <c r="X402" s="208">
        <f t="shared" si="169"/>
        <v>0</v>
      </c>
      <c r="Y402" s="208">
        <f t="shared" si="169"/>
        <v>0</v>
      </c>
      <c r="Z402" s="208">
        <f t="shared" si="169"/>
        <v>0</v>
      </c>
      <c r="AA402" s="208">
        <f t="shared" si="169"/>
        <v>0</v>
      </c>
      <c r="AB402" s="208">
        <f t="shared" si="169"/>
        <v>0</v>
      </c>
      <c r="AC402" s="208">
        <f t="shared" si="169"/>
        <v>0</v>
      </c>
      <c r="AD402" s="208">
        <f t="shared" si="169"/>
        <v>0</v>
      </c>
      <c r="AE402" s="208">
        <f t="shared" si="169"/>
        <v>0</v>
      </c>
      <c r="AF402" s="208">
        <f t="shared" si="169"/>
        <v>0</v>
      </c>
      <c r="AG402" s="208">
        <f t="shared" si="169"/>
        <v>0</v>
      </c>
      <c r="AH402" s="208">
        <f t="shared" si="169"/>
        <v>0</v>
      </c>
      <c r="AI402" s="208">
        <f t="shared" si="169"/>
        <v>0</v>
      </c>
      <c r="AJ402" s="208">
        <f t="shared" si="169"/>
        <v>0</v>
      </c>
      <c r="AK402" s="208">
        <f t="shared" si="169"/>
        <v>0</v>
      </c>
      <c r="AL402" s="208">
        <f t="shared" si="169"/>
        <v>0</v>
      </c>
      <c r="AM402" s="208">
        <f t="shared" si="169"/>
        <v>0</v>
      </c>
      <c r="AN402" s="208">
        <f t="shared" si="169"/>
        <v>0</v>
      </c>
      <c r="AO402" s="208">
        <f t="shared" si="169"/>
        <v>0</v>
      </c>
      <c r="AP402" s="208">
        <f t="shared" si="169"/>
        <v>0</v>
      </c>
    </row>
    <row r="403" spans="1:42">
      <c r="A403" s="119">
        <f t="shared" ref="A403" si="170">A402+1</f>
        <v>10</v>
      </c>
      <c r="C403" s="208">
        <f t="shared" si="166"/>
        <v>0</v>
      </c>
      <c r="D403" s="208">
        <f t="shared" si="166"/>
        <v>0</v>
      </c>
      <c r="E403" s="208">
        <f t="shared" si="166"/>
        <v>0</v>
      </c>
      <c r="F403" s="208">
        <f t="shared" si="166"/>
        <v>0</v>
      </c>
      <c r="G403" s="208">
        <f t="shared" si="166"/>
        <v>0</v>
      </c>
      <c r="H403" s="208">
        <f t="shared" si="166"/>
        <v>0</v>
      </c>
      <c r="I403" s="208">
        <f t="shared" si="166"/>
        <v>0</v>
      </c>
      <c r="J403" s="208">
        <f t="shared" si="166"/>
        <v>0</v>
      </c>
      <c r="K403" s="208">
        <f t="shared" si="166"/>
        <v>0</v>
      </c>
      <c r="L403" s="208">
        <f t="shared" si="166"/>
        <v>0</v>
      </c>
      <c r="M403" s="208">
        <f t="shared" si="166"/>
        <v>0</v>
      </c>
      <c r="N403" s="208">
        <f t="shared" si="166"/>
        <v>0</v>
      </c>
      <c r="O403" s="208">
        <f t="shared" si="166"/>
        <v>0</v>
      </c>
      <c r="P403" s="208">
        <f t="shared" si="166"/>
        <v>0</v>
      </c>
      <c r="Q403" s="208">
        <f t="shared" si="166"/>
        <v>0</v>
      </c>
      <c r="R403" s="208">
        <f t="shared" si="166"/>
        <v>0</v>
      </c>
      <c r="S403" s="208">
        <f t="shared" si="169"/>
        <v>0</v>
      </c>
      <c r="T403" s="208">
        <f t="shared" si="169"/>
        <v>0</v>
      </c>
      <c r="U403" s="208">
        <f t="shared" si="169"/>
        <v>0</v>
      </c>
      <c r="V403" s="208">
        <f t="shared" si="169"/>
        <v>0</v>
      </c>
      <c r="W403" s="208">
        <f t="shared" si="169"/>
        <v>0</v>
      </c>
      <c r="X403" s="208">
        <f t="shared" si="169"/>
        <v>0</v>
      </c>
      <c r="Y403" s="208">
        <f t="shared" si="169"/>
        <v>0</v>
      </c>
      <c r="Z403" s="208">
        <f t="shared" si="169"/>
        <v>0</v>
      </c>
      <c r="AA403" s="208">
        <f t="shared" si="169"/>
        <v>0</v>
      </c>
      <c r="AB403" s="208">
        <f t="shared" si="169"/>
        <v>0</v>
      </c>
      <c r="AC403" s="208">
        <f t="shared" si="169"/>
        <v>0</v>
      </c>
      <c r="AD403" s="208">
        <f t="shared" si="169"/>
        <v>0</v>
      </c>
      <c r="AE403" s="208">
        <f t="shared" si="169"/>
        <v>0</v>
      </c>
      <c r="AF403" s="208">
        <f t="shared" si="169"/>
        <v>0</v>
      </c>
      <c r="AG403" s="208">
        <f t="shared" si="169"/>
        <v>0</v>
      </c>
      <c r="AH403" s="208">
        <f t="shared" si="169"/>
        <v>0</v>
      </c>
      <c r="AI403" s="208">
        <f t="shared" si="169"/>
        <v>0</v>
      </c>
      <c r="AJ403" s="208">
        <f t="shared" si="169"/>
        <v>0</v>
      </c>
      <c r="AK403" s="208">
        <f t="shared" si="169"/>
        <v>0</v>
      </c>
      <c r="AL403" s="208">
        <f t="shared" si="169"/>
        <v>0</v>
      </c>
      <c r="AM403" s="208">
        <f t="shared" si="169"/>
        <v>0</v>
      </c>
      <c r="AN403" s="208">
        <f t="shared" si="169"/>
        <v>0</v>
      </c>
      <c r="AO403" s="208">
        <f t="shared" si="169"/>
        <v>0</v>
      </c>
      <c r="AP403" s="208">
        <f t="shared" si="169"/>
        <v>0</v>
      </c>
    </row>
    <row r="404" spans="1:42">
      <c r="A404" s="226"/>
      <c r="C404" s="208"/>
      <c r="D404" s="208"/>
      <c r="E404" s="208"/>
      <c r="F404" s="208"/>
      <c r="G404" s="208"/>
      <c r="H404" s="208"/>
      <c r="I404" s="208"/>
      <c r="J404" s="208"/>
      <c r="K404" s="208"/>
      <c r="L404" s="208"/>
      <c r="M404" s="208"/>
      <c r="N404" s="208"/>
      <c r="O404" s="208"/>
      <c r="P404" s="208"/>
      <c r="Q404" s="208"/>
      <c r="R404" s="208"/>
      <c r="S404" s="208"/>
      <c r="T404" s="208"/>
      <c r="U404" s="208"/>
      <c r="V404" s="208"/>
      <c r="W404" s="208"/>
      <c r="X404" s="208"/>
      <c r="Y404" s="208"/>
      <c r="Z404" s="208"/>
      <c r="AA404" s="208"/>
      <c r="AB404" s="208"/>
      <c r="AC404" s="208"/>
      <c r="AD404" s="208"/>
      <c r="AE404" s="208"/>
      <c r="AF404" s="208"/>
      <c r="AG404" s="208"/>
      <c r="AH404" s="208"/>
      <c r="AI404" s="208"/>
      <c r="AJ404" s="208"/>
      <c r="AK404" s="208"/>
      <c r="AL404" s="208"/>
      <c r="AM404" s="208"/>
      <c r="AN404" s="208"/>
      <c r="AO404" s="208"/>
      <c r="AP404" s="208"/>
    </row>
    <row r="405" spans="1:42">
      <c r="A405" s="226" t="s">
        <v>221</v>
      </c>
      <c r="C405" s="208"/>
      <c r="D405" s="208"/>
      <c r="E405" s="208"/>
      <c r="F405" s="208"/>
      <c r="G405" s="208"/>
      <c r="H405" s="208"/>
      <c r="I405" s="208"/>
      <c r="J405" s="208"/>
      <c r="K405" s="208"/>
      <c r="L405" s="208"/>
      <c r="M405" s="208"/>
      <c r="N405" s="208"/>
      <c r="O405" s="208"/>
      <c r="P405" s="208"/>
      <c r="Q405" s="208"/>
      <c r="R405" s="208"/>
      <c r="S405" s="208"/>
      <c r="T405" s="208"/>
      <c r="U405" s="208"/>
      <c r="V405" s="208"/>
      <c r="W405" s="208"/>
      <c r="X405" s="208"/>
      <c r="Y405" s="208"/>
      <c r="Z405" s="208"/>
      <c r="AA405" s="208"/>
      <c r="AB405" s="208"/>
      <c r="AC405" s="208"/>
      <c r="AD405" s="208"/>
      <c r="AE405" s="208"/>
      <c r="AF405" s="208"/>
      <c r="AG405" s="208"/>
      <c r="AH405" s="208"/>
      <c r="AI405" s="208"/>
      <c r="AJ405" s="208"/>
      <c r="AK405" s="208"/>
      <c r="AL405" s="208"/>
      <c r="AM405" s="208"/>
      <c r="AN405" s="208"/>
      <c r="AO405" s="208"/>
      <c r="AP405" s="208"/>
    </row>
    <row r="406" spans="1:42">
      <c r="A406" s="119">
        <v>1</v>
      </c>
      <c r="B406" s="218">
        <f t="shared" ref="B406:B415" si="171">SUM(C406:AP406)</f>
        <v>2944872.3435013141</v>
      </c>
      <c r="C406" s="250">
        <f t="shared" ref="C406:AP412" si="172">LOOKUP(C394,$B$389:$AP$389,$B$390:$AP$390)*$B641</f>
        <v>0</v>
      </c>
      <c r="D406" s="208">
        <f t="shared" si="172"/>
        <v>0</v>
      </c>
      <c r="E406" s="208">
        <f t="shared" si="172"/>
        <v>0</v>
      </c>
      <c r="F406" s="208">
        <f t="shared" si="172"/>
        <v>0</v>
      </c>
      <c r="G406" s="208">
        <f t="shared" si="172"/>
        <v>0</v>
      </c>
      <c r="H406" s="208">
        <f t="shared" si="172"/>
        <v>0</v>
      </c>
      <c r="I406" s="208">
        <f t="shared" si="172"/>
        <v>0</v>
      </c>
      <c r="J406" s="208">
        <f t="shared" si="172"/>
        <v>0</v>
      </c>
      <c r="K406" s="208">
        <f t="shared" si="172"/>
        <v>0</v>
      </c>
      <c r="L406" s="208">
        <f t="shared" si="172"/>
        <v>0</v>
      </c>
      <c r="M406" s="208">
        <f t="shared" si="172"/>
        <v>0</v>
      </c>
      <c r="N406" s="208">
        <f t="shared" si="172"/>
        <v>588974.46870026283</v>
      </c>
      <c r="O406" s="208">
        <f t="shared" si="172"/>
        <v>942359.14992042049</v>
      </c>
      <c r="P406" s="208">
        <f t="shared" si="172"/>
        <v>565415.48995225236</v>
      </c>
      <c r="Q406" s="208">
        <f t="shared" si="172"/>
        <v>339249.29397135135</v>
      </c>
      <c r="R406" s="208">
        <f t="shared" si="172"/>
        <v>339249.29397135135</v>
      </c>
      <c r="S406" s="208">
        <f t="shared" si="172"/>
        <v>169624.64698567567</v>
      </c>
      <c r="T406" s="208">
        <f t="shared" si="172"/>
        <v>0</v>
      </c>
      <c r="U406" s="208">
        <f t="shared" si="172"/>
        <v>0</v>
      </c>
      <c r="V406" s="208">
        <f t="shared" si="172"/>
        <v>0</v>
      </c>
      <c r="W406" s="208">
        <f t="shared" si="172"/>
        <v>0</v>
      </c>
      <c r="X406" s="208">
        <f t="shared" si="172"/>
        <v>0</v>
      </c>
      <c r="Y406" s="208">
        <f t="shared" si="172"/>
        <v>0</v>
      </c>
      <c r="Z406" s="208">
        <f t="shared" si="172"/>
        <v>0</v>
      </c>
      <c r="AA406" s="208">
        <f t="shared" si="172"/>
        <v>0</v>
      </c>
      <c r="AB406" s="208">
        <f t="shared" si="172"/>
        <v>0</v>
      </c>
      <c r="AC406" s="208">
        <f t="shared" si="172"/>
        <v>0</v>
      </c>
      <c r="AD406" s="208">
        <f t="shared" si="172"/>
        <v>0</v>
      </c>
      <c r="AE406" s="208">
        <f t="shared" si="172"/>
        <v>0</v>
      </c>
      <c r="AF406" s="208">
        <f t="shared" si="172"/>
        <v>0</v>
      </c>
      <c r="AG406" s="208">
        <f t="shared" si="172"/>
        <v>0</v>
      </c>
      <c r="AH406" s="208">
        <f t="shared" si="172"/>
        <v>0</v>
      </c>
      <c r="AI406" s="208">
        <f t="shared" si="172"/>
        <v>0</v>
      </c>
      <c r="AJ406" s="208">
        <f t="shared" si="172"/>
        <v>0</v>
      </c>
      <c r="AK406" s="208">
        <f t="shared" si="172"/>
        <v>0</v>
      </c>
      <c r="AL406" s="208">
        <f t="shared" si="172"/>
        <v>0</v>
      </c>
      <c r="AM406" s="208">
        <f t="shared" si="172"/>
        <v>0</v>
      </c>
      <c r="AN406" s="208">
        <f t="shared" si="172"/>
        <v>0</v>
      </c>
      <c r="AO406" s="208">
        <f t="shared" si="172"/>
        <v>0</v>
      </c>
      <c r="AP406" s="208">
        <f t="shared" si="172"/>
        <v>0</v>
      </c>
    </row>
    <row r="407" spans="1:42">
      <c r="A407" s="119">
        <f>A406+1</f>
        <v>2</v>
      </c>
      <c r="B407" s="218">
        <f t="shared" si="171"/>
        <v>3520942.886524681</v>
      </c>
      <c r="C407" s="250">
        <f t="shared" si="172"/>
        <v>0</v>
      </c>
      <c r="D407" s="208">
        <f t="shared" si="172"/>
        <v>0</v>
      </c>
      <c r="E407" s="208">
        <f t="shared" si="172"/>
        <v>0</v>
      </c>
      <c r="F407" s="208">
        <f t="shared" si="172"/>
        <v>0</v>
      </c>
      <c r="G407" s="208">
        <f t="shared" si="172"/>
        <v>0</v>
      </c>
      <c r="H407" s="208">
        <f t="shared" si="172"/>
        <v>0</v>
      </c>
      <c r="I407" s="208">
        <f t="shared" si="172"/>
        <v>0</v>
      </c>
      <c r="J407" s="208">
        <f t="shared" si="172"/>
        <v>0</v>
      </c>
      <c r="K407" s="208">
        <f t="shared" si="172"/>
        <v>0</v>
      </c>
      <c r="L407" s="208">
        <f t="shared" si="172"/>
        <v>0</v>
      </c>
      <c r="M407" s="208">
        <f t="shared" si="172"/>
        <v>0</v>
      </c>
      <c r="N407" s="208">
        <f t="shared" si="172"/>
        <v>0</v>
      </c>
      <c r="O407" s="208">
        <f t="shared" si="172"/>
        <v>0</v>
      </c>
      <c r="P407" s="208">
        <f t="shared" si="172"/>
        <v>0</v>
      </c>
      <c r="Q407" s="208">
        <f t="shared" si="172"/>
        <v>0</v>
      </c>
      <c r="R407" s="208">
        <f t="shared" si="172"/>
        <v>0</v>
      </c>
      <c r="S407" s="208">
        <f t="shared" si="172"/>
        <v>0</v>
      </c>
      <c r="T407" s="208">
        <f t="shared" si="172"/>
        <v>0</v>
      </c>
      <c r="U407" s="208">
        <f t="shared" si="172"/>
        <v>0</v>
      </c>
      <c r="V407" s="208">
        <f t="shared" si="172"/>
        <v>0</v>
      </c>
      <c r="W407" s="208">
        <f t="shared" si="172"/>
        <v>0</v>
      </c>
      <c r="X407" s="208">
        <f t="shared" si="172"/>
        <v>0</v>
      </c>
      <c r="Y407" s="208">
        <f t="shared" si="172"/>
        <v>0</v>
      </c>
      <c r="Z407" s="208">
        <f t="shared" si="172"/>
        <v>704188.57730493625</v>
      </c>
      <c r="AA407" s="208">
        <f t="shared" si="172"/>
        <v>1126701.7236878979</v>
      </c>
      <c r="AB407" s="208">
        <f t="shared" si="172"/>
        <v>676021.03421273874</v>
      </c>
      <c r="AC407" s="208">
        <f t="shared" si="172"/>
        <v>405612.62052764324</v>
      </c>
      <c r="AD407" s="208">
        <f t="shared" si="172"/>
        <v>405612.62052764324</v>
      </c>
      <c r="AE407" s="208">
        <f t="shared" si="172"/>
        <v>202806.31026382162</v>
      </c>
      <c r="AF407" s="208">
        <f t="shared" si="172"/>
        <v>0</v>
      </c>
      <c r="AG407" s="208">
        <f t="shared" si="172"/>
        <v>0</v>
      </c>
      <c r="AH407" s="208">
        <f t="shared" si="172"/>
        <v>0</v>
      </c>
      <c r="AI407" s="208">
        <f t="shared" si="172"/>
        <v>0</v>
      </c>
      <c r="AJ407" s="208">
        <f t="shared" si="172"/>
        <v>0</v>
      </c>
      <c r="AK407" s="208">
        <f t="shared" si="172"/>
        <v>0</v>
      </c>
      <c r="AL407" s="208">
        <f t="shared" si="172"/>
        <v>0</v>
      </c>
      <c r="AM407" s="208">
        <f t="shared" si="172"/>
        <v>0</v>
      </c>
      <c r="AN407" s="208">
        <f t="shared" si="172"/>
        <v>0</v>
      </c>
      <c r="AO407" s="208">
        <f t="shared" si="172"/>
        <v>0</v>
      </c>
      <c r="AP407" s="208">
        <f t="shared" si="172"/>
        <v>0</v>
      </c>
    </row>
    <row r="408" spans="1:42">
      <c r="A408" s="119">
        <f t="shared" ref="A408:A413" si="173">A407+1</f>
        <v>3</v>
      </c>
      <c r="B408" s="218">
        <f t="shared" si="171"/>
        <v>0</v>
      </c>
      <c r="C408" s="250">
        <f t="shared" si="172"/>
        <v>0</v>
      </c>
      <c r="D408" s="208">
        <f t="shared" si="172"/>
        <v>0</v>
      </c>
      <c r="E408" s="208">
        <f t="shared" si="172"/>
        <v>0</v>
      </c>
      <c r="F408" s="208">
        <f t="shared" si="172"/>
        <v>0</v>
      </c>
      <c r="G408" s="208">
        <f t="shared" si="172"/>
        <v>0</v>
      </c>
      <c r="H408" s="208">
        <f t="shared" si="172"/>
        <v>0</v>
      </c>
      <c r="I408" s="208">
        <f t="shared" si="172"/>
        <v>0</v>
      </c>
      <c r="J408" s="208">
        <f t="shared" si="172"/>
        <v>0</v>
      </c>
      <c r="K408" s="208">
        <f t="shared" si="172"/>
        <v>0</v>
      </c>
      <c r="L408" s="208">
        <f t="shared" si="172"/>
        <v>0</v>
      </c>
      <c r="M408" s="208">
        <f t="shared" si="172"/>
        <v>0</v>
      </c>
      <c r="N408" s="208">
        <f t="shared" si="172"/>
        <v>0</v>
      </c>
      <c r="O408" s="208">
        <f t="shared" si="172"/>
        <v>0</v>
      </c>
      <c r="P408" s="208">
        <f t="shared" si="172"/>
        <v>0</v>
      </c>
      <c r="Q408" s="208">
        <f t="shared" si="172"/>
        <v>0</v>
      </c>
      <c r="R408" s="208">
        <f t="shared" si="172"/>
        <v>0</v>
      </c>
      <c r="S408" s="208">
        <f t="shared" si="172"/>
        <v>0</v>
      </c>
      <c r="T408" s="208">
        <f t="shared" si="172"/>
        <v>0</v>
      </c>
      <c r="U408" s="208">
        <f t="shared" si="172"/>
        <v>0</v>
      </c>
      <c r="V408" s="208">
        <f t="shared" si="172"/>
        <v>0</v>
      </c>
      <c r="W408" s="208">
        <f t="shared" si="172"/>
        <v>0</v>
      </c>
      <c r="X408" s="208">
        <f t="shared" si="172"/>
        <v>0</v>
      </c>
      <c r="Y408" s="208">
        <f t="shared" si="172"/>
        <v>0</v>
      </c>
      <c r="Z408" s="208">
        <f t="shared" si="172"/>
        <v>0</v>
      </c>
      <c r="AA408" s="208">
        <f t="shared" si="172"/>
        <v>0</v>
      </c>
      <c r="AB408" s="208">
        <f t="shared" si="172"/>
        <v>0</v>
      </c>
      <c r="AC408" s="208">
        <f t="shared" si="172"/>
        <v>0</v>
      </c>
      <c r="AD408" s="208">
        <f t="shared" si="172"/>
        <v>0</v>
      </c>
      <c r="AE408" s="208">
        <f t="shared" si="172"/>
        <v>0</v>
      </c>
      <c r="AF408" s="208">
        <f t="shared" si="172"/>
        <v>0</v>
      </c>
      <c r="AG408" s="208">
        <f t="shared" si="172"/>
        <v>0</v>
      </c>
      <c r="AH408" s="208">
        <f t="shared" si="172"/>
        <v>0</v>
      </c>
      <c r="AI408" s="208">
        <f t="shared" si="172"/>
        <v>0</v>
      </c>
      <c r="AJ408" s="208">
        <f t="shared" si="172"/>
        <v>0</v>
      </c>
      <c r="AK408" s="208">
        <f t="shared" si="172"/>
        <v>0</v>
      </c>
      <c r="AL408" s="208">
        <f t="shared" si="172"/>
        <v>0</v>
      </c>
      <c r="AM408" s="208">
        <f t="shared" si="172"/>
        <v>0</v>
      </c>
      <c r="AN408" s="208">
        <f t="shared" si="172"/>
        <v>0</v>
      </c>
      <c r="AO408" s="208">
        <f t="shared" si="172"/>
        <v>0</v>
      </c>
      <c r="AP408" s="208">
        <f t="shared" si="172"/>
        <v>0</v>
      </c>
    </row>
    <row r="409" spans="1:42">
      <c r="A409" s="119">
        <f t="shared" si="173"/>
        <v>4</v>
      </c>
      <c r="B409" s="218">
        <f t="shared" si="171"/>
        <v>0</v>
      </c>
      <c r="C409" s="250">
        <f t="shared" si="172"/>
        <v>0</v>
      </c>
      <c r="D409" s="208">
        <f t="shared" si="172"/>
        <v>0</v>
      </c>
      <c r="E409" s="208">
        <f t="shared" si="172"/>
        <v>0</v>
      </c>
      <c r="F409" s="208">
        <f t="shared" si="172"/>
        <v>0</v>
      </c>
      <c r="G409" s="208">
        <f t="shared" si="172"/>
        <v>0</v>
      </c>
      <c r="H409" s="208">
        <f t="shared" si="172"/>
        <v>0</v>
      </c>
      <c r="I409" s="208">
        <f t="shared" si="172"/>
        <v>0</v>
      </c>
      <c r="J409" s="208">
        <f t="shared" si="172"/>
        <v>0</v>
      </c>
      <c r="K409" s="208">
        <f t="shared" si="172"/>
        <v>0</v>
      </c>
      <c r="L409" s="208">
        <f t="shared" si="172"/>
        <v>0</v>
      </c>
      <c r="M409" s="208">
        <f t="shared" si="172"/>
        <v>0</v>
      </c>
      <c r="N409" s="208">
        <f t="shared" si="172"/>
        <v>0</v>
      </c>
      <c r="O409" s="208">
        <f t="shared" si="172"/>
        <v>0</v>
      </c>
      <c r="P409" s="208">
        <f t="shared" si="172"/>
        <v>0</v>
      </c>
      <c r="Q409" s="208">
        <f t="shared" si="172"/>
        <v>0</v>
      </c>
      <c r="R409" s="208">
        <f t="shared" si="172"/>
        <v>0</v>
      </c>
      <c r="S409" s="208">
        <f t="shared" si="172"/>
        <v>0</v>
      </c>
      <c r="T409" s="208">
        <f t="shared" si="172"/>
        <v>0</v>
      </c>
      <c r="U409" s="208">
        <f t="shared" si="172"/>
        <v>0</v>
      </c>
      <c r="V409" s="208">
        <f t="shared" si="172"/>
        <v>0</v>
      </c>
      <c r="W409" s="208">
        <f t="shared" si="172"/>
        <v>0</v>
      </c>
      <c r="X409" s="208">
        <f t="shared" si="172"/>
        <v>0</v>
      </c>
      <c r="Y409" s="208">
        <f t="shared" si="172"/>
        <v>0</v>
      </c>
      <c r="Z409" s="208">
        <f t="shared" si="172"/>
        <v>0</v>
      </c>
      <c r="AA409" s="208">
        <f t="shared" si="172"/>
        <v>0</v>
      </c>
      <c r="AB409" s="208">
        <f t="shared" si="172"/>
        <v>0</v>
      </c>
      <c r="AC409" s="208">
        <f t="shared" si="172"/>
        <v>0</v>
      </c>
      <c r="AD409" s="208">
        <f t="shared" si="172"/>
        <v>0</v>
      </c>
      <c r="AE409" s="208">
        <f t="shared" si="172"/>
        <v>0</v>
      </c>
      <c r="AF409" s="208">
        <f t="shared" si="172"/>
        <v>0</v>
      </c>
      <c r="AG409" s="208">
        <f t="shared" si="172"/>
        <v>0</v>
      </c>
      <c r="AH409" s="208">
        <f t="shared" si="172"/>
        <v>0</v>
      </c>
      <c r="AI409" s="208">
        <f t="shared" si="172"/>
        <v>0</v>
      </c>
      <c r="AJ409" s="208">
        <f t="shared" si="172"/>
        <v>0</v>
      </c>
      <c r="AK409" s="208">
        <f t="shared" si="172"/>
        <v>0</v>
      </c>
      <c r="AL409" s="208">
        <f t="shared" si="172"/>
        <v>0</v>
      </c>
      <c r="AM409" s="208">
        <f t="shared" si="172"/>
        <v>0</v>
      </c>
      <c r="AN409" s="208">
        <f t="shared" si="172"/>
        <v>0</v>
      </c>
      <c r="AO409" s="208">
        <f t="shared" si="172"/>
        <v>0</v>
      </c>
      <c r="AP409" s="208">
        <f t="shared" si="172"/>
        <v>0</v>
      </c>
    </row>
    <row r="410" spans="1:42">
      <c r="A410" s="119">
        <f t="shared" si="173"/>
        <v>5</v>
      </c>
      <c r="B410" s="218">
        <f t="shared" si="171"/>
        <v>0</v>
      </c>
      <c r="C410" s="250">
        <f t="shared" si="172"/>
        <v>0</v>
      </c>
      <c r="D410" s="208">
        <f t="shared" si="172"/>
        <v>0</v>
      </c>
      <c r="E410" s="208">
        <f t="shared" si="172"/>
        <v>0</v>
      </c>
      <c r="F410" s="208">
        <f t="shared" si="172"/>
        <v>0</v>
      </c>
      <c r="G410" s="208">
        <f t="shared" si="172"/>
        <v>0</v>
      </c>
      <c r="H410" s="208">
        <f t="shared" si="172"/>
        <v>0</v>
      </c>
      <c r="I410" s="208">
        <f t="shared" si="172"/>
        <v>0</v>
      </c>
      <c r="J410" s="208">
        <f t="shared" si="172"/>
        <v>0</v>
      </c>
      <c r="K410" s="208">
        <f t="shared" si="172"/>
        <v>0</v>
      </c>
      <c r="L410" s="208">
        <f t="shared" si="172"/>
        <v>0</v>
      </c>
      <c r="M410" s="208">
        <f t="shared" si="172"/>
        <v>0</v>
      </c>
      <c r="N410" s="208">
        <f t="shared" si="172"/>
        <v>0</v>
      </c>
      <c r="O410" s="208">
        <f t="shared" si="172"/>
        <v>0</v>
      </c>
      <c r="P410" s="208">
        <f t="shared" si="172"/>
        <v>0</v>
      </c>
      <c r="Q410" s="208">
        <f t="shared" si="172"/>
        <v>0</v>
      </c>
      <c r="R410" s="208">
        <f t="shared" si="172"/>
        <v>0</v>
      </c>
      <c r="S410" s="208">
        <f t="shared" si="172"/>
        <v>0</v>
      </c>
      <c r="T410" s="208">
        <f t="shared" si="172"/>
        <v>0</v>
      </c>
      <c r="U410" s="208">
        <f t="shared" si="172"/>
        <v>0</v>
      </c>
      <c r="V410" s="208">
        <f t="shared" si="172"/>
        <v>0</v>
      </c>
      <c r="W410" s="208">
        <f t="shared" si="172"/>
        <v>0</v>
      </c>
      <c r="X410" s="208">
        <f t="shared" si="172"/>
        <v>0</v>
      </c>
      <c r="Y410" s="208">
        <f t="shared" si="172"/>
        <v>0</v>
      </c>
      <c r="Z410" s="208">
        <f t="shared" si="172"/>
        <v>0</v>
      </c>
      <c r="AA410" s="208">
        <f t="shared" si="172"/>
        <v>0</v>
      </c>
      <c r="AB410" s="208">
        <f t="shared" si="172"/>
        <v>0</v>
      </c>
      <c r="AC410" s="208">
        <f t="shared" si="172"/>
        <v>0</v>
      </c>
      <c r="AD410" s="208">
        <f t="shared" si="172"/>
        <v>0</v>
      </c>
      <c r="AE410" s="208">
        <f t="shared" si="172"/>
        <v>0</v>
      </c>
      <c r="AF410" s="208">
        <f t="shared" si="172"/>
        <v>0</v>
      </c>
      <c r="AG410" s="208">
        <f t="shared" si="172"/>
        <v>0</v>
      </c>
      <c r="AH410" s="208">
        <f t="shared" si="172"/>
        <v>0</v>
      </c>
      <c r="AI410" s="208">
        <f t="shared" si="172"/>
        <v>0</v>
      </c>
      <c r="AJ410" s="208">
        <f t="shared" si="172"/>
        <v>0</v>
      </c>
      <c r="AK410" s="208">
        <f t="shared" si="172"/>
        <v>0</v>
      </c>
      <c r="AL410" s="208">
        <f t="shared" si="172"/>
        <v>0</v>
      </c>
      <c r="AM410" s="208">
        <f t="shared" si="172"/>
        <v>0</v>
      </c>
      <c r="AN410" s="208">
        <f t="shared" si="172"/>
        <v>0</v>
      </c>
      <c r="AO410" s="208">
        <f t="shared" si="172"/>
        <v>0</v>
      </c>
      <c r="AP410" s="208">
        <f t="shared" si="172"/>
        <v>0</v>
      </c>
    </row>
    <row r="411" spans="1:42">
      <c r="A411" s="119">
        <f t="shared" si="173"/>
        <v>6</v>
      </c>
      <c r="B411" s="218">
        <f t="shared" si="171"/>
        <v>0</v>
      </c>
      <c r="C411" s="250">
        <f t="shared" si="172"/>
        <v>0</v>
      </c>
      <c r="D411" s="208">
        <f t="shared" si="172"/>
        <v>0</v>
      </c>
      <c r="E411" s="208">
        <f t="shared" si="172"/>
        <v>0</v>
      </c>
      <c r="F411" s="208">
        <f t="shared" si="172"/>
        <v>0</v>
      </c>
      <c r="G411" s="208">
        <f t="shared" si="172"/>
        <v>0</v>
      </c>
      <c r="H411" s="208">
        <f t="shared" si="172"/>
        <v>0</v>
      </c>
      <c r="I411" s="208">
        <f t="shared" si="172"/>
        <v>0</v>
      </c>
      <c r="J411" s="208">
        <f t="shared" si="172"/>
        <v>0</v>
      </c>
      <c r="K411" s="208">
        <f t="shared" si="172"/>
        <v>0</v>
      </c>
      <c r="L411" s="208">
        <f t="shared" si="172"/>
        <v>0</v>
      </c>
      <c r="M411" s="208">
        <f t="shared" si="172"/>
        <v>0</v>
      </c>
      <c r="N411" s="208">
        <f t="shared" si="172"/>
        <v>0</v>
      </c>
      <c r="O411" s="208">
        <f t="shared" si="172"/>
        <v>0</v>
      </c>
      <c r="P411" s="208">
        <f t="shared" si="172"/>
        <v>0</v>
      </c>
      <c r="Q411" s="208">
        <f t="shared" si="172"/>
        <v>0</v>
      </c>
      <c r="R411" s="208">
        <f t="shared" si="172"/>
        <v>0</v>
      </c>
      <c r="S411" s="208">
        <f t="shared" si="172"/>
        <v>0</v>
      </c>
      <c r="T411" s="208">
        <f t="shared" si="172"/>
        <v>0</v>
      </c>
      <c r="U411" s="208">
        <f t="shared" si="172"/>
        <v>0</v>
      </c>
      <c r="V411" s="208">
        <f t="shared" si="172"/>
        <v>0</v>
      </c>
      <c r="W411" s="208">
        <f t="shared" si="172"/>
        <v>0</v>
      </c>
      <c r="X411" s="208">
        <f t="shared" si="172"/>
        <v>0</v>
      </c>
      <c r="Y411" s="208">
        <f t="shared" si="172"/>
        <v>0</v>
      </c>
      <c r="Z411" s="208">
        <f t="shared" si="172"/>
        <v>0</v>
      </c>
      <c r="AA411" s="208">
        <f t="shared" si="172"/>
        <v>0</v>
      </c>
      <c r="AB411" s="208">
        <f t="shared" si="172"/>
        <v>0</v>
      </c>
      <c r="AC411" s="208">
        <f t="shared" si="172"/>
        <v>0</v>
      </c>
      <c r="AD411" s="208">
        <f t="shared" si="172"/>
        <v>0</v>
      </c>
      <c r="AE411" s="208">
        <f t="shared" si="172"/>
        <v>0</v>
      </c>
      <c r="AF411" s="208">
        <f t="shared" si="172"/>
        <v>0</v>
      </c>
      <c r="AG411" s="208">
        <f t="shared" si="172"/>
        <v>0</v>
      </c>
      <c r="AH411" s="208">
        <f t="shared" si="172"/>
        <v>0</v>
      </c>
      <c r="AI411" s="208">
        <f t="shared" si="172"/>
        <v>0</v>
      </c>
      <c r="AJ411" s="208">
        <f t="shared" si="172"/>
        <v>0</v>
      </c>
      <c r="AK411" s="208">
        <f t="shared" si="172"/>
        <v>0</v>
      </c>
      <c r="AL411" s="208">
        <f t="shared" si="172"/>
        <v>0</v>
      </c>
      <c r="AM411" s="208">
        <f t="shared" si="172"/>
        <v>0</v>
      </c>
      <c r="AN411" s="208">
        <f t="shared" si="172"/>
        <v>0</v>
      </c>
      <c r="AO411" s="208">
        <f t="shared" si="172"/>
        <v>0</v>
      </c>
      <c r="AP411" s="208">
        <f t="shared" si="172"/>
        <v>0</v>
      </c>
    </row>
    <row r="412" spans="1:42">
      <c r="A412" s="119">
        <f t="shared" si="173"/>
        <v>7</v>
      </c>
      <c r="B412" s="218">
        <f t="shared" si="171"/>
        <v>0</v>
      </c>
      <c r="C412" s="250">
        <f t="shared" si="172"/>
        <v>0</v>
      </c>
      <c r="D412" s="208">
        <f t="shared" si="172"/>
        <v>0</v>
      </c>
      <c r="E412" s="208">
        <f t="shared" si="172"/>
        <v>0</v>
      </c>
      <c r="F412" s="208">
        <f t="shared" si="172"/>
        <v>0</v>
      </c>
      <c r="G412" s="208">
        <f t="shared" si="172"/>
        <v>0</v>
      </c>
      <c r="H412" s="208">
        <f t="shared" si="172"/>
        <v>0</v>
      </c>
      <c r="I412" s="208">
        <f t="shared" si="172"/>
        <v>0</v>
      </c>
      <c r="J412" s="208">
        <f t="shared" si="172"/>
        <v>0</v>
      </c>
      <c r="K412" s="208">
        <f t="shared" si="172"/>
        <v>0</v>
      </c>
      <c r="L412" s="208">
        <f t="shared" si="172"/>
        <v>0</v>
      </c>
      <c r="M412" s="208">
        <f t="shared" si="172"/>
        <v>0</v>
      </c>
      <c r="N412" s="208">
        <f t="shared" si="172"/>
        <v>0</v>
      </c>
      <c r="O412" s="208">
        <f t="shared" si="172"/>
        <v>0</v>
      </c>
      <c r="P412" s="208">
        <f t="shared" si="172"/>
        <v>0</v>
      </c>
      <c r="Q412" s="208">
        <f t="shared" si="172"/>
        <v>0</v>
      </c>
      <c r="R412" s="208">
        <f t="shared" ref="R412:AP412" si="174">LOOKUP(R400,$B$389:$AP$389,$B$390:$AP$390)*$B647</f>
        <v>0</v>
      </c>
      <c r="S412" s="208">
        <f t="shared" si="174"/>
        <v>0</v>
      </c>
      <c r="T412" s="208">
        <f t="shared" si="174"/>
        <v>0</v>
      </c>
      <c r="U412" s="208">
        <f t="shared" si="174"/>
        <v>0</v>
      </c>
      <c r="V412" s="208">
        <f t="shared" si="174"/>
        <v>0</v>
      </c>
      <c r="W412" s="208">
        <f t="shared" si="174"/>
        <v>0</v>
      </c>
      <c r="X412" s="208">
        <f t="shared" si="174"/>
        <v>0</v>
      </c>
      <c r="Y412" s="208">
        <f t="shared" si="174"/>
        <v>0</v>
      </c>
      <c r="Z412" s="208">
        <f t="shared" si="174"/>
        <v>0</v>
      </c>
      <c r="AA412" s="208">
        <f t="shared" si="174"/>
        <v>0</v>
      </c>
      <c r="AB412" s="208">
        <f t="shared" si="174"/>
        <v>0</v>
      </c>
      <c r="AC412" s="208">
        <f t="shared" si="174"/>
        <v>0</v>
      </c>
      <c r="AD412" s="208">
        <f t="shared" si="174"/>
        <v>0</v>
      </c>
      <c r="AE412" s="208">
        <f t="shared" si="174"/>
        <v>0</v>
      </c>
      <c r="AF412" s="208">
        <f t="shared" si="174"/>
        <v>0</v>
      </c>
      <c r="AG412" s="208">
        <f t="shared" si="174"/>
        <v>0</v>
      </c>
      <c r="AH412" s="208">
        <f t="shared" si="174"/>
        <v>0</v>
      </c>
      <c r="AI412" s="208">
        <f t="shared" si="174"/>
        <v>0</v>
      </c>
      <c r="AJ412" s="208">
        <f t="shared" si="174"/>
        <v>0</v>
      </c>
      <c r="AK412" s="208">
        <f t="shared" si="174"/>
        <v>0</v>
      </c>
      <c r="AL412" s="208">
        <f t="shared" si="174"/>
        <v>0</v>
      </c>
      <c r="AM412" s="208">
        <f t="shared" si="174"/>
        <v>0</v>
      </c>
      <c r="AN412" s="208">
        <f t="shared" si="174"/>
        <v>0</v>
      </c>
      <c r="AO412" s="208">
        <f t="shared" si="174"/>
        <v>0</v>
      </c>
      <c r="AP412" s="208">
        <f t="shared" si="174"/>
        <v>0</v>
      </c>
    </row>
    <row r="413" spans="1:42">
      <c r="A413" s="119">
        <f t="shared" si="173"/>
        <v>8</v>
      </c>
      <c r="B413" s="218">
        <f t="shared" si="171"/>
        <v>0</v>
      </c>
      <c r="C413" s="250">
        <f t="shared" ref="C413:AP415" si="175">LOOKUP(C401,$B$389:$AP$389,$B$390:$AP$390)*$B648</f>
        <v>0</v>
      </c>
      <c r="D413" s="208">
        <f t="shared" si="175"/>
        <v>0</v>
      </c>
      <c r="E413" s="208">
        <f t="shared" si="175"/>
        <v>0</v>
      </c>
      <c r="F413" s="208">
        <f t="shared" si="175"/>
        <v>0</v>
      </c>
      <c r="G413" s="208">
        <f t="shared" si="175"/>
        <v>0</v>
      </c>
      <c r="H413" s="208">
        <f t="shared" si="175"/>
        <v>0</v>
      </c>
      <c r="I413" s="208">
        <f t="shared" si="175"/>
        <v>0</v>
      </c>
      <c r="J413" s="208">
        <f t="shared" si="175"/>
        <v>0</v>
      </c>
      <c r="K413" s="208">
        <f t="shared" si="175"/>
        <v>0</v>
      </c>
      <c r="L413" s="208">
        <f t="shared" si="175"/>
        <v>0</v>
      </c>
      <c r="M413" s="208">
        <f t="shared" si="175"/>
        <v>0</v>
      </c>
      <c r="N413" s="208">
        <f t="shared" si="175"/>
        <v>0</v>
      </c>
      <c r="O413" s="208">
        <f t="shared" si="175"/>
        <v>0</v>
      </c>
      <c r="P413" s="208">
        <f t="shared" si="175"/>
        <v>0</v>
      </c>
      <c r="Q413" s="208">
        <f t="shared" si="175"/>
        <v>0</v>
      </c>
      <c r="R413" s="208">
        <f t="shared" si="175"/>
        <v>0</v>
      </c>
      <c r="S413" s="208">
        <f t="shared" si="175"/>
        <v>0</v>
      </c>
      <c r="T413" s="208">
        <f t="shared" si="175"/>
        <v>0</v>
      </c>
      <c r="U413" s="208">
        <f t="shared" si="175"/>
        <v>0</v>
      </c>
      <c r="V413" s="208">
        <f t="shared" si="175"/>
        <v>0</v>
      </c>
      <c r="W413" s="208">
        <f t="shared" si="175"/>
        <v>0</v>
      </c>
      <c r="X413" s="208">
        <f t="shared" si="175"/>
        <v>0</v>
      </c>
      <c r="Y413" s="208">
        <f t="shared" si="175"/>
        <v>0</v>
      </c>
      <c r="Z413" s="208">
        <f t="shared" si="175"/>
        <v>0</v>
      </c>
      <c r="AA413" s="208">
        <f t="shared" si="175"/>
        <v>0</v>
      </c>
      <c r="AB413" s="208">
        <f t="shared" si="175"/>
        <v>0</v>
      </c>
      <c r="AC413" s="208">
        <f t="shared" si="175"/>
        <v>0</v>
      </c>
      <c r="AD413" s="208">
        <f t="shared" si="175"/>
        <v>0</v>
      </c>
      <c r="AE413" s="208">
        <f t="shared" si="175"/>
        <v>0</v>
      </c>
      <c r="AF413" s="208">
        <f t="shared" si="175"/>
        <v>0</v>
      </c>
      <c r="AG413" s="208">
        <f t="shared" si="175"/>
        <v>0</v>
      </c>
      <c r="AH413" s="208">
        <f t="shared" si="175"/>
        <v>0</v>
      </c>
      <c r="AI413" s="208">
        <f t="shared" si="175"/>
        <v>0</v>
      </c>
      <c r="AJ413" s="208">
        <f t="shared" si="175"/>
        <v>0</v>
      </c>
      <c r="AK413" s="208">
        <f t="shared" si="175"/>
        <v>0</v>
      </c>
      <c r="AL413" s="208">
        <f t="shared" si="175"/>
        <v>0</v>
      </c>
      <c r="AM413" s="208">
        <f t="shared" si="175"/>
        <v>0</v>
      </c>
      <c r="AN413" s="208">
        <f t="shared" si="175"/>
        <v>0</v>
      </c>
      <c r="AO413" s="208">
        <f t="shared" si="175"/>
        <v>0</v>
      </c>
      <c r="AP413" s="208">
        <f t="shared" si="175"/>
        <v>0</v>
      </c>
    </row>
    <row r="414" spans="1:42">
      <c r="A414" s="119">
        <f>A413+1</f>
        <v>9</v>
      </c>
      <c r="B414" s="218">
        <f t="shared" si="171"/>
        <v>0</v>
      </c>
      <c r="C414" s="250">
        <f t="shared" si="175"/>
        <v>0</v>
      </c>
      <c r="D414" s="208">
        <f t="shared" si="175"/>
        <v>0</v>
      </c>
      <c r="E414" s="208">
        <f t="shared" si="175"/>
        <v>0</v>
      </c>
      <c r="F414" s="208">
        <f t="shared" si="175"/>
        <v>0</v>
      </c>
      <c r="G414" s="208">
        <f t="shared" si="175"/>
        <v>0</v>
      </c>
      <c r="H414" s="208">
        <f t="shared" si="175"/>
        <v>0</v>
      </c>
      <c r="I414" s="208">
        <f t="shared" si="175"/>
        <v>0</v>
      </c>
      <c r="J414" s="208">
        <f t="shared" si="175"/>
        <v>0</v>
      </c>
      <c r="K414" s="208">
        <f t="shared" si="175"/>
        <v>0</v>
      </c>
      <c r="L414" s="208">
        <f t="shared" si="175"/>
        <v>0</v>
      </c>
      <c r="M414" s="208">
        <f t="shared" si="175"/>
        <v>0</v>
      </c>
      <c r="N414" s="208">
        <f t="shared" si="175"/>
        <v>0</v>
      </c>
      <c r="O414" s="208">
        <f t="shared" si="175"/>
        <v>0</v>
      </c>
      <c r="P414" s="208">
        <f t="shared" si="175"/>
        <v>0</v>
      </c>
      <c r="Q414" s="208">
        <f t="shared" si="175"/>
        <v>0</v>
      </c>
      <c r="R414" s="208">
        <f t="shared" si="175"/>
        <v>0</v>
      </c>
      <c r="S414" s="208">
        <f t="shared" si="175"/>
        <v>0</v>
      </c>
      <c r="T414" s="208">
        <f t="shared" si="175"/>
        <v>0</v>
      </c>
      <c r="U414" s="208">
        <f t="shared" si="175"/>
        <v>0</v>
      </c>
      <c r="V414" s="208">
        <f t="shared" si="175"/>
        <v>0</v>
      </c>
      <c r="W414" s="208">
        <f t="shared" si="175"/>
        <v>0</v>
      </c>
      <c r="X414" s="208">
        <f t="shared" si="175"/>
        <v>0</v>
      </c>
      <c r="Y414" s="208">
        <f t="shared" si="175"/>
        <v>0</v>
      </c>
      <c r="Z414" s="208">
        <f t="shared" si="175"/>
        <v>0</v>
      </c>
      <c r="AA414" s="208">
        <f t="shared" si="175"/>
        <v>0</v>
      </c>
      <c r="AB414" s="208">
        <f t="shared" si="175"/>
        <v>0</v>
      </c>
      <c r="AC414" s="208">
        <f t="shared" si="175"/>
        <v>0</v>
      </c>
      <c r="AD414" s="208">
        <f t="shared" si="175"/>
        <v>0</v>
      </c>
      <c r="AE414" s="208">
        <f t="shared" si="175"/>
        <v>0</v>
      </c>
      <c r="AF414" s="208">
        <f t="shared" si="175"/>
        <v>0</v>
      </c>
      <c r="AG414" s="208">
        <f t="shared" si="175"/>
        <v>0</v>
      </c>
      <c r="AH414" s="208">
        <f t="shared" si="175"/>
        <v>0</v>
      </c>
      <c r="AI414" s="208">
        <f t="shared" si="175"/>
        <v>0</v>
      </c>
      <c r="AJ414" s="208">
        <f t="shared" si="175"/>
        <v>0</v>
      </c>
      <c r="AK414" s="208">
        <f t="shared" si="175"/>
        <v>0</v>
      </c>
      <c r="AL414" s="208">
        <f t="shared" si="175"/>
        <v>0</v>
      </c>
      <c r="AM414" s="208">
        <f t="shared" si="175"/>
        <v>0</v>
      </c>
      <c r="AN414" s="208">
        <f t="shared" si="175"/>
        <v>0</v>
      </c>
      <c r="AO414" s="208">
        <f t="shared" si="175"/>
        <v>0</v>
      </c>
      <c r="AP414" s="208">
        <f t="shared" si="175"/>
        <v>0</v>
      </c>
    </row>
    <row r="415" spans="1:42">
      <c r="A415" s="119">
        <f t="shared" ref="A415" si="176">A414+1</f>
        <v>10</v>
      </c>
      <c r="B415" s="218">
        <f t="shared" si="171"/>
        <v>0</v>
      </c>
      <c r="C415" s="246">
        <f t="shared" si="175"/>
        <v>0</v>
      </c>
      <c r="D415" s="209">
        <f t="shared" si="175"/>
        <v>0</v>
      </c>
      <c r="E415" s="209">
        <f t="shared" si="175"/>
        <v>0</v>
      </c>
      <c r="F415" s="209">
        <f t="shared" si="175"/>
        <v>0</v>
      </c>
      <c r="G415" s="209">
        <f t="shared" si="175"/>
        <v>0</v>
      </c>
      <c r="H415" s="209">
        <f t="shared" si="175"/>
        <v>0</v>
      </c>
      <c r="I415" s="209">
        <f t="shared" si="175"/>
        <v>0</v>
      </c>
      <c r="J415" s="209">
        <f t="shared" si="175"/>
        <v>0</v>
      </c>
      <c r="K415" s="209">
        <f t="shared" si="175"/>
        <v>0</v>
      </c>
      <c r="L415" s="209">
        <f t="shared" si="175"/>
        <v>0</v>
      </c>
      <c r="M415" s="209">
        <f t="shared" si="175"/>
        <v>0</v>
      </c>
      <c r="N415" s="209">
        <f t="shared" si="175"/>
        <v>0</v>
      </c>
      <c r="O415" s="209">
        <f t="shared" si="175"/>
        <v>0</v>
      </c>
      <c r="P415" s="209">
        <f t="shared" si="175"/>
        <v>0</v>
      </c>
      <c r="Q415" s="209">
        <f t="shared" si="175"/>
        <v>0</v>
      </c>
      <c r="R415" s="209">
        <f t="shared" si="175"/>
        <v>0</v>
      </c>
      <c r="S415" s="209">
        <f t="shared" si="175"/>
        <v>0</v>
      </c>
      <c r="T415" s="209">
        <f t="shared" si="175"/>
        <v>0</v>
      </c>
      <c r="U415" s="209">
        <f t="shared" si="175"/>
        <v>0</v>
      </c>
      <c r="V415" s="209">
        <f t="shared" si="175"/>
        <v>0</v>
      </c>
      <c r="W415" s="209">
        <f t="shared" si="175"/>
        <v>0</v>
      </c>
      <c r="X415" s="209">
        <f t="shared" si="175"/>
        <v>0</v>
      </c>
      <c r="Y415" s="209">
        <f t="shared" si="175"/>
        <v>0</v>
      </c>
      <c r="Z415" s="209">
        <f t="shared" si="175"/>
        <v>0</v>
      </c>
      <c r="AA415" s="209">
        <f t="shared" si="175"/>
        <v>0</v>
      </c>
      <c r="AB415" s="209">
        <f t="shared" si="175"/>
        <v>0</v>
      </c>
      <c r="AC415" s="209">
        <f t="shared" si="175"/>
        <v>0</v>
      </c>
      <c r="AD415" s="209">
        <f t="shared" si="175"/>
        <v>0</v>
      </c>
      <c r="AE415" s="209">
        <f t="shared" si="175"/>
        <v>0</v>
      </c>
      <c r="AF415" s="209">
        <f t="shared" si="175"/>
        <v>0</v>
      </c>
      <c r="AG415" s="209">
        <f t="shared" si="175"/>
        <v>0</v>
      </c>
      <c r="AH415" s="209">
        <f t="shared" si="175"/>
        <v>0</v>
      </c>
      <c r="AI415" s="209">
        <f t="shared" si="175"/>
        <v>0</v>
      </c>
      <c r="AJ415" s="209">
        <f t="shared" si="175"/>
        <v>0</v>
      </c>
      <c r="AK415" s="209">
        <f t="shared" si="175"/>
        <v>0</v>
      </c>
      <c r="AL415" s="209">
        <f t="shared" si="175"/>
        <v>0</v>
      </c>
      <c r="AM415" s="209">
        <f t="shared" si="175"/>
        <v>0</v>
      </c>
      <c r="AN415" s="209">
        <f t="shared" si="175"/>
        <v>0</v>
      </c>
      <c r="AO415" s="209">
        <f t="shared" si="175"/>
        <v>0</v>
      </c>
      <c r="AP415" s="209">
        <f t="shared" si="175"/>
        <v>0</v>
      </c>
    </row>
    <row r="416" spans="1:42" s="119" customFormat="1">
      <c r="A416" s="247" t="s">
        <v>53</v>
      </c>
      <c r="B416" s="146"/>
      <c r="C416" s="146">
        <f>SUM(C406:C415)</f>
        <v>0</v>
      </c>
      <c r="D416" s="146">
        <f t="shared" ref="D416:AP416" si="177">SUM(D406:D415)</f>
        <v>0</v>
      </c>
      <c r="E416" s="146">
        <f t="shared" si="177"/>
        <v>0</v>
      </c>
      <c r="F416" s="146">
        <f t="shared" si="177"/>
        <v>0</v>
      </c>
      <c r="G416" s="146">
        <f t="shared" si="177"/>
        <v>0</v>
      </c>
      <c r="H416" s="146">
        <f t="shared" si="177"/>
        <v>0</v>
      </c>
      <c r="I416" s="146">
        <f t="shared" si="177"/>
        <v>0</v>
      </c>
      <c r="J416" s="146">
        <f t="shared" si="177"/>
        <v>0</v>
      </c>
      <c r="K416" s="146">
        <f t="shared" si="177"/>
        <v>0</v>
      </c>
      <c r="L416" s="146">
        <f t="shared" si="177"/>
        <v>0</v>
      </c>
      <c r="M416" s="146">
        <f t="shared" si="177"/>
        <v>0</v>
      </c>
      <c r="N416" s="146">
        <f t="shared" si="177"/>
        <v>588974.46870026283</v>
      </c>
      <c r="O416" s="146">
        <f t="shared" si="177"/>
        <v>942359.14992042049</v>
      </c>
      <c r="P416" s="146">
        <f t="shared" si="177"/>
        <v>565415.48995225236</v>
      </c>
      <c r="Q416" s="146">
        <f t="shared" si="177"/>
        <v>339249.29397135135</v>
      </c>
      <c r="R416" s="146">
        <f t="shared" si="177"/>
        <v>339249.29397135135</v>
      </c>
      <c r="S416" s="146">
        <f t="shared" si="177"/>
        <v>169624.64698567567</v>
      </c>
      <c r="T416" s="146">
        <f t="shared" si="177"/>
        <v>0</v>
      </c>
      <c r="U416" s="146">
        <f t="shared" si="177"/>
        <v>0</v>
      </c>
      <c r="V416" s="146">
        <f t="shared" si="177"/>
        <v>0</v>
      </c>
      <c r="W416" s="146">
        <f t="shared" si="177"/>
        <v>0</v>
      </c>
      <c r="X416" s="146">
        <f t="shared" si="177"/>
        <v>0</v>
      </c>
      <c r="Y416" s="146">
        <f t="shared" si="177"/>
        <v>0</v>
      </c>
      <c r="Z416" s="146">
        <f t="shared" si="177"/>
        <v>704188.57730493625</v>
      </c>
      <c r="AA416" s="146">
        <f t="shared" si="177"/>
        <v>1126701.7236878979</v>
      </c>
      <c r="AB416" s="146">
        <f t="shared" si="177"/>
        <v>676021.03421273874</v>
      </c>
      <c r="AC416" s="146">
        <f t="shared" si="177"/>
        <v>405612.62052764324</v>
      </c>
      <c r="AD416" s="146">
        <f t="shared" si="177"/>
        <v>405612.62052764324</v>
      </c>
      <c r="AE416" s="146">
        <f t="shared" si="177"/>
        <v>202806.31026382162</v>
      </c>
      <c r="AF416" s="146">
        <f t="shared" si="177"/>
        <v>0</v>
      </c>
      <c r="AG416" s="146">
        <f t="shared" si="177"/>
        <v>0</v>
      </c>
      <c r="AH416" s="146">
        <f t="shared" si="177"/>
        <v>0</v>
      </c>
      <c r="AI416" s="146">
        <f t="shared" si="177"/>
        <v>0</v>
      </c>
      <c r="AJ416" s="146">
        <f t="shared" si="177"/>
        <v>0</v>
      </c>
      <c r="AK416" s="146">
        <f t="shared" si="177"/>
        <v>0</v>
      </c>
      <c r="AL416" s="146">
        <f t="shared" si="177"/>
        <v>0</v>
      </c>
      <c r="AM416" s="146">
        <f t="shared" si="177"/>
        <v>0</v>
      </c>
      <c r="AN416" s="146">
        <f t="shared" si="177"/>
        <v>0</v>
      </c>
      <c r="AO416" s="146">
        <f t="shared" si="177"/>
        <v>0</v>
      </c>
      <c r="AP416" s="146">
        <f t="shared" si="177"/>
        <v>0</v>
      </c>
    </row>
    <row r="417" spans="1:42" s="119" customFormat="1">
      <c r="A417" s="247"/>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46"/>
      <c r="AK417" s="146"/>
      <c r="AL417" s="146"/>
      <c r="AM417" s="146"/>
      <c r="AN417" s="146"/>
      <c r="AO417" s="146"/>
      <c r="AP417" s="146"/>
    </row>
    <row r="418" spans="1:42">
      <c r="A418" s="219" t="s">
        <v>386</v>
      </c>
      <c r="C418" s="208"/>
      <c r="D418" s="208"/>
      <c r="E418" s="208"/>
      <c r="F418" s="208"/>
      <c r="G418" s="208"/>
      <c r="H418" s="208"/>
      <c r="I418" s="208"/>
      <c r="J418" s="208"/>
      <c r="K418" s="208"/>
      <c r="L418" s="208"/>
      <c r="M418" s="208"/>
      <c r="N418" s="208"/>
      <c r="O418" s="208"/>
      <c r="P418" s="208"/>
      <c r="Q418" s="208"/>
      <c r="R418" s="208"/>
      <c r="S418" s="208"/>
      <c r="T418" s="208"/>
      <c r="U418" s="208"/>
      <c r="V418" s="208"/>
      <c r="W418" s="208"/>
      <c r="X418" s="208"/>
      <c r="Y418" s="208"/>
      <c r="Z418" s="208"/>
      <c r="AA418" s="208"/>
      <c r="AB418" s="208"/>
      <c r="AC418" s="208"/>
      <c r="AD418" s="208"/>
      <c r="AE418" s="208"/>
      <c r="AF418" s="208"/>
      <c r="AG418" s="208"/>
      <c r="AH418" s="208"/>
      <c r="AI418" s="208"/>
      <c r="AJ418" s="208"/>
      <c r="AK418" s="208"/>
      <c r="AL418" s="208"/>
      <c r="AM418" s="208"/>
      <c r="AN418" s="208"/>
      <c r="AO418" s="208"/>
      <c r="AP418" s="208"/>
    </row>
    <row r="419" spans="1:42">
      <c r="A419" s="226" t="s">
        <v>217</v>
      </c>
      <c r="C419" s="208"/>
      <c r="D419" s="208"/>
      <c r="E419" s="208"/>
      <c r="F419" s="208"/>
      <c r="G419" s="208"/>
      <c r="H419" s="208"/>
      <c r="I419" s="208"/>
      <c r="J419" s="208"/>
      <c r="K419" s="208"/>
      <c r="L419" s="208"/>
      <c r="M419" s="208"/>
      <c r="N419" s="208"/>
      <c r="O419" s="208"/>
      <c r="P419" s="208"/>
      <c r="Q419" s="208"/>
      <c r="R419" s="208"/>
      <c r="S419" s="208"/>
      <c r="T419" s="208"/>
      <c r="U419" s="208"/>
      <c r="V419" s="208"/>
      <c r="W419" s="208"/>
      <c r="X419" s="208"/>
      <c r="Y419" s="208"/>
      <c r="Z419" s="208"/>
      <c r="AA419" s="208"/>
      <c r="AB419" s="208"/>
      <c r="AC419" s="208"/>
      <c r="AD419" s="208"/>
      <c r="AE419" s="208"/>
      <c r="AF419" s="208"/>
      <c r="AG419" s="208"/>
      <c r="AH419" s="208"/>
      <c r="AI419" s="208"/>
      <c r="AJ419" s="208"/>
      <c r="AK419" s="208"/>
      <c r="AL419" s="208"/>
      <c r="AM419" s="208"/>
      <c r="AN419" s="208"/>
      <c r="AO419" s="208"/>
      <c r="AP419" s="208"/>
    </row>
    <row r="420" spans="1:42">
      <c r="A420" s="119">
        <v>1</v>
      </c>
      <c r="C420" s="208">
        <f>C285</f>
        <v>0</v>
      </c>
      <c r="D420" s="208">
        <f t="shared" ref="D420:AP426" si="178">D285</f>
        <v>0</v>
      </c>
      <c r="E420" s="208">
        <f t="shared" si="178"/>
        <v>0</v>
      </c>
      <c r="F420" s="208">
        <f t="shared" si="178"/>
        <v>0</v>
      </c>
      <c r="G420" s="208">
        <f t="shared" si="178"/>
        <v>0</v>
      </c>
      <c r="H420" s="208">
        <f t="shared" si="178"/>
        <v>0</v>
      </c>
      <c r="I420" s="208">
        <f t="shared" si="178"/>
        <v>0</v>
      </c>
      <c r="J420" s="208">
        <f t="shared" si="178"/>
        <v>0</v>
      </c>
      <c r="K420" s="208">
        <f t="shared" si="178"/>
        <v>0</v>
      </c>
      <c r="L420" s="208">
        <f t="shared" si="178"/>
        <v>0</v>
      </c>
      <c r="M420" s="208">
        <f t="shared" si="178"/>
        <v>0</v>
      </c>
      <c r="N420" s="208">
        <f t="shared" si="178"/>
        <v>0</v>
      </c>
      <c r="O420" s="208">
        <f t="shared" si="178"/>
        <v>0</v>
      </c>
      <c r="P420" s="208">
        <f t="shared" si="178"/>
        <v>0</v>
      </c>
      <c r="Q420" s="208">
        <f t="shared" si="178"/>
        <v>1</v>
      </c>
      <c r="R420" s="208">
        <f t="shared" si="178"/>
        <v>2</v>
      </c>
      <c r="S420" s="208">
        <f t="shared" si="178"/>
        <v>3</v>
      </c>
      <c r="T420" s="208">
        <f t="shared" si="178"/>
        <v>4</v>
      </c>
      <c r="U420" s="208">
        <f t="shared" si="178"/>
        <v>5</v>
      </c>
      <c r="V420" s="208">
        <f t="shared" si="178"/>
        <v>6</v>
      </c>
      <c r="W420" s="208">
        <f t="shared" si="178"/>
        <v>7</v>
      </c>
      <c r="X420" s="208">
        <f t="shared" si="178"/>
        <v>8</v>
      </c>
      <c r="Y420" s="208">
        <f t="shared" si="178"/>
        <v>9</v>
      </c>
      <c r="Z420" s="208">
        <f t="shared" si="178"/>
        <v>10</v>
      </c>
      <c r="AA420" s="208">
        <f t="shared" si="178"/>
        <v>11</v>
      </c>
      <c r="AB420" s="208">
        <f t="shared" si="178"/>
        <v>12</v>
      </c>
      <c r="AC420" s="208">
        <f t="shared" si="178"/>
        <v>13</v>
      </c>
      <c r="AD420" s="208">
        <f t="shared" si="178"/>
        <v>14</v>
      </c>
      <c r="AE420" s="208">
        <f t="shared" si="178"/>
        <v>15</v>
      </c>
      <c r="AF420" s="208">
        <f t="shared" si="178"/>
        <v>16</v>
      </c>
      <c r="AG420" s="208">
        <f t="shared" si="178"/>
        <v>0</v>
      </c>
      <c r="AH420" s="208">
        <f t="shared" si="178"/>
        <v>0</v>
      </c>
      <c r="AI420" s="208">
        <f t="shared" si="178"/>
        <v>0</v>
      </c>
      <c r="AJ420" s="208">
        <f t="shared" si="178"/>
        <v>0</v>
      </c>
      <c r="AK420" s="208">
        <f t="shared" si="178"/>
        <v>0</v>
      </c>
      <c r="AL420" s="208">
        <f t="shared" si="178"/>
        <v>0</v>
      </c>
      <c r="AM420" s="208">
        <f t="shared" si="178"/>
        <v>0</v>
      </c>
      <c r="AN420" s="208">
        <f t="shared" si="178"/>
        <v>0</v>
      </c>
      <c r="AO420" s="208">
        <f t="shared" si="178"/>
        <v>0</v>
      </c>
      <c r="AP420" s="208">
        <f t="shared" si="178"/>
        <v>0</v>
      </c>
    </row>
    <row r="421" spans="1:42">
      <c r="A421" s="119">
        <f>A420+1</f>
        <v>2</v>
      </c>
      <c r="C421" s="208">
        <f t="shared" ref="C421:R429" si="179">C286</f>
        <v>0</v>
      </c>
      <c r="D421" s="208">
        <f t="shared" si="179"/>
        <v>0</v>
      </c>
      <c r="E421" s="208">
        <f t="shared" si="179"/>
        <v>0</v>
      </c>
      <c r="F421" s="208">
        <f t="shared" si="179"/>
        <v>0</v>
      </c>
      <c r="G421" s="208">
        <f t="shared" si="179"/>
        <v>0</v>
      </c>
      <c r="H421" s="208">
        <f t="shared" si="179"/>
        <v>0</v>
      </c>
      <c r="I421" s="208">
        <f t="shared" si="179"/>
        <v>0</v>
      </c>
      <c r="J421" s="208">
        <f t="shared" si="179"/>
        <v>0</v>
      </c>
      <c r="K421" s="208">
        <f t="shared" si="179"/>
        <v>0</v>
      </c>
      <c r="L421" s="208">
        <f t="shared" si="179"/>
        <v>0</v>
      </c>
      <c r="M421" s="208">
        <f t="shared" si="179"/>
        <v>0</v>
      </c>
      <c r="N421" s="208">
        <f t="shared" si="179"/>
        <v>0</v>
      </c>
      <c r="O421" s="208">
        <f t="shared" si="179"/>
        <v>0</v>
      </c>
      <c r="P421" s="208">
        <f t="shared" si="179"/>
        <v>0</v>
      </c>
      <c r="Q421" s="208">
        <f t="shared" si="179"/>
        <v>0</v>
      </c>
      <c r="R421" s="208">
        <f t="shared" si="179"/>
        <v>0</v>
      </c>
      <c r="S421" s="208">
        <f t="shared" si="178"/>
        <v>0</v>
      </c>
      <c r="T421" s="208">
        <f t="shared" si="178"/>
        <v>0</v>
      </c>
      <c r="U421" s="208">
        <f t="shared" si="178"/>
        <v>0</v>
      </c>
      <c r="V421" s="208">
        <f t="shared" si="178"/>
        <v>0</v>
      </c>
      <c r="W421" s="208">
        <f t="shared" si="178"/>
        <v>0</v>
      </c>
      <c r="X421" s="208">
        <f t="shared" si="178"/>
        <v>0</v>
      </c>
      <c r="Y421" s="208">
        <f t="shared" si="178"/>
        <v>0</v>
      </c>
      <c r="Z421" s="208">
        <f t="shared" si="178"/>
        <v>0</v>
      </c>
      <c r="AA421" s="208">
        <f t="shared" si="178"/>
        <v>0</v>
      </c>
      <c r="AB421" s="208">
        <f t="shared" si="178"/>
        <v>0</v>
      </c>
      <c r="AC421" s="208">
        <f t="shared" si="178"/>
        <v>0</v>
      </c>
      <c r="AD421" s="208">
        <f t="shared" si="178"/>
        <v>0</v>
      </c>
      <c r="AE421" s="208">
        <f t="shared" si="178"/>
        <v>0</v>
      </c>
      <c r="AF421" s="208">
        <f t="shared" si="178"/>
        <v>1</v>
      </c>
      <c r="AG421" s="208">
        <f t="shared" si="178"/>
        <v>0</v>
      </c>
      <c r="AH421" s="208">
        <f t="shared" si="178"/>
        <v>0</v>
      </c>
      <c r="AI421" s="208">
        <f t="shared" si="178"/>
        <v>0</v>
      </c>
      <c r="AJ421" s="208">
        <f t="shared" si="178"/>
        <v>0</v>
      </c>
      <c r="AK421" s="208">
        <f t="shared" si="178"/>
        <v>0</v>
      </c>
      <c r="AL421" s="208">
        <f t="shared" si="178"/>
        <v>0</v>
      </c>
      <c r="AM421" s="208">
        <f t="shared" si="178"/>
        <v>0</v>
      </c>
      <c r="AN421" s="208">
        <f t="shared" si="178"/>
        <v>0</v>
      </c>
      <c r="AO421" s="208">
        <f t="shared" si="178"/>
        <v>0</v>
      </c>
      <c r="AP421" s="208">
        <f t="shared" si="178"/>
        <v>0</v>
      </c>
    </row>
    <row r="422" spans="1:42">
      <c r="A422" s="119">
        <f t="shared" ref="A422:A427" si="180">A421+1</f>
        <v>3</v>
      </c>
      <c r="C422" s="208">
        <f t="shared" si="179"/>
        <v>0</v>
      </c>
      <c r="D422" s="208">
        <f t="shared" si="178"/>
        <v>0</v>
      </c>
      <c r="E422" s="208">
        <f t="shared" si="178"/>
        <v>0</v>
      </c>
      <c r="F422" s="208">
        <f t="shared" si="178"/>
        <v>0</v>
      </c>
      <c r="G422" s="208">
        <f t="shared" si="178"/>
        <v>0</v>
      </c>
      <c r="H422" s="208">
        <f t="shared" si="178"/>
        <v>0</v>
      </c>
      <c r="I422" s="208">
        <f t="shared" si="178"/>
        <v>0</v>
      </c>
      <c r="J422" s="208">
        <f t="shared" si="178"/>
        <v>0</v>
      </c>
      <c r="K422" s="208">
        <f t="shared" si="178"/>
        <v>0</v>
      </c>
      <c r="L422" s="208">
        <f t="shared" si="178"/>
        <v>0</v>
      </c>
      <c r="M422" s="208">
        <f t="shared" si="178"/>
        <v>0</v>
      </c>
      <c r="N422" s="208">
        <f t="shared" si="178"/>
        <v>0</v>
      </c>
      <c r="O422" s="208">
        <f t="shared" si="178"/>
        <v>0</v>
      </c>
      <c r="P422" s="208">
        <f t="shared" si="178"/>
        <v>0</v>
      </c>
      <c r="Q422" s="208">
        <f t="shared" si="178"/>
        <v>0</v>
      </c>
      <c r="R422" s="208">
        <f t="shared" si="178"/>
        <v>0</v>
      </c>
      <c r="S422" s="208">
        <f t="shared" si="178"/>
        <v>0</v>
      </c>
      <c r="T422" s="208">
        <f t="shared" si="178"/>
        <v>0</v>
      </c>
      <c r="U422" s="208">
        <f t="shared" si="178"/>
        <v>0</v>
      </c>
      <c r="V422" s="208">
        <f t="shared" si="178"/>
        <v>0</v>
      </c>
      <c r="W422" s="208">
        <f t="shared" si="178"/>
        <v>0</v>
      </c>
      <c r="X422" s="208">
        <f t="shared" si="178"/>
        <v>0</v>
      </c>
      <c r="Y422" s="208">
        <f t="shared" si="178"/>
        <v>0</v>
      </c>
      <c r="Z422" s="208">
        <f t="shared" si="178"/>
        <v>0</v>
      </c>
      <c r="AA422" s="208">
        <f t="shared" si="178"/>
        <v>0</v>
      </c>
      <c r="AB422" s="208">
        <f t="shared" si="178"/>
        <v>0</v>
      </c>
      <c r="AC422" s="208">
        <f t="shared" si="178"/>
        <v>0</v>
      </c>
      <c r="AD422" s="208">
        <f t="shared" si="178"/>
        <v>0</v>
      </c>
      <c r="AE422" s="208">
        <f t="shared" si="178"/>
        <v>0</v>
      </c>
      <c r="AF422" s="208">
        <f t="shared" si="178"/>
        <v>0</v>
      </c>
      <c r="AG422" s="208">
        <f t="shared" si="178"/>
        <v>0</v>
      </c>
      <c r="AH422" s="208">
        <f t="shared" si="178"/>
        <v>0</v>
      </c>
      <c r="AI422" s="208">
        <f t="shared" si="178"/>
        <v>0</v>
      </c>
      <c r="AJ422" s="208">
        <f t="shared" si="178"/>
        <v>0</v>
      </c>
      <c r="AK422" s="208">
        <f t="shared" si="178"/>
        <v>0</v>
      </c>
      <c r="AL422" s="208">
        <f t="shared" si="178"/>
        <v>0</v>
      </c>
      <c r="AM422" s="208">
        <f t="shared" si="178"/>
        <v>0</v>
      </c>
      <c r="AN422" s="208">
        <f t="shared" si="178"/>
        <v>0</v>
      </c>
      <c r="AO422" s="208">
        <f t="shared" si="178"/>
        <v>0</v>
      </c>
      <c r="AP422" s="208">
        <f t="shared" si="178"/>
        <v>0</v>
      </c>
    </row>
    <row r="423" spans="1:42">
      <c r="A423" s="119">
        <f t="shared" si="180"/>
        <v>4</v>
      </c>
      <c r="C423" s="208">
        <f t="shared" si="179"/>
        <v>0</v>
      </c>
      <c r="D423" s="208">
        <f t="shared" si="178"/>
        <v>0</v>
      </c>
      <c r="E423" s="208">
        <f t="shared" si="178"/>
        <v>0</v>
      </c>
      <c r="F423" s="208">
        <f t="shared" si="178"/>
        <v>0</v>
      </c>
      <c r="G423" s="208">
        <f t="shared" si="178"/>
        <v>0</v>
      </c>
      <c r="H423" s="208">
        <f t="shared" si="178"/>
        <v>0</v>
      </c>
      <c r="I423" s="208">
        <f t="shared" si="178"/>
        <v>0</v>
      </c>
      <c r="J423" s="208">
        <f t="shared" si="178"/>
        <v>0</v>
      </c>
      <c r="K423" s="208">
        <f t="shared" si="178"/>
        <v>0</v>
      </c>
      <c r="L423" s="208">
        <f t="shared" si="178"/>
        <v>0</v>
      </c>
      <c r="M423" s="208">
        <f t="shared" si="178"/>
        <v>0</v>
      </c>
      <c r="N423" s="208">
        <f t="shared" si="178"/>
        <v>0</v>
      </c>
      <c r="O423" s="208">
        <f t="shared" si="178"/>
        <v>0</v>
      </c>
      <c r="P423" s="208">
        <f t="shared" si="178"/>
        <v>0</v>
      </c>
      <c r="Q423" s="208">
        <f t="shared" si="178"/>
        <v>0</v>
      </c>
      <c r="R423" s="208">
        <f t="shared" si="178"/>
        <v>0</v>
      </c>
      <c r="S423" s="208">
        <f t="shared" si="178"/>
        <v>0</v>
      </c>
      <c r="T423" s="208">
        <f t="shared" si="178"/>
        <v>0</v>
      </c>
      <c r="U423" s="208">
        <f t="shared" si="178"/>
        <v>0</v>
      </c>
      <c r="V423" s="208">
        <f t="shared" si="178"/>
        <v>0</v>
      </c>
      <c r="W423" s="208">
        <f t="shared" si="178"/>
        <v>0</v>
      </c>
      <c r="X423" s="208">
        <f t="shared" si="178"/>
        <v>0</v>
      </c>
      <c r="Y423" s="208">
        <f t="shared" si="178"/>
        <v>0</v>
      </c>
      <c r="Z423" s="208">
        <f t="shared" si="178"/>
        <v>0</v>
      </c>
      <c r="AA423" s="208">
        <f t="shared" si="178"/>
        <v>0</v>
      </c>
      <c r="AB423" s="208">
        <f t="shared" si="178"/>
        <v>0</v>
      </c>
      <c r="AC423" s="208">
        <f t="shared" si="178"/>
        <v>0</v>
      </c>
      <c r="AD423" s="208">
        <f t="shared" si="178"/>
        <v>0</v>
      </c>
      <c r="AE423" s="208">
        <f t="shared" si="178"/>
        <v>0</v>
      </c>
      <c r="AF423" s="208">
        <f t="shared" si="178"/>
        <v>0</v>
      </c>
      <c r="AG423" s="208">
        <f t="shared" si="178"/>
        <v>0</v>
      </c>
      <c r="AH423" s="208">
        <f t="shared" si="178"/>
        <v>0</v>
      </c>
      <c r="AI423" s="208">
        <f t="shared" si="178"/>
        <v>0</v>
      </c>
      <c r="AJ423" s="208">
        <f t="shared" si="178"/>
        <v>0</v>
      </c>
      <c r="AK423" s="208">
        <f t="shared" si="178"/>
        <v>0</v>
      </c>
      <c r="AL423" s="208">
        <f t="shared" si="178"/>
        <v>0</v>
      </c>
      <c r="AM423" s="208">
        <f t="shared" si="178"/>
        <v>0</v>
      </c>
      <c r="AN423" s="208">
        <f t="shared" si="178"/>
        <v>0</v>
      </c>
      <c r="AO423" s="208">
        <f t="shared" si="178"/>
        <v>0</v>
      </c>
      <c r="AP423" s="208">
        <f t="shared" si="178"/>
        <v>0</v>
      </c>
    </row>
    <row r="424" spans="1:42">
      <c r="A424" s="119">
        <f t="shared" si="180"/>
        <v>5</v>
      </c>
      <c r="C424" s="208">
        <f t="shared" si="179"/>
        <v>0</v>
      </c>
      <c r="D424" s="208">
        <f t="shared" si="178"/>
        <v>0</v>
      </c>
      <c r="E424" s="208">
        <f t="shared" si="178"/>
        <v>0</v>
      </c>
      <c r="F424" s="208">
        <f t="shared" si="178"/>
        <v>0</v>
      </c>
      <c r="G424" s="208">
        <f t="shared" si="178"/>
        <v>0</v>
      </c>
      <c r="H424" s="208">
        <f t="shared" si="178"/>
        <v>0</v>
      </c>
      <c r="I424" s="208">
        <f t="shared" si="178"/>
        <v>0</v>
      </c>
      <c r="J424" s="208">
        <f t="shared" si="178"/>
        <v>0</v>
      </c>
      <c r="K424" s="208">
        <f t="shared" si="178"/>
        <v>0</v>
      </c>
      <c r="L424" s="208">
        <f t="shared" si="178"/>
        <v>0</v>
      </c>
      <c r="M424" s="208">
        <f t="shared" si="178"/>
        <v>0</v>
      </c>
      <c r="N424" s="208">
        <f t="shared" si="178"/>
        <v>0</v>
      </c>
      <c r="O424" s="208">
        <f t="shared" si="178"/>
        <v>0</v>
      </c>
      <c r="P424" s="208">
        <f t="shared" si="178"/>
        <v>0</v>
      </c>
      <c r="Q424" s="208">
        <f t="shared" si="178"/>
        <v>0</v>
      </c>
      <c r="R424" s="208">
        <f t="shared" si="178"/>
        <v>0</v>
      </c>
      <c r="S424" s="208">
        <f t="shared" si="178"/>
        <v>0</v>
      </c>
      <c r="T424" s="208">
        <f t="shared" si="178"/>
        <v>0</v>
      </c>
      <c r="U424" s="208">
        <f t="shared" si="178"/>
        <v>0</v>
      </c>
      <c r="V424" s="208">
        <f t="shared" si="178"/>
        <v>0</v>
      </c>
      <c r="W424" s="208">
        <f t="shared" si="178"/>
        <v>0</v>
      </c>
      <c r="X424" s="208">
        <f t="shared" si="178"/>
        <v>0</v>
      </c>
      <c r="Y424" s="208">
        <f t="shared" si="178"/>
        <v>0</v>
      </c>
      <c r="Z424" s="208">
        <f t="shared" si="178"/>
        <v>0</v>
      </c>
      <c r="AA424" s="208">
        <f t="shared" si="178"/>
        <v>0</v>
      </c>
      <c r="AB424" s="208">
        <f t="shared" si="178"/>
        <v>0</v>
      </c>
      <c r="AC424" s="208">
        <f t="shared" si="178"/>
        <v>0</v>
      </c>
      <c r="AD424" s="208">
        <f t="shared" si="178"/>
        <v>0</v>
      </c>
      <c r="AE424" s="208">
        <f t="shared" si="178"/>
        <v>0</v>
      </c>
      <c r="AF424" s="208">
        <f t="shared" si="178"/>
        <v>0</v>
      </c>
      <c r="AG424" s="208">
        <f t="shared" si="178"/>
        <v>0</v>
      </c>
      <c r="AH424" s="208">
        <f t="shared" si="178"/>
        <v>0</v>
      </c>
      <c r="AI424" s="208">
        <f t="shared" si="178"/>
        <v>0</v>
      </c>
      <c r="AJ424" s="208">
        <f t="shared" si="178"/>
        <v>0</v>
      </c>
      <c r="AK424" s="208">
        <f t="shared" si="178"/>
        <v>0</v>
      </c>
      <c r="AL424" s="208">
        <f t="shared" si="178"/>
        <v>0</v>
      </c>
      <c r="AM424" s="208">
        <f t="shared" si="178"/>
        <v>0</v>
      </c>
      <c r="AN424" s="208">
        <f t="shared" si="178"/>
        <v>0</v>
      </c>
      <c r="AO424" s="208">
        <f t="shared" si="178"/>
        <v>0</v>
      </c>
      <c r="AP424" s="208">
        <f t="shared" si="178"/>
        <v>0</v>
      </c>
    </row>
    <row r="425" spans="1:42">
      <c r="A425" s="119">
        <f t="shared" si="180"/>
        <v>6</v>
      </c>
      <c r="C425" s="208">
        <f t="shared" si="179"/>
        <v>0</v>
      </c>
      <c r="D425" s="208">
        <f t="shared" si="178"/>
        <v>0</v>
      </c>
      <c r="E425" s="208">
        <f t="shared" si="178"/>
        <v>0</v>
      </c>
      <c r="F425" s="208">
        <f t="shared" si="178"/>
        <v>0</v>
      </c>
      <c r="G425" s="208">
        <f t="shared" si="178"/>
        <v>0</v>
      </c>
      <c r="H425" s="208">
        <f t="shared" si="178"/>
        <v>0</v>
      </c>
      <c r="I425" s="208">
        <f t="shared" si="178"/>
        <v>0</v>
      </c>
      <c r="J425" s="208">
        <f t="shared" si="178"/>
        <v>0</v>
      </c>
      <c r="K425" s="208">
        <f t="shared" si="178"/>
        <v>0</v>
      </c>
      <c r="L425" s="208">
        <f t="shared" si="178"/>
        <v>0</v>
      </c>
      <c r="M425" s="208">
        <f t="shared" si="178"/>
        <v>0</v>
      </c>
      <c r="N425" s="208">
        <f t="shared" si="178"/>
        <v>0</v>
      </c>
      <c r="O425" s="208">
        <f t="shared" si="178"/>
        <v>0</v>
      </c>
      <c r="P425" s="208">
        <f t="shared" si="178"/>
        <v>0</v>
      </c>
      <c r="Q425" s="208">
        <f t="shared" si="178"/>
        <v>0</v>
      </c>
      <c r="R425" s="208">
        <f t="shared" si="178"/>
        <v>0</v>
      </c>
      <c r="S425" s="208">
        <f t="shared" si="178"/>
        <v>0</v>
      </c>
      <c r="T425" s="208">
        <f t="shared" si="178"/>
        <v>0</v>
      </c>
      <c r="U425" s="208">
        <f t="shared" si="178"/>
        <v>0</v>
      </c>
      <c r="V425" s="208">
        <f t="shared" si="178"/>
        <v>0</v>
      </c>
      <c r="W425" s="208">
        <f t="shared" si="178"/>
        <v>0</v>
      </c>
      <c r="X425" s="208">
        <f t="shared" si="178"/>
        <v>0</v>
      </c>
      <c r="Y425" s="208">
        <f t="shared" si="178"/>
        <v>0</v>
      </c>
      <c r="Z425" s="208">
        <f t="shared" si="178"/>
        <v>0</v>
      </c>
      <c r="AA425" s="208">
        <f t="shared" si="178"/>
        <v>0</v>
      </c>
      <c r="AB425" s="208">
        <f t="shared" si="178"/>
        <v>0</v>
      </c>
      <c r="AC425" s="208">
        <f t="shared" si="178"/>
        <v>0</v>
      </c>
      <c r="AD425" s="208">
        <f t="shared" si="178"/>
        <v>0</v>
      </c>
      <c r="AE425" s="208">
        <f t="shared" si="178"/>
        <v>0</v>
      </c>
      <c r="AF425" s="208">
        <f t="shared" si="178"/>
        <v>0</v>
      </c>
      <c r="AG425" s="208">
        <f t="shared" si="178"/>
        <v>0</v>
      </c>
      <c r="AH425" s="208">
        <f t="shared" si="178"/>
        <v>0</v>
      </c>
      <c r="AI425" s="208">
        <f t="shared" si="178"/>
        <v>0</v>
      </c>
      <c r="AJ425" s="208">
        <f t="shared" si="178"/>
        <v>0</v>
      </c>
      <c r="AK425" s="208">
        <f t="shared" si="178"/>
        <v>0</v>
      </c>
      <c r="AL425" s="208">
        <f t="shared" si="178"/>
        <v>0</v>
      </c>
      <c r="AM425" s="208">
        <f t="shared" si="178"/>
        <v>0</v>
      </c>
      <c r="AN425" s="208">
        <f t="shared" si="178"/>
        <v>0</v>
      </c>
      <c r="AO425" s="208">
        <f t="shared" si="178"/>
        <v>0</v>
      </c>
      <c r="AP425" s="208">
        <f t="shared" si="178"/>
        <v>0</v>
      </c>
    </row>
    <row r="426" spans="1:42">
      <c r="A426" s="119">
        <f t="shared" si="180"/>
        <v>7</v>
      </c>
      <c r="C426" s="208">
        <f t="shared" si="179"/>
        <v>0</v>
      </c>
      <c r="D426" s="208">
        <f t="shared" si="178"/>
        <v>0</v>
      </c>
      <c r="E426" s="208">
        <f t="shared" si="178"/>
        <v>0</v>
      </c>
      <c r="F426" s="208">
        <f t="shared" si="178"/>
        <v>0</v>
      </c>
      <c r="G426" s="208">
        <f t="shared" si="178"/>
        <v>0</v>
      </c>
      <c r="H426" s="208">
        <f t="shared" si="178"/>
        <v>0</v>
      </c>
      <c r="I426" s="208">
        <f t="shared" si="178"/>
        <v>0</v>
      </c>
      <c r="J426" s="208">
        <f t="shared" si="178"/>
        <v>0</v>
      </c>
      <c r="K426" s="208">
        <f t="shared" si="178"/>
        <v>0</v>
      </c>
      <c r="L426" s="208">
        <f t="shared" si="178"/>
        <v>0</v>
      </c>
      <c r="M426" s="208">
        <f t="shared" si="178"/>
        <v>0</v>
      </c>
      <c r="N426" s="208">
        <f t="shared" si="178"/>
        <v>0</v>
      </c>
      <c r="O426" s="208">
        <f t="shared" si="178"/>
        <v>0</v>
      </c>
      <c r="P426" s="208">
        <f t="shared" si="178"/>
        <v>0</v>
      </c>
      <c r="Q426" s="208">
        <f t="shared" si="178"/>
        <v>0</v>
      </c>
      <c r="R426" s="208">
        <f t="shared" si="178"/>
        <v>0</v>
      </c>
      <c r="S426" s="208">
        <f t="shared" si="178"/>
        <v>0</v>
      </c>
      <c r="T426" s="208">
        <f t="shared" si="178"/>
        <v>0</v>
      </c>
      <c r="U426" s="208">
        <f t="shared" si="178"/>
        <v>0</v>
      </c>
      <c r="V426" s="208">
        <f t="shared" si="178"/>
        <v>0</v>
      </c>
      <c r="W426" s="208">
        <f t="shared" si="178"/>
        <v>0</v>
      </c>
      <c r="X426" s="208">
        <f t="shared" si="178"/>
        <v>0</v>
      </c>
      <c r="Y426" s="208">
        <f t="shared" si="178"/>
        <v>0</v>
      </c>
      <c r="Z426" s="208">
        <f t="shared" si="178"/>
        <v>0</v>
      </c>
      <c r="AA426" s="208">
        <f t="shared" si="178"/>
        <v>0</v>
      </c>
      <c r="AB426" s="208">
        <f t="shared" si="178"/>
        <v>0</v>
      </c>
      <c r="AC426" s="208">
        <f t="shared" si="178"/>
        <v>0</v>
      </c>
      <c r="AD426" s="208">
        <f t="shared" si="178"/>
        <v>0</v>
      </c>
      <c r="AE426" s="208">
        <f t="shared" si="178"/>
        <v>0</v>
      </c>
      <c r="AF426" s="208">
        <f t="shared" si="178"/>
        <v>0</v>
      </c>
      <c r="AG426" s="208">
        <f t="shared" si="178"/>
        <v>0</v>
      </c>
      <c r="AH426" s="208">
        <f t="shared" si="178"/>
        <v>0</v>
      </c>
      <c r="AI426" s="208">
        <f t="shared" si="178"/>
        <v>0</v>
      </c>
      <c r="AJ426" s="208">
        <f t="shared" si="178"/>
        <v>0</v>
      </c>
      <c r="AK426" s="208">
        <f t="shared" si="178"/>
        <v>0</v>
      </c>
      <c r="AL426" s="208">
        <f t="shared" si="178"/>
        <v>0</v>
      </c>
      <c r="AM426" s="208">
        <f t="shared" si="178"/>
        <v>0</v>
      </c>
      <c r="AN426" s="208">
        <f t="shared" ref="AN426:AP426" si="181">AN291</f>
        <v>0</v>
      </c>
      <c r="AO426" s="208">
        <f t="shared" si="181"/>
        <v>0</v>
      </c>
      <c r="AP426" s="208">
        <f t="shared" si="181"/>
        <v>0</v>
      </c>
    </row>
    <row r="427" spans="1:42">
      <c r="A427" s="119">
        <f t="shared" si="180"/>
        <v>8</v>
      </c>
      <c r="C427" s="208">
        <f t="shared" si="179"/>
        <v>0</v>
      </c>
      <c r="D427" s="208">
        <f t="shared" si="179"/>
        <v>0</v>
      </c>
      <c r="E427" s="208">
        <f t="shared" si="179"/>
        <v>0</v>
      </c>
      <c r="F427" s="208">
        <f t="shared" si="179"/>
        <v>0</v>
      </c>
      <c r="G427" s="208">
        <f t="shared" si="179"/>
        <v>0</v>
      </c>
      <c r="H427" s="208">
        <f t="shared" si="179"/>
        <v>0</v>
      </c>
      <c r="I427" s="208">
        <f t="shared" si="179"/>
        <v>0</v>
      </c>
      <c r="J427" s="208">
        <f t="shared" si="179"/>
        <v>0</v>
      </c>
      <c r="K427" s="208">
        <f t="shared" si="179"/>
        <v>0</v>
      </c>
      <c r="L427" s="208">
        <f t="shared" si="179"/>
        <v>0</v>
      </c>
      <c r="M427" s="208">
        <f t="shared" si="179"/>
        <v>0</v>
      </c>
      <c r="N427" s="208">
        <f t="shared" si="179"/>
        <v>0</v>
      </c>
      <c r="O427" s="208">
        <f t="shared" si="179"/>
        <v>0</v>
      </c>
      <c r="P427" s="208">
        <f t="shared" si="179"/>
        <v>0</v>
      </c>
      <c r="Q427" s="208">
        <f t="shared" si="179"/>
        <v>0</v>
      </c>
      <c r="R427" s="208">
        <f t="shared" si="179"/>
        <v>0</v>
      </c>
      <c r="S427" s="208">
        <f t="shared" ref="D427:AP429" si="182">S292</f>
        <v>0</v>
      </c>
      <c r="T427" s="208">
        <f t="shared" si="182"/>
        <v>0</v>
      </c>
      <c r="U427" s="208">
        <f t="shared" si="182"/>
        <v>0</v>
      </c>
      <c r="V427" s="208">
        <f t="shared" si="182"/>
        <v>0</v>
      </c>
      <c r="W427" s="208">
        <f t="shared" si="182"/>
        <v>0</v>
      </c>
      <c r="X427" s="208">
        <f t="shared" si="182"/>
        <v>0</v>
      </c>
      <c r="Y427" s="208">
        <f t="shared" si="182"/>
        <v>0</v>
      </c>
      <c r="Z427" s="208">
        <f t="shared" si="182"/>
        <v>0</v>
      </c>
      <c r="AA427" s="208">
        <f t="shared" si="182"/>
        <v>0</v>
      </c>
      <c r="AB427" s="208">
        <f t="shared" si="182"/>
        <v>0</v>
      </c>
      <c r="AC427" s="208">
        <f t="shared" si="182"/>
        <v>0</v>
      </c>
      <c r="AD427" s="208">
        <f t="shared" si="182"/>
        <v>0</v>
      </c>
      <c r="AE427" s="208">
        <f t="shared" si="182"/>
        <v>0</v>
      </c>
      <c r="AF427" s="208">
        <f t="shared" si="182"/>
        <v>0</v>
      </c>
      <c r="AG427" s="208">
        <f t="shared" si="182"/>
        <v>0</v>
      </c>
      <c r="AH427" s="208">
        <f t="shared" si="182"/>
        <v>0</v>
      </c>
      <c r="AI427" s="208">
        <f t="shared" si="182"/>
        <v>0</v>
      </c>
      <c r="AJ427" s="208">
        <f t="shared" si="182"/>
        <v>0</v>
      </c>
      <c r="AK427" s="208">
        <f t="shared" si="182"/>
        <v>0</v>
      </c>
      <c r="AL427" s="208">
        <f t="shared" si="182"/>
        <v>0</v>
      </c>
      <c r="AM427" s="208">
        <f t="shared" si="182"/>
        <v>0</v>
      </c>
      <c r="AN427" s="208">
        <f t="shared" si="182"/>
        <v>0</v>
      </c>
      <c r="AO427" s="208">
        <f t="shared" si="182"/>
        <v>0</v>
      </c>
      <c r="AP427" s="208">
        <f t="shared" si="182"/>
        <v>0</v>
      </c>
    </row>
    <row r="428" spans="1:42">
      <c r="A428" s="119">
        <f>A427+1</f>
        <v>9</v>
      </c>
      <c r="C428" s="208">
        <f t="shared" si="179"/>
        <v>0</v>
      </c>
      <c r="D428" s="208">
        <f t="shared" si="182"/>
        <v>0</v>
      </c>
      <c r="E428" s="208">
        <f t="shared" si="182"/>
        <v>0</v>
      </c>
      <c r="F428" s="208">
        <f t="shared" si="182"/>
        <v>0</v>
      </c>
      <c r="G428" s="208">
        <f t="shared" si="182"/>
        <v>0</v>
      </c>
      <c r="H428" s="208">
        <f t="shared" si="182"/>
        <v>0</v>
      </c>
      <c r="I428" s="208">
        <f t="shared" si="182"/>
        <v>0</v>
      </c>
      <c r="J428" s="208">
        <f t="shared" si="182"/>
        <v>0</v>
      </c>
      <c r="K428" s="208">
        <f t="shared" si="182"/>
        <v>0</v>
      </c>
      <c r="L428" s="208">
        <f t="shared" si="182"/>
        <v>0</v>
      </c>
      <c r="M428" s="208">
        <f t="shared" si="182"/>
        <v>0</v>
      </c>
      <c r="N428" s="208">
        <f t="shared" si="182"/>
        <v>0</v>
      </c>
      <c r="O428" s="208">
        <f t="shared" si="182"/>
        <v>0</v>
      </c>
      <c r="P428" s="208">
        <f t="shared" si="182"/>
        <v>0</v>
      </c>
      <c r="Q428" s="208">
        <f t="shared" si="182"/>
        <v>0</v>
      </c>
      <c r="R428" s="208">
        <f t="shared" si="182"/>
        <v>0</v>
      </c>
      <c r="S428" s="208">
        <f t="shared" si="182"/>
        <v>0</v>
      </c>
      <c r="T428" s="208">
        <f t="shared" si="182"/>
        <v>0</v>
      </c>
      <c r="U428" s="208">
        <f t="shared" si="182"/>
        <v>0</v>
      </c>
      <c r="V428" s="208">
        <f t="shared" si="182"/>
        <v>0</v>
      </c>
      <c r="W428" s="208">
        <f t="shared" si="182"/>
        <v>0</v>
      </c>
      <c r="X428" s="208">
        <f t="shared" si="182"/>
        <v>0</v>
      </c>
      <c r="Y428" s="208">
        <f t="shared" si="182"/>
        <v>0</v>
      </c>
      <c r="Z428" s="208">
        <f t="shared" si="182"/>
        <v>0</v>
      </c>
      <c r="AA428" s="208">
        <f t="shared" si="182"/>
        <v>0</v>
      </c>
      <c r="AB428" s="208">
        <f t="shared" si="182"/>
        <v>0</v>
      </c>
      <c r="AC428" s="208">
        <f t="shared" si="182"/>
        <v>0</v>
      </c>
      <c r="AD428" s="208">
        <f t="shared" si="182"/>
        <v>0</v>
      </c>
      <c r="AE428" s="208">
        <f t="shared" si="182"/>
        <v>0</v>
      </c>
      <c r="AF428" s="208">
        <f t="shared" si="182"/>
        <v>0</v>
      </c>
      <c r="AG428" s="208">
        <f t="shared" si="182"/>
        <v>0</v>
      </c>
      <c r="AH428" s="208">
        <f t="shared" si="182"/>
        <v>0</v>
      </c>
      <c r="AI428" s="208">
        <f t="shared" si="182"/>
        <v>0</v>
      </c>
      <c r="AJ428" s="208">
        <f t="shared" si="182"/>
        <v>0</v>
      </c>
      <c r="AK428" s="208">
        <f t="shared" si="182"/>
        <v>0</v>
      </c>
      <c r="AL428" s="208">
        <f t="shared" si="182"/>
        <v>0</v>
      </c>
      <c r="AM428" s="208">
        <f t="shared" si="182"/>
        <v>0</v>
      </c>
      <c r="AN428" s="208">
        <f t="shared" si="182"/>
        <v>0</v>
      </c>
      <c r="AO428" s="208">
        <f t="shared" si="182"/>
        <v>0</v>
      </c>
      <c r="AP428" s="208">
        <f t="shared" si="182"/>
        <v>0</v>
      </c>
    </row>
    <row r="429" spans="1:42">
      <c r="A429" s="119">
        <f t="shared" ref="A429" si="183">A428+1</f>
        <v>10</v>
      </c>
      <c r="C429" s="208">
        <f t="shared" si="179"/>
        <v>0</v>
      </c>
      <c r="D429" s="208">
        <f t="shared" si="182"/>
        <v>0</v>
      </c>
      <c r="E429" s="208">
        <f t="shared" si="182"/>
        <v>0</v>
      </c>
      <c r="F429" s="208">
        <f t="shared" si="182"/>
        <v>0</v>
      </c>
      <c r="G429" s="208">
        <f t="shared" si="182"/>
        <v>0</v>
      </c>
      <c r="H429" s="208">
        <f t="shared" si="182"/>
        <v>0</v>
      </c>
      <c r="I429" s="208">
        <f t="shared" si="182"/>
        <v>0</v>
      </c>
      <c r="J429" s="208">
        <f t="shared" si="182"/>
        <v>0</v>
      </c>
      <c r="K429" s="208">
        <f t="shared" si="182"/>
        <v>0</v>
      </c>
      <c r="L429" s="208">
        <f t="shared" si="182"/>
        <v>0</v>
      </c>
      <c r="M429" s="208">
        <f t="shared" si="182"/>
        <v>0</v>
      </c>
      <c r="N429" s="208">
        <f t="shared" si="182"/>
        <v>0</v>
      </c>
      <c r="O429" s="208">
        <f t="shared" si="182"/>
        <v>0</v>
      </c>
      <c r="P429" s="208">
        <f t="shared" si="182"/>
        <v>0</v>
      </c>
      <c r="Q429" s="208">
        <f t="shared" si="182"/>
        <v>0</v>
      </c>
      <c r="R429" s="208">
        <f t="shared" si="182"/>
        <v>0</v>
      </c>
      <c r="S429" s="208">
        <f t="shared" si="182"/>
        <v>0</v>
      </c>
      <c r="T429" s="208">
        <f t="shared" si="182"/>
        <v>0</v>
      </c>
      <c r="U429" s="208">
        <f t="shared" si="182"/>
        <v>0</v>
      </c>
      <c r="V429" s="208">
        <f t="shared" si="182"/>
        <v>0</v>
      </c>
      <c r="W429" s="208">
        <f t="shared" si="182"/>
        <v>0</v>
      </c>
      <c r="X429" s="208">
        <f t="shared" si="182"/>
        <v>0</v>
      </c>
      <c r="Y429" s="208">
        <f t="shared" si="182"/>
        <v>0</v>
      </c>
      <c r="Z429" s="208">
        <f t="shared" si="182"/>
        <v>0</v>
      </c>
      <c r="AA429" s="208">
        <f t="shared" si="182"/>
        <v>0</v>
      </c>
      <c r="AB429" s="208">
        <f t="shared" si="182"/>
        <v>0</v>
      </c>
      <c r="AC429" s="208">
        <f t="shared" si="182"/>
        <v>0</v>
      </c>
      <c r="AD429" s="208">
        <f t="shared" si="182"/>
        <v>0</v>
      </c>
      <c r="AE429" s="208">
        <f t="shared" si="182"/>
        <v>0</v>
      </c>
      <c r="AF429" s="208">
        <f t="shared" si="182"/>
        <v>0</v>
      </c>
      <c r="AG429" s="208">
        <f t="shared" si="182"/>
        <v>0</v>
      </c>
      <c r="AH429" s="208">
        <f t="shared" si="182"/>
        <v>0</v>
      </c>
      <c r="AI429" s="208">
        <f t="shared" si="182"/>
        <v>0</v>
      </c>
      <c r="AJ429" s="208">
        <f t="shared" si="182"/>
        <v>0</v>
      </c>
      <c r="AK429" s="208">
        <f t="shared" si="182"/>
        <v>0</v>
      </c>
      <c r="AL429" s="208">
        <f t="shared" si="182"/>
        <v>0</v>
      </c>
      <c r="AM429" s="208">
        <f t="shared" si="182"/>
        <v>0</v>
      </c>
      <c r="AN429" s="208">
        <f t="shared" si="182"/>
        <v>0</v>
      </c>
      <c r="AO429" s="208">
        <f t="shared" si="182"/>
        <v>0</v>
      </c>
      <c r="AP429" s="208">
        <f t="shared" si="182"/>
        <v>0</v>
      </c>
    </row>
    <row r="430" spans="1:42">
      <c r="A430" s="226"/>
      <c r="C430" s="208"/>
      <c r="D430" s="208"/>
      <c r="E430" s="208"/>
      <c r="F430" s="208"/>
      <c r="G430" s="208"/>
      <c r="H430" s="208"/>
      <c r="I430" s="208"/>
      <c r="J430" s="208"/>
      <c r="K430" s="208"/>
      <c r="L430" s="208"/>
      <c r="M430" s="208"/>
      <c r="N430" s="208"/>
      <c r="O430" s="208"/>
      <c r="P430" s="208"/>
      <c r="Q430" s="208"/>
      <c r="R430" s="208"/>
      <c r="S430" s="208"/>
      <c r="T430" s="208"/>
      <c r="U430" s="208"/>
      <c r="V430" s="208"/>
      <c r="W430" s="208"/>
      <c r="X430" s="208"/>
      <c r="Y430" s="208"/>
      <c r="Z430" s="208"/>
      <c r="AA430" s="208"/>
      <c r="AB430" s="208"/>
      <c r="AC430" s="208"/>
      <c r="AD430" s="208"/>
      <c r="AE430" s="208"/>
      <c r="AF430" s="208"/>
      <c r="AG430" s="208"/>
      <c r="AH430" s="208"/>
      <c r="AI430" s="208"/>
      <c r="AJ430" s="208"/>
      <c r="AK430" s="208"/>
      <c r="AL430" s="208"/>
      <c r="AM430" s="208"/>
      <c r="AN430" s="208"/>
      <c r="AO430" s="208"/>
      <c r="AP430" s="208"/>
    </row>
    <row r="431" spans="1:42">
      <c r="A431" s="226" t="s">
        <v>221</v>
      </c>
      <c r="C431" s="208"/>
      <c r="D431" s="208"/>
      <c r="E431" s="208"/>
      <c r="F431" s="208"/>
      <c r="G431" s="208"/>
      <c r="H431" s="208"/>
      <c r="I431" s="208"/>
      <c r="J431" s="208"/>
      <c r="K431" s="208"/>
      <c r="L431" s="208"/>
      <c r="M431" s="208"/>
      <c r="N431" s="208"/>
      <c r="O431" s="208"/>
      <c r="P431" s="208"/>
      <c r="Q431" s="208"/>
      <c r="R431" s="208"/>
      <c r="S431" s="208"/>
      <c r="T431" s="208"/>
      <c r="U431" s="208"/>
      <c r="V431" s="208"/>
      <c r="W431" s="208"/>
      <c r="X431" s="208"/>
      <c r="Y431" s="208"/>
      <c r="Z431" s="208"/>
      <c r="AA431" s="208"/>
      <c r="AB431" s="208"/>
      <c r="AC431" s="208"/>
      <c r="AD431" s="208"/>
      <c r="AE431" s="208"/>
      <c r="AF431" s="208"/>
      <c r="AG431" s="208"/>
      <c r="AH431" s="208"/>
      <c r="AI431" s="208"/>
      <c r="AJ431" s="208"/>
      <c r="AK431" s="208"/>
      <c r="AL431" s="208"/>
      <c r="AM431" s="208"/>
      <c r="AN431" s="208"/>
      <c r="AO431" s="208"/>
      <c r="AP431" s="208"/>
    </row>
    <row r="432" spans="1:42">
      <c r="A432" s="119">
        <v>1</v>
      </c>
      <c r="B432" s="218">
        <f t="shared" ref="B432:B441" si="184">SUM(C432:AP432)</f>
        <v>6158778.6534697898</v>
      </c>
      <c r="C432" s="250">
        <f t="shared" ref="C432:AP438" si="185">LOOKUP(C420,$B$389:$AP$389,$B$390:$AP$390)*$B673</f>
        <v>0</v>
      </c>
      <c r="D432" s="208">
        <f t="shared" si="185"/>
        <v>0</v>
      </c>
      <c r="E432" s="208">
        <f t="shared" si="185"/>
        <v>0</v>
      </c>
      <c r="F432" s="208">
        <f t="shared" si="185"/>
        <v>0</v>
      </c>
      <c r="G432" s="208">
        <f t="shared" si="185"/>
        <v>0</v>
      </c>
      <c r="H432" s="208">
        <f t="shared" si="185"/>
        <v>0</v>
      </c>
      <c r="I432" s="208">
        <f t="shared" si="185"/>
        <v>0</v>
      </c>
      <c r="J432" s="208">
        <f t="shared" si="185"/>
        <v>0</v>
      </c>
      <c r="K432" s="208">
        <f t="shared" si="185"/>
        <v>0</v>
      </c>
      <c r="L432" s="208">
        <f t="shared" si="185"/>
        <v>0</v>
      </c>
      <c r="M432" s="208">
        <f t="shared" si="185"/>
        <v>0</v>
      </c>
      <c r="N432" s="208">
        <f t="shared" si="185"/>
        <v>0</v>
      </c>
      <c r="O432" s="208">
        <f t="shared" si="185"/>
        <v>0</v>
      </c>
      <c r="P432" s="208">
        <f t="shared" si="185"/>
        <v>0</v>
      </c>
      <c r="Q432" s="208">
        <f t="shared" si="185"/>
        <v>1231755.7306939578</v>
      </c>
      <c r="R432" s="208">
        <f t="shared" si="185"/>
        <v>1970809.1691103324</v>
      </c>
      <c r="S432" s="208">
        <f t="shared" si="185"/>
        <v>1182485.5014661995</v>
      </c>
      <c r="T432" s="208">
        <f t="shared" si="185"/>
        <v>709491.30087971967</v>
      </c>
      <c r="U432" s="208">
        <f t="shared" si="185"/>
        <v>709491.30087971967</v>
      </c>
      <c r="V432" s="208">
        <f t="shared" si="185"/>
        <v>354745.65043985983</v>
      </c>
      <c r="W432" s="208">
        <f t="shared" si="185"/>
        <v>0</v>
      </c>
      <c r="X432" s="208">
        <f t="shared" si="185"/>
        <v>0</v>
      </c>
      <c r="Y432" s="208">
        <f t="shared" si="185"/>
        <v>0</v>
      </c>
      <c r="Z432" s="208">
        <f t="shared" si="185"/>
        <v>0</v>
      </c>
      <c r="AA432" s="208">
        <f t="shared" si="185"/>
        <v>0</v>
      </c>
      <c r="AB432" s="208">
        <f t="shared" si="185"/>
        <v>0</v>
      </c>
      <c r="AC432" s="208">
        <f t="shared" si="185"/>
        <v>0</v>
      </c>
      <c r="AD432" s="208">
        <f t="shared" si="185"/>
        <v>0</v>
      </c>
      <c r="AE432" s="208">
        <f t="shared" si="185"/>
        <v>0</v>
      </c>
      <c r="AF432" s="208">
        <f t="shared" si="185"/>
        <v>0</v>
      </c>
      <c r="AG432" s="208">
        <f t="shared" si="185"/>
        <v>0</v>
      </c>
      <c r="AH432" s="208">
        <f t="shared" si="185"/>
        <v>0</v>
      </c>
      <c r="AI432" s="208">
        <f t="shared" si="185"/>
        <v>0</v>
      </c>
      <c r="AJ432" s="208">
        <f t="shared" si="185"/>
        <v>0</v>
      </c>
      <c r="AK432" s="208">
        <f t="shared" si="185"/>
        <v>0</v>
      </c>
      <c r="AL432" s="208">
        <f t="shared" si="185"/>
        <v>0</v>
      </c>
      <c r="AM432" s="208">
        <f t="shared" si="185"/>
        <v>0</v>
      </c>
      <c r="AN432" s="208">
        <f t="shared" si="185"/>
        <v>0</v>
      </c>
      <c r="AO432" s="208">
        <f t="shared" si="185"/>
        <v>0</v>
      </c>
      <c r="AP432" s="208">
        <f t="shared" si="185"/>
        <v>0</v>
      </c>
    </row>
    <row r="433" spans="1:42">
      <c r="A433" s="119">
        <f>A432+1</f>
        <v>2</v>
      </c>
      <c r="B433" s="218">
        <f t="shared" si="184"/>
        <v>1539980.512798867</v>
      </c>
      <c r="C433" s="250">
        <f t="shared" si="185"/>
        <v>0</v>
      </c>
      <c r="D433" s="208">
        <f t="shared" si="185"/>
        <v>0</v>
      </c>
      <c r="E433" s="208">
        <f t="shared" si="185"/>
        <v>0</v>
      </c>
      <c r="F433" s="208">
        <f t="shared" si="185"/>
        <v>0</v>
      </c>
      <c r="G433" s="208">
        <f t="shared" si="185"/>
        <v>0</v>
      </c>
      <c r="H433" s="208">
        <f t="shared" si="185"/>
        <v>0</v>
      </c>
      <c r="I433" s="208">
        <f t="shared" si="185"/>
        <v>0</v>
      </c>
      <c r="J433" s="208">
        <f t="shared" si="185"/>
        <v>0</v>
      </c>
      <c r="K433" s="208">
        <f t="shared" si="185"/>
        <v>0</v>
      </c>
      <c r="L433" s="208">
        <f t="shared" si="185"/>
        <v>0</v>
      </c>
      <c r="M433" s="208">
        <f t="shared" si="185"/>
        <v>0</v>
      </c>
      <c r="N433" s="208">
        <f t="shared" si="185"/>
        <v>0</v>
      </c>
      <c r="O433" s="208">
        <f t="shared" si="185"/>
        <v>0</v>
      </c>
      <c r="P433" s="208">
        <f t="shared" si="185"/>
        <v>0</v>
      </c>
      <c r="Q433" s="208">
        <f t="shared" si="185"/>
        <v>0</v>
      </c>
      <c r="R433" s="208">
        <f t="shared" si="185"/>
        <v>0</v>
      </c>
      <c r="S433" s="208">
        <f t="shared" si="185"/>
        <v>0</v>
      </c>
      <c r="T433" s="208">
        <f t="shared" si="185"/>
        <v>0</v>
      </c>
      <c r="U433" s="208">
        <f t="shared" si="185"/>
        <v>0</v>
      </c>
      <c r="V433" s="208">
        <f t="shared" si="185"/>
        <v>0</v>
      </c>
      <c r="W433" s="208">
        <f t="shared" si="185"/>
        <v>0</v>
      </c>
      <c r="X433" s="208">
        <f t="shared" si="185"/>
        <v>0</v>
      </c>
      <c r="Y433" s="208">
        <f t="shared" si="185"/>
        <v>0</v>
      </c>
      <c r="Z433" s="208">
        <f t="shared" si="185"/>
        <v>0</v>
      </c>
      <c r="AA433" s="208">
        <f t="shared" si="185"/>
        <v>0</v>
      </c>
      <c r="AB433" s="208">
        <f t="shared" si="185"/>
        <v>0</v>
      </c>
      <c r="AC433" s="208">
        <f t="shared" si="185"/>
        <v>0</v>
      </c>
      <c r="AD433" s="208">
        <f t="shared" si="185"/>
        <v>0</v>
      </c>
      <c r="AE433" s="208">
        <f t="shared" si="185"/>
        <v>0</v>
      </c>
      <c r="AF433" s="208">
        <f t="shared" si="185"/>
        <v>1539980.512798867</v>
      </c>
      <c r="AG433" s="208">
        <f t="shared" si="185"/>
        <v>0</v>
      </c>
      <c r="AH433" s="208">
        <f t="shared" si="185"/>
        <v>0</v>
      </c>
      <c r="AI433" s="208">
        <f t="shared" si="185"/>
        <v>0</v>
      </c>
      <c r="AJ433" s="208">
        <f t="shared" si="185"/>
        <v>0</v>
      </c>
      <c r="AK433" s="208">
        <f t="shared" si="185"/>
        <v>0</v>
      </c>
      <c r="AL433" s="208">
        <f t="shared" si="185"/>
        <v>0</v>
      </c>
      <c r="AM433" s="208">
        <f t="shared" si="185"/>
        <v>0</v>
      </c>
      <c r="AN433" s="208">
        <f t="shared" si="185"/>
        <v>0</v>
      </c>
      <c r="AO433" s="208">
        <f t="shared" si="185"/>
        <v>0</v>
      </c>
      <c r="AP433" s="208">
        <f t="shared" si="185"/>
        <v>0</v>
      </c>
    </row>
    <row r="434" spans="1:42">
      <c r="A434" s="119">
        <f t="shared" ref="A434:A439" si="186">A433+1</f>
        <v>3</v>
      </c>
      <c r="B434" s="218">
        <f t="shared" si="184"/>
        <v>0</v>
      </c>
      <c r="C434" s="250">
        <f t="shared" si="185"/>
        <v>0</v>
      </c>
      <c r="D434" s="208">
        <f t="shared" si="185"/>
        <v>0</v>
      </c>
      <c r="E434" s="208">
        <f t="shared" si="185"/>
        <v>0</v>
      </c>
      <c r="F434" s="208">
        <f t="shared" si="185"/>
        <v>0</v>
      </c>
      <c r="G434" s="208">
        <f t="shared" si="185"/>
        <v>0</v>
      </c>
      <c r="H434" s="208">
        <f t="shared" si="185"/>
        <v>0</v>
      </c>
      <c r="I434" s="208">
        <f t="shared" si="185"/>
        <v>0</v>
      </c>
      <c r="J434" s="208">
        <f t="shared" si="185"/>
        <v>0</v>
      </c>
      <c r="K434" s="208">
        <f t="shared" si="185"/>
        <v>0</v>
      </c>
      <c r="L434" s="208">
        <f t="shared" si="185"/>
        <v>0</v>
      </c>
      <c r="M434" s="208">
        <f t="shared" si="185"/>
        <v>0</v>
      </c>
      <c r="N434" s="208">
        <f t="shared" si="185"/>
        <v>0</v>
      </c>
      <c r="O434" s="208">
        <f t="shared" si="185"/>
        <v>0</v>
      </c>
      <c r="P434" s="208">
        <f t="shared" si="185"/>
        <v>0</v>
      </c>
      <c r="Q434" s="208">
        <f t="shared" si="185"/>
        <v>0</v>
      </c>
      <c r="R434" s="208">
        <f t="shared" si="185"/>
        <v>0</v>
      </c>
      <c r="S434" s="208">
        <f t="shared" si="185"/>
        <v>0</v>
      </c>
      <c r="T434" s="208">
        <f t="shared" si="185"/>
        <v>0</v>
      </c>
      <c r="U434" s="208">
        <f t="shared" si="185"/>
        <v>0</v>
      </c>
      <c r="V434" s="208">
        <f t="shared" si="185"/>
        <v>0</v>
      </c>
      <c r="W434" s="208">
        <f t="shared" si="185"/>
        <v>0</v>
      </c>
      <c r="X434" s="208">
        <f t="shared" si="185"/>
        <v>0</v>
      </c>
      <c r="Y434" s="208">
        <f t="shared" si="185"/>
        <v>0</v>
      </c>
      <c r="Z434" s="208">
        <f t="shared" si="185"/>
        <v>0</v>
      </c>
      <c r="AA434" s="208">
        <f t="shared" si="185"/>
        <v>0</v>
      </c>
      <c r="AB434" s="208">
        <f t="shared" si="185"/>
        <v>0</v>
      </c>
      <c r="AC434" s="208">
        <f t="shared" si="185"/>
        <v>0</v>
      </c>
      <c r="AD434" s="208">
        <f t="shared" si="185"/>
        <v>0</v>
      </c>
      <c r="AE434" s="208">
        <f t="shared" si="185"/>
        <v>0</v>
      </c>
      <c r="AF434" s="208">
        <f t="shared" si="185"/>
        <v>0</v>
      </c>
      <c r="AG434" s="208">
        <f t="shared" si="185"/>
        <v>0</v>
      </c>
      <c r="AH434" s="208">
        <f t="shared" si="185"/>
        <v>0</v>
      </c>
      <c r="AI434" s="208">
        <f t="shared" si="185"/>
        <v>0</v>
      </c>
      <c r="AJ434" s="208">
        <f t="shared" si="185"/>
        <v>0</v>
      </c>
      <c r="AK434" s="208">
        <f t="shared" si="185"/>
        <v>0</v>
      </c>
      <c r="AL434" s="208">
        <f t="shared" si="185"/>
        <v>0</v>
      </c>
      <c r="AM434" s="208">
        <f t="shared" si="185"/>
        <v>0</v>
      </c>
      <c r="AN434" s="208">
        <f t="shared" si="185"/>
        <v>0</v>
      </c>
      <c r="AO434" s="208">
        <f t="shared" si="185"/>
        <v>0</v>
      </c>
      <c r="AP434" s="208">
        <f t="shared" si="185"/>
        <v>0</v>
      </c>
    </row>
    <row r="435" spans="1:42">
      <c r="A435" s="119">
        <f t="shared" si="186"/>
        <v>4</v>
      </c>
      <c r="B435" s="218">
        <f t="shared" si="184"/>
        <v>0</v>
      </c>
      <c r="C435" s="250">
        <f t="shared" si="185"/>
        <v>0</v>
      </c>
      <c r="D435" s="208">
        <f t="shared" si="185"/>
        <v>0</v>
      </c>
      <c r="E435" s="208">
        <f t="shared" si="185"/>
        <v>0</v>
      </c>
      <c r="F435" s="208">
        <f t="shared" si="185"/>
        <v>0</v>
      </c>
      <c r="G435" s="208">
        <f t="shared" si="185"/>
        <v>0</v>
      </c>
      <c r="H435" s="208">
        <f t="shared" si="185"/>
        <v>0</v>
      </c>
      <c r="I435" s="208">
        <f t="shared" si="185"/>
        <v>0</v>
      </c>
      <c r="J435" s="208">
        <f t="shared" si="185"/>
        <v>0</v>
      </c>
      <c r="K435" s="208">
        <f t="shared" si="185"/>
        <v>0</v>
      </c>
      <c r="L435" s="208">
        <f t="shared" si="185"/>
        <v>0</v>
      </c>
      <c r="M435" s="208">
        <f t="shared" si="185"/>
        <v>0</v>
      </c>
      <c r="N435" s="208">
        <f t="shared" si="185"/>
        <v>0</v>
      </c>
      <c r="O435" s="208">
        <f t="shared" si="185"/>
        <v>0</v>
      </c>
      <c r="P435" s="208">
        <f t="shared" si="185"/>
        <v>0</v>
      </c>
      <c r="Q435" s="208">
        <f t="shared" si="185"/>
        <v>0</v>
      </c>
      <c r="R435" s="208">
        <f t="shared" si="185"/>
        <v>0</v>
      </c>
      <c r="S435" s="208">
        <f t="shared" si="185"/>
        <v>0</v>
      </c>
      <c r="T435" s="208">
        <f t="shared" si="185"/>
        <v>0</v>
      </c>
      <c r="U435" s="208">
        <f t="shared" si="185"/>
        <v>0</v>
      </c>
      <c r="V435" s="208">
        <f t="shared" si="185"/>
        <v>0</v>
      </c>
      <c r="W435" s="208">
        <f t="shared" si="185"/>
        <v>0</v>
      </c>
      <c r="X435" s="208">
        <f t="shared" si="185"/>
        <v>0</v>
      </c>
      <c r="Y435" s="208">
        <f t="shared" si="185"/>
        <v>0</v>
      </c>
      <c r="Z435" s="208">
        <f t="shared" si="185"/>
        <v>0</v>
      </c>
      <c r="AA435" s="208">
        <f t="shared" si="185"/>
        <v>0</v>
      </c>
      <c r="AB435" s="208">
        <f t="shared" si="185"/>
        <v>0</v>
      </c>
      <c r="AC435" s="208">
        <f t="shared" si="185"/>
        <v>0</v>
      </c>
      <c r="AD435" s="208">
        <f t="shared" si="185"/>
        <v>0</v>
      </c>
      <c r="AE435" s="208">
        <f t="shared" si="185"/>
        <v>0</v>
      </c>
      <c r="AF435" s="208">
        <f t="shared" si="185"/>
        <v>0</v>
      </c>
      <c r="AG435" s="208">
        <f t="shared" si="185"/>
        <v>0</v>
      </c>
      <c r="AH435" s="208">
        <f t="shared" si="185"/>
        <v>0</v>
      </c>
      <c r="AI435" s="208">
        <f t="shared" si="185"/>
        <v>0</v>
      </c>
      <c r="AJ435" s="208">
        <f t="shared" si="185"/>
        <v>0</v>
      </c>
      <c r="AK435" s="208">
        <f t="shared" si="185"/>
        <v>0</v>
      </c>
      <c r="AL435" s="208">
        <f t="shared" si="185"/>
        <v>0</v>
      </c>
      <c r="AM435" s="208">
        <f t="shared" si="185"/>
        <v>0</v>
      </c>
      <c r="AN435" s="208">
        <f t="shared" si="185"/>
        <v>0</v>
      </c>
      <c r="AO435" s="208">
        <f t="shared" si="185"/>
        <v>0</v>
      </c>
      <c r="AP435" s="208">
        <f t="shared" si="185"/>
        <v>0</v>
      </c>
    </row>
    <row r="436" spans="1:42">
      <c r="A436" s="119">
        <f t="shared" si="186"/>
        <v>5</v>
      </c>
      <c r="B436" s="218">
        <f t="shared" si="184"/>
        <v>0</v>
      </c>
      <c r="C436" s="250">
        <f t="shared" si="185"/>
        <v>0</v>
      </c>
      <c r="D436" s="208">
        <f t="shared" si="185"/>
        <v>0</v>
      </c>
      <c r="E436" s="208">
        <f t="shared" si="185"/>
        <v>0</v>
      </c>
      <c r="F436" s="208">
        <f t="shared" si="185"/>
        <v>0</v>
      </c>
      <c r="G436" s="208">
        <f t="shared" si="185"/>
        <v>0</v>
      </c>
      <c r="H436" s="208">
        <f t="shared" si="185"/>
        <v>0</v>
      </c>
      <c r="I436" s="208">
        <f t="shared" si="185"/>
        <v>0</v>
      </c>
      <c r="J436" s="208">
        <f t="shared" si="185"/>
        <v>0</v>
      </c>
      <c r="K436" s="208">
        <f t="shared" si="185"/>
        <v>0</v>
      </c>
      <c r="L436" s="208">
        <f t="shared" si="185"/>
        <v>0</v>
      </c>
      <c r="M436" s="208">
        <f t="shared" si="185"/>
        <v>0</v>
      </c>
      <c r="N436" s="208">
        <f t="shared" si="185"/>
        <v>0</v>
      </c>
      <c r="O436" s="208">
        <f t="shared" si="185"/>
        <v>0</v>
      </c>
      <c r="P436" s="208">
        <f t="shared" si="185"/>
        <v>0</v>
      </c>
      <c r="Q436" s="208">
        <f t="shared" si="185"/>
        <v>0</v>
      </c>
      <c r="R436" s="208">
        <f t="shared" si="185"/>
        <v>0</v>
      </c>
      <c r="S436" s="208">
        <f t="shared" si="185"/>
        <v>0</v>
      </c>
      <c r="T436" s="208">
        <f t="shared" si="185"/>
        <v>0</v>
      </c>
      <c r="U436" s="208">
        <f t="shared" si="185"/>
        <v>0</v>
      </c>
      <c r="V436" s="208">
        <f t="shared" si="185"/>
        <v>0</v>
      </c>
      <c r="W436" s="208">
        <f t="shared" si="185"/>
        <v>0</v>
      </c>
      <c r="X436" s="208">
        <f t="shared" si="185"/>
        <v>0</v>
      </c>
      <c r="Y436" s="208">
        <f t="shared" si="185"/>
        <v>0</v>
      </c>
      <c r="Z436" s="208">
        <f t="shared" si="185"/>
        <v>0</v>
      </c>
      <c r="AA436" s="208">
        <f t="shared" si="185"/>
        <v>0</v>
      </c>
      <c r="AB436" s="208">
        <f t="shared" si="185"/>
        <v>0</v>
      </c>
      <c r="AC436" s="208">
        <f t="shared" si="185"/>
        <v>0</v>
      </c>
      <c r="AD436" s="208">
        <f t="shared" si="185"/>
        <v>0</v>
      </c>
      <c r="AE436" s="208">
        <f t="shared" si="185"/>
        <v>0</v>
      </c>
      <c r="AF436" s="208">
        <f t="shared" si="185"/>
        <v>0</v>
      </c>
      <c r="AG436" s="208">
        <f t="shared" si="185"/>
        <v>0</v>
      </c>
      <c r="AH436" s="208">
        <f t="shared" si="185"/>
        <v>0</v>
      </c>
      <c r="AI436" s="208">
        <f t="shared" si="185"/>
        <v>0</v>
      </c>
      <c r="AJ436" s="208">
        <f t="shared" si="185"/>
        <v>0</v>
      </c>
      <c r="AK436" s="208">
        <f t="shared" si="185"/>
        <v>0</v>
      </c>
      <c r="AL436" s="208">
        <f t="shared" si="185"/>
        <v>0</v>
      </c>
      <c r="AM436" s="208">
        <f t="shared" si="185"/>
        <v>0</v>
      </c>
      <c r="AN436" s="208">
        <f t="shared" si="185"/>
        <v>0</v>
      </c>
      <c r="AO436" s="208">
        <f t="shared" si="185"/>
        <v>0</v>
      </c>
      <c r="AP436" s="208">
        <f t="shared" si="185"/>
        <v>0</v>
      </c>
    </row>
    <row r="437" spans="1:42">
      <c r="A437" s="119">
        <f t="shared" si="186"/>
        <v>6</v>
      </c>
      <c r="B437" s="218">
        <f t="shared" si="184"/>
        <v>0</v>
      </c>
      <c r="C437" s="250">
        <f t="shared" si="185"/>
        <v>0</v>
      </c>
      <c r="D437" s="208">
        <f t="shared" si="185"/>
        <v>0</v>
      </c>
      <c r="E437" s="208">
        <f t="shared" si="185"/>
        <v>0</v>
      </c>
      <c r="F437" s="208">
        <f t="shared" si="185"/>
        <v>0</v>
      </c>
      <c r="G437" s="208">
        <f t="shared" si="185"/>
        <v>0</v>
      </c>
      <c r="H437" s="208">
        <f t="shared" si="185"/>
        <v>0</v>
      </c>
      <c r="I437" s="208">
        <f t="shared" si="185"/>
        <v>0</v>
      </c>
      <c r="J437" s="208">
        <f t="shared" si="185"/>
        <v>0</v>
      </c>
      <c r="K437" s="208">
        <f t="shared" si="185"/>
        <v>0</v>
      </c>
      <c r="L437" s="208">
        <f t="shared" si="185"/>
        <v>0</v>
      </c>
      <c r="M437" s="208">
        <f t="shared" si="185"/>
        <v>0</v>
      </c>
      <c r="N437" s="208">
        <f t="shared" si="185"/>
        <v>0</v>
      </c>
      <c r="O437" s="208">
        <f t="shared" si="185"/>
        <v>0</v>
      </c>
      <c r="P437" s="208">
        <f t="shared" si="185"/>
        <v>0</v>
      </c>
      <c r="Q437" s="208">
        <f t="shared" si="185"/>
        <v>0</v>
      </c>
      <c r="R437" s="208">
        <f t="shared" si="185"/>
        <v>0</v>
      </c>
      <c r="S437" s="208">
        <f t="shared" si="185"/>
        <v>0</v>
      </c>
      <c r="T437" s="208">
        <f t="shared" si="185"/>
        <v>0</v>
      </c>
      <c r="U437" s="208">
        <f t="shared" si="185"/>
        <v>0</v>
      </c>
      <c r="V437" s="208">
        <f t="shared" si="185"/>
        <v>0</v>
      </c>
      <c r="W437" s="208">
        <f t="shared" si="185"/>
        <v>0</v>
      </c>
      <c r="X437" s="208">
        <f t="shared" si="185"/>
        <v>0</v>
      </c>
      <c r="Y437" s="208">
        <f t="shared" si="185"/>
        <v>0</v>
      </c>
      <c r="Z437" s="208">
        <f t="shared" si="185"/>
        <v>0</v>
      </c>
      <c r="AA437" s="208">
        <f t="shared" si="185"/>
        <v>0</v>
      </c>
      <c r="AB437" s="208">
        <f t="shared" si="185"/>
        <v>0</v>
      </c>
      <c r="AC437" s="208">
        <f t="shared" si="185"/>
        <v>0</v>
      </c>
      <c r="AD437" s="208">
        <f t="shared" si="185"/>
        <v>0</v>
      </c>
      <c r="AE437" s="208">
        <f t="shared" si="185"/>
        <v>0</v>
      </c>
      <c r="AF437" s="208">
        <f t="shared" si="185"/>
        <v>0</v>
      </c>
      <c r="AG437" s="208">
        <f t="shared" si="185"/>
        <v>0</v>
      </c>
      <c r="AH437" s="208">
        <f t="shared" si="185"/>
        <v>0</v>
      </c>
      <c r="AI437" s="208">
        <f t="shared" si="185"/>
        <v>0</v>
      </c>
      <c r="AJ437" s="208">
        <f t="shared" si="185"/>
        <v>0</v>
      </c>
      <c r="AK437" s="208">
        <f t="shared" si="185"/>
        <v>0</v>
      </c>
      <c r="AL437" s="208">
        <f t="shared" si="185"/>
        <v>0</v>
      </c>
      <c r="AM437" s="208">
        <f t="shared" si="185"/>
        <v>0</v>
      </c>
      <c r="AN437" s="208">
        <f t="shared" si="185"/>
        <v>0</v>
      </c>
      <c r="AO437" s="208">
        <f t="shared" si="185"/>
        <v>0</v>
      </c>
      <c r="AP437" s="208">
        <f t="shared" si="185"/>
        <v>0</v>
      </c>
    </row>
    <row r="438" spans="1:42">
      <c r="A438" s="119">
        <f t="shared" si="186"/>
        <v>7</v>
      </c>
      <c r="B438" s="218">
        <f t="shared" si="184"/>
        <v>0</v>
      </c>
      <c r="C438" s="250">
        <f t="shared" si="185"/>
        <v>0</v>
      </c>
      <c r="D438" s="208">
        <f t="shared" si="185"/>
        <v>0</v>
      </c>
      <c r="E438" s="208">
        <f t="shared" si="185"/>
        <v>0</v>
      </c>
      <c r="F438" s="208">
        <f t="shared" si="185"/>
        <v>0</v>
      </c>
      <c r="G438" s="208">
        <f t="shared" si="185"/>
        <v>0</v>
      </c>
      <c r="H438" s="208">
        <f t="shared" si="185"/>
        <v>0</v>
      </c>
      <c r="I438" s="208">
        <f t="shared" si="185"/>
        <v>0</v>
      </c>
      <c r="J438" s="208">
        <f t="shared" si="185"/>
        <v>0</v>
      </c>
      <c r="K438" s="208">
        <f t="shared" si="185"/>
        <v>0</v>
      </c>
      <c r="L438" s="208">
        <f t="shared" si="185"/>
        <v>0</v>
      </c>
      <c r="M438" s="208">
        <f t="shared" si="185"/>
        <v>0</v>
      </c>
      <c r="N438" s="208">
        <f t="shared" si="185"/>
        <v>0</v>
      </c>
      <c r="O438" s="208">
        <f t="shared" si="185"/>
        <v>0</v>
      </c>
      <c r="P438" s="208">
        <f t="shared" si="185"/>
        <v>0</v>
      </c>
      <c r="Q438" s="208">
        <f t="shared" si="185"/>
        <v>0</v>
      </c>
      <c r="R438" s="208">
        <f t="shared" ref="R438:AP438" si="187">LOOKUP(R426,$B$389:$AP$389,$B$390:$AP$390)*$B679</f>
        <v>0</v>
      </c>
      <c r="S438" s="208">
        <f t="shared" si="187"/>
        <v>0</v>
      </c>
      <c r="T438" s="208">
        <f t="shared" si="187"/>
        <v>0</v>
      </c>
      <c r="U438" s="208">
        <f t="shared" si="187"/>
        <v>0</v>
      </c>
      <c r="V438" s="208">
        <f t="shared" si="187"/>
        <v>0</v>
      </c>
      <c r="W438" s="208">
        <f t="shared" si="187"/>
        <v>0</v>
      </c>
      <c r="X438" s="208">
        <f t="shared" si="187"/>
        <v>0</v>
      </c>
      <c r="Y438" s="208">
        <f t="shared" si="187"/>
        <v>0</v>
      </c>
      <c r="Z438" s="208">
        <f t="shared" si="187"/>
        <v>0</v>
      </c>
      <c r="AA438" s="208">
        <f t="shared" si="187"/>
        <v>0</v>
      </c>
      <c r="AB438" s="208">
        <f t="shared" si="187"/>
        <v>0</v>
      </c>
      <c r="AC438" s="208">
        <f t="shared" si="187"/>
        <v>0</v>
      </c>
      <c r="AD438" s="208">
        <f t="shared" si="187"/>
        <v>0</v>
      </c>
      <c r="AE438" s="208">
        <f t="shared" si="187"/>
        <v>0</v>
      </c>
      <c r="AF438" s="208">
        <f t="shared" si="187"/>
        <v>0</v>
      </c>
      <c r="AG438" s="208">
        <f t="shared" si="187"/>
        <v>0</v>
      </c>
      <c r="AH438" s="208">
        <f t="shared" si="187"/>
        <v>0</v>
      </c>
      <c r="AI438" s="208">
        <f t="shared" si="187"/>
        <v>0</v>
      </c>
      <c r="AJ438" s="208">
        <f t="shared" si="187"/>
        <v>0</v>
      </c>
      <c r="AK438" s="208">
        <f t="shared" si="187"/>
        <v>0</v>
      </c>
      <c r="AL438" s="208">
        <f t="shared" si="187"/>
        <v>0</v>
      </c>
      <c r="AM438" s="208">
        <f t="shared" si="187"/>
        <v>0</v>
      </c>
      <c r="AN438" s="208">
        <f t="shared" si="187"/>
        <v>0</v>
      </c>
      <c r="AO438" s="208">
        <f t="shared" si="187"/>
        <v>0</v>
      </c>
      <c r="AP438" s="208">
        <f t="shared" si="187"/>
        <v>0</v>
      </c>
    </row>
    <row r="439" spans="1:42">
      <c r="A439" s="119">
        <f t="shared" si="186"/>
        <v>8</v>
      </c>
      <c r="B439" s="218">
        <f t="shared" si="184"/>
        <v>0</v>
      </c>
      <c r="C439" s="250">
        <f t="shared" ref="C439:AP441" si="188">LOOKUP(C427,$B$389:$AP$389,$B$390:$AP$390)*$B680</f>
        <v>0</v>
      </c>
      <c r="D439" s="208">
        <f t="shared" si="188"/>
        <v>0</v>
      </c>
      <c r="E439" s="208">
        <f t="shared" si="188"/>
        <v>0</v>
      </c>
      <c r="F439" s="208">
        <f t="shared" si="188"/>
        <v>0</v>
      </c>
      <c r="G439" s="208">
        <f t="shared" si="188"/>
        <v>0</v>
      </c>
      <c r="H439" s="208">
        <f t="shared" si="188"/>
        <v>0</v>
      </c>
      <c r="I439" s="208">
        <f t="shared" si="188"/>
        <v>0</v>
      </c>
      <c r="J439" s="208">
        <f t="shared" si="188"/>
        <v>0</v>
      </c>
      <c r="K439" s="208">
        <f t="shared" si="188"/>
        <v>0</v>
      </c>
      <c r="L439" s="208">
        <f t="shared" si="188"/>
        <v>0</v>
      </c>
      <c r="M439" s="208">
        <f t="shared" si="188"/>
        <v>0</v>
      </c>
      <c r="N439" s="208">
        <f t="shared" si="188"/>
        <v>0</v>
      </c>
      <c r="O439" s="208">
        <f t="shared" si="188"/>
        <v>0</v>
      </c>
      <c r="P439" s="208">
        <f t="shared" si="188"/>
        <v>0</v>
      </c>
      <c r="Q439" s="208">
        <f t="shared" si="188"/>
        <v>0</v>
      </c>
      <c r="R439" s="208">
        <f t="shared" si="188"/>
        <v>0</v>
      </c>
      <c r="S439" s="208">
        <f t="shared" si="188"/>
        <v>0</v>
      </c>
      <c r="T439" s="208">
        <f t="shared" si="188"/>
        <v>0</v>
      </c>
      <c r="U439" s="208">
        <f t="shared" si="188"/>
        <v>0</v>
      </c>
      <c r="V439" s="208">
        <f t="shared" si="188"/>
        <v>0</v>
      </c>
      <c r="W439" s="208">
        <f t="shared" si="188"/>
        <v>0</v>
      </c>
      <c r="X439" s="208">
        <f t="shared" si="188"/>
        <v>0</v>
      </c>
      <c r="Y439" s="208">
        <f t="shared" si="188"/>
        <v>0</v>
      </c>
      <c r="Z439" s="208">
        <f t="shared" si="188"/>
        <v>0</v>
      </c>
      <c r="AA439" s="208">
        <f t="shared" si="188"/>
        <v>0</v>
      </c>
      <c r="AB439" s="208">
        <f t="shared" si="188"/>
        <v>0</v>
      </c>
      <c r="AC439" s="208">
        <f t="shared" si="188"/>
        <v>0</v>
      </c>
      <c r="AD439" s="208">
        <f t="shared" si="188"/>
        <v>0</v>
      </c>
      <c r="AE439" s="208">
        <f t="shared" si="188"/>
        <v>0</v>
      </c>
      <c r="AF439" s="208">
        <f t="shared" si="188"/>
        <v>0</v>
      </c>
      <c r="AG439" s="208">
        <f t="shared" si="188"/>
        <v>0</v>
      </c>
      <c r="AH439" s="208">
        <f t="shared" si="188"/>
        <v>0</v>
      </c>
      <c r="AI439" s="208">
        <f t="shared" si="188"/>
        <v>0</v>
      </c>
      <c r="AJ439" s="208">
        <f t="shared" si="188"/>
        <v>0</v>
      </c>
      <c r="AK439" s="208">
        <f t="shared" si="188"/>
        <v>0</v>
      </c>
      <c r="AL439" s="208">
        <f t="shared" si="188"/>
        <v>0</v>
      </c>
      <c r="AM439" s="208">
        <f t="shared" si="188"/>
        <v>0</v>
      </c>
      <c r="AN439" s="208">
        <f t="shared" si="188"/>
        <v>0</v>
      </c>
      <c r="AO439" s="208">
        <f t="shared" si="188"/>
        <v>0</v>
      </c>
      <c r="AP439" s="208">
        <f t="shared" si="188"/>
        <v>0</v>
      </c>
    </row>
    <row r="440" spans="1:42">
      <c r="A440" s="119">
        <f>A439+1</f>
        <v>9</v>
      </c>
      <c r="B440" s="218">
        <f t="shared" si="184"/>
        <v>0</v>
      </c>
      <c r="C440" s="250">
        <f t="shared" si="188"/>
        <v>0</v>
      </c>
      <c r="D440" s="208">
        <f t="shared" si="188"/>
        <v>0</v>
      </c>
      <c r="E440" s="208">
        <f t="shared" si="188"/>
        <v>0</v>
      </c>
      <c r="F440" s="208">
        <f t="shared" si="188"/>
        <v>0</v>
      </c>
      <c r="G440" s="208">
        <f t="shared" si="188"/>
        <v>0</v>
      </c>
      <c r="H440" s="208">
        <f t="shared" si="188"/>
        <v>0</v>
      </c>
      <c r="I440" s="208">
        <f t="shared" si="188"/>
        <v>0</v>
      </c>
      <c r="J440" s="208">
        <f t="shared" si="188"/>
        <v>0</v>
      </c>
      <c r="K440" s="208">
        <f t="shared" si="188"/>
        <v>0</v>
      </c>
      <c r="L440" s="208">
        <f t="shared" si="188"/>
        <v>0</v>
      </c>
      <c r="M440" s="208">
        <f t="shared" si="188"/>
        <v>0</v>
      </c>
      <c r="N440" s="208">
        <f t="shared" si="188"/>
        <v>0</v>
      </c>
      <c r="O440" s="208">
        <f t="shared" si="188"/>
        <v>0</v>
      </c>
      <c r="P440" s="208">
        <f t="shared" si="188"/>
        <v>0</v>
      </c>
      <c r="Q440" s="208">
        <f t="shared" si="188"/>
        <v>0</v>
      </c>
      <c r="R440" s="208">
        <f t="shared" si="188"/>
        <v>0</v>
      </c>
      <c r="S440" s="208">
        <f t="shared" si="188"/>
        <v>0</v>
      </c>
      <c r="T440" s="208">
        <f t="shared" si="188"/>
        <v>0</v>
      </c>
      <c r="U440" s="208">
        <f t="shared" si="188"/>
        <v>0</v>
      </c>
      <c r="V440" s="208">
        <f t="shared" si="188"/>
        <v>0</v>
      </c>
      <c r="W440" s="208">
        <f t="shared" si="188"/>
        <v>0</v>
      </c>
      <c r="X440" s="208">
        <f t="shared" si="188"/>
        <v>0</v>
      </c>
      <c r="Y440" s="208">
        <f t="shared" si="188"/>
        <v>0</v>
      </c>
      <c r="Z440" s="208">
        <f t="shared" si="188"/>
        <v>0</v>
      </c>
      <c r="AA440" s="208">
        <f t="shared" si="188"/>
        <v>0</v>
      </c>
      <c r="AB440" s="208">
        <f t="shared" si="188"/>
        <v>0</v>
      </c>
      <c r="AC440" s="208">
        <f t="shared" si="188"/>
        <v>0</v>
      </c>
      <c r="AD440" s="208">
        <f t="shared" si="188"/>
        <v>0</v>
      </c>
      <c r="AE440" s="208">
        <f t="shared" si="188"/>
        <v>0</v>
      </c>
      <c r="AF440" s="208">
        <f t="shared" si="188"/>
        <v>0</v>
      </c>
      <c r="AG440" s="208">
        <f t="shared" si="188"/>
        <v>0</v>
      </c>
      <c r="AH440" s="208">
        <f t="shared" si="188"/>
        <v>0</v>
      </c>
      <c r="AI440" s="208">
        <f t="shared" si="188"/>
        <v>0</v>
      </c>
      <c r="AJ440" s="208">
        <f t="shared" si="188"/>
        <v>0</v>
      </c>
      <c r="AK440" s="208">
        <f t="shared" si="188"/>
        <v>0</v>
      </c>
      <c r="AL440" s="208">
        <f t="shared" si="188"/>
        <v>0</v>
      </c>
      <c r="AM440" s="208">
        <f t="shared" si="188"/>
        <v>0</v>
      </c>
      <c r="AN440" s="208">
        <f t="shared" si="188"/>
        <v>0</v>
      </c>
      <c r="AO440" s="208">
        <f t="shared" si="188"/>
        <v>0</v>
      </c>
      <c r="AP440" s="208">
        <f t="shared" si="188"/>
        <v>0</v>
      </c>
    </row>
    <row r="441" spans="1:42">
      <c r="A441" s="119">
        <f t="shared" ref="A441" si="189">A440+1</f>
        <v>10</v>
      </c>
      <c r="B441" s="218">
        <f t="shared" si="184"/>
        <v>0</v>
      </c>
      <c r="C441" s="246">
        <f t="shared" si="188"/>
        <v>0</v>
      </c>
      <c r="D441" s="209">
        <f t="shared" si="188"/>
        <v>0</v>
      </c>
      <c r="E441" s="209">
        <f t="shared" si="188"/>
        <v>0</v>
      </c>
      <c r="F441" s="209">
        <f t="shared" si="188"/>
        <v>0</v>
      </c>
      <c r="G441" s="209">
        <f t="shared" si="188"/>
        <v>0</v>
      </c>
      <c r="H441" s="209">
        <f t="shared" si="188"/>
        <v>0</v>
      </c>
      <c r="I441" s="209">
        <f t="shared" si="188"/>
        <v>0</v>
      </c>
      <c r="J441" s="209">
        <f t="shared" si="188"/>
        <v>0</v>
      </c>
      <c r="K441" s="209">
        <f t="shared" si="188"/>
        <v>0</v>
      </c>
      <c r="L441" s="209">
        <f t="shared" si="188"/>
        <v>0</v>
      </c>
      <c r="M441" s="209">
        <f t="shared" si="188"/>
        <v>0</v>
      </c>
      <c r="N441" s="209">
        <f t="shared" si="188"/>
        <v>0</v>
      </c>
      <c r="O441" s="209">
        <f t="shared" si="188"/>
        <v>0</v>
      </c>
      <c r="P441" s="209">
        <f t="shared" si="188"/>
        <v>0</v>
      </c>
      <c r="Q441" s="209">
        <f t="shared" si="188"/>
        <v>0</v>
      </c>
      <c r="R441" s="209">
        <f t="shared" si="188"/>
        <v>0</v>
      </c>
      <c r="S441" s="209">
        <f t="shared" si="188"/>
        <v>0</v>
      </c>
      <c r="T441" s="209">
        <f t="shared" si="188"/>
        <v>0</v>
      </c>
      <c r="U441" s="209">
        <f t="shared" si="188"/>
        <v>0</v>
      </c>
      <c r="V441" s="209">
        <f t="shared" si="188"/>
        <v>0</v>
      </c>
      <c r="W441" s="209">
        <f t="shared" si="188"/>
        <v>0</v>
      </c>
      <c r="X441" s="209">
        <f t="shared" si="188"/>
        <v>0</v>
      </c>
      <c r="Y441" s="209">
        <f t="shared" si="188"/>
        <v>0</v>
      </c>
      <c r="Z441" s="209">
        <f t="shared" si="188"/>
        <v>0</v>
      </c>
      <c r="AA441" s="209">
        <f t="shared" si="188"/>
        <v>0</v>
      </c>
      <c r="AB441" s="209">
        <f t="shared" si="188"/>
        <v>0</v>
      </c>
      <c r="AC441" s="209">
        <f t="shared" si="188"/>
        <v>0</v>
      </c>
      <c r="AD441" s="209">
        <f t="shared" si="188"/>
        <v>0</v>
      </c>
      <c r="AE441" s="209">
        <f t="shared" si="188"/>
        <v>0</v>
      </c>
      <c r="AF441" s="209">
        <f t="shared" si="188"/>
        <v>0</v>
      </c>
      <c r="AG441" s="209">
        <f t="shared" si="188"/>
        <v>0</v>
      </c>
      <c r="AH441" s="209">
        <f t="shared" si="188"/>
        <v>0</v>
      </c>
      <c r="AI441" s="209">
        <f t="shared" si="188"/>
        <v>0</v>
      </c>
      <c r="AJ441" s="209">
        <f t="shared" si="188"/>
        <v>0</v>
      </c>
      <c r="AK441" s="209">
        <f t="shared" si="188"/>
        <v>0</v>
      </c>
      <c r="AL441" s="209">
        <f t="shared" si="188"/>
        <v>0</v>
      </c>
      <c r="AM441" s="209">
        <f t="shared" si="188"/>
        <v>0</v>
      </c>
      <c r="AN441" s="209">
        <f t="shared" si="188"/>
        <v>0</v>
      </c>
      <c r="AO441" s="209">
        <f t="shared" si="188"/>
        <v>0</v>
      </c>
      <c r="AP441" s="209">
        <f t="shared" si="188"/>
        <v>0</v>
      </c>
    </row>
    <row r="442" spans="1:42" s="119" customFormat="1">
      <c r="A442" s="247" t="s">
        <v>53</v>
      </c>
      <c r="B442" s="146"/>
      <c r="C442" s="146">
        <f>SUM(C432:C441)</f>
        <v>0</v>
      </c>
      <c r="D442" s="146">
        <f t="shared" ref="D442:AP442" si="190">SUM(D432:D441)</f>
        <v>0</v>
      </c>
      <c r="E442" s="146">
        <f t="shared" si="190"/>
        <v>0</v>
      </c>
      <c r="F442" s="146">
        <f t="shared" si="190"/>
        <v>0</v>
      </c>
      <c r="G442" s="146">
        <f t="shared" si="190"/>
        <v>0</v>
      </c>
      <c r="H442" s="146">
        <f t="shared" si="190"/>
        <v>0</v>
      </c>
      <c r="I442" s="146">
        <f t="shared" si="190"/>
        <v>0</v>
      </c>
      <c r="J442" s="146">
        <f t="shared" si="190"/>
        <v>0</v>
      </c>
      <c r="K442" s="146">
        <f t="shared" si="190"/>
        <v>0</v>
      </c>
      <c r="L442" s="146">
        <f t="shared" si="190"/>
        <v>0</v>
      </c>
      <c r="M442" s="146">
        <f t="shared" si="190"/>
        <v>0</v>
      </c>
      <c r="N442" s="146">
        <f t="shared" si="190"/>
        <v>0</v>
      </c>
      <c r="O442" s="146">
        <f t="shared" si="190"/>
        <v>0</v>
      </c>
      <c r="P442" s="146">
        <f t="shared" si="190"/>
        <v>0</v>
      </c>
      <c r="Q442" s="146">
        <f t="shared" si="190"/>
        <v>1231755.7306939578</v>
      </c>
      <c r="R442" s="146">
        <f t="shared" si="190"/>
        <v>1970809.1691103324</v>
      </c>
      <c r="S442" s="146">
        <f t="shared" si="190"/>
        <v>1182485.5014661995</v>
      </c>
      <c r="T442" s="146">
        <f t="shared" si="190"/>
        <v>709491.30087971967</v>
      </c>
      <c r="U442" s="146">
        <f t="shared" si="190"/>
        <v>709491.30087971967</v>
      </c>
      <c r="V442" s="146">
        <f t="shared" si="190"/>
        <v>354745.65043985983</v>
      </c>
      <c r="W442" s="146">
        <f t="shared" si="190"/>
        <v>0</v>
      </c>
      <c r="X442" s="146">
        <f t="shared" si="190"/>
        <v>0</v>
      </c>
      <c r="Y442" s="146">
        <f t="shared" si="190"/>
        <v>0</v>
      </c>
      <c r="Z442" s="146">
        <f t="shared" si="190"/>
        <v>0</v>
      </c>
      <c r="AA442" s="146">
        <f t="shared" si="190"/>
        <v>0</v>
      </c>
      <c r="AB442" s="146">
        <f t="shared" si="190"/>
        <v>0</v>
      </c>
      <c r="AC442" s="146">
        <f t="shared" si="190"/>
        <v>0</v>
      </c>
      <c r="AD442" s="146">
        <f t="shared" si="190"/>
        <v>0</v>
      </c>
      <c r="AE442" s="146">
        <f t="shared" si="190"/>
        <v>0</v>
      </c>
      <c r="AF442" s="146">
        <f t="shared" si="190"/>
        <v>1539980.512798867</v>
      </c>
      <c r="AG442" s="146">
        <f t="shared" si="190"/>
        <v>0</v>
      </c>
      <c r="AH442" s="146">
        <f t="shared" si="190"/>
        <v>0</v>
      </c>
      <c r="AI442" s="146">
        <f t="shared" si="190"/>
        <v>0</v>
      </c>
      <c r="AJ442" s="146">
        <f t="shared" si="190"/>
        <v>0</v>
      </c>
      <c r="AK442" s="146">
        <f t="shared" si="190"/>
        <v>0</v>
      </c>
      <c r="AL442" s="146">
        <f t="shared" si="190"/>
        <v>0</v>
      </c>
      <c r="AM442" s="146">
        <f t="shared" si="190"/>
        <v>0</v>
      </c>
      <c r="AN442" s="146">
        <f t="shared" si="190"/>
        <v>0</v>
      </c>
      <c r="AO442" s="146">
        <f t="shared" si="190"/>
        <v>0</v>
      </c>
      <c r="AP442" s="146">
        <f t="shared" si="190"/>
        <v>0</v>
      </c>
    </row>
    <row r="443" spans="1:42" s="119" customFormat="1">
      <c r="A443" s="247"/>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46"/>
      <c r="AK443" s="146"/>
      <c r="AL443" s="146"/>
      <c r="AM443" s="146"/>
      <c r="AN443" s="146"/>
      <c r="AO443" s="146"/>
      <c r="AP443" s="146"/>
    </row>
    <row r="444" spans="1:42">
      <c r="A444" s="219" t="s">
        <v>387</v>
      </c>
      <c r="C444" s="208"/>
      <c r="D444" s="208"/>
      <c r="E444" s="208"/>
      <c r="F444" s="208"/>
      <c r="G444" s="208"/>
      <c r="H444" s="208"/>
      <c r="I444" s="208"/>
      <c r="J444" s="208"/>
      <c r="K444" s="208"/>
      <c r="L444" s="208"/>
      <c r="M444" s="208"/>
      <c r="N444" s="208"/>
      <c r="O444" s="208"/>
      <c r="P444" s="208"/>
      <c r="Q444" s="208"/>
      <c r="R444" s="208"/>
      <c r="S444" s="208"/>
      <c r="T444" s="208"/>
      <c r="U444" s="208"/>
      <c r="V444" s="208"/>
      <c r="W444" s="208"/>
      <c r="X444" s="208"/>
      <c r="Y444" s="208"/>
      <c r="Z444" s="208"/>
      <c r="AA444" s="208"/>
      <c r="AB444" s="208"/>
      <c r="AC444" s="208"/>
      <c r="AD444" s="208"/>
      <c r="AE444" s="208"/>
      <c r="AF444" s="208"/>
      <c r="AG444" s="208"/>
      <c r="AH444" s="208"/>
      <c r="AI444" s="208"/>
      <c r="AJ444" s="208"/>
      <c r="AK444" s="208"/>
      <c r="AL444" s="208"/>
      <c r="AM444" s="208"/>
      <c r="AN444" s="208"/>
      <c r="AO444" s="208"/>
      <c r="AP444" s="208"/>
    </row>
    <row r="445" spans="1:42">
      <c r="A445" s="226" t="s">
        <v>217</v>
      </c>
      <c r="C445" s="208"/>
      <c r="D445" s="208"/>
      <c r="E445" s="208"/>
      <c r="F445" s="208"/>
      <c r="G445" s="208"/>
      <c r="H445" s="208"/>
      <c r="I445" s="208"/>
      <c r="J445" s="208"/>
      <c r="K445" s="208"/>
      <c r="L445" s="208"/>
      <c r="M445" s="208"/>
      <c r="N445" s="208"/>
      <c r="O445" s="208"/>
      <c r="P445" s="208"/>
      <c r="Q445" s="208"/>
      <c r="R445" s="208"/>
      <c r="S445" s="208"/>
      <c r="T445" s="208"/>
      <c r="U445" s="208"/>
      <c r="V445" s="208"/>
      <c r="W445" s="208"/>
      <c r="X445" s="208"/>
      <c r="Y445" s="208"/>
      <c r="Z445" s="208"/>
      <c r="AA445" s="208"/>
      <c r="AB445" s="208"/>
      <c r="AC445" s="208"/>
      <c r="AD445" s="208"/>
      <c r="AE445" s="208"/>
      <c r="AF445" s="208"/>
      <c r="AG445" s="208"/>
      <c r="AH445" s="208"/>
      <c r="AI445" s="208"/>
      <c r="AJ445" s="208"/>
      <c r="AK445" s="208"/>
      <c r="AL445" s="208"/>
      <c r="AM445" s="208"/>
      <c r="AN445" s="208"/>
      <c r="AO445" s="208"/>
      <c r="AP445" s="208"/>
    </row>
    <row r="446" spans="1:42">
      <c r="A446" s="37">
        <v>1</v>
      </c>
      <c r="C446" s="208">
        <f>C311</f>
        <v>0</v>
      </c>
      <c r="D446" s="208">
        <f t="shared" ref="D446:AP452" si="191">D311</f>
        <v>0</v>
      </c>
      <c r="E446" s="208">
        <f t="shared" si="191"/>
        <v>1</v>
      </c>
      <c r="F446" s="208">
        <f t="shared" si="191"/>
        <v>2</v>
      </c>
      <c r="G446" s="208">
        <f t="shared" si="191"/>
        <v>3</v>
      </c>
      <c r="H446" s="208">
        <f t="shared" si="191"/>
        <v>4</v>
      </c>
      <c r="I446" s="208">
        <f t="shared" si="191"/>
        <v>5</v>
      </c>
      <c r="J446" s="208">
        <f t="shared" si="191"/>
        <v>6</v>
      </c>
      <c r="K446" s="208">
        <f t="shared" si="191"/>
        <v>7</v>
      </c>
      <c r="L446" s="208">
        <f t="shared" si="191"/>
        <v>8</v>
      </c>
      <c r="M446" s="208">
        <f t="shared" si="191"/>
        <v>9</v>
      </c>
      <c r="N446" s="208">
        <f t="shared" si="191"/>
        <v>10</v>
      </c>
      <c r="O446" s="208">
        <f t="shared" si="191"/>
        <v>11</v>
      </c>
      <c r="P446" s="208">
        <f t="shared" si="191"/>
        <v>12</v>
      </c>
      <c r="Q446" s="208">
        <f t="shared" si="191"/>
        <v>13</v>
      </c>
      <c r="R446" s="208">
        <f t="shared" si="191"/>
        <v>14</v>
      </c>
      <c r="S446" s="208">
        <f t="shared" si="191"/>
        <v>15</v>
      </c>
      <c r="T446" s="208">
        <f t="shared" si="191"/>
        <v>16</v>
      </c>
      <c r="U446" s="208">
        <f t="shared" si="191"/>
        <v>17</v>
      </c>
      <c r="V446" s="208">
        <f t="shared" si="191"/>
        <v>18</v>
      </c>
      <c r="W446" s="208">
        <f t="shared" si="191"/>
        <v>19</v>
      </c>
      <c r="X446" s="208">
        <f t="shared" si="191"/>
        <v>20</v>
      </c>
      <c r="Y446" s="208">
        <f t="shared" si="191"/>
        <v>21</v>
      </c>
      <c r="Z446" s="208">
        <f t="shared" si="191"/>
        <v>22</v>
      </c>
      <c r="AA446" s="208">
        <f t="shared" si="191"/>
        <v>23</v>
      </c>
      <c r="AB446" s="208">
        <f t="shared" si="191"/>
        <v>24</v>
      </c>
      <c r="AC446" s="208">
        <f t="shared" si="191"/>
        <v>25</v>
      </c>
      <c r="AD446" s="208">
        <f t="shared" si="191"/>
        <v>26</v>
      </c>
      <c r="AE446" s="208">
        <f t="shared" si="191"/>
        <v>27</v>
      </c>
      <c r="AF446" s="208">
        <f t="shared" si="191"/>
        <v>28</v>
      </c>
      <c r="AG446" s="208">
        <f t="shared" si="191"/>
        <v>0</v>
      </c>
      <c r="AH446" s="208">
        <f t="shared" si="191"/>
        <v>0</v>
      </c>
      <c r="AI446" s="208">
        <f t="shared" si="191"/>
        <v>0</v>
      </c>
      <c r="AJ446" s="208">
        <f t="shared" si="191"/>
        <v>0</v>
      </c>
      <c r="AK446" s="208">
        <f t="shared" si="191"/>
        <v>0</v>
      </c>
      <c r="AL446" s="208">
        <f t="shared" si="191"/>
        <v>0</v>
      </c>
      <c r="AM446" s="208">
        <f t="shared" si="191"/>
        <v>0</v>
      </c>
      <c r="AN446" s="208">
        <f t="shared" si="191"/>
        <v>0</v>
      </c>
      <c r="AO446" s="208">
        <f t="shared" si="191"/>
        <v>0</v>
      </c>
      <c r="AP446" s="208">
        <f t="shared" si="191"/>
        <v>0</v>
      </c>
    </row>
    <row r="447" spans="1:42">
      <c r="A447" s="37">
        <f>A446+1</f>
        <v>2</v>
      </c>
      <c r="C447" s="208">
        <f t="shared" ref="C447:R455" si="192">C312</f>
        <v>0</v>
      </c>
      <c r="D447" s="208">
        <f t="shared" si="192"/>
        <v>0</v>
      </c>
      <c r="E447" s="208">
        <f t="shared" si="192"/>
        <v>0</v>
      </c>
      <c r="F447" s="208">
        <f t="shared" si="192"/>
        <v>0</v>
      </c>
      <c r="G447" s="208">
        <f t="shared" si="192"/>
        <v>0</v>
      </c>
      <c r="H447" s="208">
        <f t="shared" si="192"/>
        <v>1</v>
      </c>
      <c r="I447" s="208">
        <f t="shared" si="192"/>
        <v>2</v>
      </c>
      <c r="J447" s="208">
        <f t="shared" si="192"/>
        <v>3</v>
      </c>
      <c r="K447" s="208">
        <f t="shared" si="192"/>
        <v>4</v>
      </c>
      <c r="L447" s="208">
        <f t="shared" si="192"/>
        <v>5</v>
      </c>
      <c r="M447" s="208">
        <f t="shared" si="192"/>
        <v>6</v>
      </c>
      <c r="N447" s="208">
        <f t="shared" si="192"/>
        <v>7</v>
      </c>
      <c r="O447" s="208">
        <f t="shared" si="192"/>
        <v>8</v>
      </c>
      <c r="P447" s="208">
        <f t="shared" si="192"/>
        <v>9</v>
      </c>
      <c r="Q447" s="208">
        <f t="shared" si="192"/>
        <v>10</v>
      </c>
      <c r="R447" s="208">
        <f t="shared" si="192"/>
        <v>11</v>
      </c>
      <c r="S447" s="208">
        <f t="shared" si="191"/>
        <v>12</v>
      </c>
      <c r="T447" s="208">
        <f t="shared" si="191"/>
        <v>13</v>
      </c>
      <c r="U447" s="208">
        <f t="shared" si="191"/>
        <v>14</v>
      </c>
      <c r="V447" s="208">
        <f t="shared" si="191"/>
        <v>15</v>
      </c>
      <c r="W447" s="208">
        <f t="shared" si="191"/>
        <v>16</v>
      </c>
      <c r="X447" s="208">
        <f t="shared" si="191"/>
        <v>17</v>
      </c>
      <c r="Y447" s="208">
        <f t="shared" si="191"/>
        <v>18</v>
      </c>
      <c r="Z447" s="208">
        <f t="shared" si="191"/>
        <v>19</v>
      </c>
      <c r="AA447" s="208">
        <f t="shared" si="191"/>
        <v>20</v>
      </c>
      <c r="AB447" s="208">
        <f t="shared" si="191"/>
        <v>21</v>
      </c>
      <c r="AC447" s="208">
        <f t="shared" si="191"/>
        <v>22</v>
      </c>
      <c r="AD447" s="208">
        <f t="shared" si="191"/>
        <v>23</v>
      </c>
      <c r="AE447" s="208">
        <f t="shared" si="191"/>
        <v>24</v>
      </c>
      <c r="AF447" s="208">
        <f t="shared" si="191"/>
        <v>25</v>
      </c>
      <c r="AG447" s="208">
        <f t="shared" si="191"/>
        <v>0</v>
      </c>
      <c r="AH447" s="208">
        <f t="shared" si="191"/>
        <v>0</v>
      </c>
      <c r="AI447" s="208">
        <f t="shared" si="191"/>
        <v>0</v>
      </c>
      <c r="AJ447" s="208">
        <f t="shared" si="191"/>
        <v>0</v>
      </c>
      <c r="AK447" s="208">
        <f t="shared" si="191"/>
        <v>0</v>
      </c>
      <c r="AL447" s="208">
        <f t="shared" si="191"/>
        <v>0</v>
      </c>
      <c r="AM447" s="208">
        <f t="shared" si="191"/>
        <v>0</v>
      </c>
      <c r="AN447" s="208">
        <f t="shared" si="191"/>
        <v>0</v>
      </c>
      <c r="AO447" s="208">
        <f t="shared" si="191"/>
        <v>0</v>
      </c>
      <c r="AP447" s="208">
        <f t="shared" si="191"/>
        <v>0</v>
      </c>
    </row>
    <row r="448" spans="1:42">
      <c r="A448" s="37">
        <f t="shared" ref="A448:A453" si="193">A447+1</f>
        <v>3</v>
      </c>
      <c r="C448" s="208">
        <f t="shared" si="192"/>
        <v>0</v>
      </c>
      <c r="D448" s="208">
        <f t="shared" si="191"/>
        <v>0</v>
      </c>
      <c r="E448" s="208">
        <f t="shared" si="191"/>
        <v>0</v>
      </c>
      <c r="F448" s="208">
        <f t="shared" si="191"/>
        <v>0</v>
      </c>
      <c r="G448" s="208">
        <f t="shared" si="191"/>
        <v>0</v>
      </c>
      <c r="H448" s="208">
        <f t="shared" si="191"/>
        <v>0</v>
      </c>
      <c r="I448" s="208">
        <f t="shared" si="191"/>
        <v>0</v>
      </c>
      <c r="J448" s="208">
        <f t="shared" si="191"/>
        <v>0</v>
      </c>
      <c r="K448" s="208">
        <f t="shared" si="191"/>
        <v>1</v>
      </c>
      <c r="L448" s="208">
        <f t="shared" si="191"/>
        <v>2</v>
      </c>
      <c r="M448" s="208">
        <f t="shared" si="191"/>
        <v>3</v>
      </c>
      <c r="N448" s="208">
        <f t="shared" si="191"/>
        <v>4</v>
      </c>
      <c r="O448" s="208">
        <f t="shared" si="191"/>
        <v>5</v>
      </c>
      <c r="P448" s="208">
        <f t="shared" si="191"/>
        <v>6</v>
      </c>
      <c r="Q448" s="208">
        <f t="shared" si="191"/>
        <v>7</v>
      </c>
      <c r="R448" s="208">
        <f t="shared" si="191"/>
        <v>8</v>
      </c>
      <c r="S448" s="208">
        <f t="shared" si="191"/>
        <v>9</v>
      </c>
      <c r="T448" s="208">
        <f t="shared" si="191"/>
        <v>10</v>
      </c>
      <c r="U448" s="208">
        <f t="shared" si="191"/>
        <v>11</v>
      </c>
      <c r="V448" s="208">
        <f t="shared" si="191"/>
        <v>12</v>
      </c>
      <c r="W448" s="208">
        <f t="shared" si="191"/>
        <v>13</v>
      </c>
      <c r="X448" s="208">
        <f t="shared" si="191"/>
        <v>14</v>
      </c>
      <c r="Y448" s="208">
        <f t="shared" si="191"/>
        <v>15</v>
      </c>
      <c r="Z448" s="208">
        <f t="shared" si="191"/>
        <v>16</v>
      </c>
      <c r="AA448" s="208">
        <f t="shared" si="191"/>
        <v>17</v>
      </c>
      <c r="AB448" s="208">
        <f t="shared" si="191"/>
        <v>18</v>
      </c>
      <c r="AC448" s="208">
        <f t="shared" si="191"/>
        <v>19</v>
      </c>
      <c r="AD448" s="208">
        <f t="shared" si="191"/>
        <v>20</v>
      </c>
      <c r="AE448" s="208">
        <f t="shared" si="191"/>
        <v>21</v>
      </c>
      <c r="AF448" s="208">
        <f t="shared" si="191"/>
        <v>22</v>
      </c>
      <c r="AG448" s="208">
        <f t="shared" si="191"/>
        <v>0</v>
      </c>
      <c r="AH448" s="208">
        <f t="shared" si="191"/>
        <v>0</v>
      </c>
      <c r="AI448" s="208">
        <f t="shared" si="191"/>
        <v>0</v>
      </c>
      <c r="AJ448" s="208">
        <f t="shared" si="191"/>
        <v>0</v>
      </c>
      <c r="AK448" s="208">
        <f t="shared" si="191"/>
        <v>0</v>
      </c>
      <c r="AL448" s="208">
        <f t="shared" si="191"/>
        <v>0</v>
      </c>
      <c r="AM448" s="208">
        <f t="shared" si="191"/>
        <v>0</v>
      </c>
      <c r="AN448" s="208">
        <f t="shared" si="191"/>
        <v>0</v>
      </c>
      <c r="AO448" s="208">
        <f t="shared" si="191"/>
        <v>0</v>
      </c>
      <c r="AP448" s="208">
        <f t="shared" si="191"/>
        <v>0</v>
      </c>
    </row>
    <row r="449" spans="1:42">
      <c r="A449" s="37">
        <f t="shared" si="193"/>
        <v>4</v>
      </c>
      <c r="C449" s="208">
        <f t="shared" si="192"/>
        <v>0</v>
      </c>
      <c r="D449" s="208">
        <f t="shared" si="191"/>
        <v>0</v>
      </c>
      <c r="E449" s="208">
        <f t="shared" si="191"/>
        <v>0</v>
      </c>
      <c r="F449" s="208">
        <f t="shared" si="191"/>
        <v>0</v>
      </c>
      <c r="G449" s="208">
        <f t="shared" si="191"/>
        <v>0</v>
      </c>
      <c r="H449" s="208">
        <f t="shared" si="191"/>
        <v>0</v>
      </c>
      <c r="I449" s="208">
        <f t="shared" si="191"/>
        <v>0</v>
      </c>
      <c r="J449" s="208">
        <f t="shared" si="191"/>
        <v>0</v>
      </c>
      <c r="K449" s="208">
        <f t="shared" si="191"/>
        <v>0</v>
      </c>
      <c r="L449" s="208">
        <f t="shared" si="191"/>
        <v>0</v>
      </c>
      <c r="M449" s="208">
        <f t="shared" si="191"/>
        <v>0</v>
      </c>
      <c r="N449" s="208">
        <f t="shared" si="191"/>
        <v>1</v>
      </c>
      <c r="O449" s="208">
        <f t="shared" si="191"/>
        <v>2</v>
      </c>
      <c r="P449" s="208">
        <f t="shared" si="191"/>
        <v>3</v>
      </c>
      <c r="Q449" s="208">
        <f t="shared" si="191"/>
        <v>4</v>
      </c>
      <c r="R449" s="208">
        <f t="shared" si="191"/>
        <v>5</v>
      </c>
      <c r="S449" s="208">
        <f t="shared" si="191"/>
        <v>6</v>
      </c>
      <c r="T449" s="208">
        <f t="shared" si="191"/>
        <v>7</v>
      </c>
      <c r="U449" s="208">
        <f t="shared" si="191"/>
        <v>8</v>
      </c>
      <c r="V449" s="208">
        <f t="shared" si="191"/>
        <v>9</v>
      </c>
      <c r="W449" s="208">
        <f t="shared" si="191"/>
        <v>10</v>
      </c>
      <c r="X449" s="208">
        <f t="shared" si="191"/>
        <v>11</v>
      </c>
      <c r="Y449" s="208">
        <f t="shared" si="191"/>
        <v>12</v>
      </c>
      <c r="Z449" s="208">
        <f t="shared" si="191"/>
        <v>13</v>
      </c>
      <c r="AA449" s="208">
        <f t="shared" si="191"/>
        <v>14</v>
      </c>
      <c r="AB449" s="208">
        <f t="shared" si="191"/>
        <v>15</v>
      </c>
      <c r="AC449" s="208">
        <f t="shared" si="191"/>
        <v>16</v>
      </c>
      <c r="AD449" s="208">
        <f t="shared" si="191"/>
        <v>17</v>
      </c>
      <c r="AE449" s="208">
        <f t="shared" si="191"/>
        <v>18</v>
      </c>
      <c r="AF449" s="208">
        <f t="shared" si="191"/>
        <v>19</v>
      </c>
      <c r="AG449" s="208">
        <f t="shared" si="191"/>
        <v>0</v>
      </c>
      <c r="AH449" s="208">
        <f t="shared" si="191"/>
        <v>0</v>
      </c>
      <c r="AI449" s="208">
        <f t="shared" si="191"/>
        <v>0</v>
      </c>
      <c r="AJ449" s="208">
        <f t="shared" si="191"/>
        <v>0</v>
      </c>
      <c r="AK449" s="208">
        <f t="shared" si="191"/>
        <v>0</v>
      </c>
      <c r="AL449" s="208">
        <f t="shared" si="191"/>
        <v>0</v>
      </c>
      <c r="AM449" s="208">
        <f t="shared" si="191"/>
        <v>0</v>
      </c>
      <c r="AN449" s="208">
        <f t="shared" si="191"/>
        <v>0</v>
      </c>
      <c r="AO449" s="208">
        <f t="shared" si="191"/>
        <v>0</v>
      </c>
      <c r="AP449" s="208">
        <f t="shared" si="191"/>
        <v>0</v>
      </c>
    </row>
    <row r="450" spans="1:42">
      <c r="A450" s="37">
        <f t="shared" si="193"/>
        <v>5</v>
      </c>
      <c r="C450" s="208">
        <f t="shared" si="192"/>
        <v>0</v>
      </c>
      <c r="D450" s="208">
        <f t="shared" si="191"/>
        <v>0</v>
      </c>
      <c r="E450" s="208">
        <f t="shared" si="191"/>
        <v>0</v>
      </c>
      <c r="F450" s="208">
        <f t="shared" si="191"/>
        <v>0</v>
      </c>
      <c r="G450" s="208">
        <f t="shared" si="191"/>
        <v>0</v>
      </c>
      <c r="H450" s="208">
        <f t="shared" si="191"/>
        <v>0</v>
      </c>
      <c r="I450" s="208">
        <f t="shared" si="191"/>
        <v>0</v>
      </c>
      <c r="J450" s="208">
        <f t="shared" si="191"/>
        <v>0</v>
      </c>
      <c r="K450" s="208">
        <f t="shared" si="191"/>
        <v>0</v>
      </c>
      <c r="L450" s="208">
        <f t="shared" si="191"/>
        <v>0</v>
      </c>
      <c r="M450" s="208">
        <f t="shared" si="191"/>
        <v>0</v>
      </c>
      <c r="N450" s="208">
        <f t="shared" si="191"/>
        <v>0</v>
      </c>
      <c r="O450" s="208">
        <f t="shared" si="191"/>
        <v>0</v>
      </c>
      <c r="P450" s="208">
        <f t="shared" si="191"/>
        <v>0</v>
      </c>
      <c r="Q450" s="208">
        <f t="shared" si="191"/>
        <v>1</v>
      </c>
      <c r="R450" s="208">
        <f t="shared" si="191"/>
        <v>2</v>
      </c>
      <c r="S450" s="208">
        <f t="shared" si="191"/>
        <v>3</v>
      </c>
      <c r="T450" s="208">
        <f t="shared" si="191"/>
        <v>4</v>
      </c>
      <c r="U450" s="208">
        <f t="shared" si="191"/>
        <v>5</v>
      </c>
      <c r="V450" s="208">
        <f t="shared" si="191"/>
        <v>6</v>
      </c>
      <c r="W450" s="208">
        <f t="shared" si="191"/>
        <v>7</v>
      </c>
      <c r="X450" s="208">
        <f t="shared" si="191"/>
        <v>8</v>
      </c>
      <c r="Y450" s="208">
        <f t="shared" si="191"/>
        <v>9</v>
      </c>
      <c r="Z450" s="208">
        <f t="shared" si="191"/>
        <v>10</v>
      </c>
      <c r="AA450" s="208">
        <f t="shared" si="191"/>
        <v>11</v>
      </c>
      <c r="AB450" s="208">
        <f t="shared" si="191"/>
        <v>12</v>
      </c>
      <c r="AC450" s="208">
        <f t="shared" si="191"/>
        <v>13</v>
      </c>
      <c r="AD450" s="208">
        <f t="shared" si="191"/>
        <v>14</v>
      </c>
      <c r="AE450" s="208">
        <f t="shared" si="191"/>
        <v>15</v>
      </c>
      <c r="AF450" s="208">
        <f t="shared" si="191"/>
        <v>16</v>
      </c>
      <c r="AG450" s="208">
        <f t="shared" si="191"/>
        <v>0</v>
      </c>
      <c r="AH450" s="208">
        <f t="shared" si="191"/>
        <v>0</v>
      </c>
      <c r="AI450" s="208">
        <f t="shared" si="191"/>
        <v>0</v>
      </c>
      <c r="AJ450" s="208">
        <f t="shared" si="191"/>
        <v>0</v>
      </c>
      <c r="AK450" s="208">
        <f t="shared" si="191"/>
        <v>0</v>
      </c>
      <c r="AL450" s="208">
        <f t="shared" si="191"/>
        <v>0</v>
      </c>
      <c r="AM450" s="208">
        <f t="shared" si="191"/>
        <v>0</v>
      </c>
      <c r="AN450" s="208">
        <f t="shared" si="191"/>
        <v>0</v>
      </c>
      <c r="AO450" s="208">
        <f t="shared" si="191"/>
        <v>0</v>
      </c>
      <c r="AP450" s="208">
        <f t="shared" si="191"/>
        <v>0</v>
      </c>
    </row>
    <row r="451" spans="1:42">
      <c r="A451" s="37">
        <f t="shared" si="193"/>
        <v>6</v>
      </c>
      <c r="C451" s="208">
        <f t="shared" si="192"/>
        <v>0</v>
      </c>
      <c r="D451" s="208">
        <f t="shared" si="191"/>
        <v>0</v>
      </c>
      <c r="E451" s="208">
        <f t="shared" si="191"/>
        <v>0</v>
      </c>
      <c r="F451" s="208">
        <f t="shared" si="191"/>
        <v>0</v>
      </c>
      <c r="G451" s="208">
        <f t="shared" si="191"/>
        <v>0</v>
      </c>
      <c r="H451" s="208">
        <f t="shared" si="191"/>
        <v>0</v>
      </c>
      <c r="I451" s="208">
        <f t="shared" si="191"/>
        <v>0</v>
      </c>
      <c r="J451" s="208">
        <f t="shared" si="191"/>
        <v>0</v>
      </c>
      <c r="K451" s="208">
        <f t="shared" si="191"/>
        <v>0</v>
      </c>
      <c r="L451" s="208">
        <f t="shared" si="191"/>
        <v>0</v>
      </c>
      <c r="M451" s="208">
        <f t="shared" si="191"/>
        <v>0</v>
      </c>
      <c r="N451" s="208">
        <f t="shared" si="191"/>
        <v>0</v>
      </c>
      <c r="O451" s="208">
        <f t="shared" si="191"/>
        <v>0</v>
      </c>
      <c r="P451" s="208">
        <f t="shared" si="191"/>
        <v>0</v>
      </c>
      <c r="Q451" s="208">
        <f t="shared" si="191"/>
        <v>0</v>
      </c>
      <c r="R451" s="208">
        <f t="shared" si="191"/>
        <v>0</v>
      </c>
      <c r="S451" s="208">
        <f t="shared" si="191"/>
        <v>0</v>
      </c>
      <c r="T451" s="208">
        <f t="shared" si="191"/>
        <v>1</v>
      </c>
      <c r="U451" s="208">
        <f t="shared" si="191"/>
        <v>2</v>
      </c>
      <c r="V451" s="208">
        <f t="shared" si="191"/>
        <v>3</v>
      </c>
      <c r="W451" s="208">
        <f t="shared" si="191"/>
        <v>4</v>
      </c>
      <c r="X451" s="208">
        <f t="shared" si="191"/>
        <v>5</v>
      </c>
      <c r="Y451" s="208">
        <f t="shared" si="191"/>
        <v>6</v>
      </c>
      <c r="Z451" s="208">
        <f t="shared" si="191"/>
        <v>7</v>
      </c>
      <c r="AA451" s="208">
        <f t="shared" si="191"/>
        <v>8</v>
      </c>
      <c r="AB451" s="208">
        <f t="shared" si="191"/>
        <v>9</v>
      </c>
      <c r="AC451" s="208">
        <f t="shared" si="191"/>
        <v>10</v>
      </c>
      <c r="AD451" s="208">
        <f t="shared" si="191"/>
        <v>11</v>
      </c>
      <c r="AE451" s="208">
        <f t="shared" si="191"/>
        <v>12</v>
      </c>
      <c r="AF451" s="208">
        <f t="shared" si="191"/>
        <v>13</v>
      </c>
      <c r="AG451" s="208">
        <f t="shared" si="191"/>
        <v>0</v>
      </c>
      <c r="AH451" s="208">
        <f t="shared" si="191"/>
        <v>0</v>
      </c>
      <c r="AI451" s="208">
        <f t="shared" si="191"/>
        <v>0</v>
      </c>
      <c r="AJ451" s="208">
        <f t="shared" si="191"/>
        <v>0</v>
      </c>
      <c r="AK451" s="208">
        <f t="shared" si="191"/>
        <v>0</v>
      </c>
      <c r="AL451" s="208">
        <f t="shared" si="191"/>
        <v>0</v>
      </c>
      <c r="AM451" s="208">
        <f t="shared" si="191"/>
        <v>0</v>
      </c>
      <c r="AN451" s="208">
        <f t="shared" si="191"/>
        <v>0</v>
      </c>
      <c r="AO451" s="208">
        <f t="shared" si="191"/>
        <v>0</v>
      </c>
      <c r="AP451" s="208">
        <f t="shared" si="191"/>
        <v>0</v>
      </c>
    </row>
    <row r="452" spans="1:42">
      <c r="A452" s="37">
        <f t="shared" si="193"/>
        <v>7</v>
      </c>
      <c r="C452" s="208">
        <f t="shared" si="192"/>
        <v>0</v>
      </c>
      <c r="D452" s="208">
        <f t="shared" si="191"/>
        <v>0</v>
      </c>
      <c r="E452" s="208">
        <f t="shared" si="191"/>
        <v>0</v>
      </c>
      <c r="F452" s="208">
        <f t="shared" si="191"/>
        <v>0</v>
      </c>
      <c r="G452" s="208">
        <f t="shared" si="191"/>
        <v>0</v>
      </c>
      <c r="H452" s="208">
        <f t="shared" si="191"/>
        <v>0</v>
      </c>
      <c r="I452" s="208">
        <f t="shared" si="191"/>
        <v>0</v>
      </c>
      <c r="J452" s="208">
        <f t="shared" si="191"/>
        <v>0</v>
      </c>
      <c r="K452" s="208">
        <f t="shared" si="191"/>
        <v>0</v>
      </c>
      <c r="L452" s="208">
        <f t="shared" si="191"/>
        <v>0</v>
      </c>
      <c r="M452" s="208">
        <f t="shared" si="191"/>
        <v>0</v>
      </c>
      <c r="N452" s="208">
        <f t="shared" si="191"/>
        <v>0</v>
      </c>
      <c r="O452" s="208">
        <f t="shared" si="191"/>
        <v>0</v>
      </c>
      <c r="P452" s="208">
        <f t="shared" si="191"/>
        <v>0</v>
      </c>
      <c r="Q452" s="208">
        <f t="shared" si="191"/>
        <v>0</v>
      </c>
      <c r="R452" s="208">
        <f t="shared" si="191"/>
        <v>0</v>
      </c>
      <c r="S452" s="208">
        <f t="shared" si="191"/>
        <v>0</v>
      </c>
      <c r="T452" s="208">
        <f t="shared" si="191"/>
        <v>0</v>
      </c>
      <c r="U452" s="208">
        <f t="shared" si="191"/>
        <v>0</v>
      </c>
      <c r="V452" s="208">
        <f t="shared" si="191"/>
        <v>0</v>
      </c>
      <c r="W452" s="208">
        <f t="shared" si="191"/>
        <v>1</v>
      </c>
      <c r="X452" s="208">
        <f t="shared" si="191"/>
        <v>2</v>
      </c>
      <c r="Y452" s="208">
        <f t="shared" si="191"/>
        <v>3</v>
      </c>
      <c r="Z452" s="208">
        <f t="shared" si="191"/>
        <v>4</v>
      </c>
      <c r="AA452" s="208">
        <f t="shared" si="191"/>
        <v>5</v>
      </c>
      <c r="AB452" s="208">
        <f t="shared" si="191"/>
        <v>6</v>
      </c>
      <c r="AC452" s="208">
        <f t="shared" si="191"/>
        <v>7</v>
      </c>
      <c r="AD452" s="208">
        <f t="shared" si="191"/>
        <v>8</v>
      </c>
      <c r="AE452" s="208">
        <f t="shared" si="191"/>
        <v>9</v>
      </c>
      <c r="AF452" s="208">
        <f t="shared" si="191"/>
        <v>10</v>
      </c>
      <c r="AG452" s="208">
        <f t="shared" si="191"/>
        <v>0</v>
      </c>
      <c r="AH452" s="208">
        <f t="shared" si="191"/>
        <v>0</v>
      </c>
      <c r="AI452" s="208">
        <f t="shared" si="191"/>
        <v>0</v>
      </c>
      <c r="AJ452" s="208">
        <f t="shared" si="191"/>
        <v>0</v>
      </c>
      <c r="AK452" s="208">
        <f t="shared" si="191"/>
        <v>0</v>
      </c>
      <c r="AL452" s="208">
        <f t="shared" si="191"/>
        <v>0</v>
      </c>
      <c r="AM452" s="208">
        <f t="shared" si="191"/>
        <v>0</v>
      </c>
      <c r="AN452" s="208">
        <f t="shared" ref="AN452:AP452" si="194">AN317</f>
        <v>0</v>
      </c>
      <c r="AO452" s="208">
        <f t="shared" si="194"/>
        <v>0</v>
      </c>
      <c r="AP452" s="208">
        <f t="shared" si="194"/>
        <v>0</v>
      </c>
    </row>
    <row r="453" spans="1:42">
      <c r="A453" s="37">
        <f t="shared" si="193"/>
        <v>8</v>
      </c>
      <c r="C453" s="208">
        <f t="shared" si="192"/>
        <v>0</v>
      </c>
      <c r="D453" s="208">
        <f t="shared" si="192"/>
        <v>0</v>
      </c>
      <c r="E453" s="208">
        <f t="shared" si="192"/>
        <v>0</v>
      </c>
      <c r="F453" s="208">
        <f t="shared" si="192"/>
        <v>0</v>
      </c>
      <c r="G453" s="208">
        <f t="shared" si="192"/>
        <v>0</v>
      </c>
      <c r="H453" s="208">
        <f t="shared" si="192"/>
        <v>0</v>
      </c>
      <c r="I453" s="208">
        <f t="shared" si="192"/>
        <v>0</v>
      </c>
      <c r="J453" s="208">
        <f t="shared" si="192"/>
        <v>0</v>
      </c>
      <c r="K453" s="208">
        <f t="shared" si="192"/>
        <v>0</v>
      </c>
      <c r="L453" s="208">
        <f t="shared" si="192"/>
        <v>0</v>
      </c>
      <c r="M453" s="208">
        <f t="shared" si="192"/>
        <v>0</v>
      </c>
      <c r="N453" s="208">
        <f t="shared" si="192"/>
        <v>0</v>
      </c>
      <c r="O453" s="208">
        <f t="shared" si="192"/>
        <v>0</v>
      </c>
      <c r="P453" s="208">
        <f t="shared" si="192"/>
        <v>0</v>
      </c>
      <c r="Q453" s="208">
        <f t="shared" si="192"/>
        <v>0</v>
      </c>
      <c r="R453" s="208">
        <f t="shared" si="192"/>
        <v>0</v>
      </c>
      <c r="S453" s="208">
        <f t="shared" ref="S453:AP455" si="195">S318</f>
        <v>0</v>
      </c>
      <c r="T453" s="208">
        <f t="shared" si="195"/>
        <v>0</v>
      </c>
      <c r="U453" s="208">
        <f t="shared" si="195"/>
        <v>0</v>
      </c>
      <c r="V453" s="208">
        <f t="shared" si="195"/>
        <v>0</v>
      </c>
      <c r="W453" s="208">
        <f t="shared" si="195"/>
        <v>0</v>
      </c>
      <c r="X453" s="208">
        <f t="shared" si="195"/>
        <v>0</v>
      </c>
      <c r="Y453" s="208">
        <f t="shared" si="195"/>
        <v>0</v>
      </c>
      <c r="Z453" s="208">
        <f t="shared" si="195"/>
        <v>1</v>
      </c>
      <c r="AA453" s="208">
        <f t="shared" si="195"/>
        <v>2</v>
      </c>
      <c r="AB453" s="208">
        <f t="shared" si="195"/>
        <v>3</v>
      </c>
      <c r="AC453" s="208">
        <f t="shared" si="195"/>
        <v>4</v>
      </c>
      <c r="AD453" s="208">
        <f t="shared" si="195"/>
        <v>5</v>
      </c>
      <c r="AE453" s="208">
        <f t="shared" si="195"/>
        <v>6</v>
      </c>
      <c r="AF453" s="208">
        <f t="shared" si="195"/>
        <v>7</v>
      </c>
      <c r="AG453" s="208">
        <f t="shared" si="195"/>
        <v>0</v>
      </c>
      <c r="AH453" s="208">
        <f t="shared" si="195"/>
        <v>0</v>
      </c>
      <c r="AI453" s="208">
        <f t="shared" si="195"/>
        <v>0</v>
      </c>
      <c r="AJ453" s="208">
        <f t="shared" si="195"/>
        <v>0</v>
      </c>
      <c r="AK453" s="208">
        <f t="shared" si="195"/>
        <v>0</v>
      </c>
      <c r="AL453" s="208">
        <f t="shared" si="195"/>
        <v>0</v>
      </c>
      <c r="AM453" s="208">
        <f t="shared" si="195"/>
        <v>0</v>
      </c>
      <c r="AN453" s="208">
        <f t="shared" si="195"/>
        <v>0</v>
      </c>
      <c r="AO453" s="208">
        <f t="shared" si="195"/>
        <v>0</v>
      </c>
      <c r="AP453" s="208">
        <f t="shared" si="195"/>
        <v>0</v>
      </c>
    </row>
    <row r="454" spans="1:42">
      <c r="A454" s="37">
        <f>A453+1</f>
        <v>9</v>
      </c>
      <c r="C454" s="208">
        <f t="shared" si="192"/>
        <v>0</v>
      </c>
      <c r="D454" s="208">
        <f t="shared" si="192"/>
        <v>0</v>
      </c>
      <c r="E454" s="208">
        <f t="shared" si="192"/>
        <v>0</v>
      </c>
      <c r="F454" s="208">
        <f t="shared" si="192"/>
        <v>0</v>
      </c>
      <c r="G454" s="208">
        <f t="shared" si="192"/>
        <v>0</v>
      </c>
      <c r="H454" s="208">
        <f t="shared" si="192"/>
        <v>0</v>
      </c>
      <c r="I454" s="208">
        <f t="shared" si="192"/>
        <v>0</v>
      </c>
      <c r="J454" s="208">
        <f t="shared" si="192"/>
        <v>0</v>
      </c>
      <c r="K454" s="208">
        <f t="shared" si="192"/>
        <v>0</v>
      </c>
      <c r="L454" s="208">
        <f t="shared" si="192"/>
        <v>0</v>
      </c>
      <c r="M454" s="208">
        <f t="shared" si="192"/>
        <v>0</v>
      </c>
      <c r="N454" s="208">
        <f t="shared" si="192"/>
        <v>0</v>
      </c>
      <c r="O454" s="208">
        <f t="shared" si="192"/>
        <v>0</v>
      </c>
      <c r="P454" s="208">
        <f t="shared" si="192"/>
        <v>0</v>
      </c>
      <c r="Q454" s="208">
        <f t="shared" si="192"/>
        <v>0</v>
      </c>
      <c r="R454" s="208">
        <f t="shared" si="192"/>
        <v>0</v>
      </c>
      <c r="S454" s="208">
        <f t="shared" si="195"/>
        <v>0</v>
      </c>
      <c r="T454" s="208">
        <f t="shared" si="195"/>
        <v>0</v>
      </c>
      <c r="U454" s="208">
        <f t="shared" si="195"/>
        <v>0</v>
      </c>
      <c r="V454" s="208">
        <f t="shared" si="195"/>
        <v>0</v>
      </c>
      <c r="W454" s="208">
        <f t="shared" si="195"/>
        <v>0</v>
      </c>
      <c r="X454" s="208">
        <f t="shared" si="195"/>
        <v>0</v>
      </c>
      <c r="Y454" s="208">
        <f t="shared" si="195"/>
        <v>0</v>
      </c>
      <c r="Z454" s="208">
        <f t="shared" si="195"/>
        <v>0</v>
      </c>
      <c r="AA454" s="208">
        <f t="shared" si="195"/>
        <v>0</v>
      </c>
      <c r="AB454" s="208">
        <f t="shared" si="195"/>
        <v>0</v>
      </c>
      <c r="AC454" s="208">
        <f t="shared" si="195"/>
        <v>1</v>
      </c>
      <c r="AD454" s="208">
        <f t="shared" si="195"/>
        <v>2</v>
      </c>
      <c r="AE454" s="208">
        <f t="shared" si="195"/>
        <v>3</v>
      </c>
      <c r="AF454" s="208">
        <f t="shared" si="195"/>
        <v>4</v>
      </c>
      <c r="AG454" s="208">
        <f t="shared" si="195"/>
        <v>0</v>
      </c>
      <c r="AH454" s="208">
        <f t="shared" si="195"/>
        <v>0</v>
      </c>
      <c r="AI454" s="208">
        <f t="shared" si="195"/>
        <v>0</v>
      </c>
      <c r="AJ454" s="208">
        <f t="shared" si="195"/>
        <v>0</v>
      </c>
      <c r="AK454" s="208">
        <f t="shared" si="195"/>
        <v>0</v>
      </c>
      <c r="AL454" s="208">
        <f t="shared" si="195"/>
        <v>0</v>
      </c>
      <c r="AM454" s="208">
        <f t="shared" si="195"/>
        <v>0</v>
      </c>
      <c r="AN454" s="208">
        <f t="shared" si="195"/>
        <v>0</v>
      </c>
      <c r="AO454" s="208">
        <f t="shared" si="195"/>
        <v>0</v>
      </c>
      <c r="AP454" s="208">
        <f t="shared" si="195"/>
        <v>0</v>
      </c>
    </row>
    <row r="455" spans="1:42">
      <c r="A455" s="37">
        <f t="shared" ref="A455" si="196">A454+1</f>
        <v>10</v>
      </c>
      <c r="C455" s="208">
        <f t="shared" si="192"/>
        <v>0</v>
      </c>
      <c r="D455" s="208">
        <f t="shared" si="192"/>
        <v>0</v>
      </c>
      <c r="E455" s="208">
        <f t="shared" si="192"/>
        <v>0</v>
      </c>
      <c r="F455" s="208">
        <f t="shared" si="192"/>
        <v>0</v>
      </c>
      <c r="G455" s="208">
        <f t="shared" si="192"/>
        <v>0</v>
      </c>
      <c r="H455" s="208">
        <f t="shared" si="192"/>
        <v>0</v>
      </c>
      <c r="I455" s="208">
        <f t="shared" si="192"/>
        <v>0</v>
      </c>
      <c r="J455" s="208">
        <f t="shared" si="192"/>
        <v>0</v>
      </c>
      <c r="K455" s="208">
        <f t="shared" si="192"/>
        <v>0</v>
      </c>
      <c r="L455" s="208">
        <f t="shared" si="192"/>
        <v>0</v>
      </c>
      <c r="M455" s="208">
        <f t="shared" si="192"/>
        <v>0</v>
      </c>
      <c r="N455" s="208">
        <f t="shared" si="192"/>
        <v>0</v>
      </c>
      <c r="O455" s="208">
        <f t="shared" si="192"/>
        <v>0</v>
      </c>
      <c r="P455" s="208">
        <f t="shared" si="192"/>
        <v>0</v>
      </c>
      <c r="Q455" s="208">
        <f t="shared" si="192"/>
        <v>0</v>
      </c>
      <c r="R455" s="208">
        <f t="shared" si="192"/>
        <v>0</v>
      </c>
      <c r="S455" s="208">
        <f t="shared" si="195"/>
        <v>0</v>
      </c>
      <c r="T455" s="208">
        <f t="shared" si="195"/>
        <v>0</v>
      </c>
      <c r="U455" s="208">
        <f t="shared" si="195"/>
        <v>0</v>
      </c>
      <c r="V455" s="208">
        <f t="shared" si="195"/>
        <v>0</v>
      </c>
      <c r="W455" s="208">
        <f t="shared" si="195"/>
        <v>0</v>
      </c>
      <c r="X455" s="208">
        <f t="shared" si="195"/>
        <v>0</v>
      </c>
      <c r="Y455" s="208">
        <f t="shared" si="195"/>
        <v>0</v>
      </c>
      <c r="Z455" s="208">
        <f t="shared" si="195"/>
        <v>0</v>
      </c>
      <c r="AA455" s="208">
        <f t="shared" si="195"/>
        <v>0</v>
      </c>
      <c r="AB455" s="208">
        <f t="shared" si="195"/>
        <v>0</v>
      </c>
      <c r="AC455" s="208">
        <f t="shared" si="195"/>
        <v>0</v>
      </c>
      <c r="AD455" s="208">
        <f t="shared" si="195"/>
        <v>0</v>
      </c>
      <c r="AE455" s="208">
        <f t="shared" si="195"/>
        <v>0</v>
      </c>
      <c r="AF455" s="208">
        <f t="shared" si="195"/>
        <v>1</v>
      </c>
      <c r="AG455" s="208">
        <f t="shared" si="195"/>
        <v>0</v>
      </c>
      <c r="AH455" s="208">
        <f t="shared" si="195"/>
        <v>0</v>
      </c>
      <c r="AI455" s="208">
        <f t="shared" si="195"/>
        <v>0</v>
      </c>
      <c r="AJ455" s="208">
        <f t="shared" si="195"/>
        <v>0</v>
      </c>
      <c r="AK455" s="208">
        <f t="shared" si="195"/>
        <v>0</v>
      </c>
      <c r="AL455" s="208">
        <f t="shared" si="195"/>
        <v>0</v>
      </c>
      <c r="AM455" s="208">
        <f t="shared" si="195"/>
        <v>0</v>
      </c>
      <c r="AN455" s="208">
        <f t="shared" si="195"/>
        <v>0</v>
      </c>
      <c r="AO455" s="208">
        <f t="shared" si="195"/>
        <v>0</v>
      </c>
      <c r="AP455" s="208">
        <f t="shared" si="195"/>
        <v>0</v>
      </c>
    </row>
    <row r="456" spans="1:42">
      <c r="A456" s="226"/>
      <c r="C456" s="208"/>
      <c r="D456" s="208"/>
      <c r="E456" s="208"/>
      <c r="F456" s="208"/>
      <c r="G456" s="208"/>
      <c r="H456" s="208"/>
      <c r="I456" s="208"/>
      <c r="J456" s="208"/>
      <c r="K456" s="208"/>
      <c r="L456" s="208"/>
      <c r="M456" s="208"/>
      <c r="N456" s="208"/>
      <c r="O456" s="208"/>
      <c r="P456" s="208"/>
      <c r="Q456" s="208"/>
      <c r="R456" s="208"/>
      <c r="S456" s="208"/>
      <c r="T456" s="208"/>
      <c r="U456" s="208"/>
      <c r="V456" s="208"/>
      <c r="W456" s="208"/>
      <c r="X456" s="208"/>
      <c r="Y456" s="208"/>
      <c r="Z456" s="208"/>
      <c r="AA456" s="208"/>
      <c r="AB456" s="208"/>
      <c r="AC456" s="208"/>
      <c r="AD456" s="208"/>
      <c r="AE456" s="208"/>
      <c r="AF456" s="208"/>
      <c r="AG456" s="208"/>
      <c r="AH456" s="208"/>
      <c r="AI456" s="208"/>
      <c r="AJ456" s="208"/>
      <c r="AK456" s="208"/>
      <c r="AL456" s="208"/>
      <c r="AM456" s="208"/>
      <c r="AN456" s="208"/>
      <c r="AO456" s="208"/>
      <c r="AP456" s="208"/>
    </row>
    <row r="457" spans="1:42">
      <c r="A457" s="226" t="s">
        <v>221</v>
      </c>
      <c r="C457" s="208"/>
      <c r="D457" s="208"/>
      <c r="E457" s="208"/>
      <c r="F457" s="208"/>
      <c r="G457" s="208"/>
      <c r="H457" s="208"/>
      <c r="I457" s="208"/>
      <c r="J457" s="208"/>
      <c r="K457" s="208"/>
      <c r="L457" s="208"/>
      <c r="M457" s="208"/>
      <c r="N457" s="208"/>
      <c r="O457" s="208"/>
      <c r="P457" s="208"/>
      <c r="Q457" s="208"/>
      <c r="R457" s="208"/>
      <c r="S457" s="208"/>
      <c r="T457" s="208"/>
      <c r="U457" s="208"/>
      <c r="V457" s="208"/>
      <c r="W457" s="208"/>
      <c r="X457" s="208"/>
      <c r="Y457" s="208"/>
      <c r="Z457" s="208"/>
      <c r="AA457" s="208"/>
      <c r="AB457" s="208"/>
      <c r="AC457" s="208"/>
      <c r="AD457" s="208"/>
      <c r="AE457" s="208"/>
      <c r="AF457" s="208"/>
      <c r="AG457" s="208"/>
      <c r="AH457" s="208"/>
      <c r="AI457" s="208"/>
      <c r="AJ457" s="208"/>
      <c r="AK457" s="208"/>
      <c r="AL457" s="208"/>
      <c r="AM457" s="208"/>
      <c r="AN457" s="208"/>
      <c r="AO457" s="208"/>
      <c r="AP457" s="208"/>
    </row>
    <row r="458" spans="1:42">
      <c r="A458" s="37">
        <v>1</v>
      </c>
      <c r="B458" s="218">
        <f t="shared" ref="B458:B467" si="197">SUM(C458:AP458)</f>
        <v>103022.49999999997</v>
      </c>
      <c r="C458" s="250">
        <f t="shared" ref="C458:AP464" si="198">LOOKUP(C446,$B$389:$AP$389,$B$390:$AP$390)*$B705</f>
        <v>0</v>
      </c>
      <c r="D458" s="208">
        <f t="shared" si="198"/>
        <v>0</v>
      </c>
      <c r="E458" s="208">
        <f t="shared" si="198"/>
        <v>20604.499999999996</v>
      </c>
      <c r="F458" s="208">
        <f t="shared" si="198"/>
        <v>32967.19999999999</v>
      </c>
      <c r="G458" s="208">
        <f t="shared" si="198"/>
        <v>19780.319999999996</v>
      </c>
      <c r="H458" s="208">
        <f t="shared" si="198"/>
        <v>11868.191999999995</v>
      </c>
      <c r="I458" s="208">
        <f t="shared" si="198"/>
        <v>11868.191999999995</v>
      </c>
      <c r="J458" s="208">
        <f t="shared" si="198"/>
        <v>5934.0959999999977</v>
      </c>
      <c r="K458" s="208">
        <f t="shared" si="198"/>
        <v>0</v>
      </c>
      <c r="L458" s="208">
        <f t="shared" si="198"/>
        <v>0</v>
      </c>
      <c r="M458" s="208">
        <f t="shared" si="198"/>
        <v>0</v>
      </c>
      <c r="N458" s="208">
        <f t="shared" si="198"/>
        <v>0</v>
      </c>
      <c r="O458" s="208">
        <f t="shared" si="198"/>
        <v>0</v>
      </c>
      <c r="P458" s="208">
        <f t="shared" si="198"/>
        <v>0</v>
      </c>
      <c r="Q458" s="208">
        <f t="shared" si="198"/>
        <v>0</v>
      </c>
      <c r="R458" s="208">
        <f t="shared" si="198"/>
        <v>0</v>
      </c>
      <c r="S458" s="208">
        <f t="shared" si="198"/>
        <v>0</v>
      </c>
      <c r="T458" s="208">
        <f t="shared" si="198"/>
        <v>0</v>
      </c>
      <c r="U458" s="208">
        <f t="shared" si="198"/>
        <v>0</v>
      </c>
      <c r="V458" s="208">
        <f t="shared" si="198"/>
        <v>0</v>
      </c>
      <c r="W458" s="208">
        <f t="shared" si="198"/>
        <v>0</v>
      </c>
      <c r="X458" s="208">
        <f t="shared" si="198"/>
        <v>0</v>
      </c>
      <c r="Y458" s="208">
        <f t="shared" si="198"/>
        <v>0</v>
      </c>
      <c r="Z458" s="208">
        <f t="shared" si="198"/>
        <v>0</v>
      </c>
      <c r="AA458" s="208">
        <f t="shared" si="198"/>
        <v>0</v>
      </c>
      <c r="AB458" s="208">
        <f t="shared" si="198"/>
        <v>0</v>
      </c>
      <c r="AC458" s="208">
        <f t="shared" si="198"/>
        <v>0</v>
      </c>
      <c r="AD458" s="208">
        <f t="shared" si="198"/>
        <v>0</v>
      </c>
      <c r="AE458" s="208">
        <f t="shared" si="198"/>
        <v>0</v>
      </c>
      <c r="AF458" s="208">
        <f t="shared" si="198"/>
        <v>0</v>
      </c>
      <c r="AG458" s="208">
        <f t="shared" si="198"/>
        <v>0</v>
      </c>
      <c r="AH458" s="208">
        <f t="shared" si="198"/>
        <v>0</v>
      </c>
      <c r="AI458" s="208">
        <f t="shared" si="198"/>
        <v>0</v>
      </c>
      <c r="AJ458" s="208">
        <f t="shared" si="198"/>
        <v>0</v>
      </c>
      <c r="AK458" s="208">
        <f t="shared" si="198"/>
        <v>0</v>
      </c>
      <c r="AL458" s="208">
        <f t="shared" si="198"/>
        <v>0</v>
      </c>
      <c r="AM458" s="208">
        <f t="shared" si="198"/>
        <v>0</v>
      </c>
      <c r="AN458" s="208">
        <f t="shared" si="198"/>
        <v>0</v>
      </c>
      <c r="AO458" s="208">
        <f t="shared" si="198"/>
        <v>0</v>
      </c>
      <c r="AP458" s="208">
        <f t="shared" si="198"/>
        <v>0</v>
      </c>
    </row>
    <row r="459" spans="1:42">
      <c r="A459" s="37">
        <f>A458+1</f>
        <v>2</v>
      </c>
      <c r="B459" s="218">
        <f t="shared" si="197"/>
        <v>107728.40038843744</v>
      </c>
      <c r="C459" s="250">
        <f t="shared" si="198"/>
        <v>0</v>
      </c>
      <c r="D459" s="208">
        <f t="shared" si="198"/>
        <v>0</v>
      </c>
      <c r="E459" s="208">
        <f t="shared" si="198"/>
        <v>0</v>
      </c>
      <c r="F459" s="208">
        <f t="shared" si="198"/>
        <v>0</v>
      </c>
      <c r="G459" s="208">
        <f t="shared" si="198"/>
        <v>0</v>
      </c>
      <c r="H459" s="208">
        <f t="shared" si="198"/>
        <v>21545.680077687488</v>
      </c>
      <c r="I459" s="208">
        <f t="shared" si="198"/>
        <v>34473.088124299975</v>
      </c>
      <c r="J459" s="208">
        <f t="shared" si="198"/>
        <v>20683.852874579985</v>
      </c>
      <c r="K459" s="208">
        <f t="shared" si="198"/>
        <v>12410.311724747991</v>
      </c>
      <c r="L459" s="208">
        <f t="shared" si="198"/>
        <v>12410.311724747991</v>
      </c>
      <c r="M459" s="208">
        <f t="shared" si="198"/>
        <v>6205.1558623739957</v>
      </c>
      <c r="N459" s="208">
        <f t="shared" si="198"/>
        <v>0</v>
      </c>
      <c r="O459" s="208">
        <f t="shared" si="198"/>
        <v>0</v>
      </c>
      <c r="P459" s="208">
        <f t="shared" si="198"/>
        <v>0</v>
      </c>
      <c r="Q459" s="208">
        <f t="shared" si="198"/>
        <v>0</v>
      </c>
      <c r="R459" s="208">
        <f t="shared" si="198"/>
        <v>0</v>
      </c>
      <c r="S459" s="208">
        <f t="shared" si="198"/>
        <v>0</v>
      </c>
      <c r="T459" s="208">
        <f t="shared" si="198"/>
        <v>0</v>
      </c>
      <c r="U459" s="208">
        <f t="shared" si="198"/>
        <v>0</v>
      </c>
      <c r="V459" s="208">
        <f t="shared" si="198"/>
        <v>0</v>
      </c>
      <c r="W459" s="208">
        <f t="shared" si="198"/>
        <v>0</v>
      </c>
      <c r="X459" s="208">
        <f t="shared" si="198"/>
        <v>0</v>
      </c>
      <c r="Y459" s="208">
        <f t="shared" si="198"/>
        <v>0</v>
      </c>
      <c r="Z459" s="208">
        <f t="shared" si="198"/>
        <v>0</v>
      </c>
      <c r="AA459" s="208">
        <f t="shared" si="198"/>
        <v>0</v>
      </c>
      <c r="AB459" s="208">
        <f t="shared" si="198"/>
        <v>0</v>
      </c>
      <c r="AC459" s="208">
        <f t="shared" si="198"/>
        <v>0</v>
      </c>
      <c r="AD459" s="208">
        <f t="shared" si="198"/>
        <v>0</v>
      </c>
      <c r="AE459" s="208">
        <f t="shared" si="198"/>
        <v>0</v>
      </c>
      <c r="AF459" s="208">
        <f t="shared" si="198"/>
        <v>0</v>
      </c>
      <c r="AG459" s="208">
        <f t="shared" si="198"/>
        <v>0</v>
      </c>
      <c r="AH459" s="208">
        <f t="shared" si="198"/>
        <v>0</v>
      </c>
      <c r="AI459" s="208">
        <f t="shared" si="198"/>
        <v>0</v>
      </c>
      <c r="AJ459" s="208">
        <f t="shared" si="198"/>
        <v>0</v>
      </c>
      <c r="AK459" s="208">
        <f t="shared" si="198"/>
        <v>0</v>
      </c>
      <c r="AL459" s="208">
        <f t="shared" si="198"/>
        <v>0</v>
      </c>
      <c r="AM459" s="208">
        <f t="shared" si="198"/>
        <v>0</v>
      </c>
      <c r="AN459" s="208">
        <f t="shared" si="198"/>
        <v>0</v>
      </c>
      <c r="AO459" s="208">
        <f t="shared" si="198"/>
        <v>0</v>
      </c>
      <c r="AP459" s="208">
        <f t="shared" si="198"/>
        <v>0</v>
      </c>
    </row>
    <row r="460" spans="1:42">
      <c r="A460" s="37">
        <f t="shared" ref="A460:A465" si="199">A459+1</f>
        <v>3</v>
      </c>
      <c r="B460" s="218">
        <f t="shared" si="197"/>
        <v>112649.25865953058</v>
      </c>
      <c r="C460" s="250">
        <f t="shared" si="198"/>
        <v>0</v>
      </c>
      <c r="D460" s="208">
        <f t="shared" si="198"/>
        <v>0</v>
      </c>
      <c r="E460" s="208">
        <f t="shared" si="198"/>
        <v>0</v>
      </c>
      <c r="F460" s="208">
        <f t="shared" si="198"/>
        <v>0</v>
      </c>
      <c r="G460" s="208">
        <f t="shared" si="198"/>
        <v>0</v>
      </c>
      <c r="H460" s="208">
        <f t="shared" si="198"/>
        <v>0</v>
      </c>
      <c r="I460" s="208">
        <f t="shared" si="198"/>
        <v>0</v>
      </c>
      <c r="J460" s="208">
        <f t="shared" si="198"/>
        <v>0</v>
      </c>
      <c r="K460" s="208">
        <f t="shared" si="198"/>
        <v>22529.851731906117</v>
      </c>
      <c r="L460" s="208">
        <f t="shared" si="198"/>
        <v>36047.762771049784</v>
      </c>
      <c r="M460" s="208">
        <f t="shared" si="198"/>
        <v>21628.65766262987</v>
      </c>
      <c r="N460" s="208">
        <f t="shared" si="198"/>
        <v>12977.194597577922</v>
      </c>
      <c r="O460" s="208">
        <f t="shared" si="198"/>
        <v>12977.194597577922</v>
      </c>
      <c r="P460" s="208">
        <f t="shared" si="198"/>
        <v>6488.5972987889609</v>
      </c>
      <c r="Q460" s="208">
        <f t="shared" si="198"/>
        <v>0</v>
      </c>
      <c r="R460" s="208">
        <f t="shared" si="198"/>
        <v>0</v>
      </c>
      <c r="S460" s="208">
        <f t="shared" si="198"/>
        <v>0</v>
      </c>
      <c r="T460" s="208">
        <f t="shared" si="198"/>
        <v>0</v>
      </c>
      <c r="U460" s="208">
        <f t="shared" si="198"/>
        <v>0</v>
      </c>
      <c r="V460" s="208">
        <f t="shared" si="198"/>
        <v>0</v>
      </c>
      <c r="W460" s="208">
        <f t="shared" si="198"/>
        <v>0</v>
      </c>
      <c r="X460" s="208">
        <f t="shared" si="198"/>
        <v>0</v>
      </c>
      <c r="Y460" s="208">
        <f t="shared" si="198"/>
        <v>0</v>
      </c>
      <c r="Z460" s="208">
        <f t="shared" si="198"/>
        <v>0</v>
      </c>
      <c r="AA460" s="208">
        <f t="shared" si="198"/>
        <v>0</v>
      </c>
      <c r="AB460" s="208">
        <f t="shared" si="198"/>
        <v>0</v>
      </c>
      <c r="AC460" s="208">
        <f t="shared" si="198"/>
        <v>0</v>
      </c>
      <c r="AD460" s="208">
        <f t="shared" si="198"/>
        <v>0</v>
      </c>
      <c r="AE460" s="208">
        <f t="shared" si="198"/>
        <v>0</v>
      </c>
      <c r="AF460" s="208">
        <f t="shared" si="198"/>
        <v>0</v>
      </c>
      <c r="AG460" s="208">
        <f t="shared" si="198"/>
        <v>0</v>
      </c>
      <c r="AH460" s="208">
        <f t="shared" si="198"/>
        <v>0</v>
      </c>
      <c r="AI460" s="208">
        <f t="shared" si="198"/>
        <v>0</v>
      </c>
      <c r="AJ460" s="208">
        <f t="shared" si="198"/>
        <v>0</v>
      </c>
      <c r="AK460" s="208">
        <f t="shared" si="198"/>
        <v>0</v>
      </c>
      <c r="AL460" s="208">
        <f t="shared" si="198"/>
        <v>0</v>
      </c>
      <c r="AM460" s="208">
        <f t="shared" si="198"/>
        <v>0</v>
      </c>
      <c r="AN460" s="208">
        <f t="shared" si="198"/>
        <v>0</v>
      </c>
      <c r="AO460" s="208">
        <f t="shared" si="198"/>
        <v>0</v>
      </c>
      <c r="AP460" s="208">
        <f t="shared" si="198"/>
        <v>0</v>
      </c>
    </row>
    <row r="461" spans="1:42">
      <c r="A461" s="37">
        <f t="shared" si="199"/>
        <v>4</v>
      </c>
      <c r="B461" s="218">
        <f t="shared" si="197"/>
        <v>117794.89374005256</v>
      </c>
      <c r="C461" s="250">
        <f t="shared" si="198"/>
        <v>0</v>
      </c>
      <c r="D461" s="208">
        <f t="shared" si="198"/>
        <v>0</v>
      </c>
      <c r="E461" s="208">
        <f t="shared" si="198"/>
        <v>0</v>
      </c>
      <c r="F461" s="208">
        <f t="shared" si="198"/>
        <v>0</v>
      </c>
      <c r="G461" s="208">
        <f t="shared" si="198"/>
        <v>0</v>
      </c>
      <c r="H461" s="208">
        <f t="shared" si="198"/>
        <v>0</v>
      </c>
      <c r="I461" s="208">
        <f t="shared" si="198"/>
        <v>0</v>
      </c>
      <c r="J461" s="208">
        <f t="shared" si="198"/>
        <v>0</v>
      </c>
      <c r="K461" s="208">
        <f t="shared" si="198"/>
        <v>0</v>
      </c>
      <c r="L461" s="208">
        <f t="shared" si="198"/>
        <v>0</v>
      </c>
      <c r="M461" s="208">
        <f t="shared" si="198"/>
        <v>0</v>
      </c>
      <c r="N461" s="208">
        <f t="shared" si="198"/>
        <v>23558.978748010515</v>
      </c>
      <c r="O461" s="208">
        <f t="shared" si="198"/>
        <v>37694.365996816821</v>
      </c>
      <c r="P461" s="208">
        <f t="shared" si="198"/>
        <v>22616.619598090092</v>
      </c>
      <c r="Q461" s="208">
        <f t="shared" si="198"/>
        <v>13569.971758854055</v>
      </c>
      <c r="R461" s="208">
        <f t="shared" si="198"/>
        <v>13569.971758854055</v>
      </c>
      <c r="S461" s="208">
        <f t="shared" si="198"/>
        <v>6784.9858794270276</v>
      </c>
      <c r="T461" s="208">
        <f t="shared" si="198"/>
        <v>0</v>
      </c>
      <c r="U461" s="208">
        <f t="shared" si="198"/>
        <v>0</v>
      </c>
      <c r="V461" s="208">
        <f t="shared" si="198"/>
        <v>0</v>
      </c>
      <c r="W461" s="208">
        <f t="shared" si="198"/>
        <v>0</v>
      </c>
      <c r="X461" s="208">
        <f t="shared" si="198"/>
        <v>0</v>
      </c>
      <c r="Y461" s="208">
        <f t="shared" si="198"/>
        <v>0</v>
      </c>
      <c r="Z461" s="208">
        <f t="shared" si="198"/>
        <v>0</v>
      </c>
      <c r="AA461" s="208">
        <f t="shared" si="198"/>
        <v>0</v>
      </c>
      <c r="AB461" s="208">
        <f t="shared" si="198"/>
        <v>0</v>
      </c>
      <c r="AC461" s="208">
        <f t="shared" si="198"/>
        <v>0</v>
      </c>
      <c r="AD461" s="208">
        <f t="shared" si="198"/>
        <v>0</v>
      </c>
      <c r="AE461" s="208">
        <f t="shared" si="198"/>
        <v>0</v>
      </c>
      <c r="AF461" s="208">
        <f t="shared" si="198"/>
        <v>0</v>
      </c>
      <c r="AG461" s="208">
        <f t="shared" si="198"/>
        <v>0</v>
      </c>
      <c r="AH461" s="208">
        <f t="shared" si="198"/>
        <v>0</v>
      </c>
      <c r="AI461" s="208">
        <f t="shared" si="198"/>
        <v>0</v>
      </c>
      <c r="AJ461" s="208">
        <f t="shared" si="198"/>
        <v>0</v>
      </c>
      <c r="AK461" s="208">
        <f t="shared" si="198"/>
        <v>0</v>
      </c>
      <c r="AL461" s="208">
        <f t="shared" si="198"/>
        <v>0</v>
      </c>
      <c r="AM461" s="208">
        <f t="shared" si="198"/>
        <v>0</v>
      </c>
      <c r="AN461" s="208">
        <f t="shared" si="198"/>
        <v>0</v>
      </c>
      <c r="AO461" s="208">
        <f t="shared" si="198"/>
        <v>0</v>
      </c>
      <c r="AP461" s="208">
        <f t="shared" si="198"/>
        <v>0</v>
      </c>
    </row>
    <row r="462" spans="1:42">
      <c r="A462" s="37">
        <f t="shared" si="199"/>
        <v>5</v>
      </c>
      <c r="B462" s="218">
        <f t="shared" si="197"/>
        <v>123175.57306939577</v>
      </c>
      <c r="C462" s="250">
        <f t="shared" si="198"/>
        <v>0</v>
      </c>
      <c r="D462" s="208">
        <f t="shared" si="198"/>
        <v>0</v>
      </c>
      <c r="E462" s="208">
        <f t="shared" si="198"/>
        <v>0</v>
      </c>
      <c r="F462" s="208">
        <f t="shared" si="198"/>
        <v>0</v>
      </c>
      <c r="G462" s="208">
        <f t="shared" si="198"/>
        <v>0</v>
      </c>
      <c r="H462" s="208">
        <f t="shared" si="198"/>
        <v>0</v>
      </c>
      <c r="I462" s="208">
        <f t="shared" si="198"/>
        <v>0</v>
      </c>
      <c r="J462" s="208">
        <f t="shared" si="198"/>
        <v>0</v>
      </c>
      <c r="K462" s="208">
        <f t="shared" si="198"/>
        <v>0</v>
      </c>
      <c r="L462" s="208">
        <f t="shared" si="198"/>
        <v>0</v>
      </c>
      <c r="M462" s="208">
        <f t="shared" si="198"/>
        <v>0</v>
      </c>
      <c r="N462" s="208">
        <f t="shared" si="198"/>
        <v>0</v>
      </c>
      <c r="O462" s="208">
        <f t="shared" si="198"/>
        <v>0</v>
      </c>
      <c r="P462" s="208">
        <f t="shared" si="198"/>
        <v>0</v>
      </c>
      <c r="Q462" s="208">
        <f t="shared" si="198"/>
        <v>24635.114613879156</v>
      </c>
      <c r="R462" s="208">
        <f t="shared" si="198"/>
        <v>39416.183382206647</v>
      </c>
      <c r="S462" s="208">
        <f t="shared" si="198"/>
        <v>23649.710029323989</v>
      </c>
      <c r="T462" s="208">
        <f t="shared" si="198"/>
        <v>14189.826017594392</v>
      </c>
      <c r="U462" s="208">
        <f t="shared" si="198"/>
        <v>14189.826017594392</v>
      </c>
      <c r="V462" s="208">
        <f t="shared" si="198"/>
        <v>7094.9130087971962</v>
      </c>
      <c r="W462" s="208">
        <f t="shared" si="198"/>
        <v>0</v>
      </c>
      <c r="X462" s="208">
        <f t="shared" si="198"/>
        <v>0</v>
      </c>
      <c r="Y462" s="208">
        <f t="shared" si="198"/>
        <v>0</v>
      </c>
      <c r="Z462" s="208">
        <f t="shared" si="198"/>
        <v>0</v>
      </c>
      <c r="AA462" s="208">
        <f t="shared" si="198"/>
        <v>0</v>
      </c>
      <c r="AB462" s="208">
        <f t="shared" si="198"/>
        <v>0</v>
      </c>
      <c r="AC462" s="208">
        <f t="shared" si="198"/>
        <v>0</v>
      </c>
      <c r="AD462" s="208">
        <f t="shared" si="198"/>
        <v>0</v>
      </c>
      <c r="AE462" s="208">
        <f t="shared" si="198"/>
        <v>0</v>
      </c>
      <c r="AF462" s="208">
        <f t="shared" si="198"/>
        <v>0</v>
      </c>
      <c r="AG462" s="208">
        <f t="shared" si="198"/>
        <v>0</v>
      </c>
      <c r="AH462" s="208">
        <f t="shared" si="198"/>
        <v>0</v>
      </c>
      <c r="AI462" s="208">
        <f t="shared" si="198"/>
        <v>0</v>
      </c>
      <c r="AJ462" s="208">
        <f t="shared" si="198"/>
        <v>0</v>
      </c>
      <c r="AK462" s="208">
        <f t="shared" si="198"/>
        <v>0</v>
      </c>
      <c r="AL462" s="208">
        <f t="shared" si="198"/>
        <v>0</v>
      </c>
      <c r="AM462" s="208">
        <f t="shared" si="198"/>
        <v>0</v>
      </c>
      <c r="AN462" s="208">
        <f t="shared" si="198"/>
        <v>0</v>
      </c>
      <c r="AO462" s="208">
        <f t="shared" si="198"/>
        <v>0</v>
      </c>
      <c r="AP462" s="208">
        <f t="shared" si="198"/>
        <v>0</v>
      </c>
    </row>
    <row r="463" spans="1:42">
      <c r="A463" s="37">
        <f t="shared" si="199"/>
        <v>6</v>
      </c>
      <c r="B463" s="218">
        <f t="shared" si="197"/>
        <v>128802.03308689946</v>
      </c>
      <c r="C463" s="250">
        <f t="shared" si="198"/>
        <v>0</v>
      </c>
      <c r="D463" s="208">
        <f t="shared" si="198"/>
        <v>0</v>
      </c>
      <c r="E463" s="208">
        <f t="shared" si="198"/>
        <v>0</v>
      </c>
      <c r="F463" s="208">
        <f t="shared" si="198"/>
        <v>0</v>
      </c>
      <c r="G463" s="208">
        <f t="shared" si="198"/>
        <v>0</v>
      </c>
      <c r="H463" s="208">
        <f t="shared" si="198"/>
        <v>0</v>
      </c>
      <c r="I463" s="208">
        <f t="shared" si="198"/>
        <v>0</v>
      </c>
      <c r="J463" s="208">
        <f t="shared" si="198"/>
        <v>0</v>
      </c>
      <c r="K463" s="208">
        <f t="shared" si="198"/>
        <v>0</v>
      </c>
      <c r="L463" s="208">
        <f t="shared" si="198"/>
        <v>0</v>
      </c>
      <c r="M463" s="208">
        <f t="shared" si="198"/>
        <v>0</v>
      </c>
      <c r="N463" s="208">
        <f t="shared" si="198"/>
        <v>0</v>
      </c>
      <c r="O463" s="208">
        <f t="shared" si="198"/>
        <v>0</v>
      </c>
      <c r="P463" s="208">
        <f t="shared" si="198"/>
        <v>0</v>
      </c>
      <c r="Q463" s="208">
        <f t="shared" si="198"/>
        <v>0</v>
      </c>
      <c r="R463" s="208">
        <f t="shared" si="198"/>
        <v>0</v>
      </c>
      <c r="S463" s="208">
        <f t="shared" si="198"/>
        <v>0</v>
      </c>
      <c r="T463" s="208">
        <f t="shared" si="198"/>
        <v>25760.406617379896</v>
      </c>
      <c r="U463" s="208">
        <f t="shared" si="198"/>
        <v>41216.650587807831</v>
      </c>
      <c r="V463" s="208">
        <f t="shared" si="198"/>
        <v>24729.990352684701</v>
      </c>
      <c r="W463" s="208">
        <f t="shared" si="198"/>
        <v>14837.99421161082</v>
      </c>
      <c r="X463" s="208">
        <f t="shared" si="198"/>
        <v>14837.99421161082</v>
      </c>
      <c r="Y463" s="208">
        <f t="shared" si="198"/>
        <v>7418.9971058054098</v>
      </c>
      <c r="Z463" s="208">
        <f t="shared" si="198"/>
        <v>0</v>
      </c>
      <c r="AA463" s="208">
        <f t="shared" si="198"/>
        <v>0</v>
      </c>
      <c r="AB463" s="208">
        <f t="shared" si="198"/>
        <v>0</v>
      </c>
      <c r="AC463" s="208">
        <f t="shared" si="198"/>
        <v>0</v>
      </c>
      <c r="AD463" s="208">
        <f t="shared" si="198"/>
        <v>0</v>
      </c>
      <c r="AE463" s="208">
        <f t="shared" si="198"/>
        <v>0</v>
      </c>
      <c r="AF463" s="208">
        <f t="shared" si="198"/>
        <v>0</v>
      </c>
      <c r="AG463" s="208">
        <f t="shared" si="198"/>
        <v>0</v>
      </c>
      <c r="AH463" s="208">
        <f t="shared" si="198"/>
        <v>0</v>
      </c>
      <c r="AI463" s="208">
        <f t="shared" si="198"/>
        <v>0</v>
      </c>
      <c r="AJ463" s="208">
        <f t="shared" si="198"/>
        <v>0</v>
      </c>
      <c r="AK463" s="208">
        <f t="shared" si="198"/>
        <v>0</v>
      </c>
      <c r="AL463" s="208">
        <f t="shared" si="198"/>
        <v>0</v>
      </c>
      <c r="AM463" s="208">
        <f t="shared" si="198"/>
        <v>0</v>
      </c>
      <c r="AN463" s="208">
        <f t="shared" si="198"/>
        <v>0</v>
      </c>
      <c r="AO463" s="208">
        <f t="shared" si="198"/>
        <v>0</v>
      </c>
      <c r="AP463" s="208">
        <f t="shared" si="198"/>
        <v>0</v>
      </c>
    </row>
    <row r="464" spans="1:42">
      <c r="A464" s="37">
        <f t="shared" si="199"/>
        <v>7</v>
      </c>
      <c r="B464" s="218">
        <f t="shared" si="197"/>
        <v>134685.50065500522</v>
      </c>
      <c r="C464" s="250">
        <f t="shared" si="198"/>
        <v>0</v>
      </c>
      <c r="D464" s="208">
        <f t="shared" si="198"/>
        <v>0</v>
      </c>
      <c r="E464" s="208">
        <f t="shared" si="198"/>
        <v>0</v>
      </c>
      <c r="F464" s="208">
        <f t="shared" si="198"/>
        <v>0</v>
      </c>
      <c r="G464" s="208">
        <f t="shared" si="198"/>
        <v>0</v>
      </c>
      <c r="H464" s="208">
        <f t="shared" si="198"/>
        <v>0</v>
      </c>
      <c r="I464" s="208">
        <f t="shared" si="198"/>
        <v>0</v>
      </c>
      <c r="J464" s="208">
        <f t="shared" si="198"/>
        <v>0</v>
      </c>
      <c r="K464" s="208">
        <f t="shared" si="198"/>
        <v>0</v>
      </c>
      <c r="L464" s="208">
        <f t="shared" si="198"/>
        <v>0</v>
      </c>
      <c r="M464" s="208">
        <f t="shared" si="198"/>
        <v>0</v>
      </c>
      <c r="N464" s="208">
        <f t="shared" si="198"/>
        <v>0</v>
      </c>
      <c r="O464" s="208">
        <f t="shared" si="198"/>
        <v>0</v>
      </c>
      <c r="P464" s="208">
        <f t="shared" si="198"/>
        <v>0</v>
      </c>
      <c r="Q464" s="208">
        <f t="shared" si="198"/>
        <v>0</v>
      </c>
      <c r="R464" s="208">
        <f t="shared" ref="R464:AP464" si="200">LOOKUP(R452,$B$389:$AP$389,$B$390:$AP$390)*$B711</f>
        <v>0</v>
      </c>
      <c r="S464" s="208">
        <f t="shared" si="200"/>
        <v>0</v>
      </c>
      <c r="T464" s="208">
        <f t="shared" si="200"/>
        <v>0</v>
      </c>
      <c r="U464" s="208">
        <f t="shared" si="200"/>
        <v>0</v>
      </c>
      <c r="V464" s="208">
        <f t="shared" si="200"/>
        <v>0</v>
      </c>
      <c r="W464" s="208">
        <f t="shared" si="200"/>
        <v>26937.100131001047</v>
      </c>
      <c r="X464" s="208">
        <f t="shared" si="200"/>
        <v>43099.360209601669</v>
      </c>
      <c r="Y464" s="208">
        <f t="shared" si="200"/>
        <v>25859.616125761004</v>
      </c>
      <c r="Z464" s="208">
        <f t="shared" si="200"/>
        <v>15515.7696754566</v>
      </c>
      <c r="AA464" s="208">
        <f t="shared" si="200"/>
        <v>15515.7696754566</v>
      </c>
      <c r="AB464" s="208">
        <f t="shared" si="200"/>
        <v>7757.8848377283002</v>
      </c>
      <c r="AC464" s="208">
        <f t="shared" si="200"/>
        <v>0</v>
      </c>
      <c r="AD464" s="208">
        <f t="shared" si="200"/>
        <v>0</v>
      </c>
      <c r="AE464" s="208">
        <f t="shared" si="200"/>
        <v>0</v>
      </c>
      <c r="AF464" s="208">
        <f t="shared" si="200"/>
        <v>0</v>
      </c>
      <c r="AG464" s="208">
        <f t="shared" si="200"/>
        <v>0</v>
      </c>
      <c r="AH464" s="208">
        <f t="shared" si="200"/>
        <v>0</v>
      </c>
      <c r="AI464" s="208">
        <f t="shared" si="200"/>
        <v>0</v>
      </c>
      <c r="AJ464" s="208">
        <f t="shared" si="200"/>
        <v>0</v>
      </c>
      <c r="AK464" s="208">
        <f t="shared" si="200"/>
        <v>0</v>
      </c>
      <c r="AL464" s="208">
        <f t="shared" si="200"/>
        <v>0</v>
      </c>
      <c r="AM464" s="208">
        <f t="shared" si="200"/>
        <v>0</v>
      </c>
      <c r="AN464" s="208">
        <f t="shared" si="200"/>
        <v>0</v>
      </c>
      <c r="AO464" s="208">
        <f t="shared" si="200"/>
        <v>0</v>
      </c>
      <c r="AP464" s="208">
        <f t="shared" si="200"/>
        <v>0</v>
      </c>
    </row>
    <row r="465" spans="1:45">
      <c r="A465" s="37">
        <f t="shared" si="199"/>
        <v>8</v>
      </c>
      <c r="B465" s="218">
        <f t="shared" si="197"/>
        <v>140837.71546098724</v>
      </c>
      <c r="C465" s="250">
        <f t="shared" ref="C465:AP467" si="201">LOOKUP(C453,$B$389:$AP$389,$B$390:$AP$390)*$B712</f>
        <v>0</v>
      </c>
      <c r="D465" s="208">
        <f t="shared" si="201"/>
        <v>0</v>
      </c>
      <c r="E465" s="208">
        <f t="shared" si="201"/>
        <v>0</v>
      </c>
      <c r="F465" s="208">
        <f t="shared" si="201"/>
        <v>0</v>
      </c>
      <c r="G465" s="208">
        <f t="shared" si="201"/>
        <v>0</v>
      </c>
      <c r="H465" s="208">
        <f t="shared" si="201"/>
        <v>0</v>
      </c>
      <c r="I465" s="208">
        <f t="shared" si="201"/>
        <v>0</v>
      </c>
      <c r="J465" s="208">
        <f t="shared" si="201"/>
        <v>0</v>
      </c>
      <c r="K465" s="208">
        <f t="shared" si="201"/>
        <v>0</v>
      </c>
      <c r="L465" s="208">
        <f t="shared" si="201"/>
        <v>0</v>
      </c>
      <c r="M465" s="208">
        <f t="shared" si="201"/>
        <v>0</v>
      </c>
      <c r="N465" s="208">
        <f t="shared" si="201"/>
        <v>0</v>
      </c>
      <c r="O465" s="208">
        <f t="shared" si="201"/>
        <v>0</v>
      </c>
      <c r="P465" s="208">
        <f t="shared" si="201"/>
        <v>0</v>
      </c>
      <c r="Q465" s="208">
        <f t="shared" si="201"/>
        <v>0</v>
      </c>
      <c r="R465" s="208">
        <f t="shared" si="201"/>
        <v>0</v>
      </c>
      <c r="S465" s="208">
        <f t="shared" si="201"/>
        <v>0</v>
      </c>
      <c r="T465" s="208">
        <f t="shared" si="201"/>
        <v>0</v>
      </c>
      <c r="U465" s="208">
        <f t="shared" si="201"/>
        <v>0</v>
      </c>
      <c r="V465" s="208">
        <f t="shared" si="201"/>
        <v>0</v>
      </c>
      <c r="W465" s="208">
        <f t="shared" si="201"/>
        <v>0</v>
      </c>
      <c r="X465" s="208">
        <f t="shared" si="201"/>
        <v>0</v>
      </c>
      <c r="Y465" s="208">
        <f t="shared" si="201"/>
        <v>0</v>
      </c>
      <c r="Z465" s="208">
        <f t="shared" si="201"/>
        <v>28167.543092197448</v>
      </c>
      <c r="AA465" s="208">
        <f t="shared" si="201"/>
        <v>45068.068947515916</v>
      </c>
      <c r="AB465" s="208">
        <f t="shared" si="201"/>
        <v>27040.841368509551</v>
      </c>
      <c r="AC465" s="208">
        <f t="shared" si="201"/>
        <v>16224.504821105729</v>
      </c>
      <c r="AD465" s="208">
        <f t="shared" si="201"/>
        <v>16224.504821105729</v>
      </c>
      <c r="AE465" s="208">
        <f t="shared" si="201"/>
        <v>8112.2524105528646</v>
      </c>
      <c r="AF465" s="208">
        <f t="shared" si="201"/>
        <v>0</v>
      </c>
      <c r="AG465" s="208">
        <f t="shared" si="201"/>
        <v>0</v>
      </c>
      <c r="AH465" s="208">
        <f t="shared" si="201"/>
        <v>0</v>
      </c>
      <c r="AI465" s="208">
        <f t="shared" si="201"/>
        <v>0</v>
      </c>
      <c r="AJ465" s="208">
        <f t="shared" si="201"/>
        <v>0</v>
      </c>
      <c r="AK465" s="208">
        <f t="shared" si="201"/>
        <v>0</v>
      </c>
      <c r="AL465" s="208">
        <f t="shared" si="201"/>
        <v>0</v>
      </c>
      <c r="AM465" s="208">
        <f t="shared" si="201"/>
        <v>0</v>
      </c>
      <c r="AN465" s="208">
        <f t="shared" si="201"/>
        <v>0</v>
      </c>
      <c r="AO465" s="208">
        <f t="shared" si="201"/>
        <v>0</v>
      </c>
      <c r="AP465" s="208">
        <f t="shared" si="201"/>
        <v>0</v>
      </c>
    </row>
    <row r="466" spans="1:45">
      <c r="A466" s="37">
        <f>A465+1</f>
        <v>9</v>
      </c>
      <c r="B466" s="218">
        <f t="shared" si="197"/>
        <v>121822.53268718722</v>
      </c>
      <c r="C466" s="250">
        <f t="shared" si="201"/>
        <v>0</v>
      </c>
      <c r="D466" s="208">
        <f t="shared" si="201"/>
        <v>0</v>
      </c>
      <c r="E466" s="208">
        <f t="shared" si="201"/>
        <v>0</v>
      </c>
      <c r="F466" s="208">
        <f t="shared" si="201"/>
        <v>0</v>
      </c>
      <c r="G466" s="208">
        <f t="shared" si="201"/>
        <v>0</v>
      </c>
      <c r="H466" s="208">
        <f t="shared" si="201"/>
        <v>0</v>
      </c>
      <c r="I466" s="208">
        <f t="shared" si="201"/>
        <v>0</v>
      </c>
      <c r="J466" s="208">
        <f t="shared" si="201"/>
        <v>0</v>
      </c>
      <c r="K466" s="208">
        <f t="shared" si="201"/>
        <v>0</v>
      </c>
      <c r="L466" s="208">
        <f t="shared" si="201"/>
        <v>0</v>
      </c>
      <c r="M466" s="208">
        <f t="shared" si="201"/>
        <v>0</v>
      </c>
      <c r="N466" s="208">
        <f t="shared" si="201"/>
        <v>0</v>
      </c>
      <c r="O466" s="208">
        <f t="shared" si="201"/>
        <v>0</v>
      </c>
      <c r="P466" s="208">
        <f t="shared" si="201"/>
        <v>0</v>
      </c>
      <c r="Q466" s="208">
        <f t="shared" si="201"/>
        <v>0</v>
      </c>
      <c r="R466" s="208">
        <f t="shared" si="201"/>
        <v>0</v>
      </c>
      <c r="S466" s="208">
        <f t="shared" si="201"/>
        <v>0</v>
      </c>
      <c r="T466" s="208">
        <f t="shared" si="201"/>
        <v>0</v>
      </c>
      <c r="U466" s="208">
        <f t="shared" si="201"/>
        <v>0</v>
      </c>
      <c r="V466" s="208">
        <f t="shared" si="201"/>
        <v>0</v>
      </c>
      <c r="W466" s="208">
        <f t="shared" si="201"/>
        <v>0</v>
      </c>
      <c r="X466" s="208">
        <f t="shared" si="201"/>
        <v>0</v>
      </c>
      <c r="Y466" s="208">
        <f t="shared" si="201"/>
        <v>0</v>
      </c>
      <c r="Z466" s="208">
        <f t="shared" si="201"/>
        <v>0</v>
      </c>
      <c r="AA466" s="208">
        <f t="shared" si="201"/>
        <v>0</v>
      </c>
      <c r="AB466" s="208">
        <f t="shared" si="201"/>
        <v>0</v>
      </c>
      <c r="AC466" s="208">
        <f t="shared" si="201"/>
        <v>29454.190688391496</v>
      </c>
      <c r="AD466" s="208">
        <f t="shared" si="201"/>
        <v>47126.705101426393</v>
      </c>
      <c r="AE466" s="208">
        <f t="shared" si="201"/>
        <v>28276.023060855838</v>
      </c>
      <c r="AF466" s="208">
        <f t="shared" si="201"/>
        <v>16965.613836513501</v>
      </c>
      <c r="AG466" s="208">
        <f t="shared" si="201"/>
        <v>0</v>
      </c>
      <c r="AH466" s="208">
        <f t="shared" si="201"/>
        <v>0</v>
      </c>
      <c r="AI466" s="208">
        <f t="shared" si="201"/>
        <v>0</v>
      </c>
      <c r="AJ466" s="208">
        <f t="shared" si="201"/>
        <v>0</v>
      </c>
      <c r="AK466" s="208">
        <f t="shared" si="201"/>
        <v>0</v>
      </c>
      <c r="AL466" s="208">
        <f t="shared" si="201"/>
        <v>0</v>
      </c>
      <c r="AM466" s="208">
        <f t="shared" si="201"/>
        <v>0</v>
      </c>
      <c r="AN466" s="208">
        <f t="shared" si="201"/>
        <v>0</v>
      </c>
      <c r="AO466" s="208">
        <f t="shared" si="201"/>
        <v>0</v>
      </c>
      <c r="AP466" s="208">
        <f t="shared" si="201"/>
        <v>0</v>
      </c>
    </row>
    <row r="467" spans="1:45">
      <c r="A467" s="37">
        <f t="shared" ref="A467" si="202">A466+1</f>
        <v>10</v>
      </c>
      <c r="B467" s="218">
        <f t="shared" si="197"/>
        <v>30799.610255977339</v>
      </c>
      <c r="C467" s="246">
        <f t="shared" si="201"/>
        <v>0</v>
      </c>
      <c r="D467" s="209">
        <f t="shared" si="201"/>
        <v>0</v>
      </c>
      <c r="E467" s="209">
        <f t="shared" si="201"/>
        <v>0</v>
      </c>
      <c r="F467" s="209">
        <f t="shared" si="201"/>
        <v>0</v>
      </c>
      <c r="G467" s="209">
        <f t="shared" si="201"/>
        <v>0</v>
      </c>
      <c r="H467" s="209">
        <f t="shared" si="201"/>
        <v>0</v>
      </c>
      <c r="I467" s="209">
        <f t="shared" si="201"/>
        <v>0</v>
      </c>
      <c r="J467" s="209">
        <f t="shared" si="201"/>
        <v>0</v>
      </c>
      <c r="K467" s="209">
        <f t="shared" si="201"/>
        <v>0</v>
      </c>
      <c r="L467" s="209">
        <f t="shared" si="201"/>
        <v>0</v>
      </c>
      <c r="M467" s="209">
        <f t="shared" si="201"/>
        <v>0</v>
      </c>
      <c r="N467" s="209">
        <f t="shared" si="201"/>
        <v>0</v>
      </c>
      <c r="O467" s="209">
        <f t="shared" si="201"/>
        <v>0</v>
      </c>
      <c r="P467" s="209">
        <f t="shared" si="201"/>
        <v>0</v>
      </c>
      <c r="Q467" s="209">
        <f t="shared" si="201"/>
        <v>0</v>
      </c>
      <c r="R467" s="209">
        <f t="shared" si="201"/>
        <v>0</v>
      </c>
      <c r="S467" s="209">
        <f t="shared" si="201"/>
        <v>0</v>
      </c>
      <c r="T467" s="209">
        <f t="shared" si="201"/>
        <v>0</v>
      </c>
      <c r="U467" s="209">
        <f t="shared" si="201"/>
        <v>0</v>
      </c>
      <c r="V467" s="209">
        <f t="shared" si="201"/>
        <v>0</v>
      </c>
      <c r="W467" s="209">
        <f t="shared" si="201"/>
        <v>0</v>
      </c>
      <c r="X467" s="209">
        <f t="shared" si="201"/>
        <v>0</v>
      </c>
      <c r="Y467" s="209">
        <f t="shared" si="201"/>
        <v>0</v>
      </c>
      <c r="Z467" s="209">
        <f t="shared" si="201"/>
        <v>0</v>
      </c>
      <c r="AA467" s="209">
        <f t="shared" si="201"/>
        <v>0</v>
      </c>
      <c r="AB467" s="209">
        <f t="shared" si="201"/>
        <v>0</v>
      </c>
      <c r="AC467" s="209">
        <f t="shared" si="201"/>
        <v>0</v>
      </c>
      <c r="AD467" s="209">
        <f t="shared" si="201"/>
        <v>0</v>
      </c>
      <c r="AE467" s="209">
        <f t="shared" si="201"/>
        <v>0</v>
      </c>
      <c r="AF467" s="209">
        <f t="shared" si="201"/>
        <v>30799.610255977339</v>
      </c>
      <c r="AG467" s="209">
        <f t="shared" si="201"/>
        <v>0</v>
      </c>
      <c r="AH467" s="209">
        <f t="shared" si="201"/>
        <v>0</v>
      </c>
      <c r="AI467" s="209">
        <f t="shared" si="201"/>
        <v>0</v>
      </c>
      <c r="AJ467" s="209">
        <f t="shared" si="201"/>
        <v>0</v>
      </c>
      <c r="AK467" s="209">
        <f t="shared" si="201"/>
        <v>0</v>
      </c>
      <c r="AL467" s="209">
        <f t="shared" si="201"/>
        <v>0</v>
      </c>
      <c r="AM467" s="209">
        <f t="shared" si="201"/>
        <v>0</v>
      </c>
      <c r="AN467" s="209">
        <f t="shared" si="201"/>
        <v>0</v>
      </c>
      <c r="AO467" s="209">
        <f t="shared" si="201"/>
        <v>0</v>
      </c>
      <c r="AP467" s="209">
        <f t="shared" si="201"/>
        <v>0</v>
      </c>
    </row>
    <row r="468" spans="1:45" s="119" customFormat="1">
      <c r="A468" s="247" t="s">
        <v>53</v>
      </c>
      <c r="B468" s="146"/>
      <c r="C468" s="146">
        <f>SUM(C458:C467)</f>
        <v>0</v>
      </c>
      <c r="D468" s="146">
        <f t="shared" ref="D468:AP468" si="203">SUM(D458:D467)</f>
        <v>0</v>
      </c>
      <c r="E468" s="146">
        <f t="shared" si="203"/>
        <v>20604.499999999996</v>
      </c>
      <c r="F468" s="146">
        <f t="shared" si="203"/>
        <v>32967.19999999999</v>
      </c>
      <c r="G468" s="146">
        <f t="shared" si="203"/>
        <v>19780.319999999996</v>
      </c>
      <c r="H468" s="146">
        <f t="shared" si="203"/>
        <v>33413.872077687483</v>
      </c>
      <c r="I468" s="146">
        <f t="shared" si="203"/>
        <v>46341.28012429997</v>
      </c>
      <c r="J468" s="146">
        <f t="shared" si="203"/>
        <v>26617.948874579983</v>
      </c>
      <c r="K468" s="146">
        <f t="shared" si="203"/>
        <v>34940.163456654111</v>
      </c>
      <c r="L468" s="146">
        <f t="shared" si="203"/>
        <v>48458.074495797773</v>
      </c>
      <c r="M468" s="146">
        <f t="shared" si="203"/>
        <v>27833.813525003865</v>
      </c>
      <c r="N468" s="146">
        <f t="shared" si="203"/>
        <v>36536.173345588439</v>
      </c>
      <c r="O468" s="146">
        <f t="shared" si="203"/>
        <v>50671.560594394745</v>
      </c>
      <c r="P468" s="146">
        <f t="shared" si="203"/>
        <v>29105.216896879054</v>
      </c>
      <c r="Q468" s="146">
        <f t="shared" si="203"/>
        <v>38205.086372733211</v>
      </c>
      <c r="R468" s="146">
        <f t="shared" si="203"/>
        <v>52986.155141060706</v>
      </c>
      <c r="S468" s="146">
        <f t="shared" si="203"/>
        <v>30434.695908751019</v>
      </c>
      <c r="T468" s="146">
        <f t="shared" si="203"/>
        <v>39950.232634974287</v>
      </c>
      <c r="U468" s="146">
        <f t="shared" si="203"/>
        <v>55406.476605402226</v>
      </c>
      <c r="V468" s="146">
        <f t="shared" si="203"/>
        <v>31824.903361481898</v>
      </c>
      <c r="W468" s="146">
        <f t="shared" si="203"/>
        <v>41775.094342611868</v>
      </c>
      <c r="X468" s="146">
        <f t="shared" si="203"/>
        <v>57937.354421212491</v>
      </c>
      <c r="Y468" s="146">
        <f t="shared" si="203"/>
        <v>33278.613231566414</v>
      </c>
      <c r="Z468" s="146">
        <f t="shared" si="203"/>
        <v>43683.312767654046</v>
      </c>
      <c r="AA468" s="146">
        <f t="shared" si="203"/>
        <v>60583.838622972515</v>
      </c>
      <c r="AB468" s="146">
        <f t="shared" si="203"/>
        <v>34798.72620623785</v>
      </c>
      <c r="AC468" s="146">
        <f t="shared" si="203"/>
        <v>45678.695509497222</v>
      </c>
      <c r="AD468" s="146">
        <f t="shared" si="203"/>
        <v>63351.209922532122</v>
      </c>
      <c r="AE468" s="146">
        <f t="shared" si="203"/>
        <v>36388.275471408706</v>
      </c>
      <c r="AF468" s="146">
        <f t="shared" si="203"/>
        <v>47765.22409249084</v>
      </c>
      <c r="AG468" s="146">
        <f t="shared" si="203"/>
        <v>0</v>
      </c>
      <c r="AH468" s="146">
        <f t="shared" si="203"/>
        <v>0</v>
      </c>
      <c r="AI468" s="146">
        <f t="shared" si="203"/>
        <v>0</v>
      </c>
      <c r="AJ468" s="146">
        <f t="shared" si="203"/>
        <v>0</v>
      </c>
      <c r="AK468" s="146">
        <f t="shared" si="203"/>
        <v>0</v>
      </c>
      <c r="AL468" s="146">
        <f t="shared" si="203"/>
        <v>0</v>
      </c>
      <c r="AM468" s="146">
        <f t="shared" si="203"/>
        <v>0</v>
      </c>
      <c r="AN468" s="146">
        <f t="shared" si="203"/>
        <v>0</v>
      </c>
      <c r="AO468" s="146">
        <f t="shared" si="203"/>
        <v>0</v>
      </c>
      <c r="AP468" s="146">
        <f t="shared" si="203"/>
        <v>0</v>
      </c>
    </row>
    <row r="469" spans="1:45" s="119" customFormat="1">
      <c r="A469" s="247"/>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46"/>
      <c r="AK469" s="146"/>
      <c r="AL469" s="146"/>
      <c r="AM469" s="146"/>
      <c r="AN469" s="146"/>
      <c r="AO469" s="146"/>
      <c r="AP469" s="146"/>
    </row>
    <row r="470" spans="1:45" s="119" customFormat="1">
      <c r="A470" s="201" t="s">
        <v>33</v>
      </c>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46"/>
      <c r="AK470" s="146"/>
      <c r="AL470" s="146"/>
      <c r="AM470" s="146"/>
      <c r="AN470" s="146"/>
      <c r="AO470" s="146"/>
      <c r="AP470" s="146"/>
    </row>
    <row r="471" spans="1:45" s="119" customFormat="1">
      <c r="A471" s="251" t="s">
        <v>177</v>
      </c>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46"/>
      <c r="AK471" s="146"/>
      <c r="AL471" s="146"/>
      <c r="AM471" s="146"/>
      <c r="AN471" s="146"/>
      <c r="AO471" s="146"/>
      <c r="AP471" s="146"/>
    </row>
    <row r="472" spans="1:45" s="119" customFormat="1">
      <c r="A472" s="37" t="s">
        <v>83</v>
      </c>
      <c r="B472" s="252" t="s">
        <v>173</v>
      </c>
      <c r="C472" s="253"/>
      <c r="D472" s="253"/>
      <c r="E472" s="253"/>
      <c r="F472" s="253"/>
      <c r="G472" s="253"/>
      <c r="H472" s="253"/>
      <c r="I472" s="254"/>
      <c r="J472" s="255" t="s">
        <v>174</v>
      </c>
      <c r="K472" s="25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46"/>
      <c r="AK472" s="146"/>
      <c r="AL472" s="146"/>
      <c r="AM472" s="146"/>
      <c r="AN472" s="146"/>
      <c r="AO472" s="146"/>
      <c r="AP472" s="146"/>
    </row>
    <row r="473" spans="1:45" s="119" customFormat="1" ht="38.25">
      <c r="A473" s="37"/>
      <c r="B473" s="133" t="s">
        <v>164</v>
      </c>
      <c r="C473" s="133" t="s">
        <v>163</v>
      </c>
      <c r="D473" s="133" t="s">
        <v>166</v>
      </c>
      <c r="E473" s="133" t="s">
        <v>155</v>
      </c>
      <c r="F473" s="228" t="s">
        <v>156</v>
      </c>
      <c r="G473" s="228" t="s">
        <v>172</v>
      </c>
      <c r="H473" s="133" t="s">
        <v>165</v>
      </c>
      <c r="I473" s="133" t="s">
        <v>167</v>
      </c>
      <c r="J473" s="257" t="s">
        <v>34</v>
      </c>
      <c r="K473" s="133" t="s">
        <v>167</v>
      </c>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46"/>
      <c r="AK473" s="146"/>
      <c r="AL473" s="146"/>
      <c r="AM473" s="146"/>
      <c r="AN473" s="146"/>
      <c r="AO473" s="146"/>
      <c r="AP473" s="146"/>
      <c r="AQ473" s="146"/>
      <c r="AR473" s="146"/>
      <c r="AS473" s="146"/>
    </row>
    <row r="474" spans="1:45" s="119" customFormat="1">
      <c r="A474" s="206" t="str">
        <f>A338</f>
        <v>5-yr MACRS</v>
      </c>
      <c r="B474" s="250">
        <f>'Inputs &amp; Results'!E221</f>
        <v>38298159.919078313</v>
      </c>
      <c r="C474" s="258">
        <f>IF('Inputs &amp; Results'!B251="Yes",B474,0)</f>
        <v>38298159.919078313</v>
      </c>
      <c r="D474" s="259">
        <f>C474/$C$481</f>
        <v>1</v>
      </c>
      <c r="E474" s="260">
        <f t="shared" ref="E474:E479" si="204">$E$481*D474</f>
        <v>3000</v>
      </c>
      <c r="F474" s="146">
        <f>$F$481*D474</f>
        <v>0</v>
      </c>
      <c r="G474" s="261">
        <f>C474-E474-F474</f>
        <v>38295159.919078313</v>
      </c>
      <c r="H474" s="261">
        <f>$H$481*D474</f>
        <v>0</v>
      </c>
      <c r="I474" s="261">
        <f>H474*0.5</f>
        <v>0</v>
      </c>
      <c r="J474" s="248">
        <f>D474*$J$481</f>
        <v>20000</v>
      </c>
      <c r="K474" s="248">
        <f>J474*0.5</f>
        <v>10000</v>
      </c>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46"/>
      <c r="AK474" s="146"/>
      <c r="AL474" s="146"/>
      <c r="AM474" s="146"/>
      <c r="AN474" s="146"/>
      <c r="AO474" s="146"/>
      <c r="AP474" s="146"/>
      <c r="AQ474" s="146"/>
      <c r="AR474" s="146"/>
      <c r="AS474" s="146"/>
    </row>
    <row r="475" spans="1:45" s="119" customFormat="1">
      <c r="A475" s="206" t="str">
        <f t="shared" ref="A475:A480" si="205">A339</f>
        <v>15-yr MACRS</v>
      </c>
      <c r="B475" s="250">
        <f>'Inputs &amp; Results'!E222</f>
        <v>638302.66531797184</v>
      </c>
      <c r="C475" s="262">
        <f>IF('Inputs &amp; Results'!B252="Yes",B475,0)</f>
        <v>0</v>
      </c>
      <c r="D475" s="263">
        <f t="shared" ref="D475:D479" si="206">C475/$C$481</f>
        <v>0</v>
      </c>
      <c r="E475" s="146">
        <f t="shared" si="204"/>
        <v>0</v>
      </c>
      <c r="F475" s="146">
        <f t="shared" ref="F475:F479" si="207">$F$481*D475</f>
        <v>0</v>
      </c>
      <c r="G475" s="248">
        <f t="shared" ref="G475:G479" si="208">C475-E475-F475</f>
        <v>0</v>
      </c>
      <c r="H475" s="248">
        <f t="shared" ref="H475:H479" si="209">$H$481*D475</f>
        <v>0</v>
      </c>
      <c r="I475" s="248">
        <f t="shared" ref="I475:I479" si="210">H475*0.5</f>
        <v>0</v>
      </c>
      <c r="J475" s="248">
        <f t="shared" ref="J475:J479" si="211">D475*$J$481</f>
        <v>0</v>
      </c>
      <c r="K475" s="248">
        <f t="shared" ref="K475:K479" si="212">J475*0.5</f>
        <v>0</v>
      </c>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46"/>
      <c r="AK475" s="146"/>
      <c r="AL475" s="146"/>
      <c r="AM475" s="146"/>
      <c r="AN475" s="146"/>
      <c r="AO475" s="146"/>
      <c r="AP475" s="146"/>
      <c r="AQ475" s="146"/>
      <c r="AR475" s="146"/>
      <c r="AS475" s="146"/>
    </row>
    <row r="476" spans="1:45" s="119" customFormat="1">
      <c r="A476" s="206" t="str">
        <f t="shared" si="205"/>
        <v>5-yr SL</v>
      </c>
      <c r="B476" s="250">
        <f>'Inputs &amp; Results'!E223</f>
        <v>0</v>
      </c>
      <c r="C476" s="262">
        <f>IF('Inputs &amp; Results'!B253="Yes",B476,0)</f>
        <v>0</v>
      </c>
      <c r="D476" s="263">
        <f t="shared" si="206"/>
        <v>0</v>
      </c>
      <c r="E476" s="146">
        <f t="shared" si="204"/>
        <v>0</v>
      </c>
      <c r="F476" s="146">
        <f t="shared" si="207"/>
        <v>0</v>
      </c>
      <c r="G476" s="248">
        <f t="shared" si="208"/>
        <v>0</v>
      </c>
      <c r="H476" s="248">
        <f t="shared" si="209"/>
        <v>0</v>
      </c>
      <c r="I476" s="248">
        <f t="shared" si="210"/>
        <v>0</v>
      </c>
      <c r="J476" s="248">
        <f t="shared" si="211"/>
        <v>0</v>
      </c>
      <c r="K476" s="248">
        <f t="shared" si="212"/>
        <v>0</v>
      </c>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46"/>
      <c r="AK476" s="146"/>
      <c r="AL476" s="146"/>
      <c r="AM476" s="146"/>
      <c r="AN476" s="146"/>
      <c r="AO476" s="146"/>
      <c r="AP476" s="146"/>
      <c r="AQ476" s="146"/>
      <c r="AR476" s="146"/>
      <c r="AS476" s="146"/>
    </row>
    <row r="477" spans="1:45" s="119" customFormat="1">
      <c r="A477" s="206" t="str">
        <f t="shared" si="205"/>
        <v>15-yr SL</v>
      </c>
      <c r="B477" s="250">
        <f>'Inputs &amp; Results'!E224</f>
        <v>1063837.7755299532</v>
      </c>
      <c r="C477" s="262">
        <f>IF('Inputs &amp; Results'!B254="Yes",B477,0)</f>
        <v>0</v>
      </c>
      <c r="D477" s="263">
        <f t="shared" si="206"/>
        <v>0</v>
      </c>
      <c r="E477" s="146">
        <f t="shared" si="204"/>
        <v>0</v>
      </c>
      <c r="F477" s="146">
        <f t="shared" si="207"/>
        <v>0</v>
      </c>
      <c r="G477" s="248">
        <f t="shared" si="208"/>
        <v>0</v>
      </c>
      <c r="H477" s="248">
        <f t="shared" si="209"/>
        <v>0</v>
      </c>
      <c r="I477" s="248">
        <f t="shared" si="210"/>
        <v>0</v>
      </c>
      <c r="J477" s="248">
        <f t="shared" si="211"/>
        <v>0</v>
      </c>
      <c r="K477" s="248">
        <f t="shared" si="212"/>
        <v>0</v>
      </c>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46"/>
      <c r="AK477" s="146"/>
      <c r="AL477" s="146"/>
      <c r="AM477" s="146"/>
      <c r="AN477" s="146"/>
      <c r="AO477" s="146"/>
      <c r="AP477" s="146"/>
      <c r="AQ477" s="146"/>
      <c r="AR477" s="146"/>
      <c r="AS477" s="146"/>
    </row>
    <row r="478" spans="1:45" s="119" customFormat="1">
      <c r="A478" s="206" t="str">
        <f t="shared" si="205"/>
        <v>20-yr SL</v>
      </c>
      <c r="B478" s="250">
        <f>'Inputs &amp; Results'!E225</f>
        <v>1063837.7755299532</v>
      </c>
      <c r="C478" s="262">
        <f>IF('Inputs &amp; Results'!B255="Yes",B478,0)</f>
        <v>0</v>
      </c>
      <c r="D478" s="263">
        <f t="shared" si="206"/>
        <v>0</v>
      </c>
      <c r="E478" s="146">
        <f t="shared" si="204"/>
        <v>0</v>
      </c>
      <c r="F478" s="146">
        <f t="shared" si="207"/>
        <v>0</v>
      </c>
      <c r="G478" s="248">
        <f t="shared" si="208"/>
        <v>0</v>
      </c>
      <c r="H478" s="248">
        <f t="shared" si="209"/>
        <v>0</v>
      </c>
      <c r="I478" s="248">
        <f t="shared" si="210"/>
        <v>0</v>
      </c>
      <c r="J478" s="248">
        <f t="shared" si="211"/>
        <v>0</v>
      </c>
      <c r="K478" s="248">
        <f t="shared" si="212"/>
        <v>0</v>
      </c>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46"/>
      <c r="AK478" s="146"/>
      <c r="AL478" s="146"/>
      <c r="AM478" s="146"/>
      <c r="AN478" s="146"/>
      <c r="AO478" s="146"/>
      <c r="AP478" s="146"/>
      <c r="AQ478" s="146"/>
      <c r="AR478" s="146"/>
      <c r="AS478" s="146"/>
    </row>
    <row r="479" spans="1:45" s="119" customFormat="1">
      <c r="A479" s="206" t="str">
        <f t="shared" si="205"/>
        <v>39-yr SL</v>
      </c>
      <c r="B479" s="250">
        <f>'Inputs &amp; Results'!E226</f>
        <v>212767.55510599061</v>
      </c>
      <c r="C479" s="262">
        <f>IF('Inputs &amp; Results'!B256="Yes",B479,0)</f>
        <v>0</v>
      </c>
      <c r="D479" s="263">
        <f t="shared" si="206"/>
        <v>0</v>
      </c>
      <c r="E479" s="146">
        <f t="shared" si="204"/>
        <v>0</v>
      </c>
      <c r="F479" s="146">
        <f t="shared" si="207"/>
        <v>0</v>
      </c>
      <c r="G479" s="248">
        <f t="shared" si="208"/>
        <v>0</v>
      </c>
      <c r="H479" s="248">
        <f t="shared" si="209"/>
        <v>0</v>
      </c>
      <c r="I479" s="248">
        <f t="shared" si="210"/>
        <v>0</v>
      </c>
      <c r="J479" s="248">
        <f t="shared" si="211"/>
        <v>0</v>
      </c>
      <c r="K479" s="248">
        <f t="shared" si="212"/>
        <v>0</v>
      </c>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46"/>
      <c r="AK479" s="146"/>
      <c r="AL479" s="146"/>
      <c r="AM479" s="146"/>
      <c r="AN479" s="146"/>
      <c r="AO479" s="146"/>
      <c r="AP479" s="146"/>
      <c r="AQ479" s="146"/>
      <c r="AR479" s="146"/>
      <c r="AS479" s="146"/>
    </row>
    <row r="480" spans="1:45" s="119" customFormat="1">
      <c r="A480" s="206" t="str">
        <f t="shared" si="205"/>
        <v xml:space="preserve">Non-Depreciable </v>
      </c>
      <c r="B480" s="237">
        <f>'Inputs &amp; Results'!E227</f>
        <v>1276605.3306359402</v>
      </c>
      <c r="C480" s="233"/>
      <c r="D480" s="264"/>
      <c r="E480" s="264"/>
      <c r="F480" s="264"/>
      <c r="G480" s="265"/>
      <c r="H480" s="265"/>
      <c r="I480" s="265"/>
      <c r="J480" s="265"/>
      <c r="K480" s="265"/>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46"/>
      <c r="AK480" s="146"/>
      <c r="AL480" s="146"/>
      <c r="AM480" s="146"/>
      <c r="AN480" s="146"/>
      <c r="AO480" s="146"/>
      <c r="AP480" s="146"/>
      <c r="AQ480" s="146"/>
      <c r="AR480" s="146"/>
      <c r="AS480" s="146"/>
    </row>
    <row r="481" spans="1:45" s="119" customFormat="1">
      <c r="A481" s="37"/>
      <c r="B481" s="246">
        <f>SUM(B474:B480)</f>
        <v>42553511.021198124</v>
      </c>
      <c r="C481" s="237">
        <f>SUM(C474:C480)</f>
        <v>38298159.919078313</v>
      </c>
      <c r="D481" s="266">
        <f>SUM(D474:D480)</f>
        <v>1</v>
      </c>
      <c r="E481" s="249">
        <f>B490+B496</f>
        <v>3000</v>
      </c>
      <c r="F481" s="225">
        <f>B502</f>
        <v>0</v>
      </c>
      <c r="G481" s="249">
        <f>SUM(G474:G480)</f>
        <v>38295159.919078313</v>
      </c>
      <c r="H481" s="249">
        <f>MIN(ITCStateMax,ITCStatePercent*G481)</f>
        <v>0</v>
      </c>
      <c r="I481" s="249">
        <f>SUM(I474:I480)</f>
        <v>0</v>
      </c>
      <c r="J481" s="249">
        <f>ITCStateFixed</f>
        <v>20000</v>
      </c>
      <c r="K481" s="249">
        <f>SUM(K474:K480)</f>
        <v>10000</v>
      </c>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46"/>
      <c r="AK481" s="146"/>
      <c r="AL481" s="146"/>
      <c r="AM481" s="146"/>
      <c r="AN481" s="146"/>
      <c r="AO481" s="146"/>
      <c r="AP481" s="146"/>
      <c r="AQ481" s="146"/>
      <c r="AR481" s="146"/>
      <c r="AS481" s="146"/>
    </row>
    <row r="482" spans="1:45" s="119" customFormat="1">
      <c r="A482" s="37"/>
      <c r="B482" s="164"/>
      <c r="C482" s="164"/>
      <c r="D482" s="245"/>
      <c r="E482" s="220"/>
      <c r="F482" s="220"/>
      <c r="G482" s="220"/>
      <c r="H482" s="220"/>
      <c r="I482" s="146"/>
      <c r="J482" s="146"/>
      <c r="K482" s="42"/>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46"/>
      <c r="AK482" s="146"/>
      <c r="AL482" s="146"/>
      <c r="AM482" s="146"/>
      <c r="AN482" s="146"/>
      <c r="AO482" s="146"/>
      <c r="AP482" s="146"/>
      <c r="AQ482" s="146"/>
      <c r="AR482" s="146"/>
      <c r="AS482" s="146"/>
    </row>
    <row r="483" spans="1:45" s="119" customFormat="1">
      <c r="A483" s="206" t="s">
        <v>170</v>
      </c>
      <c r="B483" s="37"/>
      <c r="C483" s="146"/>
      <c r="D483" s="146"/>
      <c r="E483" s="146"/>
      <c r="F483" s="146"/>
      <c r="G483" s="267"/>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46"/>
      <c r="AK483" s="146"/>
      <c r="AL483" s="146"/>
      <c r="AM483" s="146"/>
      <c r="AN483" s="146"/>
      <c r="AO483" s="146"/>
      <c r="AP483" s="146"/>
      <c r="AQ483" s="146"/>
      <c r="AR483" s="146"/>
    </row>
    <row r="484" spans="1:45" s="119" customFormat="1">
      <c r="A484" s="222" t="str">
        <f t="shared" ref="A484:A502" si="213">A214</f>
        <v>Investment Based Incentive (IBI)</v>
      </c>
      <c r="B484" s="37"/>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46"/>
      <c r="AK484" s="146"/>
      <c r="AL484" s="146"/>
      <c r="AM484" s="146"/>
      <c r="AN484" s="146"/>
      <c r="AO484" s="146"/>
      <c r="AP484" s="146"/>
      <c r="AQ484" s="146"/>
      <c r="AR484" s="146"/>
    </row>
    <row r="485" spans="1:45" s="119" customFormat="1">
      <c r="A485" s="238" t="str">
        <f t="shared" si="213"/>
        <v>Fixed Amount ($)</v>
      </c>
      <c r="B485" s="37"/>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46"/>
      <c r="AK485" s="146"/>
      <c r="AL485" s="146"/>
      <c r="AM485" s="146"/>
      <c r="AN485" s="146"/>
      <c r="AO485" s="146"/>
      <c r="AP485" s="146"/>
      <c r="AQ485" s="146"/>
      <c r="AR485" s="146"/>
    </row>
    <row r="486" spans="1:45" s="119" customFormat="1">
      <c r="A486" s="238" t="str">
        <f t="shared" si="213"/>
        <v>Federal</v>
      </c>
      <c r="B486" s="164">
        <f>IF(IBIFedFixedStateITC="Yes",IBIFedFixed,0)</f>
        <v>1000</v>
      </c>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46"/>
      <c r="AK486" s="146"/>
      <c r="AL486" s="146"/>
      <c r="AM486" s="146"/>
      <c r="AN486" s="146"/>
      <c r="AO486" s="146"/>
      <c r="AP486" s="146"/>
      <c r="AQ486" s="146"/>
      <c r="AR486" s="146"/>
    </row>
    <row r="487" spans="1:45" s="119" customFormat="1">
      <c r="A487" s="238" t="str">
        <f t="shared" si="213"/>
        <v>State</v>
      </c>
      <c r="B487" s="164">
        <f>IF(IBIStateFixedStateITC="Yes",IBIStateFixed,0)</f>
        <v>2000</v>
      </c>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46"/>
      <c r="AK487" s="146"/>
      <c r="AL487" s="146"/>
      <c r="AM487" s="146"/>
      <c r="AN487" s="146"/>
      <c r="AO487" s="146"/>
      <c r="AP487" s="146"/>
      <c r="AQ487" s="146"/>
      <c r="AR487" s="146"/>
    </row>
    <row r="488" spans="1:45" s="119" customFormat="1">
      <c r="A488" s="238" t="str">
        <f t="shared" si="213"/>
        <v>Utility</v>
      </c>
      <c r="B488" s="164">
        <f>IF(IBIUtilityFixedStateITC="Yes",IBIUtilityFixed,0)</f>
        <v>0</v>
      </c>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46"/>
      <c r="AK488" s="146"/>
      <c r="AL488" s="146"/>
      <c r="AM488" s="146"/>
      <c r="AN488" s="146"/>
      <c r="AO488" s="146"/>
      <c r="AP488" s="146"/>
      <c r="AQ488" s="146"/>
      <c r="AR488" s="146"/>
    </row>
    <row r="489" spans="1:45" s="119" customFormat="1">
      <c r="A489" s="238" t="str">
        <f t="shared" si="213"/>
        <v>Other</v>
      </c>
      <c r="B489" s="209">
        <f>IF(IBIOtherFixedStateITC="Yes",IBIOtherFixed,0)</f>
        <v>0</v>
      </c>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46"/>
      <c r="AK489" s="146"/>
      <c r="AL489" s="146"/>
      <c r="AM489" s="146"/>
      <c r="AN489" s="146"/>
      <c r="AO489" s="146"/>
      <c r="AP489" s="146"/>
      <c r="AQ489" s="146"/>
      <c r="AR489" s="146"/>
    </row>
    <row r="490" spans="1:45" s="119" customFormat="1">
      <c r="A490" s="238" t="str">
        <f t="shared" si="213"/>
        <v>Total</v>
      </c>
      <c r="B490" s="164">
        <f>SUM(B486:B489)</f>
        <v>3000</v>
      </c>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46"/>
      <c r="AK490" s="146"/>
      <c r="AL490" s="146"/>
      <c r="AM490" s="146"/>
      <c r="AN490" s="146"/>
      <c r="AO490" s="146"/>
      <c r="AP490" s="146"/>
      <c r="AQ490" s="146"/>
      <c r="AR490" s="146"/>
    </row>
    <row r="491" spans="1:45" s="119" customFormat="1">
      <c r="A491" s="222" t="str">
        <f t="shared" si="213"/>
        <v>Percentage of Pre-Financing Costs</v>
      </c>
      <c r="B491" s="37"/>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46"/>
      <c r="AK491" s="146"/>
      <c r="AL491" s="146"/>
      <c r="AM491" s="146"/>
      <c r="AN491" s="146"/>
      <c r="AO491" s="146"/>
      <c r="AP491" s="146"/>
      <c r="AQ491" s="146"/>
      <c r="AR491" s="146"/>
    </row>
    <row r="492" spans="1:45" s="119" customFormat="1">
      <c r="A492" s="238" t="str">
        <f t="shared" si="213"/>
        <v>Federal</v>
      </c>
      <c r="B492" s="164">
        <f>IF(IBIFedPercentStateITC="Yes",IBIFedPercent,0)</f>
        <v>0</v>
      </c>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46"/>
      <c r="AK492" s="146"/>
      <c r="AL492" s="146"/>
      <c r="AM492" s="146"/>
      <c r="AN492" s="146"/>
      <c r="AO492" s="146"/>
      <c r="AP492" s="146"/>
      <c r="AQ492" s="146"/>
      <c r="AR492" s="146"/>
    </row>
    <row r="493" spans="1:45" s="119" customFormat="1">
      <c r="A493" s="238" t="str">
        <f t="shared" si="213"/>
        <v>State</v>
      </c>
      <c r="B493" s="164">
        <f>IF(IBIStatePercentStateITC="Yes",IBIStatePercent,0)</f>
        <v>0</v>
      </c>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146"/>
      <c r="AE493" s="146"/>
      <c r="AF493" s="146"/>
      <c r="AG493" s="146"/>
      <c r="AH493" s="146"/>
      <c r="AI493" s="146"/>
      <c r="AJ493" s="146"/>
      <c r="AK493" s="146"/>
      <c r="AL493" s="146"/>
      <c r="AM493" s="146"/>
      <c r="AN493" s="146"/>
      <c r="AO493" s="146"/>
      <c r="AP493" s="146"/>
      <c r="AQ493" s="146"/>
      <c r="AR493" s="146"/>
    </row>
    <row r="494" spans="1:45" s="119" customFormat="1">
      <c r="A494" s="238" t="str">
        <f t="shared" si="213"/>
        <v>Utility</v>
      </c>
      <c r="B494" s="164">
        <f>IF(IBIUtilityPercentStateITC="Yes",IBIUtilityPercent,0)</f>
        <v>0</v>
      </c>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146"/>
      <c r="AE494" s="146"/>
      <c r="AF494" s="146"/>
      <c r="AG494" s="146"/>
      <c r="AH494" s="146"/>
      <c r="AI494" s="146"/>
      <c r="AJ494" s="146"/>
      <c r="AK494" s="146"/>
      <c r="AL494" s="146"/>
      <c r="AM494" s="146"/>
      <c r="AN494" s="146"/>
      <c r="AO494" s="146"/>
      <c r="AP494" s="146"/>
      <c r="AQ494" s="146"/>
      <c r="AR494" s="146"/>
    </row>
    <row r="495" spans="1:45" s="119" customFormat="1">
      <c r="A495" s="238" t="str">
        <f t="shared" si="213"/>
        <v>Other</v>
      </c>
      <c r="B495" s="209">
        <f>IF(IBIOtherPercentStateITC="Yes",IBIOtherPercent,0)</f>
        <v>0</v>
      </c>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146"/>
      <c r="AE495" s="146"/>
      <c r="AF495" s="146"/>
      <c r="AG495" s="146"/>
      <c r="AH495" s="146"/>
      <c r="AI495" s="146"/>
      <c r="AJ495" s="146"/>
      <c r="AK495" s="146"/>
      <c r="AL495" s="146"/>
      <c r="AM495" s="146"/>
      <c r="AN495" s="146"/>
      <c r="AO495" s="146"/>
      <c r="AP495" s="146"/>
      <c r="AQ495" s="146"/>
      <c r="AR495" s="146"/>
    </row>
    <row r="496" spans="1:45" s="119" customFormat="1">
      <c r="A496" s="238" t="str">
        <f t="shared" si="213"/>
        <v>Total</v>
      </c>
      <c r="B496" s="164">
        <f>SUM(B492:B495)</f>
        <v>0</v>
      </c>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146"/>
      <c r="AE496" s="146"/>
      <c r="AF496" s="146"/>
      <c r="AG496" s="146"/>
      <c r="AH496" s="146"/>
      <c r="AI496" s="146"/>
      <c r="AJ496" s="146"/>
      <c r="AK496" s="146"/>
      <c r="AL496" s="146"/>
      <c r="AM496" s="146"/>
      <c r="AN496" s="146"/>
      <c r="AO496" s="146"/>
      <c r="AP496" s="146"/>
      <c r="AQ496" s="146"/>
      <c r="AR496" s="146"/>
    </row>
    <row r="497" spans="1:44" s="119" customFormat="1">
      <c r="A497" s="222" t="str">
        <f t="shared" si="213"/>
        <v>Capacity Based Incentive (CBI)</v>
      </c>
      <c r="B497" s="37"/>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146"/>
      <c r="AE497" s="146"/>
      <c r="AF497" s="146"/>
      <c r="AG497" s="146"/>
      <c r="AH497" s="146"/>
      <c r="AI497" s="146"/>
      <c r="AJ497" s="146"/>
      <c r="AK497" s="146"/>
      <c r="AL497" s="146"/>
      <c r="AM497" s="146"/>
      <c r="AN497" s="146"/>
      <c r="AO497" s="146"/>
      <c r="AP497" s="146"/>
      <c r="AQ497" s="146"/>
      <c r="AR497" s="146"/>
    </row>
    <row r="498" spans="1:44" s="119" customFormat="1">
      <c r="A498" s="238" t="str">
        <f t="shared" si="213"/>
        <v>Federal</v>
      </c>
      <c r="B498" s="164">
        <f>IF(CBIFedStateITC="Yes",CBIFed,0)</f>
        <v>0</v>
      </c>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146"/>
      <c r="AE498" s="146"/>
      <c r="AF498" s="146"/>
      <c r="AG498" s="146"/>
      <c r="AH498" s="146"/>
      <c r="AI498" s="146"/>
      <c r="AJ498" s="146"/>
      <c r="AK498" s="146"/>
      <c r="AL498" s="146"/>
      <c r="AM498" s="146"/>
      <c r="AN498" s="146"/>
      <c r="AO498" s="146"/>
      <c r="AP498" s="146"/>
    </row>
    <row r="499" spans="1:44" s="119" customFormat="1">
      <c r="A499" s="238" t="str">
        <f t="shared" si="213"/>
        <v>State</v>
      </c>
      <c r="B499" s="164">
        <f>IF(CBIStateStateITC="Yes",CBIState,0)</f>
        <v>0</v>
      </c>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146"/>
      <c r="AE499" s="146"/>
      <c r="AF499" s="146"/>
      <c r="AG499" s="146"/>
      <c r="AH499" s="146"/>
      <c r="AI499" s="146"/>
      <c r="AJ499" s="146"/>
      <c r="AK499" s="146"/>
      <c r="AL499" s="146"/>
      <c r="AM499" s="146"/>
      <c r="AN499" s="146"/>
      <c r="AO499" s="146"/>
      <c r="AP499" s="146"/>
    </row>
    <row r="500" spans="1:44" s="119" customFormat="1">
      <c r="A500" s="238" t="str">
        <f t="shared" si="213"/>
        <v>Utility</v>
      </c>
      <c r="B500" s="164">
        <f>IF(CBIUtilityStateITC="Yes",CBIUtility,0)</f>
        <v>0</v>
      </c>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146"/>
      <c r="AE500" s="146"/>
      <c r="AF500" s="146"/>
      <c r="AG500" s="146"/>
      <c r="AH500" s="146"/>
      <c r="AI500" s="146"/>
      <c r="AJ500" s="146"/>
      <c r="AK500" s="146"/>
      <c r="AL500" s="146"/>
      <c r="AM500" s="146"/>
      <c r="AN500" s="146"/>
      <c r="AO500" s="146"/>
      <c r="AP500" s="146"/>
    </row>
    <row r="501" spans="1:44" s="119" customFormat="1">
      <c r="A501" s="238" t="str">
        <f t="shared" si="213"/>
        <v>Other</v>
      </c>
      <c r="B501" s="209">
        <f>IF(CBIOtherStateITC="Yes",CBIOther,0)</f>
        <v>0</v>
      </c>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146"/>
      <c r="AE501" s="146"/>
      <c r="AF501" s="146"/>
      <c r="AG501" s="146"/>
      <c r="AH501" s="146"/>
      <c r="AI501" s="146"/>
      <c r="AJ501" s="146"/>
      <c r="AK501" s="146"/>
      <c r="AL501" s="146"/>
      <c r="AM501" s="146"/>
      <c r="AN501" s="146"/>
      <c r="AO501" s="146"/>
      <c r="AP501" s="146"/>
    </row>
    <row r="502" spans="1:44" s="119" customFormat="1">
      <c r="A502" s="238" t="str">
        <f t="shared" si="213"/>
        <v>Total</v>
      </c>
      <c r="B502" s="216">
        <f>SUM(B498:B501)</f>
        <v>0</v>
      </c>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146"/>
      <c r="AE502" s="146"/>
      <c r="AF502" s="146"/>
      <c r="AG502" s="146"/>
      <c r="AH502" s="146"/>
      <c r="AI502" s="146"/>
      <c r="AJ502" s="146"/>
      <c r="AK502" s="146"/>
      <c r="AL502" s="146"/>
      <c r="AM502" s="146"/>
      <c r="AN502" s="146"/>
      <c r="AO502" s="146"/>
      <c r="AP502" s="146"/>
    </row>
    <row r="503" spans="1:44" s="119" customFormat="1">
      <c r="A503" s="206" t="s">
        <v>169</v>
      </c>
      <c r="B503" s="164">
        <f>B490+B496+B502</f>
        <v>3000</v>
      </c>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146"/>
      <c r="AE503" s="146"/>
      <c r="AF503" s="146"/>
      <c r="AG503" s="146"/>
      <c r="AH503" s="146"/>
      <c r="AI503" s="146"/>
      <c r="AJ503" s="146"/>
      <c r="AK503" s="146"/>
      <c r="AL503" s="146"/>
      <c r="AM503" s="146"/>
      <c r="AN503" s="146"/>
      <c r="AO503" s="146"/>
      <c r="AP503" s="146"/>
    </row>
    <row r="504" spans="1:44" s="119" customFormat="1">
      <c r="A504" s="268" t="s">
        <v>292</v>
      </c>
      <c r="B504" s="269" t="str">
        <f>IF(B503-E481-F481=0,"OK","Check")</f>
        <v>OK</v>
      </c>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146"/>
      <c r="AE504" s="146"/>
      <c r="AF504" s="146"/>
      <c r="AG504" s="146"/>
      <c r="AH504" s="146"/>
      <c r="AI504" s="146"/>
      <c r="AJ504" s="146"/>
      <c r="AK504" s="146"/>
      <c r="AL504" s="146"/>
      <c r="AM504" s="146"/>
      <c r="AN504" s="146"/>
      <c r="AO504" s="146"/>
      <c r="AP504" s="146"/>
    </row>
    <row r="505" spans="1:44" s="119" customFormat="1">
      <c r="A505" s="22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146"/>
      <c r="AE505" s="146"/>
      <c r="AF505" s="146"/>
      <c r="AG505" s="146"/>
      <c r="AH505" s="146"/>
      <c r="AI505" s="146"/>
      <c r="AJ505" s="146"/>
      <c r="AK505" s="146"/>
      <c r="AL505" s="146"/>
      <c r="AM505" s="146"/>
      <c r="AN505" s="146"/>
      <c r="AO505" s="146"/>
      <c r="AP505" s="146"/>
    </row>
    <row r="506" spans="1:44" s="119" customFormat="1">
      <c r="A506" s="251" t="s">
        <v>178</v>
      </c>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146"/>
      <c r="AE506" s="146"/>
      <c r="AF506" s="146"/>
      <c r="AG506" s="146"/>
      <c r="AH506" s="146"/>
      <c r="AI506" s="146"/>
      <c r="AJ506" s="146"/>
      <c r="AK506" s="146"/>
      <c r="AL506" s="146"/>
      <c r="AM506" s="146"/>
      <c r="AN506" s="146"/>
      <c r="AO506" s="146"/>
      <c r="AP506" s="146"/>
    </row>
    <row r="507" spans="1:44" s="119" customFormat="1">
      <c r="A507" s="37" t="s">
        <v>83</v>
      </c>
      <c r="B507" s="252" t="s">
        <v>173</v>
      </c>
      <c r="C507" s="253"/>
      <c r="D507" s="253"/>
      <c r="E507" s="253"/>
      <c r="F507" s="253"/>
      <c r="G507" s="253"/>
      <c r="H507" s="253"/>
      <c r="I507" s="254"/>
      <c r="J507" s="255" t="s">
        <v>174</v>
      </c>
      <c r="K507" s="256"/>
      <c r="L507" s="146"/>
      <c r="M507" s="146"/>
      <c r="N507" s="146"/>
      <c r="O507" s="146"/>
      <c r="P507" s="146"/>
      <c r="Q507" s="146"/>
      <c r="R507" s="146"/>
      <c r="S507" s="146"/>
      <c r="T507" s="146"/>
      <c r="U507" s="146"/>
      <c r="V507" s="146"/>
      <c r="W507" s="146"/>
      <c r="X507" s="146"/>
      <c r="Y507" s="146"/>
      <c r="Z507" s="146"/>
      <c r="AA507" s="146"/>
      <c r="AB507" s="146"/>
      <c r="AC507" s="146"/>
      <c r="AD507" s="146"/>
      <c r="AE507" s="146"/>
      <c r="AF507" s="146"/>
      <c r="AG507" s="146"/>
      <c r="AH507" s="146"/>
      <c r="AI507" s="146"/>
      <c r="AJ507" s="146"/>
      <c r="AK507" s="146"/>
      <c r="AL507" s="146"/>
      <c r="AM507" s="146"/>
      <c r="AN507" s="146"/>
      <c r="AO507" s="146"/>
      <c r="AP507" s="146"/>
    </row>
    <row r="508" spans="1:44" s="119" customFormat="1" ht="38.25">
      <c r="A508" s="37"/>
      <c r="B508" s="133" t="s">
        <v>164</v>
      </c>
      <c r="C508" s="133" t="s">
        <v>163</v>
      </c>
      <c r="D508" s="133" t="s">
        <v>166</v>
      </c>
      <c r="E508" s="133" t="s">
        <v>155</v>
      </c>
      <c r="F508" s="228" t="s">
        <v>156</v>
      </c>
      <c r="G508" s="228" t="s">
        <v>172</v>
      </c>
      <c r="H508" s="133" t="s">
        <v>165</v>
      </c>
      <c r="I508" s="133" t="s">
        <v>167</v>
      </c>
      <c r="J508" s="257" t="s">
        <v>34</v>
      </c>
      <c r="K508" s="133" t="s">
        <v>167</v>
      </c>
      <c r="L508" s="146"/>
      <c r="M508" s="146"/>
      <c r="N508" s="146"/>
      <c r="O508" s="146"/>
      <c r="P508" s="146"/>
      <c r="Q508" s="146"/>
      <c r="R508" s="146"/>
      <c r="S508" s="146"/>
      <c r="T508" s="146"/>
      <c r="U508" s="146"/>
      <c r="V508" s="146"/>
      <c r="W508" s="146"/>
      <c r="X508" s="146"/>
      <c r="Y508" s="146"/>
      <c r="Z508" s="146"/>
      <c r="AA508" s="146"/>
      <c r="AB508" s="146"/>
      <c r="AC508" s="146"/>
      <c r="AD508" s="146"/>
      <c r="AE508" s="146"/>
      <c r="AF508" s="146"/>
      <c r="AG508" s="146"/>
      <c r="AH508" s="146"/>
      <c r="AI508" s="146"/>
      <c r="AJ508" s="146"/>
      <c r="AK508" s="146"/>
      <c r="AL508" s="146"/>
      <c r="AM508" s="146"/>
      <c r="AN508" s="146"/>
      <c r="AO508" s="146"/>
      <c r="AP508" s="146"/>
    </row>
    <row r="509" spans="1:44" s="119" customFormat="1">
      <c r="A509" s="206" t="str">
        <f>A474</f>
        <v>5-yr MACRS</v>
      </c>
      <c r="B509" s="232">
        <f>'Inputs &amp; Results'!E221</f>
        <v>38298159.919078313</v>
      </c>
      <c r="C509" s="258">
        <f>IF('Inputs &amp; Results'!B259="Yes",B509,0)</f>
        <v>38298159.919078313</v>
      </c>
      <c r="D509" s="259">
        <f>C509/$C$516</f>
        <v>1</v>
      </c>
      <c r="E509" s="260">
        <f>$E$516*D509</f>
        <v>3000</v>
      </c>
      <c r="F509" s="146">
        <f>$F$516*D509</f>
        <v>5000000</v>
      </c>
      <c r="G509" s="261">
        <f>C509-E509-F509</f>
        <v>33295159.919078313</v>
      </c>
      <c r="H509" s="261">
        <f>$H$516*D509</f>
        <v>0</v>
      </c>
      <c r="I509" s="261">
        <f>H509*0.5</f>
        <v>0</v>
      </c>
      <c r="J509" s="248">
        <f>D509*$J$516</f>
        <v>10000</v>
      </c>
      <c r="K509" s="248">
        <f>J509*0.5</f>
        <v>5000</v>
      </c>
      <c r="L509" s="146"/>
      <c r="M509" s="146"/>
      <c r="N509" s="146"/>
      <c r="O509" s="146"/>
      <c r="P509" s="146"/>
      <c r="Q509" s="146"/>
      <c r="R509" s="146"/>
      <c r="S509" s="146"/>
      <c r="T509" s="146"/>
      <c r="U509" s="146"/>
      <c r="V509" s="146"/>
      <c r="W509" s="146"/>
      <c r="X509" s="146"/>
      <c r="Y509" s="146"/>
      <c r="Z509" s="146"/>
      <c r="AA509" s="146"/>
      <c r="AB509" s="146"/>
      <c r="AC509" s="146"/>
      <c r="AD509" s="146"/>
      <c r="AE509" s="146"/>
      <c r="AF509" s="146"/>
      <c r="AG509" s="146"/>
      <c r="AH509" s="146"/>
      <c r="AI509" s="146"/>
      <c r="AJ509" s="146"/>
      <c r="AK509" s="146"/>
      <c r="AL509" s="146"/>
      <c r="AM509" s="146"/>
      <c r="AN509" s="146"/>
      <c r="AO509" s="146"/>
      <c r="AP509" s="146"/>
    </row>
    <row r="510" spans="1:44" s="119" customFormat="1">
      <c r="A510" s="206" t="str">
        <f t="shared" ref="A510:A515" si="214">A475</f>
        <v>15-yr MACRS</v>
      </c>
      <c r="B510" s="165">
        <f>'Inputs &amp; Results'!E222</f>
        <v>638302.66531797184</v>
      </c>
      <c r="C510" s="262">
        <f>IF('Inputs &amp; Results'!B260="Yes",B510,0)</f>
        <v>0</v>
      </c>
      <c r="D510" s="263">
        <f t="shared" ref="D510:D514" si="215">C510/$C$516</f>
        <v>0</v>
      </c>
      <c r="E510" s="146">
        <f t="shared" ref="E510:E514" si="216">$E$516*D510</f>
        <v>0</v>
      </c>
      <c r="F510" s="146">
        <f t="shared" ref="F510:F514" si="217">$F$516*D510</f>
        <v>0</v>
      </c>
      <c r="G510" s="248">
        <f t="shared" ref="G510:G514" si="218">C510-E510-F510</f>
        <v>0</v>
      </c>
      <c r="H510" s="248">
        <f t="shared" ref="H510:H514" si="219">$H$516*D510</f>
        <v>0</v>
      </c>
      <c r="I510" s="248">
        <f t="shared" ref="I510:I514" si="220">H510*0.5</f>
        <v>0</v>
      </c>
      <c r="J510" s="248">
        <f t="shared" ref="J510:J514" si="221">D510*$J$516</f>
        <v>0</v>
      </c>
      <c r="K510" s="248">
        <f t="shared" ref="K510:K514" si="222">J510*0.5</f>
        <v>0</v>
      </c>
      <c r="L510" s="146"/>
      <c r="M510" s="146"/>
      <c r="N510" s="146"/>
      <c r="O510" s="146"/>
      <c r="P510" s="146"/>
      <c r="Q510" s="146"/>
      <c r="R510" s="146"/>
      <c r="S510" s="146"/>
      <c r="T510" s="146"/>
      <c r="U510" s="146"/>
      <c r="V510" s="146"/>
      <c r="W510" s="146"/>
      <c r="X510" s="146"/>
      <c r="Y510" s="146"/>
      <c r="Z510" s="146"/>
      <c r="AA510" s="146"/>
      <c r="AB510" s="146"/>
      <c r="AC510" s="146"/>
      <c r="AD510" s="146"/>
      <c r="AE510" s="146"/>
      <c r="AF510" s="146"/>
      <c r="AG510" s="146"/>
      <c r="AH510" s="146"/>
      <c r="AI510" s="146"/>
      <c r="AJ510" s="146"/>
      <c r="AK510" s="146"/>
      <c r="AL510" s="146"/>
      <c r="AM510" s="146"/>
      <c r="AN510" s="146"/>
      <c r="AO510" s="146"/>
      <c r="AP510" s="146"/>
    </row>
    <row r="511" spans="1:44" s="119" customFormat="1">
      <c r="A511" s="206" t="str">
        <f t="shared" si="214"/>
        <v>5-yr SL</v>
      </c>
      <c r="B511" s="165">
        <f>'Inputs &amp; Results'!E223</f>
        <v>0</v>
      </c>
      <c r="C511" s="262">
        <f>IF('Inputs &amp; Results'!B261="Yes",B511,0)</f>
        <v>0</v>
      </c>
      <c r="D511" s="263">
        <f t="shared" si="215"/>
        <v>0</v>
      </c>
      <c r="E511" s="146">
        <f t="shared" si="216"/>
        <v>0</v>
      </c>
      <c r="F511" s="146">
        <f t="shared" si="217"/>
        <v>0</v>
      </c>
      <c r="G511" s="248">
        <f t="shared" si="218"/>
        <v>0</v>
      </c>
      <c r="H511" s="248">
        <f t="shared" si="219"/>
        <v>0</v>
      </c>
      <c r="I511" s="248">
        <f t="shared" si="220"/>
        <v>0</v>
      </c>
      <c r="J511" s="248">
        <f t="shared" si="221"/>
        <v>0</v>
      </c>
      <c r="K511" s="248">
        <f t="shared" si="222"/>
        <v>0</v>
      </c>
      <c r="L511" s="146"/>
      <c r="M511" s="146"/>
      <c r="N511" s="146"/>
      <c r="O511" s="146"/>
      <c r="P511" s="146"/>
      <c r="Q511" s="146"/>
      <c r="R511" s="146"/>
      <c r="S511" s="146"/>
      <c r="T511" s="146"/>
      <c r="U511" s="146"/>
      <c r="V511" s="146"/>
      <c r="W511" s="146"/>
      <c r="X511" s="146"/>
      <c r="Y511" s="146"/>
      <c r="Z511" s="146"/>
      <c r="AA511" s="146"/>
      <c r="AB511" s="146"/>
      <c r="AC511" s="146"/>
      <c r="AD511" s="146"/>
      <c r="AE511" s="146"/>
      <c r="AF511" s="146"/>
      <c r="AG511" s="146"/>
      <c r="AH511" s="146"/>
      <c r="AI511" s="146"/>
      <c r="AJ511" s="146"/>
      <c r="AK511" s="146"/>
      <c r="AL511" s="146"/>
      <c r="AM511" s="146"/>
      <c r="AN511" s="146"/>
      <c r="AO511" s="146"/>
      <c r="AP511" s="146"/>
    </row>
    <row r="512" spans="1:44" s="119" customFormat="1">
      <c r="A512" s="206" t="str">
        <f t="shared" si="214"/>
        <v>15-yr SL</v>
      </c>
      <c r="B512" s="165">
        <f>'Inputs &amp; Results'!E224</f>
        <v>1063837.7755299532</v>
      </c>
      <c r="C512" s="262">
        <f>IF('Inputs &amp; Results'!B262="Yes",B512,0)</f>
        <v>0</v>
      </c>
      <c r="D512" s="263">
        <f t="shared" si="215"/>
        <v>0</v>
      </c>
      <c r="E512" s="146">
        <f t="shared" si="216"/>
        <v>0</v>
      </c>
      <c r="F512" s="146">
        <f t="shared" si="217"/>
        <v>0</v>
      </c>
      <c r="G512" s="248">
        <f t="shared" si="218"/>
        <v>0</v>
      </c>
      <c r="H512" s="248">
        <f t="shared" si="219"/>
        <v>0</v>
      </c>
      <c r="I512" s="248">
        <f t="shared" si="220"/>
        <v>0</v>
      </c>
      <c r="J512" s="248">
        <f t="shared" si="221"/>
        <v>0</v>
      </c>
      <c r="K512" s="248">
        <f t="shared" si="222"/>
        <v>0</v>
      </c>
      <c r="L512" s="146"/>
      <c r="M512" s="146"/>
      <c r="N512" s="146"/>
      <c r="O512" s="146"/>
      <c r="P512" s="146"/>
      <c r="Q512" s="146"/>
      <c r="R512" s="146"/>
      <c r="S512" s="146"/>
      <c r="T512" s="146"/>
      <c r="U512" s="146"/>
      <c r="V512" s="146"/>
      <c r="W512" s="146"/>
      <c r="X512" s="146"/>
      <c r="Y512" s="146"/>
      <c r="Z512" s="146"/>
      <c r="AA512" s="146"/>
      <c r="AB512" s="146"/>
      <c r="AC512" s="146"/>
      <c r="AD512" s="146"/>
      <c r="AE512" s="146"/>
      <c r="AF512" s="146"/>
      <c r="AG512" s="146"/>
      <c r="AH512" s="146"/>
      <c r="AI512" s="146"/>
      <c r="AJ512" s="146"/>
      <c r="AK512" s="146"/>
      <c r="AL512" s="146"/>
      <c r="AM512" s="146"/>
      <c r="AN512" s="146"/>
      <c r="AO512" s="146"/>
      <c r="AP512" s="146"/>
    </row>
    <row r="513" spans="1:42" s="119" customFormat="1">
      <c r="A513" s="206" t="str">
        <f t="shared" si="214"/>
        <v>20-yr SL</v>
      </c>
      <c r="B513" s="165">
        <f>'Inputs &amp; Results'!E225</f>
        <v>1063837.7755299532</v>
      </c>
      <c r="C513" s="262">
        <f>IF('Inputs &amp; Results'!B263="Yes",B513,0)</f>
        <v>0</v>
      </c>
      <c r="D513" s="263">
        <f t="shared" si="215"/>
        <v>0</v>
      </c>
      <c r="E513" s="146">
        <f t="shared" si="216"/>
        <v>0</v>
      </c>
      <c r="F513" s="146">
        <f t="shared" si="217"/>
        <v>0</v>
      </c>
      <c r="G513" s="248">
        <f t="shared" si="218"/>
        <v>0</v>
      </c>
      <c r="H513" s="248">
        <f t="shared" si="219"/>
        <v>0</v>
      </c>
      <c r="I513" s="248">
        <f t="shared" si="220"/>
        <v>0</v>
      </c>
      <c r="J513" s="248">
        <f t="shared" si="221"/>
        <v>0</v>
      </c>
      <c r="K513" s="248">
        <f t="shared" si="222"/>
        <v>0</v>
      </c>
      <c r="L513" s="146"/>
      <c r="M513" s="146"/>
      <c r="N513" s="146"/>
      <c r="O513" s="146"/>
      <c r="P513" s="146"/>
      <c r="Q513" s="146"/>
      <c r="R513" s="146"/>
      <c r="S513" s="146"/>
      <c r="T513" s="146"/>
      <c r="U513" s="146"/>
      <c r="V513" s="146"/>
      <c r="W513" s="146"/>
      <c r="X513" s="146"/>
      <c r="Y513" s="146"/>
      <c r="Z513" s="146"/>
      <c r="AA513" s="146"/>
      <c r="AB513" s="146"/>
      <c r="AC513" s="146"/>
      <c r="AD513" s="146"/>
      <c r="AE513" s="146"/>
      <c r="AF513" s="146"/>
      <c r="AG513" s="146"/>
      <c r="AH513" s="146"/>
      <c r="AI513" s="146"/>
      <c r="AJ513" s="146"/>
      <c r="AK513" s="146"/>
      <c r="AL513" s="146"/>
      <c r="AM513" s="146"/>
      <c r="AN513" s="146"/>
      <c r="AO513" s="146"/>
      <c r="AP513" s="146"/>
    </row>
    <row r="514" spans="1:42" s="119" customFormat="1">
      <c r="A514" s="206" t="str">
        <f t="shared" si="214"/>
        <v>39-yr SL</v>
      </c>
      <c r="B514" s="165">
        <f>'Inputs &amp; Results'!E226</f>
        <v>212767.55510599061</v>
      </c>
      <c r="C514" s="262">
        <f>IF('Inputs &amp; Results'!B264="Yes",B514,0)</f>
        <v>0</v>
      </c>
      <c r="D514" s="263">
        <f t="shared" si="215"/>
        <v>0</v>
      </c>
      <c r="E514" s="146">
        <f t="shared" si="216"/>
        <v>0</v>
      </c>
      <c r="F514" s="146">
        <f t="shared" si="217"/>
        <v>0</v>
      </c>
      <c r="G514" s="248">
        <f t="shared" si="218"/>
        <v>0</v>
      </c>
      <c r="H514" s="248">
        <f t="shared" si="219"/>
        <v>0</v>
      </c>
      <c r="I514" s="248">
        <f t="shared" si="220"/>
        <v>0</v>
      </c>
      <c r="J514" s="248">
        <f t="shared" si="221"/>
        <v>0</v>
      </c>
      <c r="K514" s="248">
        <f t="shared" si="222"/>
        <v>0</v>
      </c>
      <c r="L514" s="146"/>
      <c r="M514" s="146"/>
      <c r="N514" s="146"/>
      <c r="O514" s="146"/>
      <c r="P514" s="146"/>
      <c r="Q514" s="146"/>
      <c r="R514" s="146"/>
      <c r="S514" s="146"/>
      <c r="T514" s="146"/>
      <c r="U514" s="146"/>
      <c r="V514" s="146"/>
      <c r="W514" s="146"/>
      <c r="X514" s="146"/>
      <c r="Y514" s="146"/>
      <c r="Z514" s="146"/>
      <c r="AA514" s="146"/>
      <c r="AB514" s="146"/>
      <c r="AC514" s="146"/>
      <c r="AD514" s="146"/>
      <c r="AE514" s="146"/>
      <c r="AF514" s="146"/>
      <c r="AG514" s="146"/>
      <c r="AH514" s="146"/>
      <c r="AI514" s="146"/>
      <c r="AJ514" s="146"/>
      <c r="AK514" s="146"/>
      <c r="AL514" s="146"/>
      <c r="AM514" s="146"/>
      <c r="AN514" s="146"/>
      <c r="AO514" s="146"/>
      <c r="AP514" s="146"/>
    </row>
    <row r="515" spans="1:42" s="119" customFormat="1">
      <c r="A515" s="206" t="str">
        <f t="shared" si="214"/>
        <v xml:space="preserve">Non-Depreciable </v>
      </c>
      <c r="B515" s="237">
        <f>'Inputs &amp; Results'!E227</f>
        <v>1276605.3306359402</v>
      </c>
      <c r="C515" s="233"/>
      <c r="D515" s="264"/>
      <c r="E515" s="264"/>
      <c r="F515" s="264"/>
      <c r="G515" s="265"/>
      <c r="H515" s="265"/>
      <c r="I515" s="265"/>
      <c r="J515" s="265"/>
      <c r="K515" s="265"/>
      <c r="L515" s="146"/>
      <c r="M515" s="146"/>
      <c r="N515" s="146"/>
      <c r="O515" s="146"/>
      <c r="P515" s="146"/>
      <c r="Q515" s="146"/>
      <c r="R515" s="146"/>
      <c r="S515" s="146"/>
      <c r="T515" s="146"/>
      <c r="U515" s="146"/>
      <c r="V515" s="146"/>
      <c r="W515" s="146"/>
      <c r="X515" s="146"/>
      <c r="Y515" s="146"/>
      <c r="Z515" s="146"/>
      <c r="AA515" s="146"/>
      <c r="AB515" s="146"/>
      <c r="AC515" s="146"/>
      <c r="AD515" s="146"/>
      <c r="AE515" s="146"/>
      <c r="AF515" s="146"/>
      <c r="AG515" s="146"/>
      <c r="AH515" s="146"/>
      <c r="AI515" s="146"/>
      <c r="AJ515" s="146"/>
      <c r="AK515" s="146"/>
      <c r="AL515" s="146"/>
      <c r="AM515" s="146"/>
      <c r="AN515" s="146"/>
      <c r="AO515" s="146"/>
      <c r="AP515" s="146"/>
    </row>
    <row r="516" spans="1:42" s="119" customFormat="1">
      <c r="A516" s="37"/>
      <c r="B516" s="246">
        <f>SUM(B509:B515)</f>
        <v>42553511.021198124</v>
      </c>
      <c r="C516" s="237">
        <f>SUM(C509:C515)</f>
        <v>38298159.919078313</v>
      </c>
      <c r="D516" s="266">
        <f>SUM(D509:D515)</f>
        <v>1</v>
      </c>
      <c r="E516" s="249">
        <f>B525+B531</f>
        <v>3000</v>
      </c>
      <c r="F516" s="225">
        <f>B537</f>
        <v>5000000</v>
      </c>
      <c r="G516" s="249">
        <f>SUM(G509:G515)</f>
        <v>33295159.919078313</v>
      </c>
      <c r="H516" s="249">
        <f>MIN(ITCFedMax,ITCFedPercent*G516)</f>
        <v>0</v>
      </c>
      <c r="I516" s="249">
        <f>SUM(I509:I515)</f>
        <v>0</v>
      </c>
      <c r="J516" s="249">
        <f>ITCFedFixed</f>
        <v>10000</v>
      </c>
      <c r="K516" s="249">
        <f>SUM(K509:K515)</f>
        <v>5000</v>
      </c>
      <c r="L516" s="146"/>
      <c r="M516" s="146"/>
      <c r="N516" s="146"/>
      <c r="O516" s="146"/>
      <c r="P516" s="146"/>
      <c r="Q516" s="146"/>
      <c r="R516" s="146"/>
      <c r="S516" s="146"/>
      <c r="T516" s="146"/>
      <c r="U516" s="146"/>
      <c r="V516" s="146"/>
      <c r="W516" s="146"/>
      <c r="X516" s="146"/>
      <c r="Y516" s="146"/>
      <c r="Z516" s="146"/>
      <c r="AA516" s="146"/>
      <c r="AB516" s="146"/>
      <c r="AC516" s="146"/>
      <c r="AD516" s="146"/>
      <c r="AE516" s="146"/>
      <c r="AF516" s="146"/>
      <c r="AG516" s="146"/>
      <c r="AH516" s="146"/>
      <c r="AI516" s="146"/>
      <c r="AJ516" s="146"/>
      <c r="AK516" s="146"/>
      <c r="AL516" s="146"/>
      <c r="AM516" s="146"/>
      <c r="AN516" s="146"/>
      <c r="AO516" s="146"/>
      <c r="AP516" s="146"/>
    </row>
    <row r="517" spans="1:42" s="119" customFormat="1">
      <c r="A517" s="37"/>
      <c r="B517" s="164"/>
      <c r="C517" s="164"/>
      <c r="D517" s="245"/>
      <c r="E517" s="220"/>
      <c r="F517" s="220"/>
      <c r="G517" s="220"/>
      <c r="H517" s="220"/>
      <c r="I517" s="146"/>
      <c r="J517" s="146"/>
      <c r="K517" s="42"/>
      <c r="L517" s="146"/>
      <c r="M517" s="146"/>
      <c r="N517" s="146"/>
      <c r="O517" s="146"/>
      <c r="P517" s="146"/>
      <c r="Q517" s="146"/>
      <c r="R517" s="146"/>
      <c r="S517" s="146"/>
      <c r="T517" s="146"/>
      <c r="U517" s="146"/>
      <c r="V517" s="146"/>
      <c r="W517" s="146"/>
      <c r="X517" s="146"/>
      <c r="Y517" s="146"/>
      <c r="Z517" s="146"/>
      <c r="AA517" s="146"/>
      <c r="AB517" s="146"/>
      <c r="AC517" s="146"/>
      <c r="AD517" s="146"/>
      <c r="AE517" s="146"/>
      <c r="AF517" s="146"/>
      <c r="AG517" s="146"/>
      <c r="AH517" s="146"/>
      <c r="AI517" s="146"/>
      <c r="AJ517" s="146"/>
      <c r="AK517" s="146"/>
      <c r="AL517" s="146"/>
      <c r="AM517" s="146"/>
      <c r="AN517" s="146"/>
      <c r="AO517" s="146"/>
      <c r="AP517" s="146"/>
    </row>
    <row r="518" spans="1:42" s="119" customFormat="1">
      <c r="A518" s="206" t="s">
        <v>170</v>
      </c>
      <c r="B518" s="37"/>
      <c r="C518" s="146"/>
      <c r="D518" s="146"/>
      <c r="E518" s="146"/>
      <c r="F518" s="146"/>
      <c r="G518" s="267"/>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146"/>
      <c r="AD518" s="146"/>
      <c r="AE518" s="146"/>
      <c r="AF518" s="146"/>
      <c r="AG518" s="146"/>
      <c r="AH518" s="146"/>
      <c r="AI518" s="146"/>
      <c r="AJ518" s="146"/>
      <c r="AK518" s="146"/>
      <c r="AL518" s="146"/>
      <c r="AM518" s="146"/>
      <c r="AN518" s="146"/>
      <c r="AO518" s="146"/>
      <c r="AP518" s="146"/>
    </row>
    <row r="519" spans="1:42" s="119" customFormat="1">
      <c r="A519" s="222" t="str">
        <f>A484</f>
        <v>Investment Based Incentive (IBI)</v>
      </c>
      <c r="B519" s="37"/>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146"/>
      <c r="AD519" s="146"/>
      <c r="AE519" s="146"/>
      <c r="AF519" s="146"/>
      <c r="AG519" s="146"/>
      <c r="AH519" s="146"/>
      <c r="AI519" s="146"/>
      <c r="AJ519" s="146"/>
      <c r="AK519" s="146"/>
      <c r="AL519" s="146"/>
      <c r="AM519" s="146"/>
      <c r="AN519" s="146"/>
      <c r="AO519" s="146"/>
      <c r="AP519" s="146"/>
    </row>
    <row r="520" spans="1:42" s="119" customFormat="1">
      <c r="A520" s="238" t="str">
        <f t="shared" ref="A520:A538" si="223">A485</f>
        <v>Fixed Amount ($)</v>
      </c>
      <c r="B520" s="37"/>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146"/>
      <c r="AD520" s="146"/>
      <c r="AE520" s="146"/>
      <c r="AF520" s="146"/>
      <c r="AG520" s="146"/>
      <c r="AH520" s="146"/>
      <c r="AI520" s="146"/>
      <c r="AJ520" s="146"/>
      <c r="AK520" s="146"/>
      <c r="AL520" s="146"/>
      <c r="AM520" s="146"/>
      <c r="AN520" s="146"/>
      <c r="AO520" s="146"/>
      <c r="AP520" s="146"/>
    </row>
    <row r="521" spans="1:42" s="119" customFormat="1">
      <c r="A521" s="238" t="str">
        <f t="shared" si="223"/>
        <v>Federal</v>
      </c>
      <c r="B521" s="164">
        <f>IF(IBIFedFixedFedITC="Yes",IBIFedFixed,0)</f>
        <v>1000</v>
      </c>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146"/>
      <c r="AD521" s="146"/>
      <c r="AE521" s="146"/>
      <c r="AF521" s="146"/>
      <c r="AG521" s="146"/>
      <c r="AH521" s="146"/>
      <c r="AI521" s="146"/>
      <c r="AJ521" s="146"/>
      <c r="AK521" s="146"/>
      <c r="AL521" s="146"/>
      <c r="AM521" s="146"/>
      <c r="AN521" s="146"/>
      <c r="AO521" s="146"/>
      <c r="AP521" s="146"/>
    </row>
    <row r="522" spans="1:42" s="119" customFormat="1">
      <c r="A522" s="238" t="str">
        <f t="shared" si="223"/>
        <v>State</v>
      </c>
      <c r="B522" s="164">
        <f>IF(IBIStateFixedFedITC="Yes",IBIStateFixed,0)</f>
        <v>2000</v>
      </c>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146"/>
      <c r="AD522" s="146"/>
      <c r="AE522" s="146"/>
      <c r="AF522" s="146"/>
      <c r="AG522" s="146"/>
      <c r="AH522" s="146"/>
      <c r="AI522" s="146"/>
      <c r="AJ522" s="146"/>
      <c r="AK522" s="146"/>
      <c r="AL522" s="146"/>
      <c r="AM522" s="146"/>
      <c r="AN522" s="146"/>
      <c r="AO522" s="146"/>
      <c r="AP522" s="146"/>
    </row>
    <row r="523" spans="1:42" s="119" customFormat="1">
      <c r="A523" s="238" t="str">
        <f t="shared" si="223"/>
        <v>Utility</v>
      </c>
      <c r="B523" s="164">
        <f>IF(IBIUtilityFixedFedITC="Yes",IBIUtilityFixed,0)</f>
        <v>0</v>
      </c>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146"/>
      <c r="AD523" s="146"/>
      <c r="AE523" s="146"/>
      <c r="AF523" s="146"/>
      <c r="AG523" s="146"/>
      <c r="AH523" s="146"/>
      <c r="AI523" s="146"/>
      <c r="AJ523" s="146"/>
      <c r="AK523" s="146"/>
      <c r="AL523" s="146"/>
      <c r="AM523" s="146"/>
      <c r="AN523" s="146"/>
      <c r="AO523" s="146"/>
      <c r="AP523" s="146"/>
    </row>
    <row r="524" spans="1:42" s="119" customFormat="1">
      <c r="A524" s="238" t="str">
        <f t="shared" si="223"/>
        <v>Other</v>
      </c>
      <c r="B524" s="209">
        <f>IF(IBIOtherFixedFedITC="Yes",IBIOtherFixed,0)</f>
        <v>0</v>
      </c>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146"/>
      <c r="AD524" s="146"/>
      <c r="AE524" s="146"/>
      <c r="AF524" s="146"/>
      <c r="AG524" s="146"/>
      <c r="AH524" s="146"/>
      <c r="AI524" s="146"/>
      <c r="AJ524" s="146"/>
      <c r="AK524" s="146"/>
      <c r="AL524" s="146"/>
      <c r="AM524" s="146"/>
      <c r="AN524" s="146"/>
      <c r="AO524" s="146"/>
      <c r="AP524" s="146"/>
    </row>
    <row r="525" spans="1:42" s="119" customFormat="1">
      <c r="A525" s="238" t="str">
        <f t="shared" si="223"/>
        <v>Total</v>
      </c>
      <c r="B525" s="164">
        <f>SUM(B521:B524)</f>
        <v>3000</v>
      </c>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146"/>
      <c r="AD525" s="146"/>
      <c r="AE525" s="146"/>
      <c r="AF525" s="146"/>
      <c r="AG525" s="146"/>
      <c r="AH525" s="146"/>
      <c r="AI525" s="146"/>
      <c r="AJ525" s="146"/>
      <c r="AK525" s="146"/>
      <c r="AL525" s="146"/>
      <c r="AM525" s="146"/>
      <c r="AN525" s="146"/>
      <c r="AO525" s="146"/>
      <c r="AP525" s="146"/>
    </row>
    <row r="526" spans="1:42" s="119" customFormat="1">
      <c r="A526" s="222" t="str">
        <f t="shared" si="223"/>
        <v>Percentage of Pre-Financing Costs</v>
      </c>
      <c r="B526" s="37"/>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146"/>
      <c r="AD526" s="146"/>
      <c r="AE526" s="146"/>
      <c r="AF526" s="146"/>
      <c r="AG526" s="146"/>
      <c r="AH526" s="146"/>
      <c r="AI526" s="146"/>
      <c r="AJ526" s="146"/>
      <c r="AK526" s="146"/>
      <c r="AL526" s="146"/>
      <c r="AM526" s="146"/>
      <c r="AN526" s="146"/>
      <c r="AO526" s="146"/>
      <c r="AP526" s="146"/>
    </row>
    <row r="527" spans="1:42" s="119" customFormat="1">
      <c r="A527" s="238" t="str">
        <f t="shared" si="223"/>
        <v>Federal</v>
      </c>
      <c r="B527" s="164">
        <f>IF(IBIFedPercentFedITC="Yes",IBIFedPercent,0)</f>
        <v>0</v>
      </c>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146"/>
      <c r="AD527" s="146"/>
      <c r="AE527" s="146"/>
      <c r="AF527" s="146"/>
      <c r="AG527" s="146"/>
      <c r="AH527" s="146"/>
      <c r="AI527" s="146"/>
      <c r="AJ527" s="146"/>
      <c r="AK527" s="146"/>
      <c r="AL527" s="146"/>
      <c r="AM527" s="146"/>
      <c r="AN527" s="146"/>
      <c r="AO527" s="146"/>
      <c r="AP527" s="146"/>
    </row>
    <row r="528" spans="1:42" s="119" customFormat="1">
      <c r="A528" s="238" t="str">
        <f t="shared" si="223"/>
        <v>State</v>
      </c>
      <c r="B528" s="164">
        <f>IF(IBIStatePercentFedITC="Yes",IBIStatePercent,0)</f>
        <v>0</v>
      </c>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146"/>
      <c r="AD528" s="146"/>
      <c r="AE528" s="146"/>
      <c r="AF528" s="146"/>
      <c r="AG528" s="146"/>
      <c r="AH528" s="146"/>
      <c r="AI528" s="146"/>
      <c r="AJ528" s="146"/>
      <c r="AK528" s="146"/>
      <c r="AL528" s="146"/>
      <c r="AM528" s="146"/>
      <c r="AN528" s="146"/>
      <c r="AO528" s="146"/>
      <c r="AP528" s="146"/>
    </row>
    <row r="529" spans="1:42" s="119" customFormat="1">
      <c r="A529" s="238" t="str">
        <f t="shared" si="223"/>
        <v>Utility</v>
      </c>
      <c r="B529" s="164">
        <f>IF(IBIUtilityPercentFedITC="Yes",IBIUtilityPercent,0)</f>
        <v>0</v>
      </c>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146"/>
      <c r="AD529" s="146"/>
      <c r="AE529" s="146"/>
      <c r="AF529" s="146"/>
      <c r="AG529" s="146"/>
      <c r="AH529" s="146"/>
      <c r="AI529" s="146"/>
      <c r="AJ529" s="146"/>
      <c r="AK529" s="146"/>
      <c r="AL529" s="146"/>
      <c r="AM529" s="146"/>
      <c r="AN529" s="146"/>
      <c r="AO529" s="146"/>
      <c r="AP529" s="146"/>
    </row>
    <row r="530" spans="1:42" s="119" customFormat="1">
      <c r="A530" s="238" t="str">
        <f t="shared" si="223"/>
        <v>Other</v>
      </c>
      <c r="B530" s="209">
        <f>IF(IBIOtherPercentFedITC="Yes",IBIOtherPercent,0)</f>
        <v>0</v>
      </c>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146"/>
      <c r="AD530" s="146"/>
      <c r="AE530" s="146"/>
      <c r="AF530" s="146"/>
      <c r="AG530" s="146"/>
      <c r="AH530" s="146"/>
      <c r="AI530" s="146"/>
      <c r="AJ530" s="146"/>
      <c r="AK530" s="146"/>
      <c r="AL530" s="146"/>
      <c r="AM530" s="146"/>
      <c r="AN530" s="146"/>
      <c r="AO530" s="146"/>
      <c r="AP530" s="146"/>
    </row>
    <row r="531" spans="1:42" s="119" customFormat="1">
      <c r="A531" s="238" t="str">
        <f t="shared" si="223"/>
        <v>Total</v>
      </c>
      <c r="B531" s="164">
        <f>SUM(B527:B530)</f>
        <v>0</v>
      </c>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146"/>
      <c r="AD531" s="146"/>
      <c r="AE531" s="146"/>
      <c r="AF531" s="146"/>
      <c r="AG531" s="146"/>
      <c r="AH531" s="146"/>
      <c r="AI531" s="146"/>
      <c r="AJ531" s="146"/>
      <c r="AK531" s="146"/>
      <c r="AL531" s="146"/>
      <c r="AM531" s="146"/>
      <c r="AN531" s="146"/>
      <c r="AO531" s="146"/>
      <c r="AP531" s="146"/>
    </row>
    <row r="532" spans="1:42" s="119" customFormat="1">
      <c r="A532" s="222" t="str">
        <f t="shared" si="223"/>
        <v>Capacity Based Incentive (CBI)</v>
      </c>
      <c r="B532" s="37"/>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146"/>
      <c r="AD532" s="146"/>
      <c r="AE532" s="146"/>
      <c r="AF532" s="146"/>
      <c r="AG532" s="146"/>
      <c r="AH532" s="146"/>
      <c r="AI532" s="146"/>
      <c r="AJ532" s="146"/>
      <c r="AK532" s="146"/>
      <c r="AL532" s="146"/>
      <c r="AM532" s="146"/>
      <c r="AN532" s="146"/>
      <c r="AO532" s="146"/>
      <c r="AP532" s="146"/>
    </row>
    <row r="533" spans="1:42" s="119" customFormat="1">
      <c r="A533" s="238" t="str">
        <f t="shared" si="223"/>
        <v>Federal</v>
      </c>
      <c r="B533" s="164">
        <f>IF(CBIFedFedITC="Yes",CBIFed,0)</f>
        <v>5000000</v>
      </c>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146"/>
      <c r="AD533" s="146"/>
      <c r="AE533" s="146"/>
      <c r="AF533" s="146"/>
      <c r="AG533" s="146"/>
      <c r="AH533" s="146"/>
      <c r="AI533" s="146"/>
      <c r="AJ533" s="146"/>
      <c r="AK533" s="146"/>
      <c r="AL533" s="146"/>
      <c r="AM533" s="146"/>
      <c r="AN533" s="146"/>
      <c r="AO533" s="146"/>
      <c r="AP533" s="146"/>
    </row>
    <row r="534" spans="1:42" s="119" customFormat="1">
      <c r="A534" s="238" t="str">
        <f t="shared" si="223"/>
        <v>State</v>
      </c>
      <c r="B534" s="164">
        <f>IF(CBIStateFedITC="Yes",CBIState,0)</f>
        <v>0</v>
      </c>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146"/>
      <c r="AD534" s="146"/>
      <c r="AE534" s="146"/>
      <c r="AF534" s="146"/>
      <c r="AG534" s="146"/>
      <c r="AH534" s="146"/>
      <c r="AI534" s="146"/>
      <c r="AJ534" s="146"/>
      <c r="AK534" s="146"/>
      <c r="AL534" s="146"/>
      <c r="AM534" s="146"/>
      <c r="AN534" s="146"/>
      <c r="AO534" s="146"/>
      <c r="AP534" s="146"/>
    </row>
    <row r="535" spans="1:42" s="119" customFormat="1">
      <c r="A535" s="238" t="str">
        <f t="shared" si="223"/>
        <v>Utility</v>
      </c>
      <c r="B535" s="164">
        <f>IF(CBIUtilityFedITC="Yes",CBIUtility,0)</f>
        <v>0</v>
      </c>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146"/>
      <c r="AD535" s="146"/>
      <c r="AE535" s="146"/>
      <c r="AF535" s="146"/>
      <c r="AG535" s="146"/>
      <c r="AH535" s="146"/>
      <c r="AI535" s="146"/>
      <c r="AJ535" s="146"/>
      <c r="AK535" s="146"/>
      <c r="AL535" s="146"/>
      <c r="AM535" s="146"/>
      <c r="AN535" s="146"/>
      <c r="AO535" s="146"/>
      <c r="AP535" s="146"/>
    </row>
    <row r="536" spans="1:42" s="119" customFormat="1">
      <c r="A536" s="238" t="str">
        <f t="shared" si="223"/>
        <v>Other</v>
      </c>
      <c r="B536" s="209">
        <f>IF(CBIOtherFedITC="Yes",CBIOther,0)</f>
        <v>0</v>
      </c>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146"/>
      <c r="AD536" s="146"/>
      <c r="AE536" s="146"/>
      <c r="AF536" s="146"/>
      <c r="AG536" s="146"/>
      <c r="AH536" s="146"/>
      <c r="AI536" s="146"/>
      <c r="AJ536" s="146"/>
      <c r="AK536" s="146"/>
      <c r="AL536" s="146"/>
      <c r="AM536" s="146"/>
      <c r="AN536" s="146"/>
      <c r="AO536" s="146"/>
      <c r="AP536" s="146"/>
    </row>
    <row r="537" spans="1:42" s="119" customFormat="1">
      <c r="A537" s="238" t="str">
        <f t="shared" si="223"/>
        <v>Total</v>
      </c>
      <c r="B537" s="216">
        <f>SUM(B533:B536)</f>
        <v>5000000</v>
      </c>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146"/>
      <c r="AD537" s="146"/>
      <c r="AE537" s="146"/>
      <c r="AF537" s="146"/>
      <c r="AG537" s="146"/>
      <c r="AH537" s="146"/>
      <c r="AI537" s="146"/>
      <c r="AJ537" s="146"/>
      <c r="AK537" s="146"/>
      <c r="AL537" s="146"/>
      <c r="AM537" s="146"/>
      <c r="AN537" s="146"/>
      <c r="AO537" s="146"/>
      <c r="AP537" s="146"/>
    </row>
    <row r="538" spans="1:42" s="119" customFormat="1">
      <c r="A538" s="206" t="str">
        <f t="shared" si="223"/>
        <v>Total ITC Qualifying Cost Reduction</v>
      </c>
      <c r="B538" s="164">
        <f>B525+B531+B537</f>
        <v>5003000</v>
      </c>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146"/>
      <c r="AD538" s="146"/>
      <c r="AE538" s="146"/>
      <c r="AF538" s="146"/>
      <c r="AG538" s="146"/>
      <c r="AH538" s="146"/>
      <c r="AI538" s="146"/>
      <c r="AJ538" s="146"/>
      <c r="AK538" s="146"/>
      <c r="AL538" s="146"/>
      <c r="AM538" s="146"/>
      <c r="AN538" s="146"/>
      <c r="AO538" s="146"/>
      <c r="AP538" s="146"/>
    </row>
    <row r="539" spans="1:42" s="119" customFormat="1">
      <c r="A539" s="268" t="s">
        <v>292</v>
      </c>
      <c r="B539" s="269" t="str">
        <f>IF(B538-E516-F516=0,"OK","Check")</f>
        <v>OK</v>
      </c>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146"/>
      <c r="AD539" s="146"/>
      <c r="AE539" s="146"/>
      <c r="AF539" s="146"/>
      <c r="AG539" s="146"/>
      <c r="AH539" s="146"/>
      <c r="AI539" s="146"/>
      <c r="AJ539" s="146"/>
      <c r="AK539" s="146"/>
      <c r="AL539" s="146"/>
      <c r="AM539" s="146"/>
      <c r="AN539" s="146"/>
      <c r="AO539" s="146"/>
      <c r="AP539" s="146"/>
    </row>
    <row r="540" spans="1:42" s="119" customFormat="1">
      <c r="A540" s="22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146"/>
      <c r="AD540" s="146"/>
      <c r="AE540" s="146"/>
      <c r="AF540" s="146"/>
      <c r="AG540" s="146"/>
      <c r="AH540" s="146"/>
      <c r="AI540" s="146"/>
      <c r="AJ540" s="146"/>
      <c r="AK540" s="146"/>
      <c r="AL540" s="146"/>
      <c r="AM540" s="146"/>
      <c r="AN540" s="146"/>
      <c r="AO540" s="146"/>
      <c r="AP540" s="146"/>
    </row>
    <row r="541" spans="1:42" s="119" customFormat="1">
      <c r="A541" s="201" t="s">
        <v>180</v>
      </c>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146"/>
      <c r="AD541" s="146"/>
      <c r="AE541" s="146"/>
      <c r="AF541" s="146"/>
      <c r="AG541" s="146"/>
      <c r="AH541" s="146"/>
      <c r="AI541" s="146"/>
      <c r="AJ541" s="146"/>
      <c r="AK541" s="146"/>
      <c r="AL541" s="146"/>
      <c r="AM541" s="146"/>
      <c r="AN541" s="146"/>
      <c r="AO541" s="146"/>
      <c r="AP541" s="146"/>
    </row>
    <row r="542" spans="1:42" s="119" customFormat="1">
      <c r="A542" s="219" t="s">
        <v>37</v>
      </c>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146"/>
      <c r="AD542" s="146"/>
      <c r="AE542" s="146"/>
      <c r="AF542" s="146"/>
      <c r="AG542" s="146"/>
      <c r="AH542" s="146"/>
      <c r="AI542" s="146"/>
      <c r="AJ542" s="146"/>
      <c r="AK542" s="146"/>
      <c r="AL542" s="146"/>
      <c r="AM542" s="146"/>
      <c r="AN542" s="146"/>
      <c r="AO542" s="146"/>
      <c r="AP542" s="146"/>
    </row>
    <row r="543" spans="1:42" s="119" customFormat="1">
      <c r="A543" s="226" t="s">
        <v>182</v>
      </c>
      <c r="C543" s="270">
        <f t="shared" ref="C543:AP543" si="224">IF(C$2&lt;=StatePTCTerm,StatePTCAmount*(1+Inflation)^B$2,0)</f>
        <v>0</v>
      </c>
      <c r="D543" s="270">
        <f t="shared" si="224"/>
        <v>0</v>
      </c>
      <c r="E543" s="270">
        <f t="shared" si="224"/>
        <v>0</v>
      </c>
      <c r="F543" s="270">
        <f t="shared" si="224"/>
        <v>0</v>
      </c>
      <c r="G543" s="270">
        <f t="shared" si="224"/>
        <v>0</v>
      </c>
      <c r="H543" s="270">
        <f t="shared" si="224"/>
        <v>0</v>
      </c>
      <c r="I543" s="270">
        <f t="shared" si="224"/>
        <v>0</v>
      </c>
      <c r="J543" s="270">
        <f t="shared" si="224"/>
        <v>0</v>
      </c>
      <c r="K543" s="270">
        <f t="shared" si="224"/>
        <v>0</v>
      </c>
      <c r="L543" s="270">
        <f t="shared" si="224"/>
        <v>0</v>
      </c>
      <c r="M543" s="270">
        <f t="shared" si="224"/>
        <v>0</v>
      </c>
      <c r="N543" s="270">
        <f t="shared" si="224"/>
        <v>0</v>
      </c>
      <c r="O543" s="270">
        <f t="shared" si="224"/>
        <v>0</v>
      </c>
      <c r="P543" s="270">
        <f t="shared" si="224"/>
        <v>0</v>
      </c>
      <c r="Q543" s="270">
        <f t="shared" si="224"/>
        <v>0</v>
      </c>
      <c r="R543" s="270">
        <f t="shared" si="224"/>
        <v>0</v>
      </c>
      <c r="S543" s="270">
        <f t="shared" si="224"/>
        <v>0</v>
      </c>
      <c r="T543" s="270">
        <f t="shared" si="224"/>
        <v>0</v>
      </c>
      <c r="U543" s="270">
        <f t="shared" si="224"/>
        <v>0</v>
      </c>
      <c r="V543" s="270">
        <f t="shared" si="224"/>
        <v>0</v>
      </c>
      <c r="W543" s="270">
        <f t="shared" si="224"/>
        <v>0</v>
      </c>
      <c r="X543" s="270">
        <f t="shared" si="224"/>
        <v>0</v>
      </c>
      <c r="Y543" s="270">
        <f t="shared" si="224"/>
        <v>0</v>
      </c>
      <c r="Z543" s="270">
        <f t="shared" si="224"/>
        <v>0</v>
      </c>
      <c r="AA543" s="270">
        <f t="shared" si="224"/>
        <v>0</v>
      </c>
      <c r="AB543" s="270">
        <f t="shared" si="224"/>
        <v>0</v>
      </c>
      <c r="AC543" s="270">
        <f t="shared" si="224"/>
        <v>0</v>
      </c>
      <c r="AD543" s="270">
        <f t="shared" si="224"/>
        <v>0</v>
      </c>
      <c r="AE543" s="270">
        <f t="shared" si="224"/>
        <v>0</v>
      </c>
      <c r="AF543" s="270">
        <f t="shared" si="224"/>
        <v>0</v>
      </c>
      <c r="AG543" s="270">
        <f t="shared" si="224"/>
        <v>0</v>
      </c>
      <c r="AH543" s="270">
        <f t="shared" si="224"/>
        <v>0</v>
      </c>
      <c r="AI543" s="270">
        <f t="shared" si="224"/>
        <v>0</v>
      </c>
      <c r="AJ543" s="270">
        <f t="shared" si="224"/>
        <v>0</v>
      </c>
      <c r="AK543" s="270">
        <f t="shared" si="224"/>
        <v>0</v>
      </c>
      <c r="AL543" s="270">
        <f t="shared" si="224"/>
        <v>0</v>
      </c>
      <c r="AM543" s="270">
        <f t="shared" si="224"/>
        <v>0</v>
      </c>
      <c r="AN543" s="270">
        <f t="shared" si="224"/>
        <v>0</v>
      </c>
      <c r="AO543" s="270">
        <f t="shared" si="224"/>
        <v>0</v>
      </c>
      <c r="AP543" s="270">
        <f t="shared" si="224"/>
        <v>0</v>
      </c>
    </row>
    <row r="544" spans="1:42" s="119" customFormat="1">
      <c r="A544" s="226" t="s">
        <v>183</v>
      </c>
      <c r="C544" s="271">
        <f>ROUND(C543*1000,0)</f>
        <v>0</v>
      </c>
      <c r="D544" s="271">
        <f>ROUND(D543*1000,0)</f>
        <v>0</v>
      </c>
      <c r="E544" s="271">
        <f t="shared" ref="E544:AP544" si="225">ROUND(E543*1000,0)</f>
        <v>0</v>
      </c>
      <c r="F544" s="271">
        <f t="shared" si="225"/>
        <v>0</v>
      </c>
      <c r="G544" s="271">
        <f t="shared" si="225"/>
        <v>0</v>
      </c>
      <c r="H544" s="271">
        <f t="shared" si="225"/>
        <v>0</v>
      </c>
      <c r="I544" s="271">
        <f t="shared" si="225"/>
        <v>0</v>
      </c>
      <c r="J544" s="271">
        <f t="shared" si="225"/>
        <v>0</v>
      </c>
      <c r="K544" s="271">
        <f t="shared" si="225"/>
        <v>0</v>
      </c>
      <c r="L544" s="271">
        <f t="shared" si="225"/>
        <v>0</v>
      </c>
      <c r="M544" s="271">
        <f t="shared" si="225"/>
        <v>0</v>
      </c>
      <c r="N544" s="271">
        <f t="shared" si="225"/>
        <v>0</v>
      </c>
      <c r="O544" s="271">
        <f t="shared" si="225"/>
        <v>0</v>
      </c>
      <c r="P544" s="271">
        <f t="shared" si="225"/>
        <v>0</v>
      </c>
      <c r="Q544" s="271">
        <f t="shared" si="225"/>
        <v>0</v>
      </c>
      <c r="R544" s="271">
        <f t="shared" si="225"/>
        <v>0</v>
      </c>
      <c r="S544" s="271">
        <f t="shared" si="225"/>
        <v>0</v>
      </c>
      <c r="T544" s="271">
        <f t="shared" si="225"/>
        <v>0</v>
      </c>
      <c r="U544" s="271">
        <f t="shared" si="225"/>
        <v>0</v>
      </c>
      <c r="V544" s="271">
        <f t="shared" si="225"/>
        <v>0</v>
      </c>
      <c r="W544" s="271">
        <f t="shared" si="225"/>
        <v>0</v>
      </c>
      <c r="X544" s="271">
        <f t="shared" si="225"/>
        <v>0</v>
      </c>
      <c r="Y544" s="271">
        <f t="shared" si="225"/>
        <v>0</v>
      </c>
      <c r="Z544" s="271">
        <f t="shared" si="225"/>
        <v>0</v>
      </c>
      <c r="AA544" s="271">
        <f t="shared" si="225"/>
        <v>0</v>
      </c>
      <c r="AB544" s="271">
        <f t="shared" si="225"/>
        <v>0</v>
      </c>
      <c r="AC544" s="271">
        <f t="shared" si="225"/>
        <v>0</v>
      </c>
      <c r="AD544" s="271">
        <f t="shared" si="225"/>
        <v>0</v>
      </c>
      <c r="AE544" s="271">
        <f t="shared" si="225"/>
        <v>0</v>
      </c>
      <c r="AF544" s="271">
        <f t="shared" si="225"/>
        <v>0</v>
      </c>
      <c r="AG544" s="271">
        <f t="shared" si="225"/>
        <v>0</v>
      </c>
      <c r="AH544" s="271">
        <f t="shared" si="225"/>
        <v>0</v>
      </c>
      <c r="AI544" s="271">
        <f t="shared" si="225"/>
        <v>0</v>
      </c>
      <c r="AJ544" s="271">
        <f t="shared" si="225"/>
        <v>0</v>
      </c>
      <c r="AK544" s="271">
        <f t="shared" si="225"/>
        <v>0</v>
      </c>
      <c r="AL544" s="271">
        <f t="shared" si="225"/>
        <v>0</v>
      </c>
      <c r="AM544" s="271">
        <f t="shared" si="225"/>
        <v>0</v>
      </c>
      <c r="AN544" s="271">
        <f t="shared" si="225"/>
        <v>0</v>
      </c>
      <c r="AO544" s="271">
        <f t="shared" si="225"/>
        <v>0</v>
      </c>
      <c r="AP544" s="271">
        <f t="shared" si="225"/>
        <v>0</v>
      </c>
    </row>
    <row r="545" spans="1:42" s="119" customFormat="1">
      <c r="A545" s="226" t="s">
        <v>184</v>
      </c>
      <c r="C545" s="225">
        <f>C$5/1000</f>
        <v>17000</v>
      </c>
      <c r="D545" s="225">
        <f>D$5/1000</f>
        <v>16915</v>
      </c>
      <c r="E545" s="225">
        <f t="shared" ref="E545:AP545" si="226">E$5/1000</f>
        <v>16830.424999999999</v>
      </c>
      <c r="F545" s="225">
        <f t="shared" si="226"/>
        <v>16746.272874999999</v>
      </c>
      <c r="G545" s="225">
        <f t="shared" si="226"/>
        <v>16662.541510625</v>
      </c>
      <c r="H545" s="225">
        <f t="shared" si="226"/>
        <v>16579.228803071874</v>
      </c>
      <c r="I545" s="225">
        <f t="shared" si="226"/>
        <v>16496.332659056516</v>
      </c>
      <c r="J545" s="225">
        <f t="shared" si="226"/>
        <v>16413.850995761233</v>
      </c>
      <c r="K545" s="225">
        <f t="shared" si="226"/>
        <v>16331.781740782426</v>
      </c>
      <c r="L545" s="225">
        <f t="shared" si="226"/>
        <v>16250.122832078514</v>
      </c>
      <c r="M545" s="225">
        <f t="shared" si="226"/>
        <v>16168.872217918122</v>
      </c>
      <c r="N545" s="225">
        <f t="shared" si="226"/>
        <v>16088.027856828532</v>
      </c>
      <c r="O545" s="225">
        <f t="shared" si="226"/>
        <v>16007.587717544387</v>
      </c>
      <c r="P545" s="225">
        <f t="shared" si="226"/>
        <v>15927.549778956667</v>
      </c>
      <c r="Q545" s="225">
        <f t="shared" si="226"/>
        <v>15847.912030061883</v>
      </c>
      <c r="R545" s="225">
        <f t="shared" si="226"/>
        <v>15768.672469911573</v>
      </c>
      <c r="S545" s="225">
        <f t="shared" si="226"/>
        <v>15689.829107562015</v>
      </c>
      <c r="T545" s="225">
        <f t="shared" si="226"/>
        <v>15611.379962024204</v>
      </c>
      <c r="U545" s="225">
        <f t="shared" si="226"/>
        <v>15533.323062214084</v>
      </c>
      <c r="V545" s="225">
        <f t="shared" si="226"/>
        <v>15455.656446903013</v>
      </c>
      <c r="W545" s="225">
        <f t="shared" si="226"/>
        <v>15378.378164668497</v>
      </c>
      <c r="X545" s="225">
        <f t="shared" si="226"/>
        <v>15301.486273845156</v>
      </c>
      <c r="Y545" s="225">
        <f t="shared" si="226"/>
        <v>15224.978842475928</v>
      </c>
      <c r="Z545" s="225">
        <f t="shared" si="226"/>
        <v>15148.853948263548</v>
      </c>
      <c r="AA545" s="225">
        <f t="shared" si="226"/>
        <v>15073.109678522231</v>
      </c>
      <c r="AB545" s="225">
        <f t="shared" si="226"/>
        <v>14997.74413012962</v>
      </c>
      <c r="AC545" s="225">
        <f t="shared" si="226"/>
        <v>14922.755409478972</v>
      </c>
      <c r="AD545" s="225">
        <f t="shared" si="226"/>
        <v>14848.141632431576</v>
      </c>
      <c r="AE545" s="225">
        <f t="shared" si="226"/>
        <v>14773.900924269417</v>
      </c>
      <c r="AF545" s="225">
        <f t="shared" si="226"/>
        <v>14700.03141964807</v>
      </c>
      <c r="AG545" s="225">
        <f t="shared" si="226"/>
        <v>0</v>
      </c>
      <c r="AH545" s="225">
        <f t="shared" si="226"/>
        <v>0</v>
      </c>
      <c r="AI545" s="225">
        <f t="shared" si="226"/>
        <v>0</v>
      </c>
      <c r="AJ545" s="225">
        <f t="shared" si="226"/>
        <v>0</v>
      </c>
      <c r="AK545" s="225">
        <f t="shared" si="226"/>
        <v>0</v>
      </c>
      <c r="AL545" s="225">
        <f t="shared" si="226"/>
        <v>0</v>
      </c>
      <c r="AM545" s="225">
        <f t="shared" si="226"/>
        <v>0</v>
      </c>
      <c r="AN545" s="225">
        <f t="shared" si="226"/>
        <v>0</v>
      </c>
      <c r="AO545" s="225">
        <f t="shared" si="226"/>
        <v>0</v>
      </c>
      <c r="AP545" s="225">
        <f t="shared" si="226"/>
        <v>0</v>
      </c>
    </row>
    <row r="546" spans="1:42" s="119" customFormat="1">
      <c r="A546" s="226" t="s">
        <v>53</v>
      </c>
      <c r="C546" s="146">
        <f>C544*C545</f>
        <v>0</v>
      </c>
      <c r="D546" s="146">
        <f>D544*D545</f>
        <v>0</v>
      </c>
      <c r="E546" s="146">
        <f t="shared" ref="E546:AP546" si="227">E544*E545</f>
        <v>0</v>
      </c>
      <c r="F546" s="146">
        <f t="shared" si="227"/>
        <v>0</v>
      </c>
      <c r="G546" s="146">
        <f t="shared" si="227"/>
        <v>0</v>
      </c>
      <c r="H546" s="146">
        <f t="shared" si="227"/>
        <v>0</v>
      </c>
      <c r="I546" s="146">
        <f t="shared" si="227"/>
        <v>0</v>
      </c>
      <c r="J546" s="146">
        <f t="shared" si="227"/>
        <v>0</v>
      </c>
      <c r="K546" s="146">
        <f t="shared" si="227"/>
        <v>0</v>
      </c>
      <c r="L546" s="146">
        <f t="shared" si="227"/>
        <v>0</v>
      </c>
      <c r="M546" s="146">
        <f t="shared" si="227"/>
        <v>0</v>
      </c>
      <c r="N546" s="146">
        <f t="shared" si="227"/>
        <v>0</v>
      </c>
      <c r="O546" s="146">
        <f t="shared" si="227"/>
        <v>0</v>
      </c>
      <c r="P546" s="146">
        <f t="shared" si="227"/>
        <v>0</v>
      </c>
      <c r="Q546" s="146">
        <f t="shared" si="227"/>
        <v>0</v>
      </c>
      <c r="R546" s="146">
        <f t="shared" si="227"/>
        <v>0</v>
      </c>
      <c r="S546" s="146">
        <f t="shared" si="227"/>
        <v>0</v>
      </c>
      <c r="T546" s="146">
        <f t="shared" si="227"/>
        <v>0</v>
      </c>
      <c r="U546" s="146">
        <f t="shared" si="227"/>
        <v>0</v>
      </c>
      <c r="V546" s="146">
        <f t="shared" si="227"/>
        <v>0</v>
      </c>
      <c r="W546" s="146">
        <f t="shared" si="227"/>
        <v>0</v>
      </c>
      <c r="X546" s="146">
        <f t="shared" si="227"/>
        <v>0</v>
      </c>
      <c r="Y546" s="146">
        <f t="shared" si="227"/>
        <v>0</v>
      </c>
      <c r="Z546" s="146">
        <f t="shared" si="227"/>
        <v>0</v>
      </c>
      <c r="AA546" s="146">
        <f t="shared" si="227"/>
        <v>0</v>
      </c>
      <c r="AB546" s="146">
        <f t="shared" si="227"/>
        <v>0</v>
      </c>
      <c r="AC546" s="146">
        <f t="shared" si="227"/>
        <v>0</v>
      </c>
      <c r="AD546" s="146">
        <f t="shared" si="227"/>
        <v>0</v>
      </c>
      <c r="AE546" s="146">
        <f t="shared" si="227"/>
        <v>0</v>
      </c>
      <c r="AF546" s="146">
        <f t="shared" si="227"/>
        <v>0</v>
      </c>
      <c r="AG546" s="146">
        <f t="shared" si="227"/>
        <v>0</v>
      </c>
      <c r="AH546" s="146">
        <f t="shared" si="227"/>
        <v>0</v>
      </c>
      <c r="AI546" s="146">
        <f t="shared" si="227"/>
        <v>0</v>
      </c>
      <c r="AJ546" s="146">
        <f t="shared" si="227"/>
        <v>0</v>
      </c>
      <c r="AK546" s="146">
        <f t="shared" si="227"/>
        <v>0</v>
      </c>
      <c r="AL546" s="146">
        <f t="shared" si="227"/>
        <v>0</v>
      </c>
      <c r="AM546" s="146">
        <f t="shared" si="227"/>
        <v>0</v>
      </c>
      <c r="AN546" s="146">
        <f t="shared" si="227"/>
        <v>0</v>
      </c>
      <c r="AO546" s="146">
        <f t="shared" si="227"/>
        <v>0</v>
      </c>
      <c r="AP546" s="146">
        <f t="shared" si="227"/>
        <v>0</v>
      </c>
    </row>
    <row r="547" spans="1:42" s="119" customFormat="1">
      <c r="A547" s="219"/>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146"/>
      <c r="AD547" s="146"/>
      <c r="AE547" s="146"/>
      <c r="AF547" s="146"/>
      <c r="AG547" s="146"/>
      <c r="AH547" s="146"/>
      <c r="AI547" s="146"/>
      <c r="AJ547" s="146"/>
      <c r="AK547" s="146"/>
      <c r="AL547" s="146"/>
      <c r="AM547" s="146"/>
      <c r="AN547" s="146"/>
      <c r="AO547" s="146"/>
      <c r="AP547" s="146"/>
    </row>
    <row r="548" spans="1:42" s="119" customFormat="1">
      <c r="A548" s="219" t="s">
        <v>36</v>
      </c>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146"/>
      <c r="AD548" s="146"/>
      <c r="AE548" s="146"/>
      <c r="AF548" s="146"/>
      <c r="AG548" s="146"/>
      <c r="AH548" s="146"/>
      <c r="AI548" s="146"/>
      <c r="AJ548" s="146"/>
      <c r="AK548" s="146"/>
      <c r="AL548" s="146"/>
      <c r="AM548" s="146"/>
      <c r="AN548" s="146"/>
      <c r="AO548" s="146"/>
      <c r="AP548" s="146"/>
    </row>
    <row r="549" spans="1:42" s="119" customFormat="1">
      <c r="A549" s="226" t="s">
        <v>182</v>
      </c>
      <c r="C549" s="270">
        <f t="shared" ref="C549:AP549" si="228">IF(C$2&lt;=FedPTCTerm,FedPTCAmount*(1+Inflation)^B$2,0)</f>
        <v>0</v>
      </c>
      <c r="D549" s="270">
        <f t="shared" si="228"/>
        <v>0</v>
      </c>
      <c r="E549" s="270">
        <f t="shared" si="228"/>
        <v>0</v>
      </c>
      <c r="F549" s="270">
        <f t="shared" si="228"/>
        <v>0</v>
      </c>
      <c r="G549" s="270">
        <f t="shared" si="228"/>
        <v>0</v>
      </c>
      <c r="H549" s="270">
        <f t="shared" si="228"/>
        <v>0</v>
      </c>
      <c r="I549" s="270">
        <f t="shared" si="228"/>
        <v>0</v>
      </c>
      <c r="J549" s="270">
        <f t="shared" si="228"/>
        <v>0</v>
      </c>
      <c r="K549" s="270">
        <f t="shared" si="228"/>
        <v>0</v>
      </c>
      <c r="L549" s="270">
        <f t="shared" si="228"/>
        <v>0</v>
      </c>
      <c r="M549" s="270">
        <f t="shared" si="228"/>
        <v>0</v>
      </c>
      <c r="N549" s="270">
        <f t="shared" si="228"/>
        <v>0</v>
      </c>
      <c r="O549" s="270">
        <f t="shared" si="228"/>
        <v>0</v>
      </c>
      <c r="P549" s="270">
        <f t="shared" si="228"/>
        <v>0</v>
      </c>
      <c r="Q549" s="270">
        <f t="shared" si="228"/>
        <v>0</v>
      </c>
      <c r="R549" s="270">
        <f t="shared" si="228"/>
        <v>0</v>
      </c>
      <c r="S549" s="270">
        <f t="shared" si="228"/>
        <v>0</v>
      </c>
      <c r="T549" s="270">
        <f t="shared" si="228"/>
        <v>0</v>
      </c>
      <c r="U549" s="270">
        <f t="shared" si="228"/>
        <v>0</v>
      </c>
      <c r="V549" s="270">
        <f t="shared" si="228"/>
        <v>0</v>
      </c>
      <c r="W549" s="270">
        <f t="shared" si="228"/>
        <v>0</v>
      </c>
      <c r="X549" s="270">
        <f t="shared" si="228"/>
        <v>0</v>
      </c>
      <c r="Y549" s="270">
        <f t="shared" si="228"/>
        <v>0</v>
      </c>
      <c r="Z549" s="270">
        <f t="shared" si="228"/>
        <v>0</v>
      </c>
      <c r="AA549" s="270">
        <f t="shared" si="228"/>
        <v>0</v>
      </c>
      <c r="AB549" s="270">
        <f t="shared" si="228"/>
        <v>0</v>
      </c>
      <c r="AC549" s="270">
        <f t="shared" si="228"/>
        <v>0</v>
      </c>
      <c r="AD549" s="270">
        <f t="shared" si="228"/>
        <v>0</v>
      </c>
      <c r="AE549" s="270">
        <f t="shared" si="228"/>
        <v>0</v>
      </c>
      <c r="AF549" s="270">
        <f t="shared" si="228"/>
        <v>0</v>
      </c>
      <c r="AG549" s="270">
        <f t="shared" si="228"/>
        <v>0</v>
      </c>
      <c r="AH549" s="270">
        <f t="shared" si="228"/>
        <v>0</v>
      </c>
      <c r="AI549" s="270">
        <f t="shared" si="228"/>
        <v>0</v>
      </c>
      <c r="AJ549" s="270">
        <f t="shared" si="228"/>
        <v>0</v>
      </c>
      <c r="AK549" s="270">
        <f t="shared" si="228"/>
        <v>0</v>
      </c>
      <c r="AL549" s="270">
        <f t="shared" si="228"/>
        <v>0</v>
      </c>
      <c r="AM549" s="270">
        <f t="shared" si="228"/>
        <v>0</v>
      </c>
      <c r="AN549" s="270">
        <f t="shared" si="228"/>
        <v>0</v>
      </c>
      <c r="AO549" s="270">
        <f t="shared" si="228"/>
        <v>0</v>
      </c>
      <c r="AP549" s="270">
        <f t="shared" si="228"/>
        <v>0</v>
      </c>
    </row>
    <row r="550" spans="1:42" s="119" customFormat="1">
      <c r="A550" s="226" t="s">
        <v>183</v>
      </c>
      <c r="C550" s="271">
        <f>ROUND(C549*1000,0)</f>
        <v>0</v>
      </c>
      <c r="D550" s="271">
        <f>ROUND(D549*1000,0)</f>
        <v>0</v>
      </c>
      <c r="E550" s="271">
        <f t="shared" ref="E550:AP550" si="229">ROUND(E549*1000,0)</f>
        <v>0</v>
      </c>
      <c r="F550" s="271">
        <f t="shared" si="229"/>
        <v>0</v>
      </c>
      <c r="G550" s="271">
        <f t="shared" si="229"/>
        <v>0</v>
      </c>
      <c r="H550" s="271">
        <f t="shared" si="229"/>
        <v>0</v>
      </c>
      <c r="I550" s="271">
        <f t="shared" si="229"/>
        <v>0</v>
      </c>
      <c r="J550" s="271">
        <f t="shared" si="229"/>
        <v>0</v>
      </c>
      <c r="K550" s="271">
        <f t="shared" si="229"/>
        <v>0</v>
      </c>
      <c r="L550" s="271">
        <f t="shared" si="229"/>
        <v>0</v>
      </c>
      <c r="M550" s="271">
        <f t="shared" si="229"/>
        <v>0</v>
      </c>
      <c r="N550" s="271">
        <f t="shared" si="229"/>
        <v>0</v>
      </c>
      <c r="O550" s="271">
        <f t="shared" si="229"/>
        <v>0</v>
      </c>
      <c r="P550" s="271">
        <f t="shared" si="229"/>
        <v>0</v>
      </c>
      <c r="Q550" s="271">
        <f t="shared" si="229"/>
        <v>0</v>
      </c>
      <c r="R550" s="271">
        <f t="shared" si="229"/>
        <v>0</v>
      </c>
      <c r="S550" s="271">
        <f t="shared" si="229"/>
        <v>0</v>
      </c>
      <c r="T550" s="271">
        <f t="shared" si="229"/>
        <v>0</v>
      </c>
      <c r="U550" s="271">
        <f t="shared" si="229"/>
        <v>0</v>
      </c>
      <c r="V550" s="271">
        <f t="shared" si="229"/>
        <v>0</v>
      </c>
      <c r="W550" s="271">
        <f t="shared" si="229"/>
        <v>0</v>
      </c>
      <c r="X550" s="271">
        <f t="shared" si="229"/>
        <v>0</v>
      </c>
      <c r="Y550" s="271">
        <f t="shared" si="229"/>
        <v>0</v>
      </c>
      <c r="Z550" s="271">
        <f t="shared" si="229"/>
        <v>0</v>
      </c>
      <c r="AA550" s="271">
        <f t="shared" si="229"/>
        <v>0</v>
      </c>
      <c r="AB550" s="271">
        <f t="shared" si="229"/>
        <v>0</v>
      </c>
      <c r="AC550" s="271">
        <f t="shared" si="229"/>
        <v>0</v>
      </c>
      <c r="AD550" s="271">
        <f t="shared" si="229"/>
        <v>0</v>
      </c>
      <c r="AE550" s="271">
        <f t="shared" si="229"/>
        <v>0</v>
      </c>
      <c r="AF550" s="271">
        <f t="shared" si="229"/>
        <v>0</v>
      </c>
      <c r="AG550" s="271">
        <f t="shared" si="229"/>
        <v>0</v>
      </c>
      <c r="AH550" s="271">
        <f t="shared" si="229"/>
        <v>0</v>
      </c>
      <c r="AI550" s="271">
        <f t="shared" si="229"/>
        <v>0</v>
      </c>
      <c r="AJ550" s="271">
        <f t="shared" si="229"/>
        <v>0</v>
      </c>
      <c r="AK550" s="271">
        <f t="shared" si="229"/>
        <v>0</v>
      </c>
      <c r="AL550" s="271">
        <f t="shared" si="229"/>
        <v>0</v>
      </c>
      <c r="AM550" s="271">
        <f t="shared" si="229"/>
        <v>0</v>
      </c>
      <c r="AN550" s="271">
        <f t="shared" si="229"/>
        <v>0</v>
      </c>
      <c r="AO550" s="271">
        <f t="shared" si="229"/>
        <v>0</v>
      </c>
      <c r="AP550" s="271">
        <f t="shared" si="229"/>
        <v>0</v>
      </c>
    </row>
    <row r="551" spans="1:42" s="119" customFormat="1">
      <c r="A551" s="226" t="s">
        <v>184</v>
      </c>
      <c r="C551" s="225">
        <f>C$5/1000</f>
        <v>17000</v>
      </c>
      <c r="D551" s="225">
        <f>D$5/1000</f>
        <v>16915</v>
      </c>
      <c r="E551" s="225">
        <f t="shared" ref="E551:AP551" si="230">E$5/1000</f>
        <v>16830.424999999999</v>
      </c>
      <c r="F551" s="225">
        <f t="shared" si="230"/>
        <v>16746.272874999999</v>
      </c>
      <c r="G551" s="225">
        <f t="shared" si="230"/>
        <v>16662.541510625</v>
      </c>
      <c r="H551" s="225">
        <f t="shared" si="230"/>
        <v>16579.228803071874</v>
      </c>
      <c r="I551" s="225">
        <f t="shared" si="230"/>
        <v>16496.332659056516</v>
      </c>
      <c r="J551" s="225">
        <f t="shared" si="230"/>
        <v>16413.850995761233</v>
      </c>
      <c r="K551" s="225">
        <f t="shared" si="230"/>
        <v>16331.781740782426</v>
      </c>
      <c r="L551" s="225">
        <f t="shared" si="230"/>
        <v>16250.122832078514</v>
      </c>
      <c r="M551" s="225">
        <f t="shared" si="230"/>
        <v>16168.872217918122</v>
      </c>
      <c r="N551" s="225">
        <f t="shared" si="230"/>
        <v>16088.027856828532</v>
      </c>
      <c r="O551" s="225">
        <f t="shared" si="230"/>
        <v>16007.587717544387</v>
      </c>
      <c r="P551" s="225">
        <f t="shared" si="230"/>
        <v>15927.549778956667</v>
      </c>
      <c r="Q551" s="225">
        <f t="shared" si="230"/>
        <v>15847.912030061883</v>
      </c>
      <c r="R551" s="225">
        <f t="shared" si="230"/>
        <v>15768.672469911573</v>
      </c>
      <c r="S551" s="225">
        <f t="shared" si="230"/>
        <v>15689.829107562015</v>
      </c>
      <c r="T551" s="225">
        <f t="shared" si="230"/>
        <v>15611.379962024204</v>
      </c>
      <c r="U551" s="225">
        <f t="shared" si="230"/>
        <v>15533.323062214084</v>
      </c>
      <c r="V551" s="225">
        <f t="shared" si="230"/>
        <v>15455.656446903013</v>
      </c>
      <c r="W551" s="225">
        <f t="shared" si="230"/>
        <v>15378.378164668497</v>
      </c>
      <c r="X551" s="225">
        <f t="shared" si="230"/>
        <v>15301.486273845156</v>
      </c>
      <c r="Y551" s="225">
        <f t="shared" si="230"/>
        <v>15224.978842475928</v>
      </c>
      <c r="Z551" s="225">
        <f t="shared" si="230"/>
        <v>15148.853948263548</v>
      </c>
      <c r="AA551" s="225">
        <f t="shared" si="230"/>
        <v>15073.109678522231</v>
      </c>
      <c r="AB551" s="225">
        <f t="shared" si="230"/>
        <v>14997.74413012962</v>
      </c>
      <c r="AC551" s="225">
        <f t="shared" si="230"/>
        <v>14922.755409478972</v>
      </c>
      <c r="AD551" s="225">
        <f t="shared" si="230"/>
        <v>14848.141632431576</v>
      </c>
      <c r="AE551" s="225">
        <f t="shared" si="230"/>
        <v>14773.900924269417</v>
      </c>
      <c r="AF551" s="225">
        <f t="shared" si="230"/>
        <v>14700.03141964807</v>
      </c>
      <c r="AG551" s="225">
        <f t="shared" si="230"/>
        <v>0</v>
      </c>
      <c r="AH551" s="225">
        <f t="shared" si="230"/>
        <v>0</v>
      </c>
      <c r="AI551" s="225">
        <f t="shared" si="230"/>
        <v>0</v>
      </c>
      <c r="AJ551" s="225">
        <f t="shared" si="230"/>
        <v>0</v>
      </c>
      <c r="AK551" s="225">
        <f t="shared" si="230"/>
        <v>0</v>
      </c>
      <c r="AL551" s="225">
        <f t="shared" si="230"/>
        <v>0</v>
      </c>
      <c r="AM551" s="225">
        <f t="shared" si="230"/>
        <v>0</v>
      </c>
      <c r="AN551" s="225">
        <f t="shared" si="230"/>
        <v>0</v>
      </c>
      <c r="AO551" s="225">
        <f t="shared" si="230"/>
        <v>0</v>
      </c>
      <c r="AP551" s="225">
        <f t="shared" si="230"/>
        <v>0</v>
      </c>
    </row>
    <row r="552" spans="1:42" s="119" customFormat="1">
      <c r="A552" s="226" t="s">
        <v>53</v>
      </c>
      <c r="C552" s="146">
        <f>C550*C551</f>
        <v>0</v>
      </c>
      <c r="D552" s="146">
        <f>D550*D551</f>
        <v>0</v>
      </c>
      <c r="E552" s="146">
        <f t="shared" ref="E552:AP552" si="231">E550*E551</f>
        <v>0</v>
      </c>
      <c r="F552" s="146">
        <f t="shared" si="231"/>
        <v>0</v>
      </c>
      <c r="G552" s="146">
        <f t="shared" si="231"/>
        <v>0</v>
      </c>
      <c r="H552" s="146">
        <f t="shared" si="231"/>
        <v>0</v>
      </c>
      <c r="I552" s="146">
        <f t="shared" si="231"/>
        <v>0</v>
      </c>
      <c r="J552" s="146">
        <f t="shared" si="231"/>
        <v>0</v>
      </c>
      <c r="K552" s="146">
        <f t="shared" si="231"/>
        <v>0</v>
      </c>
      <c r="L552" s="146">
        <f t="shared" si="231"/>
        <v>0</v>
      </c>
      <c r="M552" s="146">
        <f t="shared" si="231"/>
        <v>0</v>
      </c>
      <c r="N552" s="146">
        <f t="shared" si="231"/>
        <v>0</v>
      </c>
      <c r="O552" s="146">
        <f t="shared" si="231"/>
        <v>0</v>
      </c>
      <c r="P552" s="146">
        <f t="shared" si="231"/>
        <v>0</v>
      </c>
      <c r="Q552" s="146">
        <f t="shared" si="231"/>
        <v>0</v>
      </c>
      <c r="R552" s="146">
        <f t="shared" si="231"/>
        <v>0</v>
      </c>
      <c r="S552" s="146">
        <f t="shared" si="231"/>
        <v>0</v>
      </c>
      <c r="T552" s="146">
        <f t="shared" si="231"/>
        <v>0</v>
      </c>
      <c r="U552" s="146">
        <f t="shared" si="231"/>
        <v>0</v>
      </c>
      <c r="V552" s="146">
        <f t="shared" si="231"/>
        <v>0</v>
      </c>
      <c r="W552" s="146">
        <f t="shared" si="231"/>
        <v>0</v>
      </c>
      <c r="X552" s="146">
        <f t="shared" si="231"/>
        <v>0</v>
      </c>
      <c r="Y552" s="146">
        <f t="shared" si="231"/>
        <v>0</v>
      </c>
      <c r="Z552" s="146">
        <f t="shared" si="231"/>
        <v>0</v>
      </c>
      <c r="AA552" s="146">
        <f t="shared" si="231"/>
        <v>0</v>
      </c>
      <c r="AB552" s="146">
        <f t="shared" si="231"/>
        <v>0</v>
      </c>
      <c r="AC552" s="146">
        <f t="shared" si="231"/>
        <v>0</v>
      </c>
      <c r="AD552" s="146">
        <f t="shared" si="231"/>
        <v>0</v>
      </c>
      <c r="AE552" s="146">
        <f t="shared" si="231"/>
        <v>0</v>
      </c>
      <c r="AF552" s="146">
        <f t="shared" si="231"/>
        <v>0</v>
      </c>
      <c r="AG552" s="146">
        <f t="shared" si="231"/>
        <v>0</v>
      </c>
      <c r="AH552" s="146">
        <f t="shared" si="231"/>
        <v>0</v>
      </c>
      <c r="AI552" s="146">
        <f t="shared" si="231"/>
        <v>0</v>
      </c>
      <c r="AJ552" s="146">
        <f t="shared" si="231"/>
        <v>0</v>
      </c>
      <c r="AK552" s="146">
        <f t="shared" si="231"/>
        <v>0</v>
      </c>
      <c r="AL552" s="146">
        <f t="shared" si="231"/>
        <v>0</v>
      </c>
      <c r="AM552" s="146">
        <f t="shared" si="231"/>
        <v>0</v>
      </c>
      <c r="AN552" s="146">
        <f t="shared" si="231"/>
        <v>0</v>
      </c>
      <c r="AO552" s="146">
        <f t="shared" si="231"/>
        <v>0</v>
      </c>
      <c r="AP552" s="146">
        <f t="shared" si="231"/>
        <v>0</v>
      </c>
    </row>
    <row r="553" spans="1:42" s="119" customFormat="1">
      <c r="A553" s="22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146"/>
      <c r="AD553" s="146"/>
      <c r="AE553" s="146"/>
      <c r="AF553" s="146"/>
      <c r="AG553" s="146"/>
      <c r="AH553" s="146"/>
      <c r="AI553" s="146"/>
      <c r="AJ553" s="146"/>
      <c r="AK553" s="146"/>
      <c r="AL553" s="146"/>
      <c r="AM553" s="146"/>
      <c r="AN553" s="146"/>
      <c r="AO553" s="146"/>
      <c r="AP553" s="146"/>
    </row>
    <row r="554" spans="1:42">
      <c r="A554" s="201" t="s">
        <v>58</v>
      </c>
      <c r="C554" s="208"/>
      <c r="D554" s="208"/>
      <c r="E554" s="208"/>
      <c r="F554" s="208"/>
      <c r="G554" s="208"/>
      <c r="H554" s="208"/>
      <c r="I554" s="208"/>
      <c r="J554" s="208"/>
      <c r="K554" s="208"/>
      <c r="L554" s="208"/>
      <c r="M554" s="208"/>
      <c r="N554" s="208"/>
      <c r="O554" s="208"/>
      <c r="P554" s="208"/>
      <c r="Q554" s="208"/>
      <c r="R554" s="208"/>
      <c r="S554" s="208"/>
      <c r="T554" s="208"/>
      <c r="U554" s="208"/>
      <c r="V554" s="208"/>
      <c r="W554" s="208"/>
      <c r="X554" s="208"/>
      <c r="Y554" s="208"/>
      <c r="Z554" s="208"/>
      <c r="AA554" s="208"/>
      <c r="AB554" s="208"/>
      <c r="AC554" s="208"/>
      <c r="AD554" s="208"/>
      <c r="AE554" s="208"/>
      <c r="AF554" s="208"/>
      <c r="AG554" s="208"/>
      <c r="AH554" s="208"/>
      <c r="AI554" s="208"/>
      <c r="AJ554" s="208"/>
      <c r="AK554" s="208"/>
      <c r="AL554" s="208"/>
      <c r="AM554" s="208"/>
      <c r="AN554" s="208"/>
      <c r="AO554" s="208"/>
      <c r="AP554" s="208"/>
    </row>
    <row r="555" spans="1:42">
      <c r="A555" s="219" t="str">
        <f>'Inputs &amp; Results'!A49</f>
        <v>Fixed Amount ($)</v>
      </c>
      <c r="B555" s="119"/>
      <c r="C555" s="119"/>
      <c r="D555" s="208"/>
      <c r="E555" s="208"/>
      <c r="F555" s="208"/>
      <c r="G555" s="208"/>
      <c r="H555" s="208"/>
      <c r="I555" s="208"/>
      <c r="J555" s="208"/>
      <c r="K555" s="208"/>
      <c r="L555" s="208"/>
      <c r="M555" s="208"/>
      <c r="N555" s="208"/>
      <c r="O555" s="208"/>
      <c r="P555" s="208"/>
      <c r="Q555" s="208"/>
      <c r="R555" s="208"/>
      <c r="S555" s="208"/>
      <c r="T555" s="208"/>
      <c r="U555" s="208"/>
      <c r="V555" s="208"/>
      <c r="W555" s="208"/>
      <c r="X555" s="208"/>
      <c r="Y555" s="208"/>
      <c r="Z555" s="208"/>
      <c r="AA555" s="208"/>
      <c r="AB555" s="208"/>
      <c r="AC555" s="208"/>
      <c r="AD555" s="208"/>
      <c r="AE555" s="208"/>
      <c r="AF555" s="208"/>
      <c r="AG555" s="208"/>
      <c r="AH555" s="208"/>
      <c r="AI555" s="208"/>
      <c r="AJ555" s="208"/>
      <c r="AK555" s="208"/>
      <c r="AL555" s="208"/>
      <c r="AM555" s="208"/>
      <c r="AN555" s="208"/>
      <c r="AO555" s="208"/>
      <c r="AP555" s="208"/>
    </row>
    <row r="556" spans="1:42">
      <c r="A556" s="226" t="str">
        <f>'Inputs &amp; Results'!A50</f>
        <v>Federal</v>
      </c>
      <c r="B556" s="119"/>
      <c r="C556" s="220">
        <f>IBIFedFixed</f>
        <v>1000</v>
      </c>
      <c r="D556" s="208"/>
      <c r="E556" s="208"/>
      <c r="F556" s="208"/>
      <c r="G556" s="208"/>
      <c r="H556" s="208"/>
      <c r="I556" s="208"/>
      <c r="J556" s="208"/>
      <c r="K556" s="208"/>
      <c r="L556" s="208"/>
      <c r="M556" s="208"/>
      <c r="N556" s="208"/>
      <c r="O556" s="208"/>
      <c r="P556" s="208"/>
      <c r="Q556" s="208"/>
      <c r="R556" s="208"/>
      <c r="S556" s="208"/>
      <c r="T556" s="208"/>
      <c r="U556" s="208"/>
      <c r="V556" s="208"/>
      <c r="W556" s="208"/>
      <c r="X556" s="208"/>
      <c r="Y556" s="208"/>
      <c r="Z556" s="208"/>
      <c r="AA556" s="208"/>
      <c r="AB556" s="208"/>
      <c r="AC556" s="208"/>
      <c r="AD556" s="208"/>
      <c r="AE556" s="208"/>
      <c r="AF556" s="208"/>
      <c r="AG556" s="208"/>
      <c r="AH556" s="208"/>
      <c r="AI556" s="208"/>
      <c r="AJ556" s="208"/>
      <c r="AK556" s="208"/>
      <c r="AL556" s="208"/>
      <c r="AM556" s="208"/>
      <c r="AN556" s="208"/>
      <c r="AO556" s="208"/>
      <c r="AP556" s="208"/>
    </row>
    <row r="557" spans="1:42">
      <c r="A557" s="226" t="str">
        <f>'Inputs &amp; Results'!A51</f>
        <v>State</v>
      </c>
      <c r="B557" s="119"/>
      <c r="C557" s="220">
        <f>IBIStateFixed</f>
        <v>2000</v>
      </c>
      <c r="D557" s="208"/>
      <c r="E557" s="208"/>
      <c r="F557" s="208"/>
      <c r="G557" s="208"/>
      <c r="H557" s="208"/>
      <c r="I557" s="208"/>
      <c r="J557" s="208"/>
      <c r="K557" s="208"/>
      <c r="L557" s="208"/>
      <c r="M557" s="208"/>
      <c r="N557" s="208"/>
      <c r="O557" s="208"/>
      <c r="P557" s="208"/>
      <c r="Q557" s="208"/>
      <c r="R557" s="208"/>
      <c r="S557" s="208"/>
      <c r="T557" s="208"/>
      <c r="U557" s="208"/>
      <c r="V557" s="208"/>
      <c r="W557" s="208"/>
      <c r="X557" s="208"/>
      <c r="Y557" s="208"/>
      <c r="Z557" s="208"/>
      <c r="AA557" s="208"/>
      <c r="AB557" s="208"/>
      <c r="AC557" s="208"/>
      <c r="AD557" s="208"/>
      <c r="AE557" s="208"/>
      <c r="AF557" s="208"/>
      <c r="AG557" s="208"/>
      <c r="AH557" s="208"/>
      <c r="AI557" s="208"/>
      <c r="AJ557" s="208"/>
      <c r="AK557" s="208"/>
      <c r="AL557" s="208"/>
      <c r="AM557" s="208"/>
      <c r="AN557" s="208"/>
      <c r="AO557" s="208"/>
      <c r="AP557" s="208"/>
    </row>
    <row r="558" spans="1:42">
      <c r="A558" s="226" t="str">
        <f>'Inputs &amp; Results'!A52</f>
        <v>Utility</v>
      </c>
      <c r="B558" s="119"/>
      <c r="C558" s="220">
        <f>IBIUtilityFixed</f>
        <v>500</v>
      </c>
      <c r="D558" s="208"/>
      <c r="E558" s="208"/>
      <c r="F558" s="208"/>
      <c r="G558" s="208"/>
      <c r="H558" s="208"/>
      <c r="I558" s="208"/>
      <c r="J558" s="208"/>
      <c r="K558" s="208"/>
      <c r="L558" s="208"/>
      <c r="M558" s="208"/>
      <c r="N558" s="208"/>
      <c r="O558" s="208"/>
      <c r="P558" s="208"/>
      <c r="Q558" s="208"/>
      <c r="R558" s="208"/>
      <c r="S558" s="208"/>
      <c r="T558" s="208"/>
      <c r="U558" s="208"/>
      <c r="V558" s="208"/>
      <c r="W558" s="208"/>
      <c r="X558" s="208"/>
      <c r="Y558" s="208"/>
      <c r="Z558" s="208"/>
      <c r="AA558" s="208"/>
      <c r="AB558" s="208"/>
      <c r="AC558" s="208"/>
      <c r="AD558" s="208"/>
      <c r="AE558" s="208"/>
      <c r="AF558" s="208"/>
      <c r="AG558" s="208"/>
      <c r="AH558" s="208"/>
      <c r="AI558" s="208"/>
      <c r="AJ558" s="208"/>
      <c r="AK558" s="208"/>
      <c r="AL558" s="208"/>
      <c r="AM558" s="208"/>
      <c r="AN558" s="208"/>
      <c r="AO558" s="208"/>
      <c r="AP558" s="208"/>
    </row>
    <row r="559" spans="1:42">
      <c r="A559" s="226" t="str">
        <f>'Inputs &amp; Results'!A53</f>
        <v>Other</v>
      </c>
      <c r="C559" s="225">
        <f>IBIOtherFixed</f>
        <v>250</v>
      </c>
      <c r="D559" s="208"/>
      <c r="E559" s="208"/>
      <c r="F559" s="208"/>
      <c r="G559" s="208"/>
      <c r="H559" s="208"/>
      <c r="I559" s="208"/>
      <c r="J559" s="208"/>
      <c r="K559" s="208"/>
      <c r="L559" s="208"/>
      <c r="M559" s="208"/>
      <c r="N559" s="208"/>
      <c r="O559" s="208"/>
      <c r="P559" s="208"/>
      <c r="Q559" s="208"/>
      <c r="R559" s="208"/>
      <c r="S559" s="208"/>
      <c r="T559" s="208"/>
      <c r="U559" s="208"/>
      <c r="V559" s="208"/>
      <c r="W559" s="208"/>
      <c r="X559" s="208"/>
      <c r="Y559" s="208"/>
      <c r="Z559" s="208"/>
      <c r="AA559" s="208"/>
      <c r="AB559" s="208"/>
      <c r="AC559" s="208"/>
      <c r="AD559" s="208"/>
      <c r="AE559" s="208"/>
      <c r="AF559" s="208"/>
      <c r="AG559" s="208"/>
      <c r="AH559" s="208"/>
      <c r="AI559" s="208"/>
      <c r="AJ559" s="208"/>
      <c r="AK559" s="208"/>
      <c r="AL559" s="208"/>
      <c r="AM559" s="208"/>
      <c r="AN559" s="208"/>
      <c r="AO559" s="208"/>
      <c r="AP559" s="208"/>
    </row>
    <row r="560" spans="1:42">
      <c r="A560" s="206" t="s">
        <v>53</v>
      </c>
      <c r="C560" s="208">
        <f>SUM(C556:C559)</f>
        <v>3750</v>
      </c>
      <c r="D560" s="208"/>
      <c r="E560" s="208"/>
      <c r="F560" s="208"/>
      <c r="G560" s="208"/>
      <c r="H560" s="208"/>
      <c r="I560" s="208"/>
      <c r="J560" s="208"/>
      <c r="K560" s="208"/>
      <c r="L560" s="208"/>
      <c r="M560" s="208"/>
      <c r="N560" s="208"/>
      <c r="O560" s="208"/>
      <c r="P560" s="208"/>
      <c r="Q560" s="208"/>
      <c r="R560" s="208"/>
      <c r="S560" s="208"/>
      <c r="T560" s="208"/>
      <c r="U560" s="208"/>
      <c r="V560" s="208"/>
      <c r="W560" s="208"/>
      <c r="X560" s="208"/>
      <c r="Y560" s="208"/>
      <c r="Z560" s="208"/>
      <c r="AA560" s="208"/>
      <c r="AB560" s="208"/>
      <c r="AC560" s="208"/>
      <c r="AD560" s="208"/>
      <c r="AE560" s="208"/>
      <c r="AF560" s="208"/>
      <c r="AG560" s="208"/>
      <c r="AH560" s="208"/>
      <c r="AI560" s="208"/>
      <c r="AJ560" s="208"/>
      <c r="AK560" s="208"/>
      <c r="AL560" s="208"/>
      <c r="AM560" s="208"/>
      <c r="AN560" s="208"/>
      <c r="AO560" s="208"/>
      <c r="AP560" s="208"/>
    </row>
    <row r="561" spans="1:42">
      <c r="A561" s="219" t="str">
        <f>'Inputs &amp; Results'!A54</f>
        <v>Percentage of Pre-Financing Costs</v>
      </c>
      <c r="C561" s="208"/>
      <c r="D561" s="208"/>
      <c r="E561" s="208"/>
      <c r="F561" s="208"/>
      <c r="G561" s="208"/>
      <c r="H561" s="208"/>
      <c r="I561" s="208"/>
      <c r="J561" s="208"/>
      <c r="K561" s="208"/>
      <c r="L561" s="208"/>
      <c r="M561" s="208"/>
      <c r="N561" s="208"/>
      <c r="O561" s="208"/>
      <c r="P561" s="208"/>
      <c r="Q561" s="208"/>
      <c r="R561" s="208"/>
      <c r="S561" s="208"/>
      <c r="T561" s="208"/>
      <c r="U561" s="208"/>
      <c r="V561" s="208"/>
      <c r="W561" s="208"/>
      <c r="X561" s="208"/>
      <c r="Y561" s="208"/>
      <c r="Z561" s="208"/>
      <c r="AA561" s="208"/>
      <c r="AB561" s="208"/>
      <c r="AC561" s="208"/>
      <c r="AD561" s="208"/>
      <c r="AE561" s="208"/>
      <c r="AF561" s="208"/>
      <c r="AG561" s="208"/>
      <c r="AH561" s="208"/>
      <c r="AI561" s="208"/>
      <c r="AJ561" s="208"/>
      <c r="AK561" s="208"/>
      <c r="AL561" s="208"/>
      <c r="AM561" s="208"/>
      <c r="AN561" s="208"/>
      <c r="AO561" s="208"/>
      <c r="AP561" s="208"/>
    </row>
    <row r="562" spans="1:42">
      <c r="A562" s="226" t="str">
        <f>'Inputs &amp; Results'!A55</f>
        <v>Federal</v>
      </c>
      <c r="C562" s="220">
        <f>IBIFedPercent</f>
        <v>2011357.5</v>
      </c>
      <c r="D562" s="208"/>
      <c r="E562" s="208"/>
      <c r="F562" s="208"/>
      <c r="G562" s="208"/>
      <c r="H562" s="208"/>
      <c r="I562" s="208"/>
      <c r="J562" s="208"/>
      <c r="K562" s="208"/>
      <c r="L562" s="208"/>
      <c r="M562" s="208"/>
      <c r="N562" s="208"/>
      <c r="O562" s="208"/>
      <c r="P562" s="208"/>
      <c r="Q562" s="208"/>
      <c r="R562" s="208"/>
      <c r="S562" s="208"/>
      <c r="T562" s="208"/>
      <c r="U562" s="208"/>
      <c r="V562" s="208"/>
      <c r="W562" s="208"/>
      <c r="X562" s="208"/>
      <c r="Y562" s="208"/>
      <c r="Z562" s="208"/>
      <c r="AA562" s="208"/>
      <c r="AB562" s="208"/>
      <c r="AC562" s="208"/>
      <c r="AD562" s="208"/>
      <c r="AE562" s="208"/>
      <c r="AF562" s="208"/>
      <c r="AG562" s="208"/>
      <c r="AH562" s="208"/>
      <c r="AI562" s="208"/>
      <c r="AJ562" s="208"/>
      <c r="AK562" s="208"/>
      <c r="AL562" s="208"/>
      <c r="AM562" s="208"/>
      <c r="AN562" s="208"/>
      <c r="AO562" s="208"/>
      <c r="AP562" s="208"/>
    </row>
    <row r="563" spans="1:42">
      <c r="A563" s="226" t="str">
        <f>'Inputs &amp; Results'!A56</f>
        <v>State</v>
      </c>
      <c r="C563" s="220">
        <f>IBIStatePercent</f>
        <v>4022715</v>
      </c>
      <c r="D563" s="208"/>
      <c r="E563" s="208"/>
      <c r="F563" s="208"/>
      <c r="G563" s="208"/>
      <c r="H563" s="208"/>
      <c r="I563" s="208"/>
      <c r="J563" s="208"/>
      <c r="K563" s="208"/>
      <c r="L563" s="208"/>
      <c r="M563" s="208"/>
      <c r="N563" s="208"/>
      <c r="O563" s="208"/>
      <c r="P563" s="208"/>
      <c r="Q563" s="208"/>
      <c r="R563" s="208"/>
      <c r="S563" s="208"/>
      <c r="T563" s="208"/>
      <c r="U563" s="208"/>
      <c r="V563" s="208"/>
      <c r="W563" s="208"/>
      <c r="X563" s="208"/>
      <c r="Y563" s="208"/>
      <c r="Z563" s="208"/>
      <c r="AA563" s="208"/>
      <c r="AB563" s="208"/>
      <c r="AC563" s="208"/>
      <c r="AD563" s="208"/>
      <c r="AE563" s="208"/>
      <c r="AF563" s="208"/>
      <c r="AG563" s="208"/>
      <c r="AH563" s="208"/>
      <c r="AI563" s="208"/>
      <c r="AJ563" s="208"/>
      <c r="AK563" s="208"/>
      <c r="AL563" s="208"/>
      <c r="AM563" s="208"/>
      <c r="AN563" s="208"/>
      <c r="AO563" s="208"/>
      <c r="AP563" s="208"/>
    </row>
    <row r="564" spans="1:42">
      <c r="A564" s="226" t="str">
        <f>'Inputs &amp; Results'!A57</f>
        <v>Utility</v>
      </c>
      <c r="C564" s="220">
        <f>IBIUtilityPercent</f>
        <v>402271.5</v>
      </c>
      <c r="D564" s="208"/>
      <c r="E564" s="208"/>
      <c r="F564" s="208"/>
      <c r="G564" s="208"/>
      <c r="H564" s="208"/>
      <c r="I564" s="208"/>
      <c r="J564" s="208"/>
      <c r="K564" s="208"/>
      <c r="L564" s="208"/>
      <c r="M564" s="208"/>
      <c r="N564" s="208"/>
      <c r="O564" s="208"/>
      <c r="P564" s="208"/>
      <c r="Q564" s="208"/>
      <c r="R564" s="208"/>
      <c r="S564" s="208"/>
      <c r="T564" s="208"/>
      <c r="U564" s="208"/>
      <c r="V564" s="208"/>
      <c r="W564" s="208"/>
      <c r="X564" s="208"/>
      <c r="Y564" s="208"/>
      <c r="Z564" s="208"/>
      <c r="AA564" s="208"/>
      <c r="AB564" s="208"/>
      <c r="AC564" s="208"/>
      <c r="AD564" s="208"/>
      <c r="AE564" s="208"/>
      <c r="AF564" s="208"/>
      <c r="AG564" s="208"/>
      <c r="AH564" s="208"/>
      <c r="AI564" s="208"/>
      <c r="AJ564" s="208"/>
      <c r="AK564" s="208"/>
      <c r="AL564" s="208"/>
      <c r="AM564" s="208"/>
      <c r="AN564" s="208"/>
      <c r="AO564" s="208"/>
      <c r="AP564" s="208"/>
    </row>
    <row r="565" spans="1:42">
      <c r="A565" s="226" t="str">
        <f>'Inputs &amp; Results'!A58</f>
        <v>Other</v>
      </c>
      <c r="C565" s="225">
        <f>IBIOtherPercent</f>
        <v>201135.75</v>
      </c>
      <c r="D565" s="208"/>
      <c r="E565" s="208"/>
      <c r="F565" s="208"/>
      <c r="G565" s="208"/>
      <c r="H565" s="208"/>
      <c r="I565" s="208"/>
      <c r="J565" s="208"/>
      <c r="K565" s="208"/>
      <c r="L565" s="208"/>
      <c r="M565" s="208"/>
      <c r="N565" s="208"/>
      <c r="O565" s="208"/>
      <c r="P565" s="208"/>
      <c r="Q565" s="208"/>
      <c r="R565" s="208"/>
      <c r="S565" s="208"/>
      <c r="T565" s="208"/>
      <c r="U565" s="208"/>
      <c r="V565" s="208"/>
      <c r="W565" s="208"/>
      <c r="X565" s="208"/>
      <c r="Y565" s="208"/>
      <c r="Z565" s="208"/>
      <c r="AA565" s="208"/>
      <c r="AB565" s="208"/>
      <c r="AC565" s="208"/>
      <c r="AD565" s="208"/>
      <c r="AE565" s="208"/>
      <c r="AF565" s="208"/>
      <c r="AG565" s="208"/>
      <c r="AH565" s="208"/>
      <c r="AI565" s="208"/>
      <c r="AJ565" s="208"/>
      <c r="AK565" s="208"/>
      <c r="AL565" s="208"/>
      <c r="AM565" s="208"/>
      <c r="AN565" s="208"/>
      <c r="AO565" s="208"/>
      <c r="AP565" s="208"/>
    </row>
    <row r="566" spans="1:42">
      <c r="A566" s="226" t="s">
        <v>53</v>
      </c>
      <c r="C566" s="208">
        <f>SUM(C562:C565)</f>
        <v>6637479.75</v>
      </c>
      <c r="D566" s="208"/>
      <c r="E566" s="208"/>
      <c r="F566" s="208"/>
      <c r="G566" s="208"/>
      <c r="H566" s="208"/>
      <c r="I566" s="208"/>
      <c r="J566" s="208"/>
      <c r="K566" s="208"/>
      <c r="L566" s="208"/>
      <c r="M566" s="208"/>
      <c r="N566" s="208"/>
      <c r="O566" s="208"/>
      <c r="P566" s="208"/>
      <c r="Q566" s="208"/>
      <c r="R566" s="208"/>
      <c r="S566" s="208"/>
      <c r="T566" s="208"/>
      <c r="U566" s="208"/>
      <c r="V566" s="208"/>
      <c r="W566" s="208"/>
      <c r="X566" s="208"/>
      <c r="Y566" s="208"/>
      <c r="Z566" s="208"/>
      <c r="AA566" s="208"/>
      <c r="AB566" s="208"/>
      <c r="AC566" s="208"/>
      <c r="AD566" s="208"/>
      <c r="AE566" s="208"/>
      <c r="AF566" s="208"/>
      <c r="AG566" s="208"/>
      <c r="AH566" s="208"/>
      <c r="AI566" s="208"/>
      <c r="AJ566" s="208"/>
      <c r="AK566" s="208"/>
      <c r="AL566" s="208"/>
      <c r="AM566" s="208"/>
      <c r="AN566" s="208"/>
      <c r="AO566" s="208"/>
      <c r="AP566" s="208"/>
    </row>
    <row r="567" spans="1:42">
      <c r="A567" s="201" t="s">
        <v>129</v>
      </c>
      <c r="C567" s="208"/>
      <c r="D567" s="208"/>
      <c r="E567" s="208"/>
      <c r="F567" s="208"/>
      <c r="G567" s="208"/>
      <c r="H567" s="208"/>
      <c r="I567" s="208"/>
      <c r="J567" s="208"/>
      <c r="K567" s="208"/>
      <c r="L567" s="208"/>
      <c r="M567" s="208"/>
      <c r="N567" s="208"/>
      <c r="O567" s="208"/>
      <c r="P567" s="208"/>
      <c r="Q567" s="208"/>
      <c r="R567" s="208"/>
      <c r="S567" s="208"/>
      <c r="T567" s="208"/>
      <c r="U567" s="208"/>
      <c r="V567" s="208"/>
      <c r="W567" s="208"/>
      <c r="X567" s="208"/>
      <c r="Y567" s="208"/>
      <c r="Z567" s="208"/>
      <c r="AA567" s="208"/>
      <c r="AB567" s="208"/>
      <c r="AC567" s="208"/>
      <c r="AD567" s="208"/>
      <c r="AE567" s="208"/>
      <c r="AF567" s="208"/>
      <c r="AG567" s="208"/>
      <c r="AH567" s="208"/>
      <c r="AI567" s="208"/>
      <c r="AJ567" s="208"/>
      <c r="AK567" s="208"/>
      <c r="AL567" s="208"/>
      <c r="AM567" s="208"/>
      <c r="AN567" s="208"/>
      <c r="AO567" s="208"/>
      <c r="AP567" s="208"/>
    </row>
    <row r="568" spans="1:42">
      <c r="A568" s="219" t="str">
        <f>'Inputs &amp; Results'!A60</f>
        <v>Federal</v>
      </c>
      <c r="B568" s="119"/>
      <c r="C568" s="220">
        <f>CBIFed</f>
        <v>5000000</v>
      </c>
      <c r="D568" s="208"/>
      <c r="E568" s="208"/>
      <c r="F568" s="208"/>
      <c r="G568" s="208"/>
      <c r="H568" s="208"/>
      <c r="I568" s="208"/>
      <c r="J568" s="208"/>
      <c r="K568" s="208"/>
      <c r="L568" s="208"/>
      <c r="M568" s="208"/>
      <c r="N568" s="208"/>
      <c r="O568" s="208"/>
      <c r="P568" s="208"/>
      <c r="Q568" s="208"/>
      <c r="R568" s="208"/>
      <c r="S568" s="208"/>
      <c r="T568" s="208"/>
      <c r="U568" s="208"/>
      <c r="V568" s="208"/>
      <c r="W568" s="208"/>
      <c r="X568" s="208"/>
      <c r="Y568" s="208"/>
      <c r="Z568" s="208"/>
      <c r="AA568" s="208"/>
      <c r="AB568" s="208"/>
      <c r="AC568" s="208"/>
      <c r="AD568" s="208"/>
      <c r="AE568" s="208"/>
      <c r="AF568" s="208"/>
      <c r="AG568" s="208"/>
      <c r="AH568" s="208"/>
      <c r="AI568" s="208"/>
      <c r="AJ568" s="208"/>
      <c r="AK568" s="208"/>
      <c r="AL568" s="208"/>
      <c r="AM568" s="208"/>
      <c r="AN568" s="208"/>
      <c r="AO568" s="208"/>
      <c r="AP568" s="208"/>
    </row>
    <row r="569" spans="1:42">
      <c r="A569" s="219" t="str">
        <f>'Inputs &amp; Results'!A61</f>
        <v>State</v>
      </c>
      <c r="B569" s="119"/>
      <c r="C569" s="220">
        <f>CBIState</f>
        <v>2000000</v>
      </c>
      <c r="D569" s="208"/>
      <c r="E569" s="208"/>
      <c r="F569" s="208"/>
      <c r="G569" s="208"/>
      <c r="H569" s="208"/>
      <c r="I569" s="208"/>
      <c r="J569" s="208"/>
      <c r="K569" s="208"/>
      <c r="L569" s="208"/>
      <c r="M569" s="208"/>
      <c r="N569" s="208"/>
      <c r="O569" s="208"/>
      <c r="P569" s="208"/>
      <c r="Q569" s="208"/>
      <c r="R569" s="208"/>
      <c r="S569" s="208"/>
      <c r="T569" s="208"/>
      <c r="U569" s="208"/>
      <c r="V569" s="208"/>
      <c r="W569" s="208"/>
      <c r="X569" s="208"/>
      <c r="Y569" s="208"/>
      <c r="Z569" s="208"/>
      <c r="AA569" s="208"/>
      <c r="AB569" s="208"/>
      <c r="AC569" s="208"/>
      <c r="AD569" s="208"/>
      <c r="AE569" s="208"/>
      <c r="AF569" s="208"/>
      <c r="AG569" s="208"/>
      <c r="AH569" s="208"/>
      <c r="AI569" s="208"/>
      <c r="AJ569" s="208"/>
      <c r="AK569" s="208"/>
      <c r="AL569" s="208"/>
      <c r="AM569" s="208"/>
      <c r="AN569" s="208"/>
      <c r="AO569" s="208"/>
      <c r="AP569" s="208"/>
    </row>
    <row r="570" spans="1:42">
      <c r="A570" s="219" t="str">
        <f>'Inputs &amp; Results'!A62</f>
        <v>Utility</v>
      </c>
      <c r="B570" s="119"/>
      <c r="C570" s="220">
        <f>CBIUtility</f>
        <v>100000</v>
      </c>
      <c r="D570" s="208"/>
      <c r="E570" s="208"/>
      <c r="F570" s="208"/>
      <c r="G570" s="208"/>
      <c r="H570" s="208"/>
      <c r="I570" s="208"/>
      <c r="J570" s="208"/>
      <c r="K570" s="208"/>
      <c r="L570" s="208"/>
      <c r="M570" s="208"/>
      <c r="N570" s="208"/>
      <c r="O570" s="208"/>
      <c r="P570" s="208"/>
      <c r="Q570" s="208"/>
      <c r="R570" s="208"/>
      <c r="S570" s="208"/>
      <c r="T570" s="208"/>
      <c r="U570" s="208"/>
      <c r="V570" s="208"/>
      <c r="W570" s="208"/>
      <c r="X570" s="208"/>
      <c r="Y570" s="208"/>
      <c r="Z570" s="208"/>
      <c r="AA570" s="208"/>
      <c r="AB570" s="208"/>
      <c r="AC570" s="208"/>
      <c r="AD570" s="208"/>
      <c r="AE570" s="208"/>
      <c r="AF570" s="208"/>
      <c r="AG570" s="208"/>
      <c r="AH570" s="208"/>
      <c r="AI570" s="208"/>
      <c r="AJ570" s="208"/>
      <c r="AK570" s="208"/>
      <c r="AL570" s="208"/>
      <c r="AM570" s="208"/>
      <c r="AN570" s="208"/>
      <c r="AO570" s="208"/>
      <c r="AP570" s="208"/>
    </row>
    <row r="571" spans="1:42">
      <c r="A571" s="219" t="str">
        <f>'Inputs &amp; Results'!A63</f>
        <v>Other</v>
      </c>
      <c r="C571" s="225">
        <f>CBIOther</f>
        <v>50000</v>
      </c>
      <c r="D571" s="208"/>
      <c r="E571" s="208"/>
      <c r="F571" s="208"/>
      <c r="G571" s="208"/>
      <c r="H571" s="208"/>
      <c r="I571" s="208"/>
      <c r="J571" s="208"/>
      <c r="K571" s="208"/>
      <c r="L571" s="208"/>
      <c r="M571" s="208"/>
      <c r="N571" s="208"/>
      <c r="O571" s="208"/>
      <c r="P571" s="208"/>
      <c r="Q571" s="208"/>
      <c r="R571" s="208"/>
      <c r="S571" s="208"/>
      <c r="T571" s="208"/>
      <c r="U571" s="208"/>
      <c r="V571" s="208"/>
      <c r="W571" s="208"/>
      <c r="X571" s="208"/>
      <c r="Y571" s="208"/>
      <c r="Z571" s="208"/>
      <c r="AA571" s="208"/>
      <c r="AB571" s="208"/>
      <c r="AC571" s="208"/>
      <c r="AD571" s="208"/>
      <c r="AE571" s="208"/>
      <c r="AF571" s="208"/>
      <c r="AG571" s="208"/>
      <c r="AH571" s="208"/>
      <c r="AI571" s="208"/>
      <c r="AJ571" s="208"/>
      <c r="AK571" s="208"/>
      <c r="AL571" s="208"/>
      <c r="AM571" s="208"/>
      <c r="AN571" s="208"/>
      <c r="AO571" s="208"/>
      <c r="AP571" s="208"/>
    </row>
    <row r="572" spans="1:42">
      <c r="A572" s="202" t="s">
        <v>53</v>
      </c>
      <c r="C572" s="208">
        <f>SUM(C568:C571)</f>
        <v>7150000</v>
      </c>
      <c r="D572" s="208"/>
      <c r="E572" s="208"/>
      <c r="F572" s="208"/>
      <c r="G572" s="208"/>
      <c r="H572" s="208"/>
      <c r="I572" s="208"/>
      <c r="J572" s="208"/>
      <c r="K572" s="208"/>
      <c r="L572" s="208"/>
      <c r="M572" s="208"/>
      <c r="N572" s="208"/>
      <c r="O572" s="208"/>
      <c r="P572" s="208"/>
      <c r="Q572" s="208"/>
      <c r="R572" s="208"/>
      <c r="S572" s="208"/>
      <c r="T572" s="208"/>
      <c r="U572" s="208"/>
      <c r="V572" s="208"/>
      <c r="W572" s="208"/>
      <c r="X572" s="208"/>
      <c r="Y572" s="208"/>
      <c r="Z572" s="208"/>
      <c r="AA572" s="208"/>
      <c r="AB572" s="208"/>
      <c r="AC572" s="208"/>
      <c r="AD572" s="208"/>
      <c r="AE572" s="208"/>
      <c r="AF572" s="208"/>
      <c r="AG572" s="208"/>
      <c r="AH572" s="208"/>
      <c r="AI572" s="208"/>
      <c r="AJ572" s="208"/>
      <c r="AK572" s="208"/>
      <c r="AL572" s="208"/>
      <c r="AM572" s="208"/>
      <c r="AN572" s="208"/>
      <c r="AO572" s="208"/>
      <c r="AP572" s="208"/>
    </row>
    <row r="573" spans="1:42">
      <c r="C573" s="208"/>
      <c r="D573" s="208"/>
      <c r="E573" s="208"/>
      <c r="F573" s="208"/>
      <c r="G573" s="208"/>
      <c r="H573" s="208"/>
      <c r="I573" s="208"/>
      <c r="J573" s="208"/>
      <c r="K573" s="208"/>
      <c r="L573" s="208"/>
      <c r="M573" s="208"/>
      <c r="N573" s="208"/>
      <c r="O573" s="208"/>
      <c r="P573" s="208"/>
      <c r="Q573" s="208"/>
      <c r="R573" s="208"/>
      <c r="S573" s="208"/>
      <c r="T573" s="208"/>
      <c r="U573" s="208"/>
      <c r="V573" s="208"/>
      <c r="W573" s="208"/>
      <c r="X573" s="208"/>
      <c r="Y573" s="208"/>
      <c r="Z573" s="208"/>
      <c r="AA573" s="208"/>
      <c r="AB573" s="208"/>
      <c r="AC573" s="208"/>
      <c r="AD573" s="208"/>
      <c r="AE573" s="208"/>
      <c r="AF573" s="208"/>
      <c r="AG573" s="208"/>
      <c r="AH573" s="208"/>
      <c r="AI573" s="208"/>
      <c r="AJ573" s="208"/>
      <c r="AK573" s="208"/>
      <c r="AL573" s="208"/>
      <c r="AM573" s="208"/>
      <c r="AN573" s="208"/>
      <c r="AO573" s="208"/>
      <c r="AP573" s="208"/>
    </row>
    <row r="574" spans="1:42">
      <c r="A574" s="201" t="s">
        <v>126</v>
      </c>
    </row>
    <row r="575" spans="1:42">
      <c r="A575" s="202" t="str">
        <f>'Inputs &amp; Results'!A65</f>
        <v>Federal</v>
      </c>
    </row>
    <row r="576" spans="1:42">
      <c r="A576" s="206" t="s">
        <v>127</v>
      </c>
      <c r="C576" s="270">
        <f t="shared" ref="C576:AP576" si="232">IF(AND(C$2&lt;=PBIFedTerm,C$2&lt;=AnalysisPeriod),PBIFed*(1+PBIFedEsc)^B$2,0)</f>
        <v>0</v>
      </c>
      <c r="D576" s="270">
        <f t="shared" si="232"/>
        <v>0</v>
      </c>
      <c r="E576" s="270">
        <f t="shared" si="232"/>
        <v>0</v>
      </c>
      <c r="F576" s="270">
        <f t="shared" si="232"/>
        <v>0</v>
      </c>
      <c r="G576" s="270">
        <f t="shared" si="232"/>
        <v>0</v>
      </c>
      <c r="H576" s="270">
        <f t="shared" si="232"/>
        <v>0</v>
      </c>
      <c r="I576" s="270">
        <f t="shared" si="232"/>
        <v>0</v>
      </c>
      <c r="J576" s="270">
        <f t="shared" si="232"/>
        <v>0</v>
      </c>
      <c r="K576" s="270">
        <f t="shared" si="232"/>
        <v>0</v>
      </c>
      <c r="L576" s="270">
        <f t="shared" si="232"/>
        <v>0</v>
      </c>
      <c r="M576" s="270">
        <f t="shared" si="232"/>
        <v>0</v>
      </c>
      <c r="N576" s="270">
        <f t="shared" si="232"/>
        <v>0</v>
      </c>
      <c r="O576" s="270">
        <f t="shared" si="232"/>
        <v>0</v>
      </c>
      <c r="P576" s="270">
        <f t="shared" si="232"/>
        <v>0</v>
      </c>
      <c r="Q576" s="270">
        <f t="shared" si="232"/>
        <v>0</v>
      </c>
      <c r="R576" s="270">
        <f t="shared" si="232"/>
        <v>0</v>
      </c>
      <c r="S576" s="270">
        <f t="shared" si="232"/>
        <v>0</v>
      </c>
      <c r="T576" s="270">
        <f t="shared" si="232"/>
        <v>0</v>
      </c>
      <c r="U576" s="270">
        <f t="shared" si="232"/>
        <v>0</v>
      </c>
      <c r="V576" s="270">
        <f t="shared" si="232"/>
        <v>0</v>
      </c>
      <c r="W576" s="270">
        <f t="shared" si="232"/>
        <v>0</v>
      </c>
      <c r="X576" s="270">
        <f t="shared" si="232"/>
        <v>0</v>
      </c>
      <c r="Y576" s="270">
        <f t="shared" si="232"/>
        <v>0</v>
      </c>
      <c r="Z576" s="270">
        <f t="shared" si="232"/>
        <v>0</v>
      </c>
      <c r="AA576" s="270">
        <f t="shared" si="232"/>
        <v>0</v>
      </c>
      <c r="AB576" s="270">
        <f t="shared" si="232"/>
        <v>0</v>
      </c>
      <c r="AC576" s="270">
        <f t="shared" si="232"/>
        <v>0</v>
      </c>
      <c r="AD576" s="270">
        <f t="shared" si="232"/>
        <v>0</v>
      </c>
      <c r="AE576" s="270">
        <f t="shared" si="232"/>
        <v>0</v>
      </c>
      <c r="AF576" s="270">
        <f t="shared" si="232"/>
        <v>0</v>
      </c>
      <c r="AG576" s="270">
        <f t="shared" si="232"/>
        <v>0</v>
      </c>
      <c r="AH576" s="270">
        <f t="shared" si="232"/>
        <v>0</v>
      </c>
      <c r="AI576" s="270">
        <f t="shared" si="232"/>
        <v>0</v>
      </c>
      <c r="AJ576" s="270">
        <f t="shared" si="232"/>
        <v>0</v>
      </c>
      <c r="AK576" s="270">
        <f t="shared" si="232"/>
        <v>0</v>
      </c>
      <c r="AL576" s="270">
        <f t="shared" si="232"/>
        <v>0</v>
      </c>
      <c r="AM576" s="270">
        <f t="shared" si="232"/>
        <v>0</v>
      </c>
      <c r="AN576" s="270">
        <f t="shared" si="232"/>
        <v>0</v>
      </c>
      <c r="AO576" s="270">
        <f t="shared" si="232"/>
        <v>0</v>
      </c>
      <c r="AP576" s="270">
        <f t="shared" si="232"/>
        <v>0</v>
      </c>
    </row>
    <row r="577" spans="1:42">
      <c r="A577" s="206" t="s">
        <v>128</v>
      </c>
      <c r="C577" s="225">
        <f>C$5</f>
        <v>17000000</v>
      </c>
      <c r="D577" s="225">
        <f t="shared" ref="D577:AP577" si="233">D$5</f>
        <v>16915000</v>
      </c>
      <c r="E577" s="225">
        <f t="shared" si="233"/>
        <v>16830425</v>
      </c>
      <c r="F577" s="225">
        <f t="shared" si="233"/>
        <v>16746272.875</v>
      </c>
      <c r="G577" s="225">
        <f t="shared" si="233"/>
        <v>16662541.510624999</v>
      </c>
      <c r="H577" s="225">
        <f t="shared" si="233"/>
        <v>16579228.803071873</v>
      </c>
      <c r="I577" s="225">
        <f t="shared" si="233"/>
        <v>16496332.659056515</v>
      </c>
      <c r="J577" s="225">
        <f t="shared" si="233"/>
        <v>16413850.995761232</v>
      </c>
      <c r="K577" s="225">
        <f t="shared" si="233"/>
        <v>16331781.740782427</v>
      </c>
      <c r="L577" s="225">
        <f t="shared" si="233"/>
        <v>16250122.832078515</v>
      </c>
      <c r="M577" s="225">
        <f t="shared" si="233"/>
        <v>16168872.217918122</v>
      </c>
      <c r="N577" s="225">
        <f t="shared" si="233"/>
        <v>16088027.856828531</v>
      </c>
      <c r="O577" s="225">
        <f t="shared" si="233"/>
        <v>16007587.717544388</v>
      </c>
      <c r="P577" s="225">
        <f t="shared" si="233"/>
        <v>15927549.778956667</v>
      </c>
      <c r="Q577" s="225">
        <f t="shared" si="233"/>
        <v>15847912.030061884</v>
      </c>
      <c r="R577" s="225">
        <f t="shared" si="233"/>
        <v>15768672.469911573</v>
      </c>
      <c r="S577" s="225">
        <f t="shared" si="233"/>
        <v>15689829.107562015</v>
      </c>
      <c r="T577" s="225">
        <f t="shared" si="233"/>
        <v>15611379.962024204</v>
      </c>
      <c r="U577" s="225">
        <f t="shared" si="233"/>
        <v>15533323.062214084</v>
      </c>
      <c r="V577" s="225">
        <f t="shared" si="233"/>
        <v>15455656.446903013</v>
      </c>
      <c r="W577" s="225">
        <f t="shared" si="233"/>
        <v>15378378.164668497</v>
      </c>
      <c r="X577" s="225">
        <f t="shared" si="233"/>
        <v>15301486.273845155</v>
      </c>
      <c r="Y577" s="225">
        <f t="shared" si="233"/>
        <v>15224978.842475928</v>
      </c>
      <c r="Z577" s="225">
        <f t="shared" si="233"/>
        <v>15148853.948263548</v>
      </c>
      <c r="AA577" s="225">
        <f t="shared" si="233"/>
        <v>15073109.678522231</v>
      </c>
      <c r="AB577" s="225">
        <f t="shared" si="233"/>
        <v>14997744.13012962</v>
      </c>
      <c r="AC577" s="225">
        <f t="shared" si="233"/>
        <v>14922755.409478972</v>
      </c>
      <c r="AD577" s="225">
        <f t="shared" si="233"/>
        <v>14848141.632431576</v>
      </c>
      <c r="AE577" s="225">
        <f t="shared" si="233"/>
        <v>14773900.924269417</v>
      </c>
      <c r="AF577" s="225">
        <f t="shared" si="233"/>
        <v>14700031.41964807</v>
      </c>
      <c r="AG577" s="225">
        <f t="shared" si="233"/>
        <v>0</v>
      </c>
      <c r="AH577" s="225">
        <f t="shared" si="233"/>
        <v>0</v>
      </c>
      <c r="AI577" s="225">
        <f t="shared" si="233"/>
        <v>0</v>
      </c>
      <c r="AJ577" s="225">
        <f t="shared" si="233"/>
        <v>0</v>
      </c>
      <c r="AK577" s="225">
        <f t="shared" si="233"/>
        <v>0</v>
      </c>
      <c r="AL577" s="225">
        <f t="shared" si="233"/>
        <v>0</v>
      </c>
      <c r="AM577" s="225">
        <f t="shared" si="233"/>
        <v>0</v>
      </c>
      <c r="AN577" s="225">
        <f t="shared" si="233"/>
        <v>0</v>
      </c>
      <c r="AO577" s="225">
        <f t="shared" si="233"/>
        <v>0</v>
      </c>
      <c r="AP577" s="225">
        <f t="shared" si="233"/>
        <v>0</v>
      </c>
    </row>
    <row r="578" spans="1:42">
      <c r="A578" s="206" t="s">
        <v>53</v>
      </c>
      <c r="C578" s="220">
        <f>C576*C577</f>
        <v>0</v>
      </c>
      <c r="D578" s="220">
        <f t="shared" ref="D578:AP578" si="234">D576*D577</f>
        <v>0</v>
      </c>
      <c r="E578" s="220">
        <f t="shared" si="234"/>
        <v>0</v>
      </c>
      <c r="F578" s="220">
        <f t="shared" si="234"/>
        <v>0</v>
      </c>
      <c r="G578" s="220">
        <f t="shared" si="234"/>
        <v>0</v>
      </c>
      <c r="H578" s="220">
        <f t="shared" si="234"/>
        <v>0</v>
      </c>
      <c r="I578" s="220">
        <f t="shared" si="234"/>
        <v>0</v>
      </c>
      <c r="J578" s="220">
        <f t="shared" si="234"/>
        <v>0</v>
      </c>
      <c r="K578" s="220">
        <f t="shared" si="234"/>
        <v>0</v>
      </c>
      <c r="L578" s="220">
        <f t="shared" si="234"/>
        <v>0</v>
      </c>
      <c r="M578" s="220">
        <f t="shared" si="234"/>
        <v>0</v>
      </c>
      <c r="N578" s="220">
        <f t="shared" si="234"/>
        <v>0</v>
      </c>
      <c r="O578" s="220">
        <f t="shared" si="234"/>
        <v>0</v>
      </c>
      <c r="P578" s="220">
        <f t="shared" si="234"/>
        <v>0</v>
      </c>
      <c r="Q578" s="220">
        <f t="shared" si="234"/>
        <v>0</v>
      </c>
      <c r="R578" s="220">
        <f t="shared" si="234"/>
        <v>0</v>
      </c>
      <c r="S578" s="220">
        <f t="shared" si="234"/>
        <v>0</v>
      </c>
      <c r="T578" s="220">
        <f t="shared" si="234"/>
        <v>0</v>
      </c>
      <c r="U578" s="220">
        <f t="shared" si="234"/>
        <v>0</v>
      </c>
      <c r="V578" s="220">
        <f t="shared" si="234"/>
        <v>0</v>
      </c>
      <c r="W578" s="220">
        <f t="shared" si="234"/>
        <v>0</v>
      </c>
      <c r="X578" s="220">
        <f t="shared" si="234"/>
        <v>0</v>
      </c>
      <c r="Y578" s="220">
        <f t="shared" si="234"/>
        <v>0</v>
      </c>
      <c r="Z578" s="220">
        <f t="shared" si="234"/>
        <v>0</v>
      </c>
      <c r="AA578" s="220">
        <f t="shared" si="234"/>
        <v>0</v>
      </c>
      <c r="AB578" s="220">
        <f t="shared" si="234"/>
        <v>0</v>
      </c>
      <c r="AC578" s="220">
        <f t="shared" si="234"/>
        <v>0</v>
      </c>
      <c r="AD578" s="220">
        <f t="shared" si="234"/>
        <v>0</v>
      </c>
      <c r="AE578" s="220">
        <f t="shared" si="234"/>
        <v>0</v>
      </c>
      <c r="AF578" s="220">
        <f t="shared" si="234"/>
        <v>0</v>
      </c>
      <c r="AG578" s="220">
        <f t="shared" si="234"/>
        <v>0</v>
      </c>
      <c r="AH578" s="220">
        <f t="shared" si="234"/>
        <v>0</v>
      </c>
      <c r="AI578" s="220">
        <f t="shared" si="234"/>
        <v>0</v>
      </c>
      <c r="AJ578" s="220">
        <f t="shared" si="234"/>
        <v>0</v>
      </c>
      <c r="AK578" s="220">
        <f t="shared" si="234"/>
        <v>0</v>
      </c>
      <c r="AL578" s="220">
        <f t="shared" si="234"/>
        <v>0</v>
      </c>
      <c r="AM578" s="220">
        <f t="shared" si="234"/>
        <v>0</v>
      </c>
      <c r="AN578" s="220">
        <f t="shared" si="234"/>
        <v>0</v>
      </c>
      <c r="AO578" s="220">
        <f t="shared" si="234"/>
        <v>0</v>
      </c>
      <c r="AP578" s="220">
        <f t="shared" si="234"/>
        <v>0</v>
      </c>
    </row>
    <row r="579" spans="1:42">
      <c r="A579" s="202" t="str">
        <f>'Inputs &amp; Results'!A66</f>
        <v>State</v>
      </c>
    </row>
    <row r="580" spans="1:42">
      <c r="A580" s="206" t="s">
        <v>127</v>
      </c>
      <c r="C580" s="270">
        <f t="shared" ref="C580:AP580" si="235">IF(AND(C$2&lt;=PBIStateTerm,C$2&lt;=AnalysisPeriod),PBIState*(1+PBIStateEsc)^B$2,0)</f>
        <v>0</v>
      </c>
      <c r="D580" s="270">
        <f t="shared" si="235"/>
        <v>0</v>
      </c>
      <c r="E580" s="270">
        <f t="shared" si="235"/>
        <v>0</v>
      </c>
      <c r="F580" s="270">
        <f t="shared" si="235"/>
        <v>0</v>
      </c>
      <c r="G580" s="270">
        <f t="shared" si="235"/>
        <v>0</v>
      </c>
      <c r="H580" s="270">
        <f t="shared" si="235"/>
        <v>0</v>
      </c>
      <c r="I580" s="270">
        <f t="shared" si="235"/>
        <v>0</v>
      </c>
      <c r="J580" s="270">
        <f t="shared" si="235"/>
        <v>0</v>
      </c>
      <c r="K580" s="270">
        <f t="shared" si="235"/>
        <v>0</v>
      </c>
      <c r="L580" s="270">
        <f t="shared" si="235"/>
        <v>0</v>
      </c>
      <c r="M580" s="270">
        <f t="shared" si="235"/>
        <v>0</v>
      </c>
      <c r="N580" s="270">
        <f t="shared" si="235"/>
        <v>0</v>
      </c>
      <c r="O580" s="270">
        <f t="shared" si="235"/>
        <v>0</v>
      </c>
      <c r="P580" s="270">
        <f t="shared" si="235"/>
        <v>0</v>
      </c>
      <c r="Q580" s="270">
        <f t="shared" si="235"/>
        <v>0</v>
      </c>
      <c r="R580" s="270">
        <f t="shared" si="235"/>
        <v>0</v>
      </c>
      <c r="S580" s="270">
        <f t="shared" si="235"/>
        <v>0</v>
      </c>
      <c r="T580" s="270">
        <f t="shared" si="235"/>
        <v>0</v>
      </c>
      <c r="U580" s="270">
        <f t="shared" si="235"/>
        <v>0</v>
      </c>
      <c r="V580" s="270">
        <f t="shared" si="235"/>
        <v>0</v>
      </c>
      <c r="W580" s="270">
        <f t="shared" si="235"/>
        <v>0</v>
      </c>
      <c r="X580" s="270">
        <f t="shared" si="235"/>
        <v>0</v>
      </c>
      <c r="Y580" s="270">
        <f t="shared" si="235"/>
        <v>0</v>
      </c>
      <c r="Z580" s="270">
        <f t="shared" si="235"/>
        <v>0</v>
      </c>
      <c r="AA580" s="270">
        <f t="shared" si="235"/>
        <v>0</v>
      </c>
      <c r="AB580" s="270">
        <f t="shared" si="235"/>
        <v>0</v>
      </c>
      <c r="AC580" s="270">
        <f t="shared" si="235"/>
        <v>0</v>
      </c>
      <c r="AD580" s="270">
        <f t="shared" si="235"/>
        <v>0</v>
      </c>
      <c r="AE580" s="270">
        <f t="shared" si="235"/>
        <v>0</v>
      </c>
      <c r="AF580" s="270">
        <f t="shared" si="235"/>
        <v>0</v>
      </c>
      <c r="AG580" s="270">
        <f t="shared" si="235"/>
        <v>0</v>
      </c>
      <c r="AH580" s="270">
        <f t="shared" si="235"/>
        <v>0</v>
      </c>
      <c r="AI580" s="270">
        <f t="shared" si="235"/>
        <v>0</v>
      </c>
      <c r="AJ580" s="270">
        <f t="shared" si="235"/>
        <v>0</v>
      </c>
      <c r="AK580" s="270">
        <f t="shared" si="235"/>
        <v>0</v>
      </c>
      <c r="AL580" s="270">
        <f t="shared" si="235"/>
        <v>0</v>
      </c>
      <c r="AM580" s="270">
        <f t="shared" si="235"/>
        <v>0</v>
      </c>
      <c r="AN580" s="270">
        <f t="shared" si="235"/>
        <v>0</v>
      </c>
      <c r="AO580" s="270">
        <f t="shared" si="235"/>
        <v>0</v>
      </c>
      <c r="AP580" s="270">
        <f t="shared" si="235"/>
        <v>0</v>
      </c>
    </row>
    <row r="581" spans="1:42">
      <c r="A581" s="206" t="s">
        <v>128</v>
      </c>
      <c r="C581" s="225">
        <f>C$5</f>
        <v>17000000</v>
      </c>
      <c r="D581" s="225">
        <f t="shared" ref="D581:AP581" si="236">D$5</f>
        <v>16915000</v>
      </c>
      <c r="E581" s="225">
        <f t="shared" si="236"/>
        <v>16830425</v>
      </c>
      <c r="F581" s="225">
        <f t="shared" si="236"/>
        <v>16746272.875</v>
      </c>
      <c r="G581" s="225">
        <f t="shared" si="236"/>
        <v>16662541.510624999</v>
      </c>
      <c r="H581" s="225">
        <f t="shared" si="236"/>
        <v>16579228.803071873</v>
      </c>
      <c r="I581" s="225">
        <f t="shared" si="236"/>
        <v>16496332.659056515</v>
      </c>
      <c r="J581" s="225">
        <f t="shared" si="236"/>
        <v>16413850.995761232</v>
      </c>
      <c r="K581" s="225">
        <f t="shared" si="236"/>
        <v>16331781.740782427</v>
      </c>
      <c r="L581" s="225">
        <f t="shared" si="236"/>
        <v>16250122.832078515</v>
      </c>
      <c r="M581" s="225">
        <f t="shared" si="236"/>
        <v>16168872.217918122</v>
      </c>
      <c r="N581" s="225">
        <f t="shared" si="236"/>
        <v>16088027.856828531</v>
      </c>
      <c r="O581" s="225">
        <f t="shared" si="236"/>
        <v>16007587.717544388</v>
      </c>
      <c r="P581" s="225">
        <f t="shared" si="236"/>
        <v>15927549.778956667</v>
      </c>
      <c r="Q581" s="225">
        <f t="shared" si="236"/>
        <v>15847912.030061884</v>
      </c>
      <c r="R581" s="225">
        <f t="shared" si="236"/>
        <v>15768672.469911573</v>
      </c>
      <c r="S581" s="225">
        <f t="shared" si="236"/>
        <v>15689829.107562015</v>
      </c>
      <c r="T581" s="225">
        <f t="shared" si="236"/>
        <v>15611379.962024204</v>
      </c>
      <c r="U581" s="225">
        <f t="shared" si="236"/>
        <v>15533323.062214084</v>
      </c>
      <c r="V581" s="225">
        <f t="shared" si="236"/>
        <v>15455656.446903013</v>
      </c>
      <c r="W581" s="225">
        <f t="shared" si="236"/>
        <v>15378378.164668497</v>
      </c>
      <c r="X581" s="225">
        <f t="shared" si="236"/>
        <v>15301486.273845155</v>
      </c>
      <c r="Y581" s="225">
        <f t="shared" si="236"/>
        <v>15224978.842475928</v>
      </c>
      <c r="Z581" s="225">
        <f t="shared" si="236"/>
        <v>15148853.948263548</v>
      </c>
      <c r="AA581" s="225">
        <f t="shared" si="236"/>
        <v>15073109.678522231</v>
      </c>
      <c r="AB581" s="225">
        <f t="shared" si="236"/>
        <v>14997744.13012962</v>
      </c>
      <c r="AC581" s="225">
        <f t="shared" si="236"/>
        <v>14922755.409478972</v>
      </c>
      <c r="AD581" s="225">
        <f t="shared" si="236"/>
        <v>14848141.632431576</v>
      </c>
      <c r="AE581" s="225">
        <f t="shared" si="236"/>
        <v>14773900.924269417</v>
      </c>
      <c r="AF581" s="225">
        <f t="shared" si="236"/>
        <v>14700031.41964807</v>
      </c>
      <c r="AG581" s="225">
        <f t="shared" si="236"/>
        <v>0</v>
      </c>
      <c r="AH581" s="225">
        <f t="shared" si="236"/>
        <v>0</v>
      </c>
      <c r="AI581" s="225">
        <f t="shared" si="236"/>
        <v>0</v>
      </c>
      <c r="AJ581" s="225">
        <f t="shared" si="236"/>
        <v>0</v>
      </c>
      <c r="AK581" s="225">
        <f t="shared" si="236"/>
        <v>0</v>
      </c>
      <c r="AL581" s="225">
        <f t="shared" si="236"/>
        <v>0</v>
      </c>
      <c r="AM581" s="225">
        <f t="shared" si="236"/>
        <v>0</v>
      </c>
      <c r="AN581" s="225">
        <f t="shared" si="236"/>
        <v>0</v>
      </c>
      <c r="AO581" s="225">
        <f t="shared" si="236"/>
        <v>0</v>
      </c>
      <c r="AP581" s="225">
        <f t="shared" si="236"/>
        <v>0</v>
      </c>
    </row>
    <row r="582" spans="1:42">
      <c r="A582" s="206" t="s">
        <v>53</v>
      </c>
      <c r="C582" s="220">
        <f>C580*C581</f>
        <v>0</v>
      </c>
      <c r="D582" s="220">
        <f t="shared" ref="D582:AP582" si="237">D580*D581</f>
        <v>0</v>
      </c>
      <c r="E582" s="220">
        <f t="shared" si="237"/>
        <v>0</v>
      </c>
      <c r="F582" s="220">
        <f t="shared" si="237"/>
        <v>0</v>
      </c>
      <c r="G582" s="220">
        <f t="shared" si="237"/>
        <v>0</v>
      </c>
      <c r="H582" s="220">
        <f t="shared" si="237"/>
        <v>0</v>
      </c>
      <c r="I582" s="220">
        <f t="shared" si="237"/>
        <v>0</v>
      </c>
      <c r="J582" s="220">
        <f t="shared" si="237"/>
        <v>0</v>
      </c>
      <c r="K582" s="220">
        <f t="shared" si="237"/>
        <v>0</v>
      </c>
      <c r="L582" s="220">
        <f t="shared" si="237"/>
        <v>0</v>
      </c>
      <c r="M582" s="220">
        <f t="shared" si="237"/>
        <v>0</v>
      </c>
      <c r="N582" s="220">
        <f t="shared" si="237"/>
        <v>0</v>
      </c>
      <c r="O582" s="220">
        <f t="shared" si="237"/>
        <v>0</v>
      </c>
      <c r="P582" s="220">
        <f t="shared" si="237"/>
        <v>0</v>
      </c>
      <c r="Q582" s="220">
        <f t="shared" si="237"/>
        <v>0</v>
      </c>
      <c r="R582" s="220">
        <f t="shared" si="237"/>
        <v>0</v>
      </c>
      <c r="S582" s="220">
        <f t="shared" si="237"/>
        <v>0</v>
      </c>
      <c r="T582" s="220">
        <f t="shared" si="237"/>
        <v>0</v>
      </c>
      <c r="U582" s="220">
        <f t="shared" si="237"/>
        <v>0</v>
      </c>
      <c r="V582" s="220">
        <f t="shared" si="237"/>
        <v>0</v>
      </c>
      <c r="W582" s="220">
        <f t="shared" si="237"/>
        <v>0</v>
      </c>
      <c r="X582" s="220">
        <f t="shared" si="237"/>
        <v>0</v>
      </c>
      <c r="Y582" s="220">
        <f t="shared" si="237"/>
        <v>0</v>
      </c>
      <c r="Z582" s="220">
        <f t="shared" si="237"/>
        <v>0</v>
      </c>
      <c r="AA582" s="220">
        <f t="shared" si="237"/>
        <v>0</v>
      </c>
      <c r="AB582" s="220">
        <f t="shared" si="237"/>
        <v>0</v>
      </c>
      <c r="AC582" s="220">
        <f t="shared" si="237"/>
        <v>0</v>
      </c>
      <c r="AD582" s="220">
        <f t="shared" si="237"/>
        <v>0</v>
      </c>
      <c r="AE582" s="220">
        <f t="shared" si="237"/>
        <v>0</v>
      </c>
      <c r="AF582" s="220">
        <f t="shared" si="237"/>
        <v>0</v>
      </c>
      <c r="AG582" s="220">
        <f t="shared" si="237"/>
        <v>0</v>
      </c>
      <c r="AH582" s="220">
        <f t="shared" si="237"/>
        <v>0</v>
      </c>
      <c r="AI582" s="220">
        <f t="shared" si="237"/>
        <v>0</v>
      </c>
      <c r="AJ582" s="220">
        <f t="shared" si="237"/>
        <v>0</v>
      </c>
      <c r="AK582" s="220">
        <f t="shared" si="237"/>
        <v>0</v>
      </c>
      <c r="AL582" s="220">
        <f t="shared" si="237"/>
        <v>0</v>
      </c>
      <c r="AM582" s="220">
        <f t="shared" si="237"/>
        <v>0</v>
      </c>
      <c r="AN582" s="220">
        <f t="shared" si="237"/>
        <v>0</v>
      </c>
      <c r="AO582" s="220">
        <f t="shared" si="237"/>
        <v>0</v>
      </c>
      <c r="AP582" s="220">
        <f t="shared" si="237"/>
        <v>0</v>
      </c>
    </row>
    <row r="583" spans="1:42">
      <c r="A583" s="202" t="str">
        <f>'Inputs &amp; Results'!A67</f>
        <v>Utility</v>
      </c>
    </row>
    <row r="584" spans="1:42">
      <c r="A584" s="206" t="s">
        <v>127</v>
      </c>
      <c r="C584" s="270">
        <f t="shared" ref="C584:AP584" si="238">IF(AND(C$2&lt;=PBIUtilityTerm,C$2&lt;=AnalysisPeriod),PBIUtility*(1+PBIUtilityEsc)^B$2,0)</f>
        <v>0</v>
      </c>
      <c r="D584" s="270">
        <f t="shared" si="238"/>
        <v>0</v>
      </c>
      <c r="E584" s="270">
        <f t="shared" si="238"/>
        <v>0</v>
      </c>
      <c r="F584" s="270">
        <f t="shared" si="238"/>
        <v>0</v>
      </c>
      <c r="G584" s="270">
        <f t="shared" si="238"/>
        <v>0</v>
      </c>
      <c r="H584" s="270">
        <f t="shared" si="238"/>
        <v>0</v>
      </c>
      <c r="I584" s="270">
        <f t="shared" si="238"/>
        <v>0</v>
      </c>
      <c r="J584" s="270">
        <f t="shared" si="238"/>
        <v>0</v>
      </c>
      <c r="K584" s="270">
        <f t="shared" si="238"/>
        <v>0</v>
      </c>
      <c r="L584" s="270">
        <f t="shared" si="238"/>
        <v>0</v>
      </c>
      <c r="M584" s="270">
        <f t="shared" si="238"/>
        <v>0</v>
      </c>
      <c r="N584" s="270">
        <f t="shared" si="238"/>
        <v>0</v>
      </c>
      <c r="O584" s="270">
        <f t="shared" si="238"/>
        <v>0</v>
      </c>
      <c r="P584" s="270">
        <f t="shared" si="238"/>
        <v>0</v>
      </c>
      <c r="Q584" s="270">
        <f t="shared" si="238"/>
        <v>0</v>
      </c>
      <c r="R584" s="270">
        <f t="shared" si="238"/>
        <v>0</v>
      </c>
      <c r="S584" s="270">
        <f t="shared" si="238"/>
        <v>0</v>
      </c>
      <c r="T584" s="270">
        <f t="shared" si="238"/>
        <v>0</v>
      </c>
      <c r="U584" s="270">
        <f t="shared" si="238"/>
        <v>0</v>
      </c>
      <c r="V584" s="270">
        <f t="shared" si="238"/>
        <v>0</v>
      </c>
      <c r="W584" s="270">
        <f t="shared" si="238"/>
        <v>0</v>
      </c>
      <c r="X584" s="270">
        <f t="shared" si="238"/>
        <v>0</v>
      </c>
      <c r="Y584" s="270">
        <f t="shared" si="238"/>
        <v>0</v>
      </c>
      <c r="Z584" s="270">
        <f t="shared" si="238"/>
        <v>0</v>
      </c>
      <c r="AA584" s="270">
        <f t="shared" si="238"/>
        <v>0</v>
      </c>
      <c r="AB584" s="270">
        <f t="shared" si="238"/>
        <v>0</v>
      </c>
      <c r="AC584" s="270">
        <f t="shared" si="238"/>
        <v>0</v>
      </c>
      <c r="AD584" s="270">
        <f t="shared" si="238"/>
        <v>0</v>
      </c>
      <c r="AE584" s="270">
        <f t="shared" si="238"/>
        <v>0</v>
      </c>
      <c r="AF584" s="270">
        <f t="shared" si="238"/>
        <v>0</v>
      </c>
      <c r="AG584" s="270">
        <f t="shared" si="238"/>
        <v>0</v>
      </c>
      <c r="AH584" s="270">
        <f t="shared" si="238"/>
        <v>0</v>
      </c>
      <c r="AI584" s="270">
        <f t="shared" si="238"/>
        <v>0</v>
      </c>
      <c r="AJ584" s="270">
        <f t="shared" si="238"/>
        <v>0</v>
      </c>
      <c r="AK584" s="270">
        <f t="shared" si="238"/>
        <v>0</v>
      </c>
      <c r="AL584" s="270">
        <f t="shared" si="238"/>
        <v>0</v>
      </c>
      <c r="AM584" s="270">
        <f t="shared" si="238"/>
        <v>0</v>
      </c>
      <c r="AN584" s="270">
        <f t="shared" si="238"/>
        <v>0</v>
      </c>
      <c r="AO584" s="270">
        <f t="shared" si="238"/>
        <v>0</v>
      </c>
      <c r="AP584" s="270">
        <f t="shared" si="238"/>
        <v>0</v>
      </c>
    </row>
    <row r="585" spans="1:42">
      <c r="A585" s="206" t="s">
        <v>128</v>
      </c>
      <c r="C585" s="225">
        <f>C$5</f>
        <v>17000000</v>
      </c>
      <c r="D585" s="225">
        <f t="shared" ref="D585:AP585" si="239">D$5</f>
        <v>16915000</v>
      </c>
      <c r="E585" s="225">
        <f t="shared" si="239"/>
        <v>16830425</v>
      </c>
      <c r="F585" s="225">
        <f t="shared" si="239"/>
        <v>16746272.875</v>
      </c>
      <c r="G585" s="225">
        <f t="shared" si="239"/>
        <v>16662541.510624999</v>
      </c>
      <c r="H585" s="225">
        <f t="shared" si="239"/>
        <v>16579228.803071873</v>
      </c>
      <c r="I585" s="225">
        <f t="shared" si="239"/>
        <v>16496332.659056515</v>
      </c>
      <c r="J585" s="225">
        <f t="shared" si="239"/>
        <v>16413850.995761232</v>
      </c>
      <c r="K585" s="225">
        <f t="shared" si="239"/>
        <v>16331781.740782427</v>
      </c>
      <c r="L585" s="225">
        <f t="shared" si="239"/>
        <v>16250122.832078515</v>
      </c>
      <c r="M585" s="225">
        <f t="shared" si="239"/>
        <v>16168872.217918122</v>
      </c>
      <c r="N585" s="225">
        <f t="shared" si="239"/>
        <v>16088027.856828531</v>
      </c>
      <c r="O585" s="225">
        <f t="shared" si="239"/>
        <v>16007587.717544388</v>
      </c>
      <c r="P585" s="225">
        <f t="shared" si="239"/>
        <v>15927549.778956667</v>
      </c>
      <c r="Q585" s="225">
        <f t="shared" si="239"/>
        <v>15847912.030061884</v>
      </c>
      <c r="R585" s="225">
        <f t="shared" si="239"/>
        <v>15768672.469911573</v>
      </c>
      <c r="S585" s="225">
        <f t="shared" si="239"/>
        <v>15689829.107562015</v>
      </c>
      <c r="T585" s="225">
        <f t="shared" si="239"/>
        <v>15611379.962024204</v>
      </c>
      <c r="U585" s="225">
        <f t="shared" si="239"/>
        <v>15533323.062214084</v>
      </c>
      <c r="V585" s="225">
        <f t="shared" si="239"/>
        <v>15455656.446903013</v>
      </c>
      <c r="W585" s="225">
        <f t="shared" si="239"/>
        <v>15378378.164668497</v>
      </c>
      <c r="X585" s="225">
        <f t="shared" si="239"/>
        <v>15301486.273845155</v>
      </c>
      <c r="Y585" s="225">
        <f t="shared" si="239"/>
        <v>15224978.842475928</v>
      </c>
      <c r="Z585" s="225">
        <f t="shared" si="239"/>
        <v>15148853.948263548</v>
      </c>
      <c r="AA585" s="225">
        <f t="shared" si="239"/>
        <v>15073109.678522231</v>
      </c>
      <c r="AB585" s="225">
        <f t="shared" si="239"/>
        <v>14997744.13012962</v>
      </c>
      <c r="AC585" s="225">
        <f t="shared" si="239"/>
        <v>14922755.409478972</v>
      </c>
      <c r="AD585" s="225">
        <f t="shared" si="239"/>
        <v>14848141.632431576</v>
      </c>
      <c r="AE585" s="225">
        <f t="shared" si="239"/>
        <v>14773900.924269417</v>
      </c>
      <c r="AF585" s="225">
        <f t="shared" si="239"/>
        <v>14700031.41964807</v>
      </c>
      <c r="AG585" s="225">
        <f t="shared" si="239"/>
        <v>0</v>
      </c>
      <c r="AH585" s="225">
        <f t="shared" si="239"/>
        <v>0</v>
      </c>
      <c r="AI585" s="225">
        <f t="shared" si="239"/>
        <v>0</v>
      </c>
      <c r="AJ585" s="225">
        <f t="shared" si="239"/>
        <v>0</v>
      </c>
      <c r="AK585" s="225">
        <f t="shared" si="239"/>
        <v>0</v>
      </c>
      <c r="AL585" s="225">
        <f t="shared" si="239"/>
        <v>0</v>
      </c>
      <c r="AM585" s="225">
        <f t="shared" si="239"/>
        <v>0</v>
      </c>
      <c r="AN585" s="225">
        <f t="shared" si="239"/>
        <v>0</v>
      </c>
      <c r="AO585" s="225">
        <f t="shared" si="239"/>
        <v>0</v>
      </c>
      <c r="AP585" s="225">
        <f t="shared" si="239"/>
        <v>0</v>
      </c>
    </row>
    <row r="586" spans="1:42">
      <c r="A586" s="206" t="s">
        <v>53</v>
      </c>
      <c r="C586" s="220">
        <f>C584*C585</f>
        <v>0</v>
      </c>
      <c r="D586" s="220">
        <f t="shared" ref="D586:AP586" si="240">D584*D585</f>
        <v>0</v>
      </c>
      <c r="E586" s="220">
        <f t="shared" si="240"/>
        <v>0</v>
      </c>
      <c r="F586" s="220">
        <f t="shared" si="240"/>
        <v>0</v>
      </c>
      <c r="G586" s="220">
        <f t="shared" si="240"/>
        <v>0</v>
      </c>
      <c r="H586" s="220">
        <f t="shared" si="240"/>
        <v>0</v>
      </c>
      <c r="I586" s="220">
        <f t="shared" si="240"/>
        <v>0</v>
      </c>
      <c r="J586" s="220">
        <f t="shared" si="240"/>
        <v>0</v>
      </c>
      <c r="K586" s="220">
        <f t="shared" si="240"/>
        <v>0</v>
      </c>
      <c r="L586" s="220">
        <f t="shared" si="240"/>
        <v>0</v>
      </c>
      <c r="M586" s="220">
        <f t="shared" si="240"/>
        <v>0</v>
      </c>
      <c r="N586" s="220">
        <f t="shared" si="240"/>
        <v>0</v>
      </c>
      <c r="O586" s="220">
        <f t="shared" si="240"/>
        <v>0</v>
      </c>
      <c r="P586" s="220">
        <f t="shared" si="240"/>
        <v>0</v>
      </c>
      <c r="Q586" s="220">
        <f t="shared" si="240"/>
        <v>0</v>
      </c>
      <c r="R586" s="220">
        <f t="shared" si="240"/>
        <v>0</v>
      </c>
      <c r="S586" s="220">
        <f t="shared" si="240"/>
        <v>0</v>
      </c>
      <c r="T586" s="220">
        <f t="shared" si="240"/>
        <v>0</v>
      </c>
      <c r="U586" s="220">
        <f t="shared" si="240"/>
        <v>0</v>
      </c>
      <c r="V586" s="220">
        <f t="shared" si="240"/>
        <v>0</v>
      </c>
      <c r="W586" s="220">
        <f t="shared" si="240"/>
        <v>0</v>
      </c>
      <c r="X586" s="220">
        <f t="shared" si="240"/>
        <v>0</v>
      </c>
      <c r="Y586" s="220">
        <f t="shared" si="240"/>
        <v>0</v>
      </c>
      <c r="Z586" s="220">
        <f t="shared" si="240"/>
        <v>0</v>
      </c>
      <c r="AA586" s="220">
        <f t="shared" si="240"/>
        <v>0</v>
      </c>
      <c r="AB586" s="220">
        <f t="shared" si="240"/>
        <v>0</v>
      </c>
      <c r="AC586" s="220">
        <f t="shared" si="240"/>
        <v>0</v>
      </c>
      <c r="AD586" s="220">
        <f t="shared" si="240"/>
        <v>0</v>
      </c>
      <c r="AE586" s="220">
        <f t="shared" si="240"/>
        <v>0</v>
      </c>
      <c r="AF586" s="220">
        <f t="shared" si="240"/>
        <v>0</v>
      </c>
      <c r="AG586" s="220">
        <f t="shared" si="240"/>
        <v>0</v>
      </c>
      <c r="AH586" s="220">
        <f t="shared" si="240"/>
        <v>0</v>
      </c>
      <c r="AI586" s="220">
        <f t="shared" si="240"/>
        <v>0</v>
      </c>
      <c r="AJ586" s="220">
        <f t="shared" si="240"/>
        <v>0</v>
      </c>
      <c r="AK586" s="220">
        <f t="shared" si="240"/>
        <v>0</v>
      </c>
      <c r="AL586" s="220">
        <f t="shared" si="240"/>
        <v>0</v>
      </c>
      <c r="AM586" s="220">
        <f t="shared" si="240"/>
        <v>0</v>
      </c>
      <c r="AN586" s="220">
        <f t="shared" si="240"/>
        <v>0</v>
      </c>
      <c r="AO586" s="220">
        <f t="shared" si="240"/>
        <v>0</v>
      </c>
      <c r="AP586" s="220">
        <f t="shared" si="240"/>
        <v>0</v>
      </c>
    </row>
    <row r="587" spans="1:42">
      <c r="A587" s="202" t="str">
        <f>'Inputs &amp; Results'!A68</f>
        <v>Other</v>
      </c>
    </row>
    <row r="588" spans="1:42">
      <c r="A588" s="206" t="s">
        <v>127</v>
      </c>
      <c r="C588" s="272">
        <f t="shared" ref="C588:AP588" si="241">IF(AND(C$2&lt;=PBIOtherTerm,C$2&lt;=AnalysisPeriod),PBIOther*(1+PBIOtherEsc)^B$2,0)</f>
        <v>0</v>
      </c>
      <c r="D588" s="272">
        <f t="shared" si="241"/>
        <v>0</v>
      </c>
      <c r="E588" s="272">
        <f t="shared" si="241"/>
        <v>0</v>
      </c>
      <c r="F588" s="272">
        <f t="shared" si="241"/>
        <v>0</v>
      </c>
      <c r="G588" s="272">
        <f t="shared" si="241"/>
        <v>0</v>
      </c>
      <c r="H588" s="272">
        <f t="shared" si="241"/>
        <v>0</v>
      </c>
      <c r="I588" s="272">
        <f t="shared" si="241"/>
        <v>0</v>
      </c>
      <c r="J588" s="272">
        <f t="shared" si="241"/>
        <v>0</v>
      </c>
      <c r="K588" s="272">
        <f t="shared" si="241"/>
        <v>0</v>
      </c>
      <c r="L588" s="272">
        <f t="shared" si="241"/>
        <v>0</v>
      </c>
      <c r="M588" s="272">
        <f t="shared" si="241"/>
        <v>0</v>
      </c>
      <c r="N588" s="272">
        <f t="shared" si="241"/>
        <v>0</v>
      </c>
      <c r="O588" s="272">
        <f t="shared" si="241"/>
        <v>0</v>
      </c>
      <c r="P588" s="272">
        <f t="shared" si="241"/>
        <v>0</v>
      </c>
      <c r="Q588" s="272">
        <f t="shared" si="241"/>
        <v>0</v>
      </c>
      <c r="R588" s="272">
        <f t="shared" si="241"/>
        <v>0</v>
      </c>
      <c r="S588" s="272">
        <f t="shared" si="241"/>
        <v>0</v>
      </c>
      <c r="T588" s="272">
        <f t="shared" si="241"/>
        <v>0</v>
      </c>
      <c r="U588" s="272">
        <f t="shared" si="241"/>
        <v>0</v>
      </c>
      <c r="V588" s="272">
        <f t="shared" si="241"/>
        <v>0</v>
      </c>
      <c r="W588" s="272">
        <f t="shared" si="241"/>
        <v>0</v>
      </c>
      <c r="X588" s="272">
        <f t="shared" si="241"/>
        <v>0</v>
      </c>
      <c r="Y588" s="272">
        <f t="shared" si="241"/>
        <v>0</v>
      </c>
      <c r="Z588" s="272">
        <f t="shared" si="241"/>
        <v>0</v>
      </c>
      <c r="AA588" s="272">
        <f t="shared" si="241"/>
        <v>0</v>
      </c>
      <c r="AB588" s="272">
        <f t="shared" si="241"/>
        <v>0</v>
      </c>
      <c r="AC588" s="272">
        <f t="shared" si="241"/>
        <v>0</v>
      </c>
      <c r="AD588" s="272">
        <f t="shared" si="241"/>
        <v>0</v>
      </c>
      <c r="AE588" s="272">
        <f t="shared" si="241"/>
        <v>0</v>
      </c>
      <c r="AF588" s="272">
        <f t="shared" si="241"/>
        <v>0</v>
      </c>
      <c r="AG588" s="272">
        <f t="shared" si="241"/>
        <v>0</v>
      </c>
      <c r="AH588" s="272">
        <f t="shared" si="241"/>
        <v>0</v>
      </c>
      <c r="AI588" s="272">
        <f t="shared" si="241"/>
        <v>0</v>
      </c>
      <c r="AJ588" s="272">
        <f t="shared" si="241"/>
        <v>0</v>
      </c>
      <c r="AK588" s="272">
        <f t="shared" si="241"/>
        <v>0</v>
      </c>
      <c r="AL588" s="272">
        <f t="shared" si="241"/>
        <v>0</v>
      </c>
      <c r="AM588" s="272">
        <f t="shared" si="241"/>
        <v>0</v>
      </c>
      <c r="AN588" s="272">
        <f t="shared" si="241"/>
        <v>0</v>
      </c>
      <c r="AO588" s="272">
        <f t="shared" si="241"/>
        <v>0</v>
      </c>
      <c r="AP588" s="272">
        <f t="shared" si="241"/>
        <v>0</v>
      </c>
    </row>
    <row r="589" spans="1:42">
      <c r="A589" s="206" t="s">
        <v>128</v>
      </c>
      <c r="C589" s="225">
        <f>C$5</f>
        <v>17000000</v>
      </c>
      <c r="D589" s="225">
        <f t="shared" ref="D589:AP589" si="242">D$5</f>
        <v>16915000</v>
      </c>
      <c r="E589" s="225">
        <f t="shared" si="242"/>
        <v>16830425</v>
      </c>
      <c r="F589" s="225">
        <f t="shared" si="242"/>
        <v>16746272.875</v>
      </c>
      <c r="G589" s="225">
        <f t="shared" si="242"/>
        <v>16662541.510624999</v>
      </c>
      <c r="H589" s="225">
        <f t="shared" si="242"/>
        <v>16579228.803071873</v>
      </c>
      <c r="I589" s="225">
        <f t="shared" si="242"/>
        <v>16496332.659056515</v>
      </c>
      <c r="J589" s="225">
        <f t="shared" si="242"/>
        <v>16413850.995761232</v>
      </c>
      <c r="K589" s="225">
        <f t="shared" si="242"/>
        <v>16331781.740782427</v>
      </c>
      <c r="L589" s="225">
        <f t="shared" si="242"/>
        <v>16250122.832078515</v>
      </c>
      <c r="M589" s="225">
        <f t="shared" si="242"/>
        <v>16168872.217918122</v>
      </c>
      <c r="N589" s="225">
        <f t="shared" si="242"/>
        <v>16088027.856828531</v>
      </c>
      <c r="O589" s="225">
        <f t="shared" si="242"/>
        <v>16007587.717544388</v>
      </c>
      <c r="P589" s="225">
        <f t="shared" si="242"/>
        <v>15927549.778956667</v>
      </c>
      <c r="Q589" s="225">
        <f t="shared" si="242"/>
        <v>15847912.030061884</v>
      </c>
      <c r="R589" s="225">
        <f t="shared" si="242"/>
        <v>15768672.469911573</v>
      </c>
      <c r="S589" s="225">
        <f t="shared" si="242"/>
        <v>15689829.107562015</v>
      </c>
      <c r="T589" s="225">
        <f t="shared" si="242"/>
        <v>15611379.962024204</v>
      </c>
      <c r="U589" s="225">
        <f t="shared" si="242"/>
        <v>15533323.062214084</v>
      </c>
      <c r="V589" s="225">
        <f t="shared" si="242"/>
        <v>15455656.446903013</v>
      </c>
      <c r="W589" s="225">
        <f t="shared" si="242"/>
        <v>15378378.164668497</v>
      </c>
      <c r="X589" s="225">
        <f t="shared" si="242"/>
        <v>15301486.273845155</v>
      </c>
      <c r="Y589" s="225">
        <f t="shared" si="242"/>
        <v>15224978.842475928</v>
      </c>
      <c r="Z589" s="225">
        <f t="shared" si="242"/>
        <v>15148853.948263548</v>
      </c>
      <c r="AA589" s="225">
        <f t="shared" si="242"/>
        <v>15073109.678522231</v>
      </c>
      <c r="AB589" s="225">
        <f t="shared" si="242"/>
        <v>14997744.13012962</v>
      </c>
      <c r="AC589" s="225">
        <f t="shared" si="242"/>
        <v>14922755.409478972</v>
      </c>
      <c r="AD589" s="225">
        <f t="shared" si="242"/>
        <v>14848141.632431576</v>
      </c>
      <c r="AE589" s="225">
        <f t="shared" si="242"/>
        <v>14773900.924269417</v>
      </c>
      <c r="AF589" s="225">
        <f t="shared" si="242"/>
        <v>14700031.41964807</v>
      </c>
      <c r="AG589" s="225">
        <f t="shared" si="242"/>
        <v>0</v>
      </c>
      <c r="AH589" s="225">
        <f t="shared" si="242"/>
        <v>0</v>
      </c>
      <c r="AI589" s="225">
        <f t="shared" si="242"/>
        <v>0</v>
      </c>
      <c r="AJ589" s="225">
        <f t="shared" si="242"/>
        <v>0</v>
      </c>
      <c r="AK589" s="225">
        <f t="shared" si="242"/>
        <v>0</v>
      </c>
      <c r="AL589" s="225">
        <f t="shared" si="242"/>
        <v>0</v>
      </c>
      <c r="AM589" s="225">
        <f t="shared" si="242"/>
        <v>0</v>
      </c>
      <c r="AN589" s="225">
        <f t="shared" si="242"/>
        <v>0</v>
      </c>
      <c r="AO589" s="225">
        <f t="shared" si="242"/>
        <v>0</v>
      </c>
      <c r="AP589" s="225">
        <f t="shared" si="242"/>
        <v>0</v>
      </c>
    </row>
    <row r="590" spans="1:42">
      <c r="A590" s="206" t="s">
        <v>53</v>
      </c>
      <c r="C590" s="220">
        <f>C588*C589</f>
        <v>0</v>
      </c>
      <c r="D590" s="220">
        <f t="shared" ref="D590:AP590" si="243">D588*D589</f>
        <v>0</v>
      </c>
      <c r="E590" s="220">
        <f t="shared" si="243"/>
        <v>0</v>
      </c>
      <c r="F590" s="220">
        <f t="shared" si="243"/>
        <v>0</v>
      </c>
      <c r="G590" s="220">
        <f t="shared" si="243"/>
        <v>0</v>
      </c>
      <c r="H590" s="220">
        <f t="shared" si="243"/>
        <v>0</v>
      </c>
      <c r="I590" s="220">
        <f t="shared" si="243"/>
        <v>0</v>
      </c>
      <c r="J590" s="220">
        <f t="shared" si="243"/>
        <v>0</v>
      </c>
      <c r="K590" s="220">
        <f t="shared" si="243"/>
        <v>0</v>
      </c>
      <c r="L590" s="220">
        <f t="shared" si="243"/>
        <v>0</v>
      </c>
      <c r="M590" s="220">
        <f t="shared" si="243"/>
        <v>0</v>
      </c>
      <c r="N590" s="220">
        <f t="shared" si="243"/>
        <v>0</v>
      </c>
      <c r="O590" s="220">
        <f t="shared" si="243"/>
        <v>0</v>
      </c>
      <c r="P590" s="220">
        <f t="shared" si="243"/>
        <v>0</v>
      </c>
      <c r="Q590" s="220">
        <f t="shared" si="243"/>
        <v>0</v>
      </c>
      <c r="R590" s="220">
        <f t="shared" si="243"/>
        <v>0</v>
      </c>
      <c r="S590" s="220">
        <f t="shared" si="243"/>
        <v>0</v>
      </c>
      <c r="T590" s="220">
        <f t="shared" si="243"/>
        <v>0</v>
      </c>
      <c r="U590" s="220">
        <f t="shared" si="243"/>
        <v>0</v>
      </c>
      <c r="V590" s="220">
        <f t="shared" si="243"/>
        <v>0</v>
      </c>
      <c r="W590" s="220">
        <f t="shared" si="243"/>
        <v>0</v>
      </c>
      <c r="X590" s="220">
        <f t="shared" si="243"/>
        <v>0</v>
      </c>
      <c r="Y590" s="220">
        <f t="shared" si="243"/>
        <v>0</v>
      </c>
      <c r="Z590" s="220">
        <f t="shared" si="243"/>
        <v>0</v>
      </c>
      <c r="AA590" s="220">
        <f t="shared" si="243"/>
        <v>0</v>
      </c>
      <c r="AB590" s="220">
        <f t="shared" si="243"/>
        <v>0</v>
      </c>
      <c r="AC590" s="220">
        <f t="shared" si="243"/>
        <v>0</v>
      </c>
      <c r="AD590" s="220">
        <f t="shared" si="243"/>
        <v>0</v>
      </c>
      <c r="AE590" s="220">
        <f t="shared" si="243"/>
        <v>0</v>
      </c>
      <c r="AF590" s="220">
        <f t="shared" si="243"/>
        <v>0</v>
      </c>
      <c r="AG590" s="220">
        <f t="shared" si="243"/>
        <v>0</v>
      </c>
      <c r="AH590" s="220">
        <f t="shared" si="243"/>
        <v>0</v>
      </c>
      <c r="AI590" s="220">
        <f t="shared" si="243"/>
        <v>0</v>
      </c>
      <c r="AJ590" s="220">
        <f t="shared" si="243"/>
        <v>0</v>
      </c>
      <c r="AK590" s="220">
        <f t="shared" si="243"/>
        <v>0</v>
      </c>
      <c r="AL590" s="220">
        <f t="shared" si="243"/>
        <v>0</v>
      </c>
      <c r="AM590" s="220">
        <f t="shared" si="243"/>
        <v>0</v>
      </c>
      <c r="AN590" s="220">
        <f t="shared" si="243"/>
        <v>0</v>
      </c>
      <c r="AO590" s="220">
        <f t="shared" si="243"/>
        <v>0</v>
      </c>
      <c r="AP590" s="220">
        <f t="shared" si="243"/>
        <v>0</v>
      </c>
    </row>
    <row r="591" spans="1:42">
      <c r="C591" s="208"/>
      <c r="D591" s="208"/>
      <c r="E591" s="208"/>
      <c r="F591" s="208"/>
      <c r="G591" s="208"/>
      <c r="H591" s="208"/>
      <c r="I591" s="208"/>
      <c r="J591" s="208"/>
      <c r="K591" s="208"/>
      <c r="L591" s="208"/>
      <c r="M591" s="208"/>
      <c r="N591" s="208"/>
      <c r="O591" s="208"/>
      <c r="P591" s="208"/>
      <c r="Q591" s="208"/>
      <c r="R591" s="208"/>
      <c r="S591" s="208"/>
      <c r="T591" s="208"/>
      <c r="U591" s="208"/>
      <c r="V591" s="208"/>
      <c r="W591" s="208"/>
      <c r="X591" s="208"/>
      <c r="Y591" s="208"/>
      <c r="Z591" s="208"/>
      <c r="AA591" s="208"/>
      <c r="AB591" s="208"/>
      <c r="AC591" s="208"/>
      <c r="AD591" s="208"/>
      <c r="AE591" s="208"/>
      <c r="AF591" s="208"/>
      <c r="AG591" s="208"/>
      <c r="AH591" s="208"/>
      <c r="AI591" s="208"/>
      <c r="AJ591" s="208"/>
      <c r="AK591" s="208"/>
      <c r="AL591" s="208"/>
      <c r="AM591" s="208"/>
      <c r="AN591" s="208"/>
      <c r="AO591" s="208"/>
      <c r="AP591" s="208"/>
    </row>
    <row r="592" spans="1:42">
      <c r="A592" s="37" t="s">
        <v>53</v>
      </c>
      <c r="C592" s="216">
        <f>C578+C582+C586+C590</f>
        <v>0</v>
      </c>
      <c r="D592" s="216">
        <f t="shared" ref="D592:AP592" si="244">D578+D582+D586+D590</f>
        <v>0</v>
      </c>
      <c r="E592" s="216">
        <f t="shared" si="244"/>
        <v>0</v>
      </c>
      <c r="F592" s="216">
        <f t="shared" si="244"/>
        <v>0</v>
      </c>
      <c r="G592" s="216">
        <f t="shared" si="244"/>
        <v>0</v>
      </c>
      <c r="H592" s="216">
        <f t="shared" si="244"/>
        <v>0</v>
      </c>
      <c r="I592" s="216">
        <f t="shared" si="244"/>
        <v>0</v>
      </c>
      <c r="J592" s="216">
        <f t="shared" si="244"/>
        <v>0</v>
      </c>
      <c r="K592" s="216">
        <f t="shared" si="244"/>
        <v>0</v>
      </c>
      <c r="L592" s="216">
        <f t="shared" si="244"/>
        <v>0</v>
      </c>
      <c r="M592" s="216">
        <f t="shared" si="244"/>
        <v>0</v>
      </c>
      <c r="N592" s="216">
        <f t="shared" si="244"/>
        <v>0</v>
      </c>
      <c r="O592" s="216">
        <f t="shared" si="244"/>
        <v>0</v>
      </c>
      <c r="P592" s="216">
        <f t="shared" si="244"/>
        <v>0</v>
      </c>
      <c r="Q592" s="216">
        <f t="shared" si="244"/>
        <v>0</v>
      </c>
      <c r="R592" s="216">
        <f t="shared" si="244"/>
        <v>0</v>
      </c>
      <c r="S592" s="216">
        <f t="shared" si="244"/>
        <v>0</v>
      </c>
      <c r="T592" s="216">
        <f t="shared" si="244"/>
        <v>0</v>
      </c>
      <c r="U592" s="216">
        <f t="shared" si="244"/>
        <v>0</v>
      </c>
      <c r="V592" s="216">
        <f t="shared" si="244"/>
        <v>0</v>
      </c>
      <c r="W592" s="216">
        <f t="shared" si="244"/>
        <v>0</v>
      </c>
      <c r="X592" s="216">
        <f t="shared" si="244"/>
        <v>0</v>
      </c>
      <c r="Y592" s="216">
        <f t="shared" si="244"/>
        <v>0</v>
      </c>
      <c r="Z592" s="216">
        <f t="shared" si="244"/>
        <v>0</v>
      </c>
      <c r="AA592" s="216">
        <f t="shared" si="244"/>
        <v>0</v>
      </c>
      <c r="AB592" s="216">
        <f t="shared" si="244"/>
        <v>0</v>
      </c>
      <c r="AC592" s="216">
        <f t="shared" si="244"/>
        <v>0</v>
      </c>
      <c r="AD592" s="216">
        <f t="shared" si="244"/>
        <v>0</v>
      </c>
      <c r="AE592" s="216">
        <f t="shared" si="244"/>
        <v>0</v>
      </c>
      <c r="AF592" s="216">
        <f t="shared" si="244"/>
        <v>0</v>
      </c>
      <c r="AG592" s="216">
        <f t="shared" si="244"/>
        <v>0</v>
      </c>
      <c r="AH592" s="216">
        <f t="shared" si="244"/>
        <v>0</v>
      </c>
      <c r="AI592" s="216">
        <f t="shared" si="244"/>
        <v>0</v>
      </c>
      <c r="AJ592" s="216">
        <f t="shared" si="244"/>
        <v>0</v>
      </c>
      <c r="AK592" s="216">
        <f t="shared" si="244"/>
        <v>0</v>
      </c>
      <c r="AL592" s="216">
        <f t="shared" si="244"/>
        <v>0</v>
      </c>
      <c r="AM592" s="216">
        <f t="shared" si="244"/>
        <v>0</v>
      </c>
      <c r="AN592" s="216">
        <f t="shared" si="244"/>
        <v>0</v>
      </c>
      <c r="AO592" s="216">
        <f t="shared" si="244"/>
        <v>0</v>
      </c>
      <c r="AP592" s="216">
        <f t="shared" si="244"/>
        <v>0</v>
      </c>
    </row>
    <row r="594" spans="1:42">
      <c r="A594" s="201" t="s">
        <v>99</v>
      </c>
    </row>
    <row r="595" spans="1:42" s="119" customFormat="1">
      <c r="A595" s="204" t="s">
        <v>311</v>
      </c>
    </row>
    <row r="596" spans="1:42" s="119" customFormat="1">
      <c r="A596" s="37" t="s">
        <v>312</v>
      </c>
      <c r="C596" s="273">
        <f t="shared" ref="C596:AP596" si="245">IF(AND(C$2&lt;=SODebtTerm,C$2&lt;=AnalysisPeriod),SODebtRate,0)</f>
        <v>7.0000000000000007E-2</v>
      </c>
      <c r="D596" s="273">
        <f t="shared" si="245"/>
        <v>7.0000000000000007E-2</v>
      </c>
      <c r="E596" s="273">
        <f t="shared" si="245"/>
        <v>7.0000000000000007E-2</v>
      </c>
      <c r="F596" s="273">
        <f t="shared" si="245"/>
        <v>7.0000000000000007E-2</v>
      </c>
      <c r="G596" s="273">
        <f t="shared" si="245"/>
        <v>7.0000000000000007E-2</v>
      </c>
      <c r="H596" s="273">
        <f t="shared" si="245"/>
        <v>7.0000000000000007E-2</v>
      </c>
      <c r="I596" s="273">
        <f t="shared" si="245"/>
        <v>7.0000000000000007E-2</v>
      </c>
      <c r="J596" s="273">
        <f t="shared" si="245"/>
        <v>7.0000000000000007E-2</v>
      </c>
      <c r="K596" s="273">
        <f t="shared" si="245"/>
        <v>7.0000000000000007E-2</v>
      </c>
      <c r="L596" s="273">
        <f t="shared" si="245"/>
        <v>7.0000000000000007E-2</v>
      </c>
      <c r="M596" s="273">
        <f t="shared" si="245"/>
        <v>7.0000000000000007E-2</v>
      </c>
      <c r="N596" s="273">
        <f t="shared" si="245"/>
        <v>7.0000000000000007E-2</v>
      </c>
      <c r="O596" s="273">
        <f t="shared" si="245"/>
        <v>7.0000000000000007E-2</v>
      </c>
      <c r="P596" s="273">
        <f t="shared" si="245"/>
        <v>7.0000000000000007E-2</v>
      </c>
      <c r="Q596" s="273">
        <f t="shared" si="245"/>
        <v>7.0000000000000007E-2</v>
      </c>
      <c r="R596" s="273">
        <f t="shared" si="245"/>
        <v>7.0000000000000007E-2</v>
      </c>
      <c r="S596" s="273">
        <f t="shared" si="245"/>
        <v>7.0000000000000007E-2</v>
      </c>
      <c r="T596" s="273">
        <f t="shared" si="245"/>
        <v>7.0000000000000007E-2</v>
      </c>
      <c r="U596" s="273">
        <f t="shared" si="245"/>
        <v>7.0000000000000007E-2</v>
      </c>
      <c r="V596" s="273">
        <f t="shared" si="245"/>
        <v>7.0000000000000007E-2</v>
      </c>
      <c r="W596" s="273">
        <f t="shared" si="245"/>
        <v>0</v>
      </c>
      <c r="X596" s="273">
        <f t="shared" si="245"/>
        <v>0</v>
      </c>
      <c r="Y596" s="273">
        <f t="shared" si="245"/>
        <v>0</v>
      </c>
      <c r="Z596" s="273">
        <f t="shared" si="245"/>
        <v>0</v>
      </c>
      <c r="AA596" s="273">
        <f t="shared" si="245"/>
        <v>0</v>
      </c>
      <c r="AB596" s="273">
        <f t="shared" si="245"/>
        <v>0</v>
      </c>
      <c r="AC596" s="273">
        <f t="shared" si="245"/>
        <v>0</v>
      </c>
      <c r="AD596" s="273">
        <f t="shared" si="245"/>
        <v>0</v>
      </c>
      <c r="AE596" s="273">
        <f t="shared" si="245"/>
        <v>0</v>
      </c>
      <c r="AF596" s="273">
        <f t="shared" si="245"/>
        <v>0</v>
      </c>
      <c r="AG596" s="273">
        <f t="shared" si="245"/>
        <v>0</v>
      </c>
      <c r="AH596" s="273">
        <f t="shared" si="245"/>
        <v>0</v>
      </c>
      <c r="AI596" s="273">
        <f t="shared" si="245"/>
        <v>0</v>
      </c>
      <c r="AJ596" s="273">
        <f t="shared" si="245"/>
        <v>0</v>
      </c>
      <c r="AK596" s="273">
        <f t="shared" si="245"/>
        <v>0</v>
      </c>
      <c r="AL596" s="273">
        <f t="shared" si="245"/>
        <v>0</v>
      </c>
      <c r="AM596" s="273">
        <f t="shared" si="245"/>
        <v>0</v>
      </c>
      <c r="AN596" s="273">
        <f t="shared" si="245"/>
        <v>0</v>
      </c>
      <c r="AO596" s="273">
        <f t="shared" si="245"/>
        <v>0</v>
      </c>
      <c r="AP596" s="273">
        <f t="shared" si="245"/>
        <v>0</v>
      </c>
    </row>
    <row r="597" spans="1:42" s="119" customFormat="1">
      <c r="A597" s="37" t="s">
        <v>313</v>
      </c>
      <c r="C597" s="274">
        <f>IF(AND(C$2&lt;=SODebtTerm,C$2&lt;=AnalysisPeriod),1/(1+C596),0)</f>
        <v>0.93457943925233644</v>
      </c>
      <c r="D597" s="275">
        <f t="shared" ref="D597:AP597" si="246">IF(AND(D$2&lt;=SODebtTerm,D$2&lt;=AnalysisPeriod),C597/(1+D596),0)</f>
        <v>0.87343872827321156</v>
      </c>
      <c r="E597" s="275">
        <f t="shared" si="246"/>
        <v>0.81629787689085187</v>
      </c>
      <c r="F597" s="275">
        <f t="shared" si="246"/>
        <v>0.76289521204752508</v>
      </c>
      <c r="G597" s="275">
        <f t="shared" si="246"/>
        <v>0.71298617948366827</v>
      </c>
      <c r="H597" s="275">
        <f t="shared" si="246"/>
        <v>0.66634222381651231</v>
      </c>
      <c r="I597" s="275">
        <f t="shared" si="246"/>
        <v>0.62274974188459087</v>
      </c>
      <c r="J597" s="275">
        <f t="shared" si="246"/>
        <v>0.58200910456503818</v>
      </c>
      <c r="K597" s="275">
        <f t="shared" si="246"/>
        <v>0.54393374258414784</v>
      </c>
      <c r="L597" s="275">
        <f t="shared" si="246"/>
        <v>0.50834929213471758</v>
      </c>
      <c r="M597" s="275">
        <f t="shared" si="246"/>
        <v>0.4750927963875865</v>
      </c>
      <c r="N597" s="275">
        <f t="shared" si="246"/>
        <v>0.444011959240735</v>
      </c>
      <c r="O597" s="275">
        <f t="shared" si="246"/>
        <v>0.41496444788853737</v>
      </c>
      <c r="P597" s="275">
        <f t="shared" si="246"/>
        <v>0.38781724101732462</v>
      </c>
      <c r="Q597" s="275">
        <f t="shared" si="246"/>
        <v>0.36244601964235945</v>
      </c>
      <c r="R597" s="275">
        <f t="shared" si="246"/>
        <v>0.33873459779659759</v>
      </c>
      <c r="S597" s="275">
        <f t="shared" si="246"/>
        <v>0.3165743904641099</v>
      </c>
      <c r="T597" s="275">
        <f t="shared" si="246"/>
        <v>0.29586391632159803</v>
      </c>
      <c r="U597" s="275">
        <f t="shared" si="246"/>
        <v>0.27650833301083927</v>
      </c>
      <c r="V597" s="275">
        <f t="shared" si="246"/>
        <v>0.25841900281386848</v>
      </c>
      <c r="W597" s="275">
        <f t="shared" si="246"/>
        <v>0</v>
      </c>
      <c r="X597" s="275">
        <f t="shared" si="246"/>
        <v>0</v>
      </c>
      <c r="Y597" s="275">
        <f t="shared" si="246"/>
        <v>0</v>
      </c>
      <c r="Z597" s="275">
        <f t="shared" si="246"/>
        <v>0</v>
      </c>
      <c r="AA597" s="275">
        <f t="shared" si="246"/>
        <v>0</v>
      </c>
      <c r="AB597" s="275">
        <f t="shared" si="246"/>
        <v>0</v>
      </c>
      <c r="AC597" s="275">
        <f t="shared" si="246"/>
        <v>0</v>
      </c>
      <c r="AD597" s="275">
        <f t="shared" si="246"/>
        <v>0</v>
      </c>
      <c r="AE597" s="275">
        <f t="shared" si="246"/>
        <v>0</v>
      </c>
      <c r="AF597" s="275">
        <f t="shared" si="246"/>
        <v>0</v>
      </c>
      <c r="AG597" s="275">
        <f t="shared" si="246"/>
        <v>0</v>
      </c>
      <c r="AH597" s="275">
        <f t="shared" si="246"/>
        <v>0</v>
      </c>
      <c r="AI597" s="275">
        <f t="shared" si="246"/>
        <v>0</v>
      </c>
      <c r="AJ597" s="275">
        <f t="shared" si="246"/>
        <v>0</v>
      </c>
      <c r="AK597" s="275">
        <f t="shared" si="246"/>
        <v>0</v>
      </c>
      <c r="AL597" s="275">
        <f t="shared" si="246"/>
        <v>0</v>
      </c>
      <c r="AM597" s="275">
        <f t="shared" si="246"/>
        <v>0</v>
      </c>
      <c r="AN597" s="275">
        <f t="shared" si="246"/>
        <v>0</v>
      </c>
      <c r="AO597" s="275">
        <f t="shared" si="246"/>
        <v>0</v>
      </c>
      <c r="AP597" s="275">
        <f t="shared" si="246"/>
        <v>0</v>
      </c>
    </row>
    <row r="598" spans="1:42" s="119" customFormat="1">
      <c r="A598" s="37" t="s">
        <v>110</v>
      </c>
      <c r="B598" s="295">
        <f>SUM(C598:AP598)</f>
        <v>54967492.71948605</v>
      </c>
      <c r="C598" s="246">
        <f t="shared" ref="C598:AP598" si="247">IF(AND(C$2&lt;=SODebtTerm,C$2&lt;=AnalysisPeriod),C43-C635-C667-C699,0)</f>
        <v>2560911.0635943809</v>
      </c>
      <c r="D598" s="246">
        <f t="shared" si="247"/>
        <v>2586375.4739780752</v>
      </c>
      <c r="E598" s="246">
        <f t="shared" si="247"/>
        <v>2611769.8509899653</v>
      </c>
      <c r="F598" s="246">
        <f t="shared" si="247"/>
        <v>2635522.6505811876</v>
      </c>
      <c r="G598" s="246">
        <f t="shared" si="247"/>
        <v>2660768.1604602234</v>
      </c>
      <c r="H598" s="246">
        <f t="shared" si="247"/>
        <v>2685934.6978032431</v>
      </c>
      <c r="I598" s="246">
        <f t="shared" si="247"/>
        <v>2709378.8554689349</v>
      </c>
      <c r="J598" s="246">
        <f t="shared" si="247"/>
        <v>2734378.0113170724</v>
      </c>
      <c r="K598" s="246">
        <f t="shared" si="247"/>
        <v>2759288.6100515095</v>
      </c>
      <c r="L598" s="246">
        <f t="shared" si="247"/>
        <v>2782392.0942377402</v>
      </c>
      <c r="M598" s="246">
        <f t="shared" si="247"/>
        <v>2807115.4632998724</v>
      </c>
      <c r="N598" s="246">
        <f t="shared" si="247"/>
        <v>2831740.0016357475</v>
      </c>
      <c r="O598" s="246">
        <f t="shared" si="247"/>
        <v>2806462.6852674596</v>
      </c>
      <c r="P598" s="246">
        <f t="shared" si="247"/>
        <v>2830878.7217941601</v>
      </c>
      <c r="Q598" s="246">
        <f t="shared" si="247"/>
        <v>2855184.9183814488</v>
      </c>
      <c r="R598" s="246">
        <f t="shared" si="247"/>
        <v>2774760.3526200172</v>
      </c>
      <c r="S598" s="246">
        <f t="shared" si="247"/>
        <v>2798835.2550715809</v>
      </c>
      <c r="T598" s="246">
        <f t="shared" si="247"/>
        <v>2822788.5230594445</v>
      </c>
      <c r="U598" s="246">
        <f t="shared" si="247"/>
        <v>2844654.8856344596</v>
      </c>
      <c r="V598" s="246">
        <f t="shared" si="247"/>
        <v>2868352.4442395256</v>
      </c>
      <c r="W598" s="246">
        <f t="shared" si="247"/>
        <v>0</v>
      </c>
      <c r="X598" s="246">
        <f t="shared" si="247"/>
        <v>0</v>
      </c>
      <c r="Y598" s="246">
        <f t="shared" si="247"/>
        <v>0</v>
      </c>
      <c r="Z598" s="246">
        <f t="shared" si="247"/>
        <v>0</v>
      </c>
      <c r="AA598" s="246">
        <f t="shared" si="247"/>
        <v>0</v>
      </c>
      <c r="AB598" s="246">
        <f t="shared" si="247"/>
        <v>0</v>
      </c>
      <c r="AC598" s="246">
        <f t="shared" si="247"/>
        <v>0</v>
      </c>
      <c r="AD598" s="246">
        <f t="shared" si="247"/>
        <v>0</v>
      </c>
      <c r="AE598" s="246">
        <f t="shared" si="247"/>
        <v>0</v>
      </c>
      <c r="AF598" s="246">
        <f t="shared" si="247"/>
        <v>0</v>
      </c>
      <c r="AG598" s="246">
        <f t="shared" si="247"/>
        <v>0</v>
      </c>
      <c r="AH598" s="246">
        <f t="shared" si="247"/>
        <v>0</v>
      </c>
      <c r="AI598" s="246">
        <f t="shared" si="247"/>
        <v>0</v>
      </c>
      <c r="AJ598" s="246">
        <f t="shared" si="247"/>
        <v>0</v>
      </c>
      <c r="AK598" s="246">
        <f t="shared" si="247"/>
        <v>0</v>
      </c>
      <c r="AL598" s="246">
        <f t="shared" si="247"/>
        <v>0</v>
      </c>
      <c r="AM598" s="246">
        <f t="shared" si="247"/>
        <v>0</v>
      </c>
      <c r="AN598" s="246">
        <f t="shared" si="247"/>
        <v>0</v>
      </c>
      <c r="AO598" s="246">
        <f t="shared" si="247"/>
        <v>0</v>
      </c>
      <c r="AP598" s="246">
        <f t="shared" si="247"/>
        <v>0</v>
      </c>
    </row>
    <row r="599" spans="1:42" s="119" customFormat="1">
      <c r="A599" s="37" t="s">
        <v>314</v>
      </c>
      <c r="B599" s="276">
        <f>SUM(C599:AP599)</f>
        <v>28753041.571718838</v>
      </c>
      <c r="C599" s="164">
        <f t="shared" ref="C599:AP599" si="248">C597*C598</f>
        <v>2393374.825789141</v>
      </c>
      <c r="D599" s="164">
        <f t="shared" si="248"/>
        <v>2259040.5048284349</v>
      </c>
      <c r="E599" s="164">
        <f t="shared" si="248"/>
        <v>2131982.1842906452</v>
      </c>
      <c r="F599" s="164">
        <f t="shared" si="248"/>
        <v>2010627.6113711905</v>
      </c>
      <c r="G599" s="164">
        <f t="shared" si="248"/>
        <v>1897090.9252183228</v>
      </c>
      <c r="H599" s="164">
        <f t="shared" si="248"/>
        <v>1789751.6995601449</v>
      </c>
      <c r="I599" s="164">
        <f t="shared" si="248"/>
        <v>1687264.9829108475</v>
      </c>
      <c r="J599" s="164">
        <f t="shared" si="248"/>
        <v>1591432.8979089791</v>
      </c>
      <c r="K599" s="164">
        <f t="shared" si="248"/>
        <v>1500870.1805351288</v>
      </c>
      <c r="L599" s="164">
        <f t="shared" si="248"/>
        <v>1414427.0515469897</v>
      </c>
      <c r="M599" s="164">
        <f t="shared" si="248"/>
        <v>1333640.3352419718</v>
      </c>
      <c r="N599" s="164">
        <f t="shared" si="248"/>
        <v>1257326.4261866503</v>
      </c>
      <c r="O599" s="164">
        <f t="shared" si="248"/>
        <v>1164582.2387117934</v>
      </c>
      <c r="P599" s="164">
        <f t="shared" si="248"/>
        <v>1097863.5755408616</v>
      </c>
      <c r="Q599" s="164">
        <f t="shared" si="248"/>
        <v>1034850.4090102511</v>
      </c>
      <c r="R599" s="164">
        <f t="shared" si="248"/>
        <v>939907.33202668687</v>
      </c>
      <c r="S599" s="164">
        <f t="shared" si="248"/>
        <v>886039.56488374725</v>
      </c>
      <c r="T599" s="164">
        <f t="shared" si="248"/>
        <v>835161.26738002675</v>
      </c>
      <c r="U599" s="164">
        <f t="shared" si="248"/>
        <v>786570.78041792405</v>
      </c>
      <c r="V599" s="164">
        <f t="shared" si="248"/>
        <v>741236.77835910046</v>
      </c>
      <c r="W599" s="164">
        <f t="shared" si="248"/>
        <v>0</v>
      </c>
      <c r="X599" s="164">
        <f t="shared" si="248"/>
        <v>0</v>
      </c>
      <c r="Y599" s="164">
        <f t="shared" si="248"/>
        <v>0</v>
      </c>
      <c r="Z599" s="164">
        <f t="shared" si="248"/>
        <v>0</v>
      </c>
      <c r="AA599" s="164">
        <f t="shared" si="248"/>
        <v>0</v>
      </c>
      <c r="AB599" s="164">
        <f t="shared" si="248"/>
        <v>0</v>
      </c>
      <c r="AC599" s="164">
        <f t="shared" si="248"/>
        <v>0</v>
      </c>
      <c r="AD599" s="164">
        <f t="shared" si="248"/>
        <v>0</v>
      </c>
      <c r="AE599" s="164">
        <f t="shared" si="248"/>
        <v>0</v>
      </c>
      <c r="AF599" s="164">
        <f t="shared" si="248"/>
        <v>0</v>
      </c>
      <c r="AG599" s="164">
        <f t="shared" si="248"/>
        <v>0</v>
      </c>
      <c r="AH599" s="164">
        <f t="shared" si="248"/>
        <v>0</v>
      </c>
      <c r="AI599" s="164">
        <f t="shared" si="248"/>
        <v>0</v>
      </c>
      <c r="AJ599" s="164">
        <f t="shared" si="248"/>
        <v>0</v>
      </c>
      <c r="AK599" s="164">
        <f t="shared" si="248"/>
        <v>0</v>
      </c>
      <c r="AL599" s="164">
        <f t="shared" si="248"/>
        <v>0</v>
      </c>
      <c r="AM599" s="164">
        <f t="shared" si="248"/>
        <v>0</v>
      </c>
      <c r="AN599" s="164">
        <f t="shared" si="248"/>
        <v>0</v>
      </c>
      <c r="AO599" s="164">
        <f t="shared" si="248"/>
        <v>0</v>
      </c>
      <c r="AP599" s="164">
        <f t="shared" si="248"/>
        <v>0</v>
      </c>
    </row>
    <row r="600" spans="1:42" s="119" customFormat="1">
      <c r="A600" s="37" t="s">
        <v>109</v>
      </c>
      <c r="C600" s="277">
        <f t="shared" ref="C600:AP600" si="249">IF(AND(C$2&lt;=SODebtTerm,C$2&lt;=AnalysisPeriod),SODSCR,0)</f>
        <v>1.5</v>
      </c>
      <c r="D600" s="277">
        <f t="shared" si="249"/>
        <v>1.5</v>
      </c>
      <c r="E600" s="277">
        <f t="shared" si="249"/>
        <v>1.5</v>
      </c>
      <c r="F600" s="277">
        <f t="shared" si="249"/>
        <v>1.5</v>
      </c>
      <c r="G600" s="277">
        <f t="shared" si="249"/>
        <v>1.5</v>
      </c>
      <c r="H600" s="277">
        <f t="shared" si="249"/>
        <v>1.5</v>
      </c>
      <c r="I600" s="277">
        <f t="shared" si="249"/>
        <v>1.5</v>
      </c>
      <c r="J600" s="277">
        <f t="shared" si="249"/>
        <v>1.5</v>
      </c>
      <c r="K600" s="277">
        <f t="shared" si="249"/>
        <v>1.5</v>
      </c>
      <c r="L600" s="277">
        <f t="shared" si="249"/>
        <v>1.5</v>
      </c>
      <c r="M600" s="277">
        <f t="shared" si="249"/>
        <v>1.5</v>
      </c>
      <c r="N600" s="277">
        <f t="shared" si="249"/>
        <v>1.5</v>
      </c>
      <c r="O600" s="277">
        <f t="shared" si="249"/>
        <v>1.5</v>
      </c>
      <c r="P600" s="277">
        <f t="shared" si="249"/>
        <v>1.5</v>
      </c>
      <c r="Q600" s="277">
        <f t="shared" si="249"/>
        <v>1.5</v>
      </c>
      <c r="R600" s="277">
        <f t="shared" si="249"/>
        <v>1.5</v>
      </c>
      <c r="S600" s="277">
        <f t="shared" si="249"/>
        <v>1.5</v>
      </c>
      <c r="T600" s="277">
        <f t="shared" si="249"/>
        <v>1.5</v>
      </c>
      <c r="U600" s="277">
        <f t="shared" si="249"/>
        <v>1.5</v>
      </c>
      <c r="V600" s="277">
        <f t="shared" si="249"/>
        <v>1.5</v>
      </c>
      <c r="W600" s="277">
        <f t="shared" si="249"/>
        <v>0</v>
      </c>
      <c r="X600" s="277">
        <f t="shared" si="249"/>
        <v>0</v>
      </c>
      <c r="Y600" s="277">
        <f t="shared" si="249"/>
        <v>0</v>
      </c>
      <c r="Z600" s="277">
        <f t="shared" si="249"/>
        <v>0</v>
      </c>
      <c r="AA600" s="277">
        <f t="shared" si="249"/>
        <v>0</v>
      </c>
      <c r="AB600" s="277">
        <f t="shared" si="249"/>
        <v>0</v>
      </c>
      <c r="AC600" s="277">
        <f t="shared" si="249"/>
        <v>0</v>
      </c>
      <c r="AD600" s="277">
        <f t="shared" si="249"/>
        <v>0</v>
      </c>
      <c r="AE600" s="277">
        <f t="shared" si="249"/>
        <v>0</v>
      </c>
      <c r="AF600" s="277">
        <f t="shared" si="249"/>
        <v>0</v>
      </c>
      <c r="AG600" s="277">
        <f t="shared" si="249"/>
        <v>0</v>
      </c>
      <c r="AH600" s="277">
        <f t="shared" si="249"/>
        <v>0</v>
      </c>
      <c r="AI600" s="277">
        <f t="shared" si="249"/>
        <v>0</v>
      </c>
      <c r="AJ600" s="277">
        <f t="shared" si="249"/>
        <v>0</v>
      </c>
      <c r="AK600" s="277">
        <f t="shared" si="249"/>
        <v>0</v>
      </c>
      <c r="AL600" s="277">
        <f t="shared" si="249"/>
        <v>0</v>
      </c>
      <c r="AM600" s="277">
        <f t="shared" si="249"/>
        <v>0</v>
      </c>
      <c r="AN600" s="277">
        <f t="shared" si="249"/>
        <v>0</v>
      </c>
      <c r="AO600" s="277">
        <f t="shared" si="249"/>
        <v>0</v>
      </c>
      <c r="AP600" s="277">
        <f t="shared" si="249"/>
        <v>0</v>
      </c>
    </row>
    <row r="601" spans="1:42" s="119" customFormat="1">
      <c r="A601" s="37" t="s">
        <v>315</v>
      </c>
      <c r="B601" s="276">
        <f>SUM(C601:AP601)</f>
        <v>19168694.381145895</v>
      </c>
      <c r="C601" s="164">
        <f t="shared" ref="C601:AP601" si="250">IF(AND(C$2&lt;=SODebtTerm,C$2&lt;=AnalysisPeriod),C599/C600,0)</f>
        <v>1595583.2171927607</v>
      </c>
      <c r="D601" s="164">
        <f t="shared" si="250"/>
        <v>1506027.0032189565</v>
      </c>
      <c r="E601" s="164">
        <f t="shared" si="250"/>
        <v>1421321.4561937635</v>
      </c>
      <c r="F601" s="164">
        <f t="shared" si="250"/>
        <v>1340418.4075807936</v>
      </c>
      <c r="G601" s="164">
        <f t="shared" si="250"/>
        <v>1264727.2834788819</v>
      </c>
      <c r="H601" s="164">
        <f t="shared" si="250"/>
        <v>1193167.7997067634</v>
      </c>
      <c r="I601" s="164">
        <f t="shared" si="250"/>
        <v>1124843.321940565</v>
      </c>
      <c r="J601" s="164">
        <f t="shared" si="250"/>
        <v>1060955.2652726527</v>
      </c>
      <c r="K601" s="164">
        <f t="shared" si="250"/>
        <v>1000580.1203567525</v>
      </c>
      <c r="L601" s="164">
        <f t="shared" si="250"/>
        <v>942951.36769799318</v>
      </c>
      <c r="M601" s="164">
        <f t="shared" si="250"/>
        <v>889093.55682798114</v>
      </c>
      <c r="N601" s="164">
        <f t="shared" si="250"/>
        <v>838217.6174577669</v>
      </c>
      <c r="O601" s="164">
        <f t="shared" si="250"/>
        <v>776388.15914119559</v>
      </c>
      <c r="P601" s="164">
        <f t="shared" si="250"/>
        <v>731909.05036057439</v>
      </c>
      <c r="Q601" s="164">
        <f t="shared" si="250"/>
        <v>689900.2726735007</v>
      </c>
      <c r="R601" s="164">
        <f t="shared" si="250"/>
        <v>626604.88801779121</v>
      </c>
      <c r="S601" s="164">
        <f t="shared" si="250"/>
        <v>590693.04325583146</v>
      </c>
      <c r="T601" s="164">
        <f t="shared" si="250"/>
        <v>556774.17825335113</v>
      </c>
      <c r="U601" s="164">
        <f t="shared" si="250"/>
        <v>524380.52027861599</v>
      </c>
      <c r="V601" s="164">
        <f t="shared" si="250"/>
        <v>494157.85223940032</v>
      </c>
      <c r="W601" s="164">
        <f t="shared" si="250"/>
        <v>0</v>
      </c>
      <c r="X601" s="164">
        <f t="shared" si="250"/>
        <v>0</v>
      </c>
      <c r="Y601" s="164">
        <f t="shared" si="250"/>
        <v>0</v>
      </c>
      <c r="Z601" s="164">
        <f t="shared" si="250"/>
        <v>0</v>
      </c>
      <c r="AA601" s="164">
        <f t="shared" si="250"/>
        <v>0</v>
      </c>
      <c r="AB601" s="164">
        <f t="shared" si="250"/>
        <v>0</v>
      </c>
      <c r="AC601" s="164">
        <f t="shared" si="250"/>
        <v>0</v>
      </c>
      <c r="AD601" s="164">
        <f t="shared" si="250"/>
        <v>0</v>
      </c>
      <c r="AE601" s="164">
        <f t="shared" si="250"/>
        <v>0</v>
      </c>
      <c r="AF601" s="164">
        <f t="shared" si="250"/>
        <v>0</v>
      </c>
      <c r="AG601" s="164">
        <f t="shared" si="250"/>
        <v>0</v>
      </c>
      <c r="AH601" s="164">
        <f t="shared" si="250"/>
        <v>0</v>
      </c>
      <c r="AI601" s="164">
        <f t="shared" si="250"/>
        <v>0</v>
      </c>
      <c r="AJ601" s="164">
        <f t="shared" si="250"/>
        <v>0</v>
      </c>
      <c r="AK601" s="164">
        <f t="shared" si="250"/>
        <v>0</v>
      </c>
      <c r="AL601" s="164">
        <f t="shared" si="250"/>
        <v>0</v>
      </c>
      <c r="AM601" s="164">
        <f t="shared" si="250"/>
        <v>0</v>
      </c>
      <c r="AN601" s="164">
        <f t="shared" si="250"/>
        <v>0</v>
      </c>
      <c r="AO601" s="164">
        <f t="shared" si="250"/>
        <v>0</v>
      </c>
      <c r="AP601" s="164">
        <f t="shared" si="250"/>
        <v>0</v>
      </c>
    </row>
    <row r="602" spans="1:42" s="119" customFormat="1">
      <c r="A602" s="278"/>
    </row>
    <row r="603" spans="1:42">
      <c r="A603" s="204" t="s">
        <v>102</v>
      </c>
      <c r="C603" s="164"/>
      <c r="D603" s="164"/>
      <c r="E603" s="164"/>
      <c r="F603" s="164"/>
      <c r="G603" s="164"/>
      <c r="H603" s="164"/>
      <c r="I603" s="164"/>
      <c r="J603" s="164"/>
      <c r="K603" s="164"/>
      <c r="L603" s="164"/>
      <c r="M603" s="164"/>
      <c r="N603" s="164"/>
      <c r="O603" s="164"/>
      <c r="P603" s="164"/>
      <c r="Q603" s="164"/>
      <c r="R603" s="164"/>
      <c r="S603" s="164"/>
      <c r="T603" s="164"/>
      <c r="U603" s="164"/>
      <c r="V603" s="164"/>
      <c r="W603" s="164"/>
      <c r="X603" s="164"/>
      <c r="Y603" s="164"/>
      <c r="Z603" s="164"/>
      <c r="AA603" s="164"/>
      <c r="AB603" s="164"/>
      <c r="AC603" s="164"/>
      <c r="AD603" s="164"/>
      <c r="AE603" s="164"/>
      <c r="AF603" s="164"/>
      <c r="AG603" s="164"/>
      <c r="AH603" s="164"/>
      <c r="AI603" s="164"/>
      <c r="AJ603" s="164"/>
      <c r="AK603" s="164"/>
      <c r="AL603" s="164"/>
      <c r="AM603" s="164"/>
      <c r="AN603" s="164"/>
      <c r="AO603" s="164"/>
      <c r="AP603" s="164"/>
    </row>
    <row r="604" spans="1:42">
      <c r="A604" s="37" t="s">
        <v>100</v>
      </c>
      <c r="B604" s="164">
        <v>0</v>
      </c>
      <c r="C604" s="164">
        <f>B607</f>
        <v>19168694.381145895</v>
      </c>
      <c r="D604" s="164">
        <f t="shared" ref="D604:AP604" si="251">C607</f>
        <v>18803228.945429854</v>
      </c>
      <c r="E604" s="164">
        <f t="shared" si="251"/>
        <v>18395204.655624561</v>
      </c>
      <c r="F604" s="164">
        <f t="shared" si="251"/>
        <v>17941689.080858305</v>
      </c>
      <c r="G604" s="164">
        <f t="shared" si="251"/>
        <v>17440592.216130927</v>
      </c>
      <c r="H604" s="164">
        <f t="shared" si="251"/>
        <v>16887588.230953276</v>
      </c>
      <c r="I604" s="164">
        <f t="shared" si="251"/>
        <v>16279096.275251176</v>
      </c>
      <c r="J604" s="164">
        <f t="shared" si="251"/>
        <v>15612380.444206135</v>
      </c>
      <c r="K604" s="164">
        <f t="shared" si="251"/>
        <v>14882328.401089184</v>
      </c>
      <c r="L604" s="164">
        <f t="shared" si="251"/>
        <v>14084565.649131088</v>
      </c>
      <c r="M604" s="164">
        <f t="shared" si="251"/>
        <v>13215557.181745104</v>
      </c>
      <c r="N604" s="164">
        <f t="shared" si="251"/>
        <v>12269235.875600681</v>
      </c>
      <c r="O604" s="164">
        <f t="shared" si="251"/>
        <v>11240255.719135564</v>
      </c>
      <c r="P604" s="164">
        <f t="shared" si="251"/>
        <v>10156098.495963413</v>
      </c>
      <c r="Q604" s="164">
        <f t="shared" si="251"/>
        <v>8979772.9094847459</v>
      </c>
      <c r="R604" s="164">
        <f t="shared" si="251"/>
        <v>7704900.4008943792</v>
      </c>
      <c r="S604" s="164">
        <f t="shared" si="251"/>
        <v>6394403.1938769743</v>
      </c>
      <c r="T604" s="164">
        <f t="shared" si="251"/>
        <v>4976121.2474006414</v>
      </c>
      <c r="U604" s="164">
        <f t="shared" si="251"/>
        <v>3442590.7193457233</v>
      </c>
      <c r="V604" s="164">
        <f t="shared" si="251"/>
        <v>1787135.4792769509</v>
      </c>
      <c r="W604" s="164">
        <f t="shared" si="251"/>
        <v>-1.3038516044616699E-8</v>
      </c>
      <c r="X604" s="164">
        <f t="shared" si="251"/>
        <v>-1.3038516044616699E-8</v>
      </c>
      <c r="Y604" s="164">
        <f t="shared" si="251"/>
        <v>-1.3038516044616699E-8</v>
      </c>
      <c r="Z604" s="164">
        <f t="shared" si="251"/>
        <v>-1.3038516044616699E-8</v>
      </c>
      <c r="AA604" s="164">
        <f t="shared" si="251"/>
        <v>-1.3038516044616699E-8</v>
      </c>
      <c r="AB604" s="164">
        <f t="shared" si="251"/>
        <v>-1.3038516044616699E-8</v>
      </c>
      <c r="AC604" s="164">
        <f t="shared" si="251"/>
        <v>-1.3038516044616699E-8</v>
      </c>
      <c r="AD604" s="164">
        <f t="shared" si="251"/>
        <v>-1.3038516044616699E-8</v>
      </c>
      <c r="AE604" s="164">
        <f t="shared" si="251"/>
        <v>-1.3038516044616699E-8</v>
      </c>
      <c r="AF604" s="164">
        <f t="shared" si="251"/>
        <v>-1.3038516044616699E-8</v>
      </c>
      <c r="AG604" s="164">
        <f t="shared" si="251"/>
        <v>-1.3038516044616699E-8</v>
      </c>
      <c r="AH604" s="164">
        <f t="shared" si="251"/>
        <v>-1.3038516044616699E-8</v>
      </c>
      <c r="AI604" s="164">
        <f t="shared" si="251"/>
        <v>-1.3038516044616699E-8</v>
      </c>
      <c r="AJ604" s="164">
        <f t="shared" si="251"/>
        <v>-1.3038516044616699E-8</v>
      </c>
      <c r="AK604" s="164">
        <f t="shared" si="251"/>
        <v>-1.3038516044616699E-8</v>
      </c>
      <c r="AL604" s="164">
        <f t="shared" si="251"/>
        <v>-1.3038516044616699E-8</v>
      </c>
      <c r="AM604" s="164">
        <f t="shared" si="251"/>
        <v>-1.3038516044616699E-8</v>
      </c>
      <c r="AN604" s="164">
        <f t="shared" si="251"/>
        <v>-1.3038516044616699E-8</v>
      </c>
      <c r="AO604" s="164">
        <f t="shared" si="251"/>
        <v>-1.3038516044616699E-8</v>
      </c>
      <c r="AP604" s="164">
        <f t="shared" si="251"/>
        <v>-1.3038516044616699E-8</v>
      </c>
    </row>
    <row r="605" spans="1:42">
      <c r="A605" s="37" t="s">
        <v>101</v>
      </c>
      <c r="B605" s="164">
        <f>B601</f>
        <v>19168694.381145895</v>
      </c>
      <c r="C605" s="164">
        <v>0</v>
      </c>
      <c r="D605" s="164">
        <v>0</v>
      </c>
      <c r="E605" s="164">
        <v>0</v>
      </c>
      <c r="F605" s="164">
        <v>0</v>
      </c>
      <c r="G605" s="164">
        <v>0</v>
      </c>
      <c r="H605" s="164">
        <v>0</v>
      </c>
      <c r="I605" s="164">
        <v>0</v>
      </c>
      <c r="J605" s="164">
        <v>0</v>
      </c>
      <c r="K605" s="164">
        <v>0</v>
      </c>
      <c r="L605" s="164">
        <v>0</v>
      </c>
      <c r="M605" s="164">
        <v>0</v>
      </c>
      <c r="N605" s="164">
        <v>0</v>
      </c>
      <c r="O605" s="164">
        <v>0</v>
      </c>
      <c r="P605" s="164">
        <v>0</v>
      </c>
      <c r="Q605" s="164">
        <v>0</v>
      </c>
      <c r="R605" s="164">
        <v>0</v>
      </c>
      <c r="S605" s="164">
        <v>0</v>
      </c>
      <c r="T605" s="164">
        <v>0</v>
      </c>
      <c r="U605" s="164">
        <v>0</v>
      </c>
      <c r="V605" s="164">
        <v>0</v>
      </c>
      <c r="W605" s="164">
        <v>0</v>
      </c>
      <c r="X605" s="164">
        <v>0</v>
      </c>
      <c r="Y605" s="164">
        <v>0</v>
      </c>
      <c r="Z605" s="164">
        <v>0</v>
      </c>
      <c r="AA605" s="164">
        <v>0</v>
      </c>
      <c r="AB605" s="164">
        <v>0</v>
      </c>
      <c r="AC605" s="164">
        <v>0</v>
      </c>
      <c r="AD605" s="164">
        <v>0</v>
      </c>
      <c r="AE605" s="164">
        <v>0</v>
      </c>
      <c r="AF605" s="164">
        <v>0</v>
      </c>
      <c r="AG605" s="164">
        <v>0</v>
      </c>
      <c r="AH605" s="164">
        <v>0</v>
      </c>
      <c r="AI605" s="164">
        <v>0</v>
      </c>
      <c r="AJ605" s="164">
        <v>0</v>
      </c>
      <c r="AK605" s="164">
        <v>0</v>
      </c>
      <c r="AL605" s="164">
        <v>0</v>
      </c>
      <c r="AM605" s="164">
        <v>0</v>
      </c>
      <c r="AN605" s="164">
        <v>0</v>
      </c>
      <c r="AO605" s="164">
        <v>0</v>
      </c>
      <c r="AP605" s="164">
        <v>0</v>
      </c>
    </row>
    <row r="606" spans="1:42">
      <c r="A606" s="37" t="s">
        <v>102</v>
      </c>
      <c r="B606" s="209">
        <v>0</v>
      </c>
      <c r="C606" s="209">
        <f>-C609</f>
        <v>-365465.43571604113</v>
      </c>
      <c r="D606" s="209">
        <f t="shared" ref="D606:AP606" si="252">-D609</f>
        <v>-408024.28980529355</v>
      </c>
      <c r="E606" s="209">
        <f t="shared" si="252"/>
        <v>-453515.57476625731</v>
      </c>
      <c r="F606" s="209">
        <f t="shared" si="252"/>
        <v>-501096.86472737696</v>
      </c>
      <c r="G606" s="209">
        <f t="shared" si="252"/>
        <v>-553003.98517765058</v>
      </c>
      <c r="H606" s="209">
        <f t="shared" si="252"/>
        <v>-608491.95570209925</v>
      </c>
      <c r="I606" s="209">
        <f t="shared" si="252"/>
        <v>-666715.83104504063</v>
      </c>
      <c r="J606" s="209">
        <f t="shared" si="252"/>
        <v>-730052.04311695206</v>
      </c>
      <c r="K606" s="209">
        <f t="shared" si="252"/>
        <v>-797762.75195809675</v>
      </c>
      <c r="L606" s="209">
        <f t="shared" si="252"/>
        <v>-869008.46738598391</v>
      </c>
      <c r="M606" s="209">
        <f t="shared" si="252"/>
        <v>-946321.30614442425</v>
      </c>
      <c r="N606" s="209">
        <f t="shared" si="252"/>
        <v>-1028980.1564651172</v>
      </c>
      <c r="O606" s="209">
        <f t="shared" si="252"/>
        <v>-1084157.2231721501</v>
      </c>
      <c r="P606" s="209">
        <f t="shared" si="252"/>
        <v>-1176325.5864786678</v>
      </c>
      <c r="Q606" s="209">
        <f t="shared" si="252"/>
        <v>-1274872.5085903669</v>
      </c>
      <c r="R606" s="209">
        <f t="shared" si="252"/>
        <v>-1310497.207017405</v>
      </c>
      <c r="S606" s="209">
        <f t="shared" si="252"/>
        <v>-1418281.9464763324</v>
      </c>
      <c r="T606" s="209">
        <f t="shared" si="252"/>
        <v>-1533530.5280549179</v>
      </c>
      <c r="U606" s="209">
        <f t="shared" si="252"/>
        <v>-1655455.2400687723</v>
      </c>
      <c r="V606" s="209">
        <f t="shared" si="252"/>
        <v>-1787135.479276964</v>
      </c>
      <c r="W606" s="209">
        <f t="shared" si="252"/>
        <v>0</v>
      </c>
      <c r="X606" s="209">
        <f t="shared" si="252"/>
        <v>0</v>
      </c>
      <c r="Y606" s="209">
        <f t="shared" si="252"/>
        <v>0</v>
      </c>
      <c r="Z606" s="209">
        <f t="shared" si="252"/>
        <v>0</v>
      </c>
      <c r="AA606" s="209">
        <f t="shared" si="252"/>
        <v>0</v>
      </c>
      <c r="AB606" s="209">
        <f t="shared" si="252"/>
        <v>0</v>
      </c>
      <c r="AC606" s="209">
        <f t="shared" si="252"/>
        <v>0</v>
      </c>
      <c r="AD606" s="209">
        <f t="shared" si="252"/>
        <v>0</v>
      </c>
      <c r="AE606" s="209">
        <f t="shared" si="252"/>
        <v>0</v>
      </c>
      <c r="AF606" s="209">
        <f t="shared" si="252"/>
        <v>0</v>
      </c>
      <c r="AG606" s="209">
        <f t="shared" si="252"/>
        <v>0</v>
      </c>
      <c r="AH606" s="209">
        <f t="shared" si="252"/>
        <v>0</v>
      </c>
      <c r="AI606" s="209">
        <f t="shared" si="252"/>
        <v>0</v>
      </c>
      <c r="AJ606" s="209">
        <f t="shared" si="252"/>
        <v>0</v>
      </c>
      <c r="AK606" s="209">
        <f t="shared" si="252"/>
        <v>0</v>
      </c>
      <c r="AL606" s="209">
        <f t="shared" si="252"/>
        <v>0</v>
      </c>
      <c r="AM606" s="209">
        <f t="shared" si="252"/>
        <v>0</v>
      </c>
      <c r="AN606" s="209">
        <f t="shared" si="252"/>
        <v>0</v>
      </c>
      <c r="AO606" s="209">
        <f t="shared" si="252"/>
        <v>0</v>
      </c>
      <c r="AP606" s="209">
        <f t="shared" si="252"/>
        <v>0</v>
      </c>
    </row>
    <row r="607" spans="1:42">
      <c r="A607" s="37" t="s">
        <v>103</v>
      </c>
      <c r="B607" s="164">
        <f>SUM(B604:B606)</f>
        <v>19168694.381145895</v>
      </c>
      <c r="C607" s="164">
        <f>SUM(C604:C606)</f>
        <v>18803228.945429854</v>
      </c>
      <c r="D607" s="164">
        <f t="shared" ref="D607:AP607" si="253">SUM(D604:D606)</f>
        <v>18395204.655624561</v>
      </c>
      <c r="E607" s="164">
        <f t="shared" si="253"/>
        <v>17941689.080858305</v>
      </c>
      <c r="F607" s="164">
        <f t="shared" si="253"/>
        <v>17440592.216130927</v>
      </c>
      <c r="G607" s="164">
        <f t="shared" si="253"/>
        <v>16887588.230953276</v>
      </c>
      <c r="H607" s="164">
        <f t="shared" si="253"/>
        <v>16279096.275251176</v>
      </c>
      <c r="I607" s="164">
        <f t="shared" si="253"/>
        <v>15612380.444206135</v>
      </c>
      <c r="J607" s="164">
        <f t="shared" si="253"/>
        <v>14882328.401089184</v>
      </c>
      <c r="K607" s="164">
        <f t="shared" si="253"/>
        <v>14084565.649131088</v>
      </c>
      <c r="L607" s="164">
        <f t="shared" si="253"/>
        <v>13215557.181745104</v>
      </c>
      <c r="M607" s="164">
        <f t="shared" si="253"/>
        <v>12269235.875600681</v>
      </c>
      <c r="N607" s="164">
        <f t="shared" si="253"/>
        <v>11240255.719135564</v>
      </c>
      <c r="O607" s="164">
        <f t="shared" si="253"/>
        <v>10156098.495963413</v>
      </c>
      <c r="P607" s="164">
        <f t="shared" si="253"/>
        <v>8979772.9094847459</v>
      </c>
      <c r="Q607" s="164">
        <f t="shared" si="253"/>
        <v>7704900.4008943792</v>
      </c>
      <c r="R607" s="164">
        <f t="shared" si="253"/>
        <v>6394403.1938769743</v>
      </c>
      <c r="S607" s="164">
        <f t="shared" si="253"/>
        <v>4976121.2474006414</v>
      </c>
      <c r="T607" s="164">
        <f t="shared" si="253"/>
        <v>3442590.7193457233</v>
      </c>
      <c r="U607" s="164">
        <f t="shared" si="253"/>
        <v>1787135.4792769509</v>
      </c>
      <c r="V607" s="164">
        <f t="shared" si="253"/>
        <v>-1.3038516044616699E-8</v>
      </c>
      <c r="W607" s="164">
        <f t="shared" si="253"/>
        <v>-1.3038516044616699E-8</v>
      </c>
      <c r="X607" s="164">
        <f t="shared" si="253"/>
        <v>-1.3038516044616699E-8</v>
      </c>
      <c r="Y607" s="164">
        <f t="shared" si="253"/>
        <v>-1.3038516044616699E-8</v>
      </c>
      <c r="Z607" s="164">
        <f t="shared" si="253"/>
        <v>-1.3038516044616699E-8</v>
      </c>
      <c r="AA607" s="164">
        <f t="shared" si="253"/>
        <v>-1.3038516044616699E-8</v>
      </c>
      <c r="AB607" s="164">
        <f t="shared" si="253"/>
        <v>-1.3038516044616699E-8</v>
      </c>
      <c r="AC607" s="164">
        <f t="shared" si="253"/>
        <v>-1.3038516044616699E-8</v>
      </c>
      <c r="AD607" s="164">
        <f t="shared" si="253"/>
        <v>-1.3038516044616699E-8</v>
      </c>
      <c r="AE607" s="164">
        <f t="shared" si="253"/>
        <v>-1.3038516044616699E-8</v>
      </c>
      <c r="AF607" s="164">
        <f t="shared" si="253"/>
        <v>-1.3038516044616699E-8</v>
      </c>
      <c r="AG607" s="164">
        <f t="shared" si="253"/>
        <v>-1.3038516044616699E-8</v>
      </c>
      <c r="AH607" s="164">
        <f t="shared" si="253"/>
        <v>-1.3038516044616699E-8</v>
      </c>
      <c r="AI607" s="164">
        <f t="shared" si="253"/>
        <v>-1.3038516044616699E-8</v>
      </c>
      <c r="AJ607" s="164">
        <f t="shared" si="253"/>
        <v>-1.3038516044616699E-8</v>
      </c>
      <c r="AK607" s="164">
        <f t="shared" si="253"/>
        <v>-1.3038516044616699E-8</v>
      </c>
      <c r="AL607" s="164">
        <f t="shared" si="253"/>
        <v>-1.3038516044616699E-8</v>
      </c>
      <c r="AM607" s="164">
        <f t="shared" si="253"/>
        <v>-1.3038516044616699E-8</v>
      </c>
      <c r="AN607" s="164">
        <f t="shared" si="253"/>
        <v>-1.3038516044616699E-8</v>
      </c>
      <c r="AO607" s="164">
        <f t="shared" si="253"/>
        <v>-1.3038516044616699E-8</v>
      </c>
      <c r="AP607" s="164">
        <f t="shared" si="253"/>
        <v>-1.3038516044616699E-8</v>
      </c>
    </row>
    <row r="608" spans="1:42">
      <c r="B608" s="164"/>
      <c r="C608" s="164"/>
      <c r="D608" s="164"/>
      <c r="E608" s="164"/>
      <c r="F608" s="164"/>
      <c r="G608" s="164"/>
      <c r="H608" s="164"/>
      <c r="I608" s="164"/>
      <c r="J608" s="164"/>
      <c r="K608" s="164"/>
      <c r="L608" s="164"/>
      <c r="M608" s="164"/>
      <c r="N608" s="164"/>
      <c r="O608" s="164"/>
      <c r="P608" s="164"/>
      <c r="Q608" s="164"/>
      <c r="R608" s="164"/>
      <c r="S608" s="164"/>
      <c r="T608" s="164"/>
      <c r="U608" s="164"/>
      <c r="V608" s="164"/>
      <c r="W608" s="164"/>
      <c r="X608" s="164"/>
      <c r="Y608" s="164"/>
      <c r="Z608" s="164"/>
      <c r="AA608" s="164"/>
      <c r="AB608" s="164"/>
      <c r="AC608" s="164"/>
      <c r="AD608" s="164"/>
      <c r="AE608" s="164"/>
      <c r="AF608" s="164"/>
      <c r="AG608" s="164"/>
      <c r="AH608" s="164"/>
      <c r="AI608" s="164"/>
      <c r="AJ608" s="164"/>
      <c r="AK608" s="164"/>
      <c r="AL608" s="164"/>
      <c r="AM608" s="164"/>
      <c r="AN608" s="164"/>
      <c r="AO608" s="164"/>
      <c r="AP608" s="164"/>
    </row>
    <row r="609" spans="1:42">
      <c r="A609" s="37" t="s">
        <v>104</v>
      </c>
      <c r="B609" s="218">
        <f>SUM(C609:AP609)</f>
        <v>19168694.381145906</v>
      </c>
      <c r="C609" s="164">
        <f>C611-C610</f>
        <v>365465.43571604113</v>
      </c>
      <c r="D609" s="164">
        <f t="shared" ref="D609:AP609" si="254">D611-D610</f>
        <v>408024.28980529355</v>
      </c>
      <c r="E609" s="164">
        <f t="shared" si="254"/>
        <v>453515.57476625731</v>
      </c>
      <c r="F609" s="164">
        <f t="shared" si="254"/>
        <v>501096.86472737696</v>
      </c>
      <c r="G609" s="164">
        <f t="shared" si="254"/>
        <v>553003.98517765058</v>
      </c>
      <c r="H609" s="164">
        <f t="shared" si="254"/>
        <v>608491.95570209925</v>
      </c>
      <c r="I609" s="164">
        <f t="shared" si="254"/>
        <v>666715.83104504063</v>
      </c>
      <c r="J609" s="164">
        <f t="shared" si="254"/>
        <v>730052.04311695206</v>
      </c>
      <c r="K609" s="164">
        <f t="shared" si="254"/>
        <v>797762.75195809675</v>
      </c>
      <c r="L609" s="164">
        <f t="shared" si="254"/>
        <v>869008.46738598391</v>
      </c>
      <c r="M609" s="164">
        <f t="shared" si="254"/>
        <v>946321.30614442425</v>
      </c>
      <c r="N609" s="164">
        <f t="shared" si="254"/>
        <v>1028980.1564651172</v>
      </c>
      <c r="O609" s="164">
        <f t="shared" si="254"/>
        <v>1084157.2231721501</v>
      </c>
      <c r="P609" s="164">
        <f t="shared" si="254"/>
        <v>1176325.5864786678</v>
      </c>
      <c r="Q609" s="164">
        <f t="shared" si="254"/>
        <v>1274872.5085903669</v>
      </c>
      <c r="R609" s="164">
        <f t="shared" si="254"/>
        <v>1310497.207017405</v>
      </c>
      <c r="S609" s="164">
        <f t="shared" si="254"/>
        <v>1418281.9464763324</v>
      </c>
      <c r="T609" s="164">
        <f t="shared" si="254"/>
        <v>1533530.5280549179</v>
      </c>
      <c r="U609" s="164">
        <f t="shared" si="254"/>
        <v>1655455.2400687723</v>
      </c>
      <c r="V609" s="164">
        <f t="shared" si="254"/>
        <v>1787135.479276964</v>
      </c>
      <c r="W609" s="164">
        <f t="shared" si="254"/>
        <v>0</v>
      </c>
      <c r="X609" s="164">
        <f t="shared" si="254"/>
        <v>0</v>
      </c>
      <c r="Y609" s="164">
        <f t="shared" si="254"/>
        <v>0</v>
      </c>
      <c r="Z609" s="164">
        <f t="shared" si="254"/>
        <v>0</v>
      </c>
      <c r="AA609" s="164">
        <f t="shared" si="254"/>
        <v>0</v>
      </c>
      <c r="AB609" s="164">
        <f t="shared" si="254"/>
        <v>0</v>
      </c>
      <c r="AC609" s="164">
        <f t="shared" si="254"/>
        <v>0</v>
      </c>
      <c r="AD609" s="164">
        <f t="shared" si="254"/>
        <v>0</v>
      </c>
      <c r="AE609" s="164">
        <f t="shared" si="254"/>
        <v>0</v>
      </c>
      <c r="AF609" s="164">
        <f t="shared" si="254"/>
        <v>0</v>
      </c>
      <c r="AG609" s="164">
        <f t="shared" si="254"/>
        <v>0</v>
      </c>
      <c r="AH609" s="164">
        <f t="shared" si="254"/>
        <v>0</v>
      </c>
      <c r="AI609" s="164">
        <f t="shared" si="254"/>
        <v>0</v>
      </c>
      <c r="AJ609" s="164">
        <f t="shared" si="254"/>
        <v>0</v>
      </c>
      <c r="AK609" s="164">
        <f t="shared" si="254"/>
        <v>0</v>
      </c>
      <c r="AL609" s="164">
        <f t="shared" si="254"/>
        <v>0</v>
      </c>
      <c r="AM609" s="164">
        <f t="shared" si="254"/>
        <v>0</v>
      </c>
      <c r="AN609" s="164">
        <f t="shared" si="254"/>
        <v>0</v>
      </c>
      <c r="AO609" s="164">
        <f t="shared" si="254"/>
        <v>0</v>
      </c>
      <c r="AP609" s="164">
        <f t="shared" si="254"/>
        <v>0</v>
      </c>
    </row>
    <row r="610" spans="1:42">
      <c r="A610" s="37" t="s">
        <v>105</v>
      </c>
      <c r="B610" s="218">
        <f>SUM(C610:AP610)</f>
        <v>17476300.765178125</v>
      </c>
      <c r="C610" s="209">
        <f t="shared" ref="C610:AP610" si="255">IF(AND(C$2&lt;=SODebtTerm,C$2&lt;=AnalysisPeriod),B607*C596,0)</f>
        <v>1341808.6066802128</v>
      </c>
      <c r="D610" s="209">
        <f t="shared" si="255"/>
        <v>1316226.0261800899</v>
      </c>
      <c r="E610" s="209">
        <f t="shared" si="255"/>
        <v>1287664.3258937194</v>
      </c>
      <c r="F610" s="209">
        <f t="shared" si="255"/>
        <v>1255918.2356600815</v>
      </c>
      <c r="G610" s="209">
        <f t="shared" si="255"/>
        <v>1220841.455129165</v>
      </c>
      <c r="H610" s="209">
        <f t="shared" si="255"/>
        <v>1182131.1761667295</v>
      </c>
      <c r="I610" s="209">
        <f t="shared" si="255"/>
        <v>1139536.7392675825</v>
      </c>
      <c r="J610" s="209">
        <f t="shared" si="255"/>
        <v>1092866.6310944296</v>
      </c>
      <c r="K610" s="209">
        <f t="shared" si="255"/>
        <v>1041762.988076243</v>
      </c>
      <c r="L610" s="209">
        <f t="shared" si="255"/>
        <v>985919.59543917619</v>
      </c>
      <c r="M610" s="209">
        <f t="shared" si="255"/>
        <v>925089.0027221574</v>
      </c>
      <c r="N610" s="209">
        <f t="shared" si="255"/>
        <v>858846.51129204768</v>
      </c>
      <c r="O610" s="209">
        <f t="shared" si="255"/>
        <v>786817.90033948957</v>
      </c>
      <c r="P610" s="209">
        <f t="shared" si="255"/>
        <v>710926.89471743896</v>
      </c>
      <c r="Q610" s="209">
        <f t="shared" si="255"/>
        <v>628584.1036639323</v>
      </c>
      <c r="R610" s="209">
        <f t="shared" si="255"/>
        <v>539343.02806260658</v>
      </c>
      <c r="S610" s="209">
        <f t="shared" si="255"/>
        <v>447608.22357138823</v>
      </c>
      <c r="T610" s="209">
        <f t="shared" si="255"/>
        <v>348328.48731804494</v>
      </c>
      <c r="U610" s="209">
        <f t="shared" si="255"/>
        <v>240981.35035420067</v>
      </c>
      <c r="V610" s="209">
        <f t="shared" si="255"/>
        <v>125099.48354938658</v>
      </c>
      <c r="W610" s="209">
        <f t="shared" si="255"/>
        <v>0</v>
      </c>
      <c r="X610" s="209">
        <f t="shared" si="255"/>
        <v>0</v>
      </c>
      <c r="Y610" s="209">
        <f t="shared" si="255"/>
        <v>0</v>
      </c>
      <c r="Z610" s="209">
        <f t="shared" si="255"/>
        <v>0</v>
      </c>
      <c r="AA610" s="209">
        <f t="shared" si="255"/>
        <v>0</v>
      </c>
      <c r="AB610" s="209">
        <f t="shared" si="255"/>
        <v>0</v>
      </c>
      <c r="AC610" s="209">
        <f t="shared" si="255"/>
        <v>0</v>
      </c>
      <c r="AD610" s="209">
        <f t="shared" si="255"/>
        <v>0</v>
      </c>
      <c r="AE610" s="209">
        <f t="shared" si="255"/>
        <v>0</v>
      </c>
      <c r="AF610" s="209">
        <f t="shared" si="255"/>
        <v>0</v>
      </c>
      <c r="AG610" s="209">
        <f t="shared" si="255"/>
        <v>0</v>
      </c>
      <c r="AH610" s="209">
        <f t="shared" si="255"/>
        <v>0</v>
      </c>
      <c r="AI610" s="209">
        <f t="shared" si="255"/>
        <v>0</v>
      </c>
      <c r="AJ610" s="209">
        <f t="shared" si="255"/>
        <v>0</v>
      </c>
      <c r="AK610" s="209">
        <f t="shared" si="255"/>
        <v>0</v>
      </c>
      <c r="AL610" s="209">
        <f t="shared" si="255"/>
        <v>0</v>
      </c>
      <c r="AM610" s="209">
        <f t="shared" si="255"/>
        <v>0</v>
      </c>
      <c r="AN610" s="209">
        <f t="shared" si="255"/>
        <v>0</v>
      </c>
      <c r="AO610" s="209">
        <f t="shared" si="255"/>
        <v>0</v>
      </c>
      <c r="AP610" s="209">
        <f t="shared" si="255"/>
        <v>0</v>
      </c>
    </row>
    <row r="611" spans="1:42">
      <c r="A611" s="37" t="s">
        <v>106</v>
      </c>
      <c r="B611" s="218">
        <f>SUM(C611:AP611)</f>
        <v>36644995.146324031</v>
      </c>
      <c r="C611" s="164">
        <f>IF(C600&gt;0,C598/C600,0)</f>
        <v>1707274.0423962539</v>
      </c>
      <c r="D611" s="164">
        <f>IF(D600&gt;0,D598/D600,0)</f>
        <v>1724250.3159853835</v>
      </c>
      <c r="E611" s="164">
        <f t="shared" ref="E611:AP611" si="256">IF(E600&gt;0,E598/E600,0)</f>
        <v>1741179.9006599768</v>
      </c>
      <c r="F611" s="164">
        <f t="shared" si="256"/>
        <v>1757015.1003874585</v>
      </c>
      <c r="G611" s="164">
        <f t="shared" si="256"/>
        <v>1773845.4403068156</v>
      </c>
      <c r="H611" s="164">
        <f t="shared" si="256"/>
        <v>1790623.1318688288</v>
      </c>
      <c r="I611" s="164">
        <f t="shared" si="256"/>
        <v>1806252.5703126232</v>
      </c>
      <c r="J611" s="164">
        <f t="shared" si="256"/>
        <v>1822918.6742113817</v>
      </c>
      <c r="K611" s="164">
        <f t="shared" si="256"/>
        <v>1839525.7400343397</v>
      </c>
      <c r="L611" s="164">
        <f t="shared" si="256"/>
        <v>1854928.0628251601</v>
      </c>
      <c r="M611" s="164">
        <f t="shared" si="256"/>
        <v>1871410.3088665816</v>
      </c>
      <c r="N611" s="164">
        <f t="shared" si="256"/>
        <v>1887826.6677571649</v>
      </c>
      <c r="O611" s="164">
        <f t="shared" si="256"/>
        <v>1870975.1235116397</v>
      </c>
      <c r="P611" s="164">
        <f t="shared" si="256"/>
        <v>1887252.4811961066</v>
      </c>
      <c r="Q611" s="164">
        <f t="shared" si="256"/>
        <v>1903456.6122542992</v>
      </c>
      <c r="R611" s="164">
        <f t="shared" si="256"/>
        <v>1849840.2350800114</v>
      </c>
      <c r="S611" s="164">
        <f t="shared" si="256"/>
        <v>1865890.1700477207</v>
      </c>
      <c r="T611" s="164">
        <f t="shared" si="256"/>
        <v>1881859.0153729629</v>
      </c>
      <c r="U611" s="164">
        <f t="shared" si="256"/>
        <v>1896436.590422973</v>
      </c>
      <c r="V611" s="164">
        <f t="shared" si="256"/>
        <v>1912234.9628263505</v>
      </c>
      <c r="W611" s="164">
        <f t="shared" si="256"/>
        <v>0</v>
      </c>
      <c r="X611" s="164">
        <f t="shared" si="256"/>
        <v>0</v>
      </c>
      <c r="Y611" s="164">
        <f t="shared" si="256"/>
        <v>0</v>
      </c>
      <c r="Z611" s="164">
        <f t="shared" si="256"/>
        <v>0</v>
      </c>
      <c r="AA611" s="164">
        <f t="shared" si="256"/>
        <v>0</v>
      </c>
      <c r="AB611" s="164">
        <f t="shared" si="256"/>
        <v>0</v>
      </c>
      <c r="AC611" s="164">
        <f t="shared" si="256"/>
        <v>0</v>
      </c>
      <c r="AD611" s="164">
        <f t="shared" si="256"/>
        <v>0</v>
      </c>
      <c r="AE611" s="164">
        <f t="shared" si="256"/>
        <v>0</v>
      </c>
      <c r="AF611" s="164">
        <f t="shared" si="256"/>
        <v>0</v>
      </c>
      <c r="AG611" s="164">
        <f t="shared" si="256"/>
        <v>0</v>
      </c>
      <c r="AH611" s="164">
        <f t="shared" si="256"/>
        <v>0</v>
      </c>
      <c r="AI611" s="164">
        <f t="shared" si="256"/>
        <v>0</v>
      </c>
      <c r="AJ611" s="164">
        <f t="shared" si="256"/>
        <v>0</v>
      </c>
      <c r="AK611" s="164">
        <f t="shared" si="256"/>
        <v>0</v>
      </c>
      <c r="AL611" s="164">
        <f t="shared" si="256"/>
        <v>0</v>
      </c>
      <c r="AM611" s="164">
        <f t="shared" si="256"/>
        <v>0</v>
      </c>
      <c r="AN611" s="164">
        <f t="shared" si="256"/>
        <v>0</v>
      </c>
      <c r="AO611" s="164">
        <f t="shared" si="256"/>
        <v>0</v>
      </c>
      <c r="AP611" s="164">
        <f t="shared" si="256"/>
        <v>0</v>
      </c>
    </row>
    <row r="613" spans="1:42">
      <c r="A613" s="204" t="s">
        <v>109</v>
      </c>
    </row>
    <row r="614" spans="1:42">
      <c r="A614" s="37" t="s">
        <v>110</v>
      </c>
      <c r="B614" s="218">
        <f>SUM(C614:AP614)</f>
        <v>69768036.154852703</v>
      </c>
      <c r="C614" s="164">
        <f t="shared" ref="C614:AP614" si="257">IF(C$2&lt;=SODebtTerm,C43,0)</f>
        <v>3251243.1691174768</v>
      </c>
      <c r="D614" s="164">
        <f t="shared" si="257"/>
        <v>3276707.5795011711</v>
      </c>
      <c r="E614" s="164">
        <f t="shared" si="257"/>
        <v>3302101.9565130612</v>
      </c>
      <c r="F614" s="164">
        <f t="shared" si="257"/>
        <v>3327423.3895670958</v>
      </c>
      <c r="G614" s="164">
        <f t="shared" si="257"/>
        <v>3352668.8994461317</v>
      </c>
      <c r="H614" s="164">
        <f t="shared" si="257"/>
        <v>3377835.4367891513</v>
      </c>
      <c r="I614" s="164">
        <f t="shared" si="257"/>
        <v>3402919.8805452073</v>
      </c>
      <c r="J614" s="164">
        <f t="shared" si="257"/>
        <v>3427919.0363933449</v>
      </c>
      <c r="K614" s="164">
        <f t="shared" si="257"/>
        <v>3452829.6351277819</v>
      </c>
      <c r="L614" s="164">
        <f t="shared" si="257"/>
        <v>3477648.3310075202</v>
      </c>
      <c r="M614" s="164">
        <f t="shared" si="257"/>
        <v>3502371.7000696524</v>
      </c>
      <c r="N614" s="164">
        <f t="shared" si="257"/>
        <v>3526996.2384055275</v>
      </c>
      <c r="O614" s="164">
        <f t="shared" si="257"/>
        <v>3551518.3603989678</v>
      </c>
      <c r="P614" s="164">
        <f t="shared" si="257"/>
        <v>3575934.3969256682</v>
      </c>
      <c r="Q614" s="164">
        <f t="shared" si="257"/>
        <v>3600240.593512957</v>
      </c>
      <c r="R614" s="164">
        <f t="shared" si="257"/>
        <v>3624433.1084589958</v>
      </c>
      <c r="S614" s="164">
        <f t="shared" si="257"/>
        <v>3648508.0109105594</v>
      </c>
      <c r="T614" s="164">
        <f t="shared" si="257"/>
        <v>3672461.2788984231</v>
      </c>
      <c r="U614" s="164">
        <f t="shared" si="257"/>
        <v>3696288.7973294733</v>
      </c>
      <c r="V614" s="164">
        <f t="shared" si="257"/>
        <v>3719986.3559345393</v>
      </c>
      <c r="W614" s="164">
        <f t="shared" si="257"/>
        <v>0</v>
      </c>
      <c r="X614" s="164">
        <f t="shared" si="257"/>
        <v>0</v>
      </c>
      <c r="Y614" s="164">
        <f t="shared" si="257"/>
        <v>0</v>
      </c>
      <c r="Z614" s="164">
        <f t="shared" si="257"/>
        <v>0</v>
      </c>
      <c r="AA614" s="164">
        <f t="shared" si="257"/>
        <v>0</v>
      </c>
      <c r="AB614" s="164">
        <f t="shared" si="257"/>
        <v>0</v>
      </c>
      <c r="AC614" s="164">
        <f t="shared" si="257"/>
        <v>0</v>
      </c>
      <c r="AD614" s="164">
        <f t="shared" si="257"/>
        <v>0</v>
      </c>
      <c r="AE614" s="164">
        <f t="shared" si="257"/>
        <v>0</v>
      </c>
      <c r="AF614" s="164">
        <f t="shared" si="257"/>
        <v>0</v>
      </c>
      <c r="AG614" s="164">
        <f t="shared" si="257"/>
        <v>0</v>
      </c>
      <c r="AH614" s="164">
        <f t="shared" si="257"/>
        <v>0</v>
      </c>
      <c r="AI614" s="164">
        <f t="shared" si="257"/>
        <v>0</v>
      </c>
      <c r="AJ614" s="164">
        <f t="shared" si="257"/>
        <v>0</v>
      </c>
      <c r="AK614" s="164">
        <f t="shared" si="257"/>
        <v>0</v>
      </c>
      <c r="AL614" s="164">
        <f t="shared" si="257"/>
        <v>0</v>
      </c>
      <c r="AM614" s="164">
        <f t="shared" si="257"/>
        <v>0</v>
      </c>
      <c r="AN614" s="164">
        <f t="shared" si="257"/>
        <v>0</v>
      </c>
      <c r="AO614" s="164">
        <f t="shared" si="257"/>
        <v>0</v>
      </c>
      <c r="AP614" s="164">
        <f t="shared" si="257"/>
        <v>0</v>
      </c>
    </row>
    <row r="615" spans="1:42">
      <c r="A615" s="37" t="s">
        <v>111</v>
      </c>
      <c r="B615" s="218">
        <f>SUM(C615:AP615)</f>
        <v>36644995.146324031</v>
      </c>
      <c r="C615" s="164">
        <f>C611</f>
        <v>1707274.0423962539</v>
      </c>
      <c r="D615" s="164">
        <f t="shared" ref="D615:AP615" si="258">D611</f>
        <v>1724250.3159853835</v>
      </c>
      <c r="E615" s="164">
        <f t="shared" si="258"/>
        <v>1741179.9006599768</v>
      </c>
      <c r="F615" s="164">
        <f t="shared" si="258"/>
        <v>1757015.1003874585</v>
      </c>
      <c r="G615" s="164">
        <f t="shared" si="258"/>
        <v>1773845.4403068156</v>
      </c>
      <c r="H615" s="164">
        <f t="shared" si="258"/>
        <v>1790623.1318688288</v>
      </c>
      <c r="I615" s="164">
        <f t="shared" si="258"/>
        <v>1806252.5703126232</v>
      </c>
      <c r="J615" s="164">
        <f t="shared" si="258"/>
        <v>1822918.6742113817</v>
      </c>
      <c r="K615" s="164">
        <f t="shared" si="258"/>
        <v>1839525.7400343397</v>
      </c>
      <c r="L615" s="164">
        <f t="shared" si="258"/>
        <v>1854928.0628251601</v>
      </c>
      <c r="M615" s="164">
        <f t="shared" si="258"/>
        <v>1871410.3088665816</v>
      </c>
      <c r="N615" s="164">
        <f t="shared" si="258"/>
        <v>1887826.6677571649</v>
      </c>
      <c r="O615" s="164">
        <f t="shared" si="258"/>
        <v>1870975.1235116397</v>
      </c>
      <c r="P615" s="164">
        <f t="shared" si="258"/>
        <v>1887252.4811961066</v>
      </c>
      <c r="Q615" s="164">
        <f t="shared" si="258"/>
        <v>1903456.6122542992</v>
      </c>
      <c r="R615" s="164">
        <f t="shared" si="258"/>
        <v>1849840.2350800114</v>
      </c>
      <c r="S615" s="164">
        <f t="shared" si="258"/>
        <v>1865890.1700477207</v>
      </c>
      <c r="T615" s="164">
        <f t="shared" si="258"/>
        <v>1881859.0153729629</v>
      </c>
      <c r="U615" s="164">
        <f t="shared" si="258"/>
        <v>1896436.590422973</v>
      </c>
      <c r="V615" s="164">
        <f t="shared" si="258"/>
        <v>1912234.9628263505</v>
      </c>
      <c r="W615" s="164">
        <f t="shared" si="258"/>
        <v>0</v>
      </c>
      <c r="X615" s="164">
        <f t="shared" si="258"/>
        <v>0</v>
      </c>
      <c r="Y615" s="164">
        <f t="shared" si="258"/>
        <v>0</v>
      </c>
      <c r="Z615" s="164">
        <f t="shared" si="258"/>
        <v>0</v>
      </c>
      <c r="AA615" s="164">
        <f t="shared" si="258"/>
        <v>0</v>
      </c>
      <c r="AB615" s="164">
        <f t="shared" si="258"/>
        <v>0</v>
      </c>
      <c r="AC615" s="164">
        <f t="shared" si="258"/>
        <v>0</v>
      </c>
      <c r="AD615" s="164">
        <f t="shared" si="258"/>
        <v>0</v>
      </c>
      <c r="AE615" s="164">
        <f t="shared" si="258"/>
        <v>0</v>
      </c>
      <c r="AF615" s="164">
        <f t="shared" si="258"/>
        <v>0</v>
      </c>
      <c r="AG615" s="164">
        <f t="shared" si="258"/>
        <v>0</v>
      </c>
      <c r="AH615" s="164">
        <f t="shared" si="258"/>
        <v>0</v>
      </c>
      <c r="AI615" s="164">
        <f t="shared" si="258"/>
        <v>0</v>
      </c>
      <c r="AJ615" s="164">
        <f t="shared" si="258"/>
        <v>0</v>
      </c>
      <c r="AK615" s="164">
        <f t="shared" si="258"/>
        <v>0</v>
      </c>
      <c r="AL615" s="164">
        <f t="shared" si="258"/>
        <v>0</v>
      </c>
      <c r="AM615" s="164">
        <f t="shared" si="258"/>
        <v>0</v>
      </c>
      <c r="AN615" s="164">
        <f t="shared" si="258"/>
        <v>0</v>
      </c>
      <c r="AO615" s="164">
        <f t="shared" si="258"/>
        <v>0</v>
      </c>
      <c r="AP615" s="164">
        <f t="shared" si="258"/>
        <v>0</v>
      </c>
    </row>
    <row r="616" spans="1:42">
      <c r="A616" s="37" t="s">
        <v>109</v>
      </c>
      <c r="C616" s="279">
        <f t="shared" ref="C616:AP616" si="259">IF(ISERROR(IF(C$2&lt;=SODebtTerm,C614/C615,"")),0,IF(C$2&lt;=SODebtTerm,C614/C615,""))</f>
        <v>1.9043475671627834</v>
      </c>
      <c r="D616" s="279">
        <f t="shared" si="259"/>
        <v>1.900366524003553</v>
      </c>
      <c r="E616" s="279">
        <f t="shared" si="259"/>
        <v>1.8964737390211273</v>
      </c>
      <c r="F616" s="279">
        <f t="shared" si="259"/>
        <v>1.8937932797693824</v>
      </c>
      <c r="G616" s="279">
        <f t="shared" si="259"/>
        <v>1.8900569481782092</v>
      </c>
      <c r="H616" s="279">
        <f t="shared" si="259"/>
        <v>1.8864022119851587</v>
      </c>
      <c r="I616" s="279">
        <f t="shared" si="259"/>
        <v>1.883966803134423</v>
      </c>
      <c r="J616" s="279">
        <f t="shared" si="259"/>
        <v>1.8804563719093541</v>
      </c>
      <c r="K616" s="279">
        <f t="shared" si="259"/>
        <v>1.8770216474727477</v>
      </c>
      <c r="L616" s="279">
        <f t="shared" si="259"/>
        <v>1.8748157412157891</v>
      </c>
      <c r="M616" s="279">
        <f t="shared" si="259"/>
        <v>1.8715145916829226</v>
      </c>
      <c r="N616" s="279">
        <f t="shared" si="259"/>
        <v>1.8682839365733614</v>
      </c>
      <c r="O616" s="279">
        <f t="shared" si="259"/>
        <v>1.898217841471409</v>
      </c>
      <c r="P616" s="279">
        <f t="shared" si="259"/>
        <v>1.8947832537272944</v>
      </c>
      <c r="Q616" s="279">
        <f t="shared" si="259"/>
        <v>1.8914224628682892</v>
      </c>
      <c r="R616" s="279">
        <f t="shared" si="259"/>
        <v>1.9593222375240571</v>
      </c>
      <c r="S616" s="279">
        <f t="shared" si="259"/>
        <v>1.9553712589724657</v>
      </c>
      <c r="T616" s="279">
        <f t="shared" si="259"/>
        <v>1.9515071261438697</v>
      </c>
      <c r="U616" s="279">
        <f t="shared" si="259"/>
        <v>1.9490705969267705</v>
      </c>
      <c r="V616" s="279">
        <f t="shared" si="259"/>
        <v>1.9453604960952438</v>
      </c>
      <c r="W616" s="279" t="str">
        <f t="shared" si="259"/>
        <v/>
      </c>
      <c r="X616" s="279" t="str">
        <f t="shared" si="259"/>
        <v/>
      </c>
      <c r="Y616" s="279" t="str">
        <f t="shared" si="259"/>
        <v/>
      </c>
      <c r="Z616" s="279" t="str">
        <f t="shared" si="259"/>
        <v/>
      </c>
      <c r="AA616" s="279" t="str">
        <f t="shared" si="259"/>
        <v/>
      </c>
      <c r="AB616" s="279" t="str">
        <f t="shared" si="259"/>
        <v/>
      </c>
      <c r="AC616" s="279" t="str">
        <f t="shared" si="259"/>
        <v/>
      </c>
      <c r="AD616" s="279" t="str">
        <f t="shared" si="259"/>
        <v/>
      </c>
      <c r="AE616" s="279" t="str">
        <f t="shared" si="259"/>
        <v/>
      </c>
      <c r="AF616" s="279" t="str">
        <f t="shared" si="259"/>
        <v/>
      </c>
      <c r="AG616" s="279" t="str">
        <f t="shared" si="259"/>
        <v/>
      </c>
      <c r="AH616" s="279" t="str">
        <f t="shared" si="259"/>
        <v/>
      </c>
      <c r="AI616" s="279" t="str">
        <f t="shared" si="259"/>
        <v/>
      </c>
      <c r="AJ616" s="279" t="str">
        <f t="shared" si="259"/>
        <v/>
      </c>
      <c r="AK616" s="279" t="str">
        <f t="shared" si="259"/>
        <v/>
      </c>
      <c r="AL616" s="279" t="str">
        <f t="shared" si="259"/>
        <v/>
      </c>
      <c r="AM616" s="279" t="str">
        <f t="shared" si="259"/>
        <v/>
      </c>
      <c r="AN616" s="279" t="str">
        <f t="shared" si="259"/>
        <v/>
      </c>
      <c r="AO616" s="279" t="str">
        <f t="shared" si="259"/>
        <v/>
      </c>
      <c r="AP616" s="279" t="str">
        <f t="shared" si="259"/>
        <v/>
      </c>
    </row>
    <row r="617" spans="1:42">
      <c r="A617" s="37" t="s">
        <v>112</v>
      </c>
      <c r="B617" s="221">
        <f>IF(ISERROR(B614/B615),0,B614/B615)</f>
        <v>1.9038899002788201</v>
      </c>
    </row>
    <row r="618" spans="1:42">
      <c r="A618" s="37" t="s">
        <v>113</v>
      </c>
      <c r="B618" s="221">
        <f>MIN(C616:AP616)</f>
        <v>1.8682839365733614</v>
      </c>
    </row>
    <row r="620" spans="1:42">
      <c r="A620" s="201" t="s">
        <v>201</v>
      </c>
      <c r="B620" s="164"/>
      <c r="C620" s="164"/>
      <c r="D620" s="164"/>
      <c r="E620" s="164"/>
      <c r="F620" s="164"/>
      <c r="G620" s="208"/>
      <c r="H620" s="208"/>
      <c r="I620" s="208"/>
      <c r="J620" s="208"/>
      <c r="K620" s="208"/>
      <c r="L620" s="208"/>
      <c r="M620" s="208"/>
      <c r="N620" s="208"/>
      <c r="O620" s="208"/>
      <c r="P620" s="208"/>
      <c r="Q620" s="208"/>
      <c r="R620" s="208"/>
      <c r="S620" s="208"/>
      <c r="T620" s="208"/>
      <c r="U620" s="208"/>
      <c r="V620" s="208"/>
      <c r="W620" s="208"/>
      <c r="X620" s="208"/>
      <c r="Y620" s="208"/>
      <c r="Z620" s="208"/>
      <c r="AA620" s="208"/>
      <c r="AB620" s="208"/>
      <c r="AC620" s="208"/>
      <c r="AD620" s="208"/>
      <c r="AE620" s="208"/>
      <c r="AF620" s="208"/>
      <c r="AG620" s="208"/>
      <c r="AH620" s="208"/>
      <c r="AI620" s="208"/>
      <c r="AJ620" s="208"/>
      <c r="AK620" s="208"/>
      <c r="AL620" s="208"/>
      <c r="AM620" s="208"/>
      <c r="AN620" s="208"/>
      <c r="AO620" s="208"/>
      <c r="AP620" s="208"/>
    </row>
    <row r="621" spans="1:42">
      <c r="A621" s="204" t="s">
        <v>85</v>
      </c>
      <c r="C621" s="164"/>
      <c r="D621" s="164"/>
      <c r="E621" s="164"/>
      <c r="F621" s="164"/>
      <c r="G621" s="164"/>
      <c r="H621" s="164"/>
      <c r="I621" s="164"/>
      <c r="J621" s="164"/>
      <c r="K621" s="164"/>
      <c r="L621" s="164"/>
      <c r="M621" s="164"/>
      <c r="N621" s="164"/>
      <c r="O621" s="164"/>
      <c r="P621" s="164"/>
      <c r="Q621" s="164"/>
      <c r="R621" s="164"/>
      <c r="S621" s="164"/>
      <c r="T621" s="164"/>
      <c r="U621" s="164"/>
      <c r="V621" s="164"/>
      <c r="W621" s="164"/>
      <c r="X621" s="164"/>
      <c r="Y621" s="164"/>
      <c r="Z621" s="164"/>
      <c r="AA621" s="164"/>
      <c r="AB621" s="164"/>
      <c r="AC621" s="164"/>
      <c r="AD621" s="164"/>
      <c r="AE621" s="164"/>
      <c r="AF621" s="164"/>
      <c r="AG621" s="164"/>
      <c r="AH621" s="164"/>
      <c r="AI621" s="164"/>
      <c r="AJ621" s="164"/>
      <c r="AK621" s="164"/>
      <c r="AL621" s="164"/>
      <c r="AM621" s="164"/>
      <c r="AN621" s="164"/>
      <c r="AO621" s="164"/>
      <c r="AP621" s="164"/>
    </row>
    <row r="622" spans="1:42">
      <c r="A622" s="37" t="s">
        <v>100</v>
      </c>
      <c r="B622" s="164">
        <v>0</v>
      </c>
      <c r="C622" s="164">
        <f>B625</f>
        <v>853637.02119812695</v>
      </c>
      <c r="D622" s="164">
        <f t="shared" ref="D622:AP622" si="260">C625</f>
        <v>862125.15799269173</v>
      </c>
      <c r="E622" s="164">
        <f t="shared" si="260"/>
        <v>870589.95032998838</v>
      </c>
      <c r="F622" s="164">
        <f t="shared" si="260"/>
        <v>878507.55019372923</v>
      </c>
      <c r="G622" s="164">
        <f t="shared" si="260"/>
        <v>886922.72015340778</v>
      </c>
      <c r="H622" s="164">
        <f t="shared" si="260"/>
        <v>895311.56593441439</v>
      </c>
      <c r="I622" s="164">
        <f t="shared" si="260"/>
        <v>903126.28515631158</v>
      </c>
      <c r="J622" s="164">
        <f t="shared" si="260"/>
        <v>911459.33710569085</v>
      </c>
      <c r="K622" s="164">
        <f t="shared" si="260"/>
        <v>919762.87001716986</v>
      </c>
      <c r="L622" s="164">
        <f t="shared" si="260"/>
        <v>927464.03141258005</v>
      </c>
      <c r="M622" s="164">
        <f t="shared" si="260"/>
        <v>935705.15443329082</v>
      </c>
      <c r="N622" s="164">
        <f t="shared" si="260"/>
        <v>943913.33387858246</v>
      </c>
      <c r="O622" s="164">
        <f t="shared" si="260"/>
        <v>935487.56175581983</v>
      </c>
      <c r="P622" s="164">
        <f t="shared" si="260"/>
        <v>943626.24059805332</v>
      </c>
      <c r="Q622" s="164">
        <f t="shared" si="260"/>
        <v>951728.30612714961</v>
      </c>
      <c r="R622" s="164">
        <f t="shared" si="260"/>
        <v>924920.11754000571</v>
      </c>
      <c r="S622" s="164">
        <f t="shared" si="260"/>
        <v>932945.08502386033</v>
      </c>
      <c r="T622" s="164">
        <f t="shared" si="260"/>
        <v>940929.50768648146</v>
      </c>
      <c r="U622" s="164">
        <f t="shared" si="260"/>
        <v>948218.29521148652</v>
      </c>
      <c r="V622" s="164">
        <f t="shared" si="260"/>
        <v>956117.48141317524</v>
      </c>
      <c r="W622" s="164">
        <f t="shared" si="260"/>
        <v>0</v>
      </c>
      <c r="X622" s="164">
        <f t="shared" si="260"/>
        <v>0</v>
      </c>
      <c r="Y622" s="164">
        <f t="shared" si="260"/>
        <v>0</v>
      </c>
      <c r="Z622" s="164">
        <f t="shared" si="260"/>
        <v>0</v>
      </c>
      <c r="AA622" s="164">
        <f t="shared" si="260"/>
        <v>0</v>
      </c>
      <c r="AB622" s="164">
        <f t="shared" si="260"/>
        <v>0</v>
      </c>
      <c r="AC622" s="164">
        <f t="shared" si="260"/>
        <v>0</v>
      </c>
      <c r="AD622" s="164">
        <f t="shared" si="260"/>
        <v>0</v>
      </c>
      <c r="AE622" s="164">
        <f t="shared" si="260"/>
        <v>0</v>
      </c>
      <c r="AF622" s="164">
        <f t="shared" si="260"/>
        <v>0</v>
      </c>
      <c r="AG622" s="164">
        <f t="shared" si="260"/>
        <v>0</v>
      </c>
      <c r="AH622" s="164">
        <f t="shared" si="260"/>
        <v>0</v>
      </c>
      <c r="AI622" s="164">
        <f t="shared" si="260"/>
        <v>0</v>
      </c>
      <c r="AJ622" s="164">
        <f t="shared" si="260"/>
        <v>0</v>
      </c>
      <c r="AK622" s="164">
        <f t="shared" si="260"/>
        <v>0</v>
      </c>
      <c r="AL622" s="164">
        <f t="shared" si="260"/>
        <v>0</v>
      </c>
      <c r="AM622" s="164">
        <f t="shared" si="260"/>
        <v>0</v>
      </c>
      <c r="AN622" s="164">
        <f t="shared" si="260"/>
        <v>0</v>
      </c>
      <c r="AO622" s="164">
        <f t="shared" si="260"/>
        <v>0</v>
      </c>
      <c r="AP622" s="164">
        <f t="shared" si="260"/>
        <v>0</v>
      </c>
    </row>
    <row r="623" spans="1:42">
      <c r="A623" s="37" t="s">
        <v>101</v>
      </c>
      <c r="B623" s="164">
        <f t="shared" ref="B623:AP623" si="261">IF(B2&lt;MIN(SODebtTerm,AnalysisPeriod),B625-B622,0)</f>
        <v>853637.02119812695</v>
      </c>
      <c r="C623" s="164">
        <f t="shared" si="261"/>
        <v>8488.1367945647798</v>
      </c>
      <c r="D623" s="164">
        <f t="shared" si="261"/>
        <v>8464.792337296647</v>
      </c>
      <c r="E623" s="164">
        <f t="shared" si="261"/>
        <v>7917.5998637408484</v>
      </c>
      <c r="F623" s="164">
        <f t="shared" si="261"/>
        <v>8415.1699596785475</v>
      </c>
      <c r="G623" s="164">
        <f t="shared" si="261"/>
        <v>8388.8457810066175</v>
      </c>
      <c r="H623" s="164">
        <f t="shared" si="261"/>
        <v>7814.7192218971904</v>
      </c>
      <c r="I623" s="164">
        <f t="shared" si="261"/>
        <v>8333.0519493792672</v>
      </c>
      <c r="J623" s="164">
        <f t="shared" si="261"/>
        <v>8303.5329114790075</v>
      </c>
      <c r="K623" s="164">
        <f t="shared" si="261"/>
        <v>7701.1613954101922</v>
      </c>
      <c r="L623" s="164">
        <f t="shared" si="261"/>
        <v>8241.1230207107728</v>
      </c>
      <c r="M623" s="164">
        <f t="shared" si="261"/>
        <v>8208.1794452916365</v>
      </c>
      <c r="N623" s="164">
        <f t="shared" si="261"/>
        <v>-8425.7721227626316</v>
      </c>
      <c r="O623" s="164">
        <f t="shared" si="261"/>
        <v>8138.6788422334939</v>
      </c>
      <c r="P623" s="164">
        <f t="shared" si="261"/>
        <v>8102.0655290962895</v>
      </c>
      <c r="Q623" s="164">
        <f t="shared" si="261"/>
        <v>-26808.188587143901</v>
      </c>
      <c r="R623" s="164">
        <f t="shared" si="261"/>
        <v>8024.9674838546198</v>
      </c>
      <c r="S623" s="164">
        <f t="shared" si="261"/>
        <v>7984.4226626211312</v>
      </c>
      <c r="T623" s="164">
        <f t="shared" si="261"/>
        <v>7288.7875250050565</v>
      </c>
      <c r="U623" s="164">
        <f t="shared" si="261"/>
        <v>7899.1862016887171</v>
      </c>
      <c r="V623" s="164">
        <f t="shared" si="261"/>
        <v>0</v>
      </c>
      <c r="W623" s="164">
        <f t="shared" si="261"/>
        <v>0</v>
      </c>
      <c r="X623" s="164">
        <f t="shared" si="261"/>
        <v>0</v>
      </c>
      <c r="Y623" s="164">
        <f t="shared" si="261"/>
        <v>0</v>
      </c>
      <c r="Z623" s="164">
        <f t="shared" si="261"/>
        <v>0</v>
      </c>
      <c r="AA623" s="164">
        <f t="shared" si="261"/>
        <v>0</v>
      </c>
      <c r="AB623" s="164">
        <f t="shared" si="261"/>
        <v>0</v>
      </c>
      <c r="AC623" s="164">
        <f t="shared" si="261"/>
        <v>0</v>
      </c>
      <c r="AD623" s="164">
        <f t="shared" si="261"/>
        <v>0</v>
      </c>
      <c r="AE623" s="164">
        <f t="shared" si="261"/>
        <v>0</v>
      </c>
      <c r="AF623" s="164">
        <f t="shared" si="261"/>
        <v>0</v>
      </c>
      <c r="AG623" s="164">
        <f t="shared" si="261"/>
        <v>0</v>
      </c>
      <c r="AH623" s="164">
        <f t="shared" si="261"/>
        <v>0</v>
      </c>
      <c r="AI623" s="164">
        <f t="shared" si="261"/>
        <v>0</v>
      </c>
      <c r="AJ623" s="164">
        <f t="shared" si="261"/>
        <v>0</v>
      </c>
      <c r="AK623" s="164">
        <f t="shared" si="261"/>
        <v>0</v>
      </c>
      <c r="AL623" s="164">
        <f t="shared" si="261"/>
        <v>0</v>
      </c>
      <c r="AM623" s="164">
        <f t="shared" si="261"/>
        <v>0</v>
      </c>
      <c r="AN623" s="164">
        <f t="shared" si="261"/>
        <v>0</v>
      </c>
      <c r="AO623" s="164">
        <f t="shared" si="261"/>
        <v>0</v>
      </c>
      <c r="AP623" s="164">
        <f t="shared" si="261"/>
        <v>0</v>
      </c>
    </row>
    <row r="624" spans="1:42">
      <c r="A624" s="37" t="s">
        <v>107</v>
      </c>
      <c r="B624" s="209">
        <v>0</v>
      </c>
      <c r="C624" s="209">
        <f t="shared" ref="C624:AP624" si="262">IF(C$2=SODebtTerm,-C622,0)</f>
        <v>0</v>
      </c>
      <c r="D624" s="209">
        <f t="shared" si="262"/>
        <v>0</v>
      </c>
      <c r="E624" s="209">
        <f t="shared" si="262"/>
        <v>0</v>
      </c>
      <c r="F624" s="209">
        <f t="shared" si="262"/>
        <v>0</v>
      </c>
      <c r="G624" s="209">
        <f t="shared" si="262"/>
        <v>0</v>
      </c>
      <c r="H624" s="209">
        <f t="shared" si="262"/>
        <v>0</v>
      </c>
      <c r="I624" s="209">
        <f t="shared" si="262"/>
        <v>0</v>
      </c>
      <c r="J624" s="209">
        <f t="shared" si="262"/>
        <v>0</v>
      </c>
      <c r="K624" s="209">
        <f t="shared" si="262"/>
        <v>0</v>
      </c>
      <c r="L624" s="209">
        <f t="shared" si="262"/>
        <v>0</v>
      </c>
      <c r="M624" s="209">
        <f t="shared" si="262"/>
        <v>0</v>
      </c>
      <c r="N624" s="209">
        <f t="shared" si="262"/>
        <v>0</v>
      </c>
      <c r="O624" s="209">
        <f t="shared" si="262"/>
        <v>0</v>
      </c>
      <c r="P624" s="209">
        <f t="shared" si="262"/>
        <v>0</v>
      </c>
      <c r="Q624" s="209">
        <f t="shared" si="262"/>
        <v>0</v>
      </c>
      <c r="R624" s="209">
        <f t="shared" si="262"/>
        <v>0</v>
      </c>
      <c r="S624" s="209">
        <f t="shared" si="262"/>
        <v>0</v>
      </c>
      <c r="T624" s="209">
        <f t="shared" si="262"/>
        <v>0</v>
      </c>
      <c r="U624" s="209">
        <f t="shared" si="262"/>
        <v>0</v>
      </c>
      <c r="V624" s="209">
        <f t="shared" si="262"/>
        <v>-956117.48141317524</v>
      </c>
      <c r="W624" s="209">
        <f t="shared" si="262"/>
        <v>0</v>
      </c>
      <c r="X624" s="209">
        <f t="shared" si="262"/>
        <v>0</v>
      </c>
      <c r="Y624" s="209">
        <f t="shared" si="262"/>
        <v>0</v>
      </c>
      <c r="Z624" s="209">
        <f t="shared" si="262"/>
        <v>0</v>
      </c>
      <c r="AA624" s="209">
        <f t="shared" si="262"/>
        <v>0</v>
      </c>
      <c r="AB624" s="209">
        <f t="shared" si="262"/>
        <v>0</v>
      </c>
      <c r="AC624" s="209">
        <f t="shared" si="262"/>
        <v>0</v>
      </c>
      <c r="AD624" s="209">
        <f t="shared" si="262"/>
        <v>0</v>
      </c>
      <c r="AE624" s="209">
        <f t="shared" si="262"/>
        <v>0</v>
      </c>
      <c r="AF624" s="209">
        <f t="shared" si="262"/>
        <v>0</v>
      </c>
      <c r="AG624" s="209">
        <f t="shared" si="262"/>
        <v>0</v>
      </c>
      <c r="AH624" s="209">
        <f t="shared" si="262"/>
        <v>0</v>
      </c>
      <c r="AI624" s="209">
        <f t="shared" si="262"/>
        <v>0</v>
      </c>
      <c r="AJ624" s="209">
        <f t="shared" si="262"/>
        <v>0</v>
      </c>
      <c r="AK624" s="209">
        <f t="shared" si="262"/>
        <v>0</v>
      </c>
      <c r="AL624" s="209">
        <f t="shared" si="262"/>
        <v>0</v>
      </c>
      <c r="AM624" s="209">
        <f t="shared" si="262"/>
        <v>0</v>
      </c>
      <c r="AN624" s="209">
        <f t="shared" si="262"/>
        <v>0</v>
      </c>
      <c r="AO624" s="209">
        <f t="shared" si="262"/>
        <v>0</v>
      </c>
      <c r="AP624" s="209">
        <f t="shared" si="262"/>
        <v>0</v>
      </c>
    </row>
    <row r="625" spans="1:42">
      <c r="A625" s="37" t="s">
        <v>103</v>
      </c>
      <c r="B625" s="164">
        <f t="shared" ref="B625:AP625" si="263">IF(B2&lt;=MIN(SODebtTerm,AnalysisPeriod),(SODSRASize/12)*C611,0)</f>
        <v>853637.02119812695</v>
      </c>
      <c r="C625" s="164">
        <f t="shared" si="263"/>
        <v>862125.15799269173</v>
      </c>
      <c r="D625" s="164">
        <f t="shared" si="263"/>
        <v>870589.95032998838</v>
      </c>
      <c r="E625" s="164">
        <f t="shared" si="263"/>
        <v>878507.55019372923</v>
      </c>
      <c r="F625" s="164">
        <f t="shared" si="263"/>
        <v>886922.72015340778</v>
      </c>
      <c r="G625" s="164">
        <f t="shared" si="263"/>
        <v>895311.56593441439</v>
      </c>
      <c r="H625" s="164">
        <f t="shared" si="263"/>
        <v>903126.28515631158</v>
      </c>
      <c r="I625" s="164">
        <f t="shared" si="263"/>
        <v>911459.33710569085</v>
      </c>
      <c r="J625" s="164">
        <f t="shared" si="263"/>
        <v>919762.87001716986</v>
      </c>
      <c r="K625" s="164">
        <f t="shared" si="263"/>
        <v>927464.03141258005</v>
      </c>
      <c r="L625" s="164">
        <f t="shared" si="263"/>
        <v>935705.15443329082</v>
      </c>
      <c r="M625" s="164">
        <f t="shared" si="263"/>
        <v>943913.33387858246</v>
      </c>
      <c r="N625" s="164">
        <f t="shared" si="263"/>
        <v>935487.56175581983</v>
      </c>
      <c r="O625" s="164">
        <f t="shared" si="263"/>
        <v>943626.24059805332</v>
      </c>
      <c r="P625" s="164">
        <f t="shared" si="263"/>
        <v>951728.30612714961</v>
      </c>
      <c r="Q625" s="164">
        <f t="shared" si="263"/>
        <v>924920.11754000571</v>
      </c>
      <c r="R625" s="164">
        <f t="shared" si="263"/>
        <v>932945.08502386033</v>
      </c>
      <c r="S625" s="164">
        <f t="shared" si="263"/>
        <v>940929.50768648146</v>
      </c>
      <c r="T625" s="164">
        <f t="shared" si="263"/>
        <v>948218.29521148652</v>
      </c>
      <c r="U625" s="164">
        <f t="shared" si="263"/>
        <v>956117.48141317524</v>
      </c>
      <c r="V625" s="164">
        <f t="shared" si="263"/>
        <v>0</v>
      </c>
      <c r="W625" s="164">
        <f t="shared" si="263"/>
        <v>0</v>
      </c>
      <c r="X625" s="164">
        <f t="shared" si="263"/>
        <v>0</v>
      </c>
      <c r="Y625" s="164">
        <f t="shared" si="263"/>
        <v>0</v>
      </c>
      <c r="Z625" s="164">
        <f t="shared" si="263"/>
        <v>0</v>
      </c>
      <c r="AA625" s="164">
        <f t="shared" si="263"/>
        <v>0</v>
      </c>
      <c r="AB625" s="164">
        <f t="shared" si="263"/>
        <v>0</v>
      </c>
      <c r="AC625" s="164">
        <f t="shared" si="263"/>
        <v>0</v>
      </c>
      <c r="AD625" s="164">
        <f t="shared" si="263"/>
        <v>0</v>
      </c>
      <c r="AE625" s="164">
        <f t="shared" si="263"/>
        <v>0</v>
      </c>
      <c r="AF625" s="164">
        <f t="shared" si="263"/>
        <v>0</v>
      </c>
      <c r="AG625" s="164">
        <f t="shared" si="263"/>
        <v>0</v>
      </c>
      <c r="AH625" s="164">
        <f t="shared" si="263"/>
        <v>0</v>
      </c>
      <c r="AI625" s="164">
        <f t="shared" si="263"/>
        <v>0</v>
      </c>
      <c r="AJ625" s="164">
        <f t="shared" si="263"/>
        <v>0</v>
      </c>
      <c r="AK625" s="164">
        <f t="shared" si="263"/>
        <v>0</v>
      </c>
      <c r="AL625" s="164">
        <f t="shared" si="263"/>
        <v>0</v>
      </c>
      <c r="AM625" s="164">
        <f t="shared" si="263"/>
        <v>0</v>
      </c>
      <c r="AN625" s="164">
        <f t="shared" si="263"/>
        <v>0</v>
      </c>
      <c r="AO625" s="164">
        <f t="shared" si="263"/>
        <v>0</v>
      </c>
      <c r="AP625" s="164">
        <f t="shared" si="263"/>
        <v>0</v>
      </c>
    </row>
    <row r="626" spans="1:42">
      <c r="B626" s="164"/>
      <c r="C626" s="164"/>
      <c r="D626" s="164"/>
      <c r="E626" s="164"/>
      <c r="F626" s="164"/>
      <c r="G626" s="208"/>
      <c r="H626" s="208"/>
      <c r="I626" s="208"/>
      <c r="J626" s="208"/>
      <c r="K626" s="208"/>
      <c r="L626" s="208"/>
      <c r="M626" s="208"/>
      <c r="N626" s="208"/>
      <c r="O626" s="208"/>
      <c r="P626" s="208"/>
      <c r="Q626" s="208"/>
      <c r="R626" s="208"/>
      <c r="S626" s="208"/>
      <c r="T626" s="208"/>
      <c r="U626" s="208"/>
      <c r="V626" s="208"/>
      <c r="W626" s="208"/>
      <c r="X626" s="208"/>
      <c r="Y626" s="208"/>
      <c r="Z626" s="208"/>
      <c r="AA626" s="208"/>
      <c r="AB626" s="208"/>
      <c r="AC626" s="208"/>
      <c r="AD626" s="208"/>
      <c r="AE626" s="208"/>
      <c r="AF626" s="208"/>
      <c r="AG626" s="208"/>
      <c r="AH626" s="208"/>
      <c r="AI626" s="208"/>
      <c r="AJ626" s="208"/>
      <c r="AK626" s="208"/>
      <c r="AL626" s="208"/>
      <c r="AM626" s="208"/>
      <c r="AN626" s="208"/>
      <c r="AO626" s="208"/>
      <c r="AP626" s="208"/>
    </row>
    <row r="627" spans="1:42">
      <c r="A627" s="204" t="str">
        <f>'Inputs &amp; Results'!A147</f>
        <v>O&amp;M/Working Capital Reserve</v>
      </c>
      <c r="C627" s="164"/>
      <c r="D627" s="164"/>
      <c r="E627" s="164"/>
      <c r="F627" s="164"/>
      <c r="G627" s="164"/>
      <c r="H627" s="164"/>
      <c r="I627" s="164"/>
      <c r="J627" s="164"/>
      <c r="K627" s="164"/>
      <c r="L627" s="164"/>
      <c r="M627" s="164"/>
      <c r="N627" s="164"/>
      <c r="O627" s="164"/>
      <c r="P627" s="164"/>
      <c r="Q627" s="164"/>
      <c r="R627" s="164"/>
      <c r="S627" s="164"/>
      <c r="T627" s="164"/>
      <c r="U627" s="164"/>
      <c r="V627" s="164"/>
      <c r="W627" s="164"/>
      <c r="X627" s="164"/>
      <c r="Y627" s="164"/>
      <c r="Z627" s="164"/>
      <c r="AA627" s="164"/>
      <c r="AB627" s="164"/>
      <c r="AC627" s="164"/>
      <c r="AD627" s="164"/>
      <c r="AE627" s="164"/>
      <c r="AF627" s="164"/>
      <c r="AG627" s="164"/>
      <c r="AH627" s="164"/>
      <c r="AI627" s="164"/>
      <c r="AJ627" s="164"/>
      <c r="AK627" s="164"/>
      <c r="AL627" s="164"/>
      <c r="AM627" s="164"/>
      <c r="AN627" s="164"/>
      <c r="AO627" s="164"/>
      <c r="AP627" s="164"/>
    </row>
    <row r="628" spans="1:42">
      <c r="A628" s="37" t="s">
        <v>100</v>
      </c>
      <c r="B628" s="164">
        <v>0</v>
      </c>
      <c r="C628" s="164">
        <f>B631</f>
        <v>150000</v>
      </c>
      <c r="D628" s="164">
        <f t="shared" ref="D628:AP628" si="264">C631</f>
        <v>150000</v>
      </c>
      <c r="E628" s="164">
        <f t="shared" si="264"/>
        <v>150000</v>
      </c>
      <c r="F628" s="164">
        <f t="shared" si="264"/>
        <v>150000</v>
      </c>
      <c r="G628" s="164">
        <f t="shared" si="264"/>
        <v>150000</v>
      </c>
      <c r="H628" s="164">
        <f t="shared" si="264"/>
        <v>150000</v>
      </c>
      <c r="I628" s="164">
        <f t="shared" si="264"/>
        <v>150000</v>
      </c>
      <c r="J628" s="164">
        <f t="shared" si="264"/>
        <v>150000</v>
      </c>
      <c r="K628" s="164">
        <f t="shared" si="264"/>
        <v>150000</v>
      </c>
      <c r="L628" s="164">
        <f t="shared" si="264"/>
        <v>150000</v>
      </c>
      <c r="M628" s="164">
        <f t="shared" si="264"/>
        <v>150000</v>
      </c>
      <c r="N628" s="164">
        <f t="shared" si="264"/>
        <v>150000</v>
      </c>
      <c r="O628" s="164">
        <f t="shared" si="264"/>
        <v>150000</v>
      </c>
      <c r="P628" s="164">
        <f t="shared" si="264"/>
        <v>150000</v>
      </c>
      <c r="Q628" s="164">
        <f t="shared" si="264"/>
        <v>150000</v>
      </c>
      <c r="R628" s="164">
        <f t="shared" si="264"/>
        <v>150000</v>
      </c>
      <c r="S628" s="164">
        <f t="shared" si="264"/>
        <v>150000</v>
      </c>
      <c r="T628" s="164">
        <f t="shared" si="264"/>
        <v>150000</v>
      </c>
      <c r="U628" s="164">
        <f t="shared" si="264"/>
        <v>150000</v>
      </c>
      <c r="V628" s="164">
        <f t="shared" si="264"/>
        <v>150000</v>
      </c>
      <c r="W628" s="164">
        <f t="shared" si="264"/>
        <v>150000</v>
      </c>
      <c r="X628" s="164">
        <f t="shared" si="264"/>
        <v>150000</v>
      </c>
      <c r="Y628" s="164">
        <f t="shared" si="264"/>
        <v>150000</v>
      </c>
      <c r="Z628" s="164">
        <f t="shared" si="264"/>
        <v>150000</v>
      </c>
      <c r="AA628" s="164">
        <f t="shared" si="264"/>
        <v>150000</v>
      </c>
      <c r="AB628" s="164">
        <f t="shared" si="264"/>
        <v>150000</v>
      </c>
      <c r="AC628" s="164">
        <f t="shared" si="264"/>
        <v>150000</v>
      </c>
      <c r="AD628" s="164">
        <f t="shared" si="264"/>
        <v>150000</v>
      </c>
      <c r="AE628" s="164">
        <f t="shared" si="264"/>
        <v>150000</v>
      </c>
      <c r="AF628" s="164">
        <f t="shared" si="264"/>
        <v>150000</v>
      </c>
      <c r="AG628" s="164">
        <f t="shared" si="264"/>
        <v>0</v>
      </c>
      <c r="AH628" s="164">
        <f t="shared" si="264"/>
        <v>0</v>
      </c>
      <c r="AI628" s="164">
        <f t="shared" si="264"/>
        <v>0</v>
      </c>
      <c r="AJ628" s="164">
        <f t="shared" si="264"/>
        <v>0</v>
      </c>
      <c r="AK628" s="164">
        <f t="shared" si="264"/>
        <v>0</v>
      </c>
      <c r="AL628" s="164">
        <f t="shared" si="264"/>
        <v>0</v>
      </c>
      <c r="AM628" s="164">
        <f t="shared" si="264"/>
        <v>0</v>
      </c>
      <c r="AN628" s="164">
        <f t="shared" si="264"/>
        <v>0</v>
      </c>
      <c r="AO628" s="164">
        <f t="shared" si="264"/>
        <v>0</v>
      </c>
      <c r="AP628" s="164">
        <f t="shared" si="264"/>
        <v>0</v>
      </c>
    </row>
    <row r="629" spans="1:42">
      <c r="A629" s="37" t="s">
        <v>101</v>
      </c>
      <c r="B629" s="164">
        <f>'Inputs &amp; Results'!$E$147</f>
        <v>150000</v>
      </c>
      <c r="C629" s="164"/>
      <c r="D629" s="164"/>
      <c r="E629" s="164"/>
      <c r="F629" s="164"/>
      <c r="G629" s="164"/>
      <c r="H629" s="164"/>
      <c r="I629" s="164"/>
      <c r="J629" s="164"/>
      <c r="K629" s="164"/>
      <c r="L629" s="164"/>
      <c r="M629" s="164"/>
      <c r="N629" s="164"/>
      <c r="O629" s="164"/>
      <c r="P629" s="164"/>
      <c r="Q629" s="164"/>
      <c r="R629" s="164"/>
      <c r="S629" s="164"/>
      <c r="T629" s="164"/>
      <c r="U629" s="164"/>
      <c r="V629" s="164"/>
      <c r="W629" s="164"/>
      <c r="X629" s="164"/>
      <c r="Y629" s="164"/>
      <c r="Z629" s="164"/>
      <c r="AA629" s="164"/>
      <c r="AB629" s="164"/>
      <c r="AC629" s="164"/>
      <c r="AD629" s="164"/>
      <c r="AE629" s="164"/>
      <c r="AF629" s="164"/>
      <c r="AG629" s="164"/>
      <c r="AH629" s="164"/>
      <c r="AI629" s="164"/>
      <c r="AJ629" s="164"/>
      <c r="AK629" s="164"/>
      <c r="AL629" s="164"/>
      <c r="AM629" s="164"/>
      <c r="AN629" s="164"/>
      <c r="AO629" s="164"/>
      <c r="AP629" s="164"/>
    </row>
    <row r="630" spans="1:42">
      <c r="A630" s="37" t="s">
        <v>107</v>
      </c>
      <c r="B630" s="209">
        <v>0</v>
      </c>
      <c r="C630" s="209">
        <f t="shared" ref="C630:AP630" si="265">IF(C$2=AnalysisPeriod,-C628,0)</f>
        <v>0</v>
      </c>
      <c r="D630" s="209">
        <f t="shared" si="265"/>
        <v>0</v>
      </c>
      <c r="E630" s="209">
        <f t="shared" si="265"/>
        <v>0</v>
      </c>
      <c r="F630" s="209">
        <f t="shared" si="265"/>
        <v>0</v>
      </c>
      <c r="G630" s="209">
        <f t="shared" si="265"/>
        <v>0</v>
      </c>
      <c r="H630" s="209">
        <f t="shared" si="265"/>
        <v>0</v>
      </c>
      <c r="I630" s="209">
        <f t="shared" si="265"/>
        <v>0</v>
      </c>
      <c r="J630" s="209">
        <f t="shared" si="265"/>
        <v>0</v>
      </c>
      <c r="K630" s="209">
        <f t="shared" si="265"/>
        <v>0</v>
      </c>
      <c r="L630" s="209">
        <f t="shared" si="265"/>
        <v>0</v>
      </c>
      <c r="M630" s="209">
        <f t="shared" si="265"/>
        <v>0</v>
      </c>
      <c r="N630" s="209">
        <f t="shared" si="265"/>
        <v>0</v>
      </c>
      <c r="O630" s="209">
        <f t="shared" si="265"/>
        <v>0</v>
      </c>
      <c r="P630" s="209">
        <f t="shared" si="265"/>
        <v>0</v>
      </c>
      <c r="Q630" s="209">
        <f t="shared" si="265"/>
        <v>0</v>
      </c>
      <c r="R630" s="209">
        <f t="shared" si="265"/>
        <v>0</v>
      </c>
      <c r="S630" s="209">
        <f t="shared" si="265"/>
        <v>0</v>
      </c>
      <c r="T630" s="209">
        <f t="shared" si="265"/>
        <v>0</v>
      </c>
      <c r="U630" s="209">
        <f t="shared" si="265"/>
        <v>0</v>
      </c>
      <c r="V630" s="209">
        <f t="shared" si="265"/>
        <v>0</v>
      </c>
      <c r="W630" s="209">
        <f t="shared" si="265"/>
        <v>0</v>
      </c>
      <c r="X630" s="209">
        <f t="shared" si="265"/>
        <v>0</v>
      </c>
      <c r="Y630" s="209">
        <f t="shared" si="265"/>
        <v>0</v>
      </c>
      <c r="Z630" s="209">
        <f t="shared" si="265"/>
        <v>0</v>
      </c>
      <c r="AA630" s="209">
        <f t="shared" si="265"/>
        <v>0</v>
      </c>
      <c r="AB630" s="209">
        <f t="shared" si="265"/>
        <v>0</v>
      </c>
      <c r="AC630" s="209">
        <f t="shared" si="265"/>
        <v>0</v>
      </c>
      <c r="AD630" s="209">
        <f t="shared" si="265"/>
        <v>0</v>
      </c>
      <c r="AE630" s="209">
        <f t="shared" si="265"/>
        <v>0</v>
      </c>
      <c r="AF630" s="209">
        <f t="shared" si="265"/>
        <v>-150000</v>
      </c>
      <c r="AG630" s="209">
        <f t="shared" si="265"/>
        <v>0</v>
      </c>
      <c r="AH630" s="209">
        <f t="shared" si="265"/>
        <v>0</v>
      </c>
      <c r="AI630" s="209">
        <f t="shared" si="265"/>
        <v>0</v>
      </c>
      <c r="AJ630" s="209">
        <f t="shared" si="265"/>
        <v>0</v>
      </c>
      <c r="AK630" s="209">
        <f t="shared" si="265"/>
        <v>0</v>
      </c>
      <c r="AL630" s="209">
        <f t="shared" si="265"/>
        <v>0</v>
      </c>
      <c r="AM630" s="209">
        <f t="shared" si="265"/>
        <v>0</v>
      </c>
      <c r="AN630" s="209">
        <f t="shared" si="265"/>
        <v>0</v>
      </c>
      <c r="AO630" s="209">
        <f t="shared" si="265"/>
        <v>0</v>
      </c>
      <c r="AP630" s="209">
        <f t="shared" si="265"/>
        <v>0</v>
      </c>
    </row>
    <row r="631" spans="1:42">
      <c r="A631" s="37" t="s">
        <v>103</v>
      </c>
      <c r="B631" s="164">
        <f>SUM(B628:B630)</f>
        <v>150000</v>
      </c>
      <c r="C631" s="164">
        <f>SUM(C628:C630)</f>
        <v>150000</v>
      </c>
      <c r="D631" s="164">
        <f t="shared" ref="D631:AP631" si="266">SUM(D628:D630)</f>
        <v>150000</v>
      </c>
      <c r="E631" s="164">
        <f t="shared" si="266"/>
        <v>150000</v>
      </c>
      <c r="F631" s="164">
        <f t="shared" si="266"/>
        <v>150000</v>
      </c>
      <c r="G631" s="164">
        <f t="shared" si="266"/>
        <v>150000</v>
      </c>
      <c r="H631" s="164">
        <f t="shared" si="266"/>
        <v>150000</v>
      </c>
      <c r="I631" s="164">
        <f t="shared" si="266"/>
        <v>150000</v>
      </c>
      <c r="J631" s="164">
        <f t="shared" si="266"/>
        <v>150000</v>
      </c>
      <c r="K631" s="164">
        <f t="shared" si="266"/>
        <v>150000</v>
      </c>
      <c r="L631" s="164">
        <f t="shared" si="266"/>
        <v>150000</v>
      </c>
      <c r="M631" s="164">
        <f t="shared" si="266"/>
        <v>150000</v>
      </c>
      <c r="N631" s="164">
        <f t="shared" si="266"/>
        <v>150000</v>
      </c>
      <c r="O631" s="164">
        <f t="shared" si="266"/>
        <v>150000</v>
      </c>
      <c r="P631" s="164">
        <f t="shared" si="266"/>
        <v>150000</v>
      </c>
      <c r="Q631" s="164">
        <f t="shared" si="266"/>
        <v>150000</v>
      </c>
      <c r="R631" s="164">
        <f t="shared" si="266"/>
        <v>150000</v>
      </c>
      <c r="S631" s="164">
        <f t="shared" si="266"/>
        <v>150000</v>
      </c>
      <c r="T631" s="164">
        <f t="shared" si="266"/>
        <v>150000</v>
      </c>
      <c r="U631" s="164">
        <f t="shared" si="266"/>
        <v>150000</v>
      </c>
      <c r="V631" s="164">
        <f t="shared" si="266"/>
        <v>150000</v>
      </c>
      <c r="W631" s="164">
        <f t="shared" si="266"/>
        <v>150000</v>
      </c>
      <c r="X631" s="164">
        <f t="shared" si="266"/>
        <v>150000</v>
      </c>
      <c r="Y631" s="164">
        <f t="shared" si="266"/>
        <v>150000</v>
      </c>
      <c r="Z631" s="164">
        <f t="shared" si="266"/>
        <v>150000</v>
      </c>
      <c r="AA631" s="164">
        <f t="shared" si="266"/>
        <v>150000</v>
      </c>
      <c r="AB631" s="164">
        <f t="shared" si="266"/>
        <v>150000</v>
      </c>
      <c r="AC631" s="164">
        <f t="shared" si="266"/>
        <v>150000</v>
      </c>
      <c r="AD631" s="164">
        <f t="shared" si="266"/>
        <v>150000</v>
      </c>
      <c r="AE631" s="164">
        <f t="shared" si="266"/>
        <v>150000</v>
      </c>
      <c r="AF631" s="164">
        <f t="shared" si="266"/>
        <v>0</v>
      </c>
      <c r="AG631" s="164">
        <f t="shared" si="266"/>
        <v>0</v>
      </c>
      <c r="AH631" s="164">
        <f t="shared" si="266"/>
        <v>0</v>
      </c>
      <c r="AI631" s="164">
        <f t="shared" si="266"/>
        <v>0</v>
      </c>
      <c r="AJ631" s="164">
        <f t="shared" si="266"/>
        <v>0</v>
      </c>
      <c r="AK631" s="164">
        <f t="shared" si="266"/>
        <v>0</v>
      </c>
      <c r="AL631" s="164">
        <f t="shared" si="266"/>
        <v>0</v>
      </c>
      <c r="AM631" s="164">
        <f t="shared" si="266"/>
        <v>0</v>
      </c>
      <c r="AN631" s="164">
        <f t="shared" si="266"/>
        <v>0</v>
      </c>
      <c r="AO631" s="164">
        <f t="shared" si="266"/>
        <v>0</v>
      </c>
      <c r="AP631" s="164">
        <f t="shared" si="266"/>
        <v>0</v>
      </c>
    </row>
    <row r="632" spans="1:42">
      <c r="B632" s="164"/>
      <c r="C632" s="164"/>
      <c r="D632" s="164"/>
      <c r="E632" s="164"/>
      <c r="F632" s="164"/>
      <c r="G632" s="208"/>
      <c r="H632" s="208"/>
      <c r="I632" s="208"/>
      <c r="J632" s="208"/>
      <c r="K632" s="208"/>
      <c r="L632" s="208"/>
      <c r="M632" s="208"/>
      <c r="N632" s="208"/>
      <c r="O632" s="208"/>
      <c r="P632" s="208"/>
      <c r="Q632" s="208"/>
      <c r="R632" s="208"/>
      <c r="S632" s="208"/>
      <c r="T632" s="208"/>
      <c r="U632" s="208"/>
      <c r="V632" s="208"/>
      <c r="W632" s="208"/>
      <c r="X632" s="208"/>
      <c r="Y632" s="208"/>
      <c r="Z632" s="208"/>
      <c r="AA632" s="208"/>
      <c r="AB632" s="208"/>
      <c r="AC632" s="208"/>
      <c r="AD632" s="208"/>
      <c r="AE632" s="208"/>
      <c r="AF632" s="208"/>
      <c r="AG632" s="208"/>
      <c r="AH632" s="208"/>
      <c r="AI632" s="208"/>
      <c r="AJ632" s="208"/>
      <c r="AK632" s="208"/>
      <c r="AL632" s="208"/>
      <c r="AM632" s="208"/>
      <c r="AN632" s="208"/>
      <c r="AO632" s="208"/>
      <c r="AP632" s="208"/>
    </row>
    <row r="633" spans="1:42">
      <c r="A633" s="204" t="s">
        <v>375</v>
      </c>
      <c r="C633" s="164"/>
      <c r="D633" s="164"/>
      <c r="E633" s="164"/>
      <c r="F633" s="164"/>
      <c r="G633" s="164"/>
      <c r="H633" s="164"/>
      <c r="I633" s="164"/>
      <c r="J633" s="164"/>
      <c r="K633" s="164"/>
      <c r="L633" s="164"/>
      <c r="M633" s="164"/>
      <c r="N633" s="164"/>
      <c r="O633" s="164"/>
      <c r="P633" s="164"/>
      <c r="Q633" s="164"/>
      <c r="R633" s="164"/>
      <c r="S633" s="164"/>
      <c r="T633" s="164"/>
      <c r="U633" s="164"/>
      <c r="V633" s="164"/>
      <c r="W633" s="164"/>
      <c r="X633" s="164"/>
      <c r="Y633" s="164"/>
      <c r="Z633" s="164"/>
      <c r="AA633" s="164"/>
      <c r="AB633" s="164"/>
      <c r="AC633" s="164"/>
      <c r="AD633" s="164"/>
      <c r="AE633" s="164"/>
      <c r="AF633" s="164"/>
      <c r="AG633" s="164"/>
      <c r="AH633" s="164"/>
      <c r="AI633" s="164"/>
      <c r="AJ633" s="164"/>
      <c r="AK633" s="164"/>
      <c r="AL633" s="164"/>
      <c r="AM633" s="164"/>
      <c r="AN633" s="164"/>
      <c r="AO633" s="164"/>
      <c r="AP633" s="164"/>
    </row>
    <row r="634" spans="1:42">
      <c r="A634" s="37" t="s">
        <v>100</v>
      </c>
      <c r="B634" s="164">
        <v>0</v>
      </c>
      <c r="C634" s="164">
        <f>B637</f>
        <v>0</v>
      </c>
      <c r="D634" s="164">
        <f t="shared" ref="D634:AP634" si="267">C637</f>
        <v>245406.02862510949</v>
      </c>
      <c r="E634" s="164">
        <f t="shared" si="267"/>
        <v>490812.05725021899</v>
      </c>
      <c r="F634" s="164">
        <f t="shared" si="267"/>
        <v>736218.08587532851</v>
      </c>
      <c r="G634" s="164">
        <f t="shared" si="267"/>
        <v>981624.11450043798</v>
      </c>
      <c r="H634" s="164">
        <f t="shared" si="267"/>
        <v>1227030.1431255476</v>
      </c>
      <c r="I634" s="164">
        <f t="shared" si="267"/>
        <v>1472436.171750657</v>
      </c>
      <c r="J634" s="164">
        <f t="shared" si="267"/>
        <v>1717842.2003757665</v>
      </c>
      <c r="K634" s="164">
        <f t="shared" si="267"/>
        <v>1963248.229000876</v>
      </c>
      <c r="L634" s="164">
        <f t="shared" si="267"/>
        <v>2208654.2576259854</v>
      </c>
      <c r="M634" s="164">
        <f t="shared" si="267"/>
        <v>2454060.2862510951</v>
      </c>
      <c r="N634" s="164">
        <f t="shared" si="267"/>
        <v>2699466.3148762048</v>
      </c>
      <c r="O634" s="164">
        <f t="shared" si="267"/>
        <v>0</v>
      </c>
      <c r="P634" s="164">
        <f t="shared" si="267"/>
        <v>293411.90721039008</v>
      </c>
      <c r="Q634" s="164">
        <f t="shared" si="267"/>
        <v>586823.81442078017</v>
      </c>
      <c r="R634" s="164">
        <f t="shared" si="267"/>
        <v>880235.72163117025</v>
      </c>
      <c r="S634" s="164">
        <f t="shared" si="267"/>
        <v>1173647.6288415603</v>
      </c>
      <c r="T634" s="164">
        <f t="shared" si="267"/>
        <v>1467059.5360519504</v>
      </c>
      <c r="U634" s="164">
        <f t="shared" si="267"/>
        <v>1760471.4432623405</v>
      </c>
      <c r="V634" s="164">
        <f t="shared" si="267"/>
        <v>2053883.3504727306</v>
      </c>
      <c r="W634" s="164">
        <f t="shared" si="267"/>
        <v>2347295.2576831207</v>
      </c>
      <c r="X634" s="164">
        <f t="shared" si="267"/>
        <v>2640707.1648935108</v>
      </c>
      <c r="Y634" s="164">
        <f t="shared" si="267"/>
        <v>2934119.0721039008</v>
      </c>
      <c r="Z634" s="164">
        <f t="shared" si="267"/>
        <v>3227530.9793142909</v>
      </c>
      <c r="AA634" s="164">
        <f t="shared" si="267"/>
        <v>0</v>
      </c>
      <c r="AB634" s="164">
        <f t="shared" si="267"/>
        <v>0</v>
      </c>
      <c r="AC634" s="164">
        <f t="shared" si="267"/>
        <v>0</v>
      </c>
      <c r="AD634" s="164">
        <f t="shared" si="267"/>
        <v>0</v>
      </c>
      <c r="AE634" s="164">
        <f t="shared" si="267"/>
        <v>0</v>
      </c>
      <c r="AF634" s="164">
        <f t="shared" si="267"/>
        <v>0</v>
      </c>
      <c r="AG634" s="164">
        <f t="shared" si="267"/>
        <v>0</v>
      </c>
      <c r="AH634" s="164">
        <f t="shared" si="267"/>
        <v>0</v>
      </c>
      <c r="AI634" s="164">
        <f t="shared" si="267"/>
        <v>0</v>
      </c>
      <c r="AJ634" s="164">
        <f t="shared" si="267"/>
        <v>0</v>
      </c>
      <c r="AK634" s="164">
        <f t="shared" si="267"/>
        <v>0</v>
      </c>
      <c r="AL634" s="164">
        <f t="shared" si="267"/>
        <v>0</v>
      </c>
      <c r="AM634" s="164">
        <f t="shared" si="267"/>
        <v>0</v>
      </c>
      <c r="AN634" s="164">
        <f t="shared" si="267"/>
        <v>0</v>
      </c>
      <c r="AO634" s="164">
        <f t="shared" si="267"/>
        <v>0</v>
      </c>
      <c r="AP634" s="164">
        <f t="shared" si="267"/>
        <v>0</v>
      </c>
    </row>
    <row r="635" spans="1:42">
      <c r="A635" s="37" t="s">
        <v>208</v>
      </c>
      <c r="B635" s="164">
        <v>0</v>
      </c>
      <c r="C635" s="164">
        <f>C663</f>
        <v>245406.02862510949</v>
      </c>
      <c r="D635" s="164">
        <f t="shared" ref="D635:AP635" si="268">D663</f>
        <v>245406.02862510949</v>
      </c>
      <c r="E635" s="164">
        <f t="shared" si="268"/>
        <v>245406.02862510949</v>
      </c>
      <c r="F635" s="164">
        <f t="shared" si="268"/>
        <v>245406.02862510949</v>
      </c>
      <c r="G635" s="164">
        <f t="shared" si="268"/>
        <v>245406.02862510949</v>
      </c>
      <c r="H635" s="164">
        <f t="shared" si="268"/>
        <v>245406.02862510949</v>
      </c>
      <c r="I635" s="164">
        <f t="shared" si="268"/>
        <v>245406.02862510949</v>
      </c>
      <c r="J635" s="164">
        <f t="shared" si="268"/>
        <v>245406.02862510949</v>
      </c>
      <c r="K635" s="164">
        <f t="shared" si="268"/>
        <v>245406.02862510949</v>
      </c>
      <c r="L635" s="164">
        <f t="shared" si="268"/>
        <v>245406.02862510949</v>
      </c>
      <c r="M635" s="164">
        <f t="shared" si="268"/>
        <v>245406.02862510949</v>
      </c>
      <c r="N635" s="164">
        <f t="shared" si="268"/>
        <v>245406.02862510949</v>
      </c>
      <c r="O635" s="164">
        <f t="shared" si="268"/>
        <v>293411.90721039008</v>
      </c>
      <c r="P635" s="164">
        <f t="shared" si="268"/>
        <v>293411.90721039008</v>
      </c>
      <c r="Q635" s="164">
        <f t="shared" si="268"/>
        <v>293411.90721039008</v>
      </c>
      <c r="R635" s="164">
        <f t="shared" si="268"/>
        <v>293411.90721039008</v>
      </c>
      <c r="S635" s="164">
        <f t="shared" si="268"/>
        <v>293411.90721039008</v>
      </c>
      <c r="T635" s="164">
        <f t="shared" si="268"/>
        <v>293411.90721039008</v>
      </c>
      <c r="U635" s="164">
        <f t="shared" si="268"/>
        <v>293411.90721039008</v>
      </c>
      <c r="V635" s="164">
        <f t="shared" si="268"/>
        <v>293411.90721039008</v>
      </c>
      <c r="W635" s="164">
        <f t="shared" si="268"/>
        <v>293411.90721039008</v>
      </c>
      <c r="X635" s="164">
        <f t="shared" si="268"/>
        <v>293411.90721039008</v>
      </c>
      <c r="Y635" s="164">
        <f t="shared" si="268"/>
        <v>293411.90721039008</v>
      </c>
      <c r="Z635" s="164">
        <f t="shared" si="268"/>
        <v>293411.90721039008</v>
      </c>
      <c r="AA635" s="164">
        <f t="shared" si="268"/>
        <v>0</v>
      </c>
      <c r="AB635" s="164">
        <f t="shared" si="268"/>
        <v>0</v>
      </c>
      <c r="AC635" s="164">
        <f t="shared" si="268"/>
        <v>0</v>
      </c>
      <c r="AD635" s="164">
        <f t="shared" si="268"/>
        <v>0</v>
      </c>
      <c r="AE635" s="164">
        <f t="shared" si="268"/>
        <v>0</v>
      </c>
      <c r="AF635" s="164">
        <f t="shared" si="268"/>
        <v>0</v>
      </c>
      <c r="AG635" s="164">
        <f t="shared" si="268"/>
        <v>0</v>
      </c>
      <c r="AH635" s="164">
        <f t="shared" si="268"/>
        <v>0</v>
      </c>
      <c r="AI635" s="164">
        <f t="shared" si="268"/>
        <v>0</v>
      </c>
      <c r="AJ635" s="164">
        <f t="shared" si="268"/>
        <v>0</v>
      </c>
      <c r="AK635" s="164">
        <f t="shared" si="268"/>
        <v>0</v>
      </c>
      <c r="AL635" s="164">
        <f t="shared" si="268"/>
        <v>0</v>
      </c>
      <c r="AM635" s="164">
        <f t="shared" si="268"/>
        <v>0</v>
      </c>
      <c r="AN635" s="164">
        <f t="shared" si="268"/>
        <v>0</v>
      </c>
      <c r="AO635" s="164">
        <f t="shared" si="268"/>
        <v>0</v>
      </c>
      <c r="AP635" s="164">
        <f t="shared" si="268"/>
        <v>0</v>
      </c>
    </row>
    <row r="636" spans="1:42">
      <c r="A636" s="37" t="s">
        <v>107</v>
      </c>
      <c r="B636" s="209">
        <v>0</v>
      </c>
      <c r="C636" s="209">
        <f>-C651</f>
        <v>0</v>
      </c>
      <c r="D636" s="209">
        <f t="shared" ref="D636:AP636" si="269">-D651</f>
        <v>0</v>
      </c>
      <c r="E636" s="209">
        <f t="shared" si="269"/>
        <v>0</v>
      </c>
      <c r="F636" s="209">
        <f t="shared" si="269"/>
        <v>0</v>
      </c>
      <c r="G636" s="209">
        <f t="shared" si="269"/>
        <v>0</v>
      </c>
      <c r="H636" s="209">
        <f t="shared" si="269"/>
        <v>0</v>
      </c>
      <c r="I636" s="209">
        <f t="shared" si="269"/>
        <v>0</v>
      </c>
      <c r="J636" s="209">
        <f t="shared" si="269"/>
        <v>0</v>
      </c>
      <c r="K636" s="209">
        <f t="shared" si="269"/>
        <v>0</v>
      </c>
      <c r="L636" s="209">
        <f t="shared" si="269"/>
        <v>0</v>
      </c>
      <c r="M636" s="209">
        <f t="shared" si="269"/>
        <v>0</v>
      </c>
      <c r="N636" s="209">
        <f t="shared" si="269"/>
        <v>-2944872.3435013141</v>
      </c>
      <c r="O636" s="209">
        <f t="shared" si="269"/>
        <v>0</v>
      </c>
      <c r="P636" s="209">
        <f t="shared" si="269"/>
        <v>0</v>
      </c>
      <c r="Q636" s="209">
        <f t="shared" si="269"/>
        <v>0</v>
      </c>
      <c r="R636" s="209">
        <f t="shared" si="269"/>
        <v>0</v>
      </c>
      <c r="S636" s="209">
        <f t="shared" si="269"/>
        <v>0</v>
      </c>
      <c r="T636" s="209">
        <f t="shared" si="269"/>
        <v>0</v>
      </c>
      <c r="U636" s="209">
        <f t="shared" si="269"/>
        <v>0</v>
      </c>
      <c r="V636" s="209">
        <f t="shared" si="269"/>
        <v>0</v>
      </c>
      <c r="W636" s="209">
        <f t="shared" si="269"/>
        <v>0</v>
      </c>
      <c r="X636" s="209">
        <f t="shared" si="269"/>
        <v>0</v>
      </c>
      <c r="Y636" s="209">
        <f t="shared" si="269"/>
        <v>0</v>
      </c>
      <c r="Z636" s="209">
        <f t="shared" si="269"/>
        <v>-3520942.886524681</v>
      </c>
      <c r="AA636" s="209">
        <f t="shared" si="269"/>
        <v>0</v>
      </c>
      <c r="AB636" s="209">
        <f t="shared" si="269"/>
        <v>0</v>
      </c>
      <c r="AC636" s="209">
        <f t="shared" si="269"/>
        <v>0</v>
      </c>
      <c r="AD636" s="209">
        <f t="shared" si="269"/>
        <v>0</v>
      </c>
      <c r="AE636" s="209">
        <f t="shared" si="269"/>
        <v>0</v>
      </c>
      <c r="AF636" s="209">
        <f t="shared" si="269"/>
        <v>0</v>
      </c>
      <c r="AG636" s="209">
        <f t="shared" si="269"/>
        <v>0</v>
      </c>
      <c r="AH636" s="209">
        <f t="shared" si="269"/>
        <v>0</v>
      </c>
      <c r="AI636" s="209">
        <f t="shared" si="269"/>
        <v>0</v>
      </c>
      <c r="AJ636" s="209">
        <f t="shared" si="269"/>
        <v>0</v>
      </c>
      <c r="AK636" s="209">
        <f t="shared" si="269"/>
        <v>0</v>
      </c>
      <c r="AL636" s="209">
        <f t="shared" si="269"/>
        <v>0</v>
      </c>
      <c r="AM636" s="209">
        <f t="shared" si="269"/>
        <v>0</v>
      </c>
      <c r="AN636" s="209">
        <f t="shared" si="269"/>
        <v>0</v>
      </c>
      <c r="AO636" s="209">
        <f t="shared" si="269"/>
        <v>0</v>
      </c>
      <c r="AP636" s="209">
        <f t="shared" si="269"/>
        <v>0</v>
      </c>
    </row>
    <row r="637" spans="1:42">
      <c r="A637" s="37" t="s">
        <v>103</v>
      </c>
      <c r="B637" s="164">
        <f>SUM(B634:B636)</f>
        <v>0</v>
      </c>
      <c r="C637" s="164">
        <f>SUM(C634:C636)</f>
        <v>245406.02862510949</v>
      </c>
      <c r="D637" s="164">
        <f t="shared" ref="D637:AP637" si="270">SUM(D634:D636)</f>
        <v>490812.05725021899</v>
      </c>
      <c r="E637" s="164">
        <f t="shared" si="270"/>
        <v>736218.08587532851</v>
      </c>
      <c r="F637" s="164">
        <f t="shared" si="270"/>
        <v>981624.11450043798</v>
      </c>
      <c r="G637" s="164">
        <f t="shared" si="270"/>
        <v>1227030.1431255476</v>
      </c>
      <c r="H637" s="164">
        <f t="shared" si="270"/>
        <v>1472436.171750657</v>
      </c>
      <c r="I637" s="164">
        <f t="shared" si="270"/>
        <v>1717842.2003757665</v>
      </c>
      <c r="J637" s="164">
        <f t="shared" si="270"/>
        <v>1963248.229000876</v>
      </c>
      <c r="K637" s="164">
        <f t="shared" si="270"/>
        <v>2208654.2576259854</v>
      </c>
      <c r="L637" s="164">
        <f t="shared" si="270"/>
        <v>2454060.2862510951</v>
      </c>
      <c r="M637" s="164">
        <f t="shared" si="270"/>
        <v>2699466.3148762048</v>
      </c>
      <c r="N637" s="164">
        <f t="shared" si="270"/>
        <v>0</v>
      </c>
      <c r="O637" s="164">
        <f t="shared" si="270"/>
        <v>293411.90721039008</v>
      </c>
      <c r="P637" s="164">
        <f t="shared" si="270"/>
        <v>586823.81442078017</v>
      </c>
      <c r="Q637" s="164">
        <f t="shared" si="270"/>
        <v>880235.72163117025</v>
      </c>
      <c r="R637" s="164">
        <f t="shared" si="270"/>
        <v>1173647.6288415603</v>
      </c>
      <c r="S637" s="164">
        <f t="shared" si="270"/>
        <v>1467059.5360519504</v>
      </c>
      <c r="T637" s="164">
        <f t="shared" si="270"/>
        <v>1760471.4432623405</v>
      </c>
      <c r="U637" s="164">
        <f t="shared" si="270"/>
        <v>2053883.3504727306</v>
      </c>
      <c r="V637" s="164">
        <f t="shared" si="270"/>
        <v>2347295.2576831207</v>
      </c>
      <c r="W637" s="164">
        <f t="shared" si="270"/>
        <v>2640707.1648935108</v>
      </c>
      <c r="X637" s="164">
        <f t="shared" si="270"/>
        <v>2934119.0721039008</v>
      </c>
      <c r="Y637" s="164">
        <f t="shared" si="270"/>
        <v>3227530.9793142909</v>
      </c>
      <c r="Z637" s="164">
        <f t="shared" si="270"/>
        <v>0</v>
      </c>
      <c r="AA637" s="164">
        <f t="shared" si="270"/>
        <v>0</v>
      </c>
      <c r="AB637" s="164">
        <f t="shared" si="270"/>
        <v>0</v>
      </c>
      <c r="AC637" s="164">
        <f t="shared" si="270"/>
        <v>0</v>
      </c>
      <c r="AD637" s="164">
        <f t="shared" si="270"/>
        <v>0</v>
      </c>
      <c r="AE637" s="164">
        <f t="shared" si="270"/>
        <v>0</v>
      </c>
      <c r="AF637" s="164">
        <f t="shared" si="270"/>
        <v>0</v>
      </c>
      <c r="AG637" s="164">
        <f t="shared" si="270"/>
        <v>0</v>
      </c>
      <c r="AH637" s="164">
        <f t="shared" si="270"/>
        <v>0</v>
      </c>
      <c r="AI637" s="164">
        <f t="shared" si="270"/>
        <v>0</v>
      </c>
      <c r="AJ637" s="164">
        <f t="shared" si="270"/>
        <v>0</v>
      </c>
      <c r="AK637" s="164">
        <f t="shared" si="270"/>
        <v>0</v>
      </c>
      <c r="AL637" s="164">
        <f t="shared" si="270"/>
        <v>0</v>
      </c>
      <c r="AM637" s="164">
        <f t="shared" si="270"/>
        <v>0</v>
      </c>
      <c r="AN637" s="164">
        <f t="shared" si="270"/>
        <v>0</v>
      </c>
      <c r="AO637" s="164">
        <f t="shared" si="270"/>
        <v>0</v>
      </c>
      <c r="AP637" s="164">
        <f t="shared" si="270"/>
        <v>0</v>
      </c>
    </row>
    <row r="638" spans="1:42">
      <c r="B638" s="164"/>
      <c r="C638" s="164"/>
      <c r="D638" s="164"/>
      <c r="E638" s="164"/>
      <c r="F638" s="164"/>
      <c r="G638" s="208"/>
      <c r="H638" s="208"/>
      <c r="I638" s="208"/>
      <c r="J638" s="208"/>
      <c r="K638" s="208"/>
      <c r="L638" s="208"/>
      <c r="M638" s="208"/>
      <c r="N638" s="208"/>
      <c r="O638" s="208"/>
      <c r="P638" s="208"/>
      <c r="Q638" s="208"/>
      <c r="R638" s="208"/>
      <c r="S638" s="208"/>
      <c r="T638" s="208"/>
      <c r="U638" s="208"/>
      <c r="V638" s="208"/>
      <c r="W638" s="208"/>
      <c r="X638" s="208"/>
      <c r="Y638" s="208"/>
      <c r="Z638" s="208"/>
      <c r="AA638" s="208"/>
      <c r="AB638" s="208"/>
      <c r="AC638" s="208"/>
      <c r="AD638" s="208"/>
      <c r="AE638" s="208"/>
      <c r="AF638" s="208"/>
      <c r="AG638" s="208"/>
      <c r="AH638" s="208"/>
      <c r="AI638" s="208"/>
      <c r="AJ638" s="208"/>
      <c r="AK638" s="208"/>
      <c r="AL638" s="208"/>
      <c r="AM638" s="208"/>
      <c r="AN638" s="208"/>
      <c r="AO638" s="208"/>
      <c r="AP638" s="208"/>
    </row>
    <row r="639" spans="1:42">
      <c r="A639" s="37" t="s">
        <v>206</v>
      </c>
      <c r="B639" s="164"/>
      <c r="C639" s="164"/>
      <c r="D639" s="164"/>
      <c r="E639" s="164"/>
      <c r="F639" s="164"/>
      <c r="G639" s="208"/>
      <c r="H639" s="208"/>
      <c r="I639" s="208"/>
      <c r="J639" s="208"/>
      <c r="K639" s="208"/>
      <c r="L639" s="208"/>
      <c r="M639" s="208"/>
      <c r="N639" s="208"/>
      <c r="O639" s="208"/>
      <c r="P639" s="208"/>
      <c r="Q639" s="208"/>
      <c r="R639" s="208"/>
      <c r="S639" s="208"/>
      <c r="T639" s="208"/>
      <c r="U639" s="208"/>
      <c r="V639" s="208"/>
      <c r="W639" s="208"/>
      <c r="X639" s="208"/>
      <c r="Y639" s="208"/>
      <c r="Z639" s="208"/>
      <c r="AA639" s="208"/>
      <c r="AB639" s="208"/>
      <c r="AC639" s="208"/>
      <c r="AD639" s="208"/>
      <c r="AE639" s="208"/>
      <c r="AF639" s="208"/>
      <c r="AG639" s="208"/>
      <c r="AH639" s="208"/>
      <c r="AI639" s="208"/>
      <c r="AJ639" s="208"/>
      <c r="AK639" s="208"/>
      <c r="AL639" s="208"/>
      <c r="AM639" s="208"/>
      <c r="AN639" s="208"/>
      <c r="AO639" s="208"/>
      <c r="AP639" s="208"/>
    </row>
    <row r="640" spans="1:42">
      <c r="A640" s="37" t="s">
        <v>207</v>
      </c>
      <c r="B640" s="164"/>
      <c r="C640" s="164"/>
      <c r="D640" s="164"/>
      <c r="E640" s="164"/>
      <c r="F640" s="164"/>
      <c r="G640" s="208"/>
      <c r="H640" s="208"/>
      <c r="I640" s="208"/>
      <c r="J640" s="208"/>
      <c r="K640" s="208"/>
      <c r="L640" s="208"/>
      <c r="M640" s="208"/>
      <c r="N640" s="208"/>
      <c r="O640" s="208"/>
      <c r="P640" s="208"/>
      <c r="Q640" s="208"/>
      <c r="R640" s="208"/>
      <c r="S640" s="208"/>
      <c r="T640" s="208"/>
      <c r="U640" s="208"/>
      <c r="V640" s="208"/>
      <c r="W640" s="208"/>
      <c r="X640" s="208"/>
      <c r="Y640" s="208"/>
      <c r="Z640" s="208"/>
      <c r="AA640" s="208"/>
      <c r="AB640" s="208"/>
      <c r="AC640" s="208"/>
      <c r="AD640" s="208"/>
      <c r="AE640" s="208"/>
      <c r="AF640" s="208"/>
      <c r="AG640" s="208"/>
      <c r="AH640" s="208"/>
      <c r="AI640" s="208"/>
      <c r="AJ640" s="208"/>
      <c r="AK640" s="208"/>
      <c r="AL640" s="208"/>
      <c r="AM640" s="208"/>
      <c r="AN640" s="208"/>
      <c r="AO640" s="208"/>
      <c r="AP640" s="208"/>
    </row>
    <row r="641" spans="1:42">
      <c r="A641" s="37">
        <v>1</v>
      </c>
      <c r="B641" s="218">
        <f t="shared" ref="B641:B650" si="271">SUM(C641:AP641)</f>
        <v>2944872.3435013141</v>
      </c>
      <c r="C641" s="208">
        <f t="shared" ref="C641:AP647" si="272">IF(C$2&gt;AnalysisPeriod,0,IF(C$2=MMFrequency*$A641,MMCost*CapacityDC*1000*(1+Inflation)^B$2,0))</f>
        <v>0</v>
      </c>
      <c r="D641" s="208">
        <f t="shared" si="272"/>
        <v>0</v>
      </c>
      <c r="E641" s="208">
        <f t="shared" si="272"/>
        <v>0</v>
      </c>
      <c r="F641" s="208">
        <f t="shared" si="272"/>
        <v>0</v>
      </c>
      <c r="G641" s="208">
        <f t="shared" si="272"/>
        <v>0</v>
      </c>
      <c r="H641" s="208">
        <f t="shared" si="272"/>
        <v>0</v>
      </c>
      <c r="I641" s="208">
        <f t="shared" si="272"/>
        <v>0</v>
      </c>
      <c r="J641" s="208">
        <f t="shared" si="272"/>
        <v>0</v>
      </c>
      <c r="K641" s="208">
        <f t="shared" si="272"/>
        <v>0</v>
      </c>
      <c r="L641" s="208">
        <f t="shared" si="272"/>
        <v>0</v>
      </c>
      <c r="M641" s="208">
        <f t="shared" si="272"/>
        <v>0</v>
      </c>
      <c r="N641" s="208">
        <f t="shared" si="272"/>
        <v>2944872.3435013141</v>
      </c>
      <c r="O641" s="208">
        <f t="shared" si="272"/>
        <v>0</v>
      </c>
      <c r="P641" s="208">
        <f t="shared" si="272"/>
        <v>0</v>
      </c>
      <c r="Q641" s="208">
        <f t="shared" si="272"/>
        <v>0</v>
      </c>
      <c r="R641" s="208">
        <f t="shared" si="272"/>
        <v>0</v>
      </c>
      <c r="S641" s="208">
        <f t="shared" si="272"/>
        <v>0</v>
      </c>
      <c r="T641" s="208">
        <f t="shared" si="272"/>
        <v>0</v>
      </c>
      <c r="U641" s="208">
        <f t="shared" si="272"/>
        <v>0</v>
      </c>
      <c r="V641" s="208">
        <f t="shared" si="272"/>
        <v>0</v>
      </c>
      <c r="W641" s="208">
        <f t="shared" si="272"/>
        <v>0</v>
      </c>
      <c r="X641" s="208">
        <f t="shared" si="272"/>
        <v>0</v>
      </c>
      <c r="Y641" s="208">
        <f t="shared" si="272"/>
        <v>0</v>
      </c>
      <c r="Z641" s="208">
        <f t="shared" si="272"/>
        <v>0</v>
      </c>
      <c r="AA641" s="208">
        <f t="shared" si="272"/>
        <v>0</v>
      </c>
      <c r="AB641" s="208">
        <f t="shared" si="272"/>
        <v>0</v>
      </c>
      <c r="AC641" s="208">
        <f t="shared" si="272"/>
        <v>0</v>
      </c>
      <c r="AD641" s="208">
        <f t="shared" si="272"/>
        <v>0</v>
      </c>
      <c r="AE641" s="208">
        <f t="shared" si="272"/>
        <v>0</v>
      </c>
      <c r="AF641" s="208">
        <f t="shared" si="272"/>
        <v>0</v>
      </c>
      <c r="AG641" s="208">
        <f t="shared" si="272"/>
        <v>0</v>
      </c>
      <c r="AH641" s="208">
        <f t="shared" si="272"/>
        <v>0</v>
      </c>
      <c r="AI641" s="208">
        <f t="shared" si="272"/>
        <v>0</v>
      </c>
      <c r="AJ641" s="208">
        <f t="shared" si="272"/>
        <v>0</v>
      </c>
      <c r="AK641" s="208">
        <f t="shared" si="272"/>
        <v>0</v>
      </c>
      <c r="AL641" s="208">
        <f t="shared" si="272"/>
        <v>0</v>
      </c>
      <c r="AM641" s="208">
        <f t="shared" si="272"/>
        <v>0</v>
      </c>
      <c r="AN641" s="208">
        <f t="shared" si="272"/>
        <v>0</v>
      </c>
      <c r="AO641" s="208">
        <f t="shared" si="272"/>
        <v>0</v>
      </c>
      <c r="AP641" s="208">
        <f t="shared" si="272"/>
        <v>0</v>
      </c>
    </row>
    <row r="642" spans="1:42">
      <c r="A642" s="37">
        <f>A641+1</f>
        <v>2</v>
      </c>
      <c r="B642" s="218">
        <f t="shared" si="271"/>
        <v>3520942.886524681</v>
      </c>
      <c r="C642" s="208">
        <f t="shared" si="272"/>
        <v>0</v>
      </c>
      <c r="D642" s="208">
        <f t="shared" si="272"/>
        <v>0</v>
      </c>
      <c r="E642" s="208">
        <f t="shared" si="272"/>
        <v>0</v>
      </c>
      <c r="F642" s="208">
        <f t="shared" si="272"/>
        <v>0</v>
      </c>
      <c r="G642" s="208">
        <f t="shared" si="272"/>
        <v>0</v>
      </c>
      <c r="H642" s="208">
        <f t="shared" si="272"/>
        <v>0</v>
      </c>
      <c r="I642" s="208">
        <f t="shared" si="272"/>
        <v>0</v>
      </c>
      <c r="J642" s="208">
        <f t="shared" si="272"/>
        <v>0</v>
      </c>
      <c r="K642" s="208">
        <f t="shared" si="272"/>
        <v>0</v>
      </c>
      <c r="L642" s="208">
        <f t="shared" si="272"/>
        <v>0</v>
      </c>
      <c r="M642" s="208">
        <f t="shared" si="272"/>
        <v>0</v>
      </c>
      <c r="N642" s="208">
        <f t="shared" si="272"/>
        <v>0</v>
      </c>
      <c r="O642" s="208">
        <f t="shared" si="272"/>
        <v>0</v>
      </c>
      <c r="P642" s="208">
        <f t="shared" si="272"/>
        <v>0</v>
      </c>
      <c r="Q642" s="208">
        <f t="shared" si="272"/>
        <v>0</v>
      </c>
      <c r="R642" s="208">
        <f t="shared" si="272"/>
        <v>0</v>
      </c>
      <c r="S642" s="208">
        <f t="shared" si="272"/>
        <v>0</v>
      </c>
      <c r="T642" s="208">
        <f t="shared" si="272"/>
        <v>0</v>
      </c>
      <c r="U642" s="208">
        <f t="shared" si="272"/>
        <v>0</v>
      </c>
      <c r="V642" s="208">
        <f t="shared" si="272"/>
        <v>0</v>
      </c>
      <c r="W642" s="208">
        <f t="shared" si="272"/>
        <v>0</v>
      </c>
      <c r="X642" s="208">
        <f t="shared" si="272"/>
        <v>0</v>
      </c>
      <c r="Y642" s="208">
        <f t="shared" si="272"/>
        <v>0</v>
      </c>
      <c r="Z642" s="208">
        <f t="shared" si="272"/>
        <v>3520942.886524681</v>
      </c>
      <c r="AA642" s="208">
        <f t="shared" si="272"/>
        <v>0</v>
      </c>
      <c r="AB642" s="208">
        <f t="shared" si="272"/>
        <v>0</v>
      </c>
      <c r="AC642" s="208">
        <f t="shared" si="272"/>
        <v>0</v>
      </c>
      <c r="AD642" s="208">
        <f t="shared" si="272"/>
        <v>0</v>
      </c>
      <c r="AE642" s="208">
        <f t="shared" si="272"/>
        <v>0</v>
      </c>
      <c r="AF642" s="208">
        <f t="shared" si="272"/>
        <v>0</v>
      </c>
      <c r="AG642" s="208">
        <f t="shared" si="272"/>
        <v>0</v>
      </c>
      <c r="AH642" s="208">
        <f t="shared" si="272"/>
        <v>0</v>
      </c>
      <c r="AI642" s="208">
        <f t="shared" si="272"/>
        <v>0</v>
      </c>
      <c r="AJ642" s="208">
        <f t="shared" si="272"/>
        <v>0</v>
      </c>
      <c r="AK642" s="208">
        <f t="shared" si="272"/>
        <v>0</v>
      </c>
      <c r="AL642" s="208">
        <f t="shared" si="272"/>
        <v>0</v>
      </c>
      <c r="AM642" s="208">
        <f t="shared" si="272"/>
        <v>0</v>
      </c>
      <c r="AN642" s="208">
        <f t="shared" si="272"/>
        <v>0</v>
      </c>
      <c r="AO642" s="208">
        <f t="shared" si="272"/>
        <v>0</v>
      </c>
      <c r="AP642" s="208">
        <f t="shared" si="272"/>
        <v>0</v>
      </c>
    </row>
    <row r="643" spans="1:42">
      <c r="A643" s="37">
        <f t="shared" ref="A643:A650" si="273">A642+1</f>
        <v>3</v>
      </c>
      <c r="B643" s="218">
        <f t="shared" si="271"/>
        <v>0</v>
      </c>
      <c r="C643" s="208">
        <f t="shared" si="272"/>
        <v>0</v>
      </c>
      <c r="D643" s="208">
        <f t="shared" si="272"/>
        <v>0</v>
      </c>
      <c r="E643" s="208">
        <f t="shared" si="272"/>
        <v>0</v>
      </c>
      <c r="F643" s="208">
        <f t="shared" si="272"/>
        <v>0</v>
      </c>
      <c r="G643" s="208">
        <f t="shared" si="272"/>
        <v>0</v>
      </c>
      <c r="H643" s="208">
        <f t="shared" si="272"/>
        <v>0</v>
      </c>
      <c r="I643" s="208">
        <f t="shared" si="272"/>
        <v>0</v>
      </c>
      <c r="J643" s="208">
        <f t="shared" si="272"/>
        <v>0</v>
      </c>
      <c r="K643" s="208">
        <f t="shared" si="272"/>
        <v>0</v>
      </c>
      <c r="L643" s="208">
        <f t="shared" si="272"/>
        <v>0</v>
      </c>
      <c r="M643" s="208">
        <f t="shared" si="272"/>
        <v>0</v>
      </c>
      <c r="N643" s="208">
        <f t="shared" si="272"/>
        <v>0</v>
      </c>
      <c r="O643" s="208">
        <f t="shared" si="272"/>
        <v>0</v>
      </c>
      <c r="P643" s="208">
        <f t="shared" si="272"/>
        <v>0</v>
      </c>
      <c r="Q643" s="208">
        <f t="shared" si="272"/>
        <v>0</v>
      </c>
      <c r="R643" s="208">
        <f t="shared" si="272"/>
        <v>0</v>
      </c>
      <c r="S643" s="208">
        <f t="shared" si="272"/>
        <v>0</v>
      </c>
      <c r="T643" s="208">
        <f t="shared" si="272"/>
        <v>0</v>
      </c>
      <c r="U643" s="208">
        <f t="shared" si="272"/>
        <v>0</v>
      </c>
      <c r="V643" s="208">
        <f t="shared" si="272"/>
        <v>0</v>
      </c>
      <c r="W643" s="208">
        <f t="shared" si="272"/>
        <v>0</v>
      </c>
      <c r="X643" s="208">
        <f t="shared" si="272"/>
        <v>0</v>
      </c>
      <c r="Y643" s="208">
        <f t="shared" si="272"/>
        <v>0</v>
      </c>
      <c r="Z643" s="208">
        <f t="shared" si="272"/>
        <v>0</v>
      </c>
      <c r="AA643" s="208">
        <f t="shared" si="272"/>
        <v>0</v>
      </c>
      <c r="AB643" s="208">
        <f t="shared" si="272"/>
        <v>0</v>
      </c>
      <c r="AC643" s="208">
        <f t="shared" si="272"/>
        <v>0</v>
      </c>
      <c r="AD643" s="208">
        <f t="shared" si="272"/>
        <v>0</v>
      </c>
      <c r="AE643" s="208">
        <f t="shared" si="272"/>
        <v>0</v>
      </c>
      <c r="AF643" s="208">
        <f t="shared" si="272"/>
        <v>0</v>
      </c>
      <c r="AG643" s="208">
        <f t="shared" si="272"/>
        <v>0</v>
      </c>
      <c r="AH643" s="208">
        <f t="shared" si="272"/>
        <v>0</v>
      </c>
      <c r="AI643" s="208">
        <f t="shared" si="272"/>
        <v>0</v>
      </c>
      <c r="AJ643" s="208">
        <f t="shared" si="272"/>
        <v>0</v>
      </c>
      <c r="AK643" s="208">
        <f t="shared" si="272"/>
        <v>0</v>
      </c>
      <c r="AL643" s="208">
        <f t="shared" si="272"/>
        <v>0</v>
      </c>
      <c r="AM643" s="208">
        <f t="shared" si="272"/>
        <v>0</v>
      </c>
      <c r="AN643" s="208">
        <f t="shared" si="272"/>
        <v>0</v>
      </c>
      <c r="AO643" s="208">
        <f t="shared" si="272"/>
        <v>0</v>
      </c>
      <c r="AP643" s="208">
        <f t="shared" si="272"/>
        <v>0</v>
      </c>
    </row>
    <row r="644" spans="1:42">
      <c r="A644" s="37">
        <f t="shared" si="273"/>
        <v>4</v>
      </c>
      <c r="B644" s="218">
        <f t="shared" si="271"/>
        <v>0</v>
      </c>
      <c r="C644" s="208">
        <f t="shared" si="272"/>
        <v>0</v>
      </c>
      <c r="D644" s="208">
        <f t="shared" si="272"/>
        <v>0</v>
      </c>
      <c r="E644" s="208">
        <f t="shared" si="272"/>
        <v>0</v>
      </c>
      <c r="F644" s="208">
        <f t="shared" si="272"/>
        <v>0</v>
      </c>
      <c r="G644" s="208">
        <f t="shared" si="272"/>
        <v>0</v>
      </c>
      <c r="H644" s="208">
        <f t="shared" si="272"/>
        <v>0</v>
      </c>
      <c r="I644" s="208">
        <f t="shared" si="272"/>
        <v>0</v>
      </c>
      <c r="J644" s="208">
        <f t="shared" si="272"/>
        <v>0</v>
      </c>
      <c r="K644" s="208">
        <f t="shared" si="272"/>
        <v>0</v>
      </c>
      <c r="L644" s="208">
        <f t="shared" si="272"/>
        <v>0</v>
      </c>
      <c r="M644" s="208">
        <f t="shared" si="272"/>
        <v>0</v>
      </c>
      <c r="N644" s="208">
        <f t="shared" si="272"/>
        <v>0</v>
      </c>
      <c r="O644" s="208">
        <f t="shared" si="272"/>
        <v>0</v>
      </c>
      <c r="P644" s="208">
        <f t="shared" si="272"/>
        <v>0</v>
      </c>
      <c r="Q644" s="208">
        <f t="shared" si="272"/>
        <v>0</v>
      </c>
      <c r="R644" s="208">
        <f t="shared" si="272"/>
        <v>0</v>
      </c>
      <c r="S644" s="208">
        <f t="shared" si="272"/>
        <v>0</v>
      </c>
      <c r="T644" s="208">
        <f t="shared" si="272"/>
        <v>0</v>
      </c>
      <c r="U644" s="208">
        <f t="shared" si="272"/>
        <v>0</v>
      </c>
      <c r="V644" s="208">
        <f t="shared" si="272"/>
        <v>0</v>
      </c>
      <c r="W644" s="208">
        <f t="shared" si="272"/>
        <v>0</v>
      </c>
      <c r="X644" s="208">
        <f t="shared" si="272"/>
        <v>0</v>
      </c>
      <c r="Y644" s="208">
        <f t="shared" si="272"/>
        <v>0</v>
      </c>
      <c r="Z644" s="208">
        <f t="shared" si="272"/>
        <v>0</v>
      </c>
      <c r="AA644" s="208">
        <f t="shared" si="272"/>
        <v>0</v>
      </c>
      <c r="AB644" s="208">
        <f t="shared" si="272"/>
        <v>0</v>
      </c>
      <c r="AC644" s="208">
        <f t="shared" si="272"/>
        <v>0</v>
      </c>
      <c r="AD644" s="208">
        <f t="shared" si="272"/>
        <v>0</v>
      </c>
      <c r="AE644" s="208">
        <f t="shared" si="272"/>
        <v>0</v>
      </c>
      <c r="AF644" s="208">
        <f t="shared" si="272"/>
        <v>0</v>
      </c>
      <c r="AG644" s="208">
        <f t="shared" si="272"/>
        <v>0</v>
      </c>
      <c r="AH644" s="208">
        <f t="shared" si="272"/>
        <v>0</v>
      </c>
      <c r="AI644" s="208">
        <f t="shared" si="272"/>
        <v>0</v>
      </c>
      <c r="AJ644" s="208">
        <f t="shared" si="272"/>
        <v>0</v>
      </c>
      <c r="AK644" s="208">
        <f t="shared" si="272"/>
        <v>0</v>
      </c>
      <c r="AL644" s="208">
        <f t="shared" si="272"/>
        <v>0</v>
      </c>
      <c r="AM644" s="208">
        <f t="shared" si="272"/>
        <v>0</v>
      </c>
      <c r="AN644" s="208">
        <f t="shared" si="272"/>
        <v>0</v>
      </c>
      <c r="AO644" s="208">
        <f t="shared" si="272"/>
        <v>0</v>
      </c>
      <c r="AP644" s="208">
        <f t="shared" si="272"/>
        <v>0</v>
      </c>
    </row>
    <row r="645" spans="1:42">
      <c r="A645" s="37">
        <f t="shared" si="273"/>
        <v>5</v>
      </c>
      <c r="B645" s="218">
        <f t="shared" si="271"/>
        <v>0</v>
      </c>
      <c r="C645" s="208">
        <f t="shared" si="272"/>
        <v>0</v>
      </c>
      <c r="D645" s="208">
        <f t="shared" si="272"/>
        <v>0</v>
      </c>
      <c r="E645" s="208">
        <f t="shared" si="272"/>
        <v>0</v>
      </c>
      <c r="F645" s="208">
        <f t="shared" si="272"/>
        <v>0</v>
      </c>
      <c r="G645" s="208">
        <f t="shared" si="272"/>
        <v>0</v>
      </c>
      <c r="H645" s="208">
        <f t="shared" si="272"/>
        <v>0</v>
      </c>
      <c r="I645" s="208">
        <f t="shared" si="272"/>
        <v>0</v>
      </c>
      <c r="J645" s="208">
        <f t="shared" si="272"/>
        <v>0</v>
      </c>
      <c r="K645" s="208">
        <f t="shared" si="272"/>
        <v>0</v>
      </c>
      <c r="L645" s="208">
        <f t="shared" si="272"/>
        <v>0</v>
      </c>
      <c r="M645" s="208">
        <f t="shared" si="272"/>
        <v>0</v>
      </c>
      <c r="N645" s="208">
        <f t="shared" si="272"/>
        <v>0</v>
      </c>
      <c r="O645" s="208">
        <f t="shared" si="272"/>
        <v>0</v>
      </c>
      <c r="P645" s="208">
        <f t="shared" si="272"/>
        <v>0</v>
      </c>
      <c r="Q645" s="208">
        <f t="shared" si="272"/>
        <v>0</v>
      </c>
      <c r="R645" s="208">
        <f t="shared" si="272"/>
        <v>0</v>
      </c>
      <c r="S645" s="208">
        <f t="shared" si="272"/>
        <v>0</v>
      </c>
      <c r="T645" s="208">
        <f t="shared" si="272"/>
        <v>0</v>
      </c>
      <c r="U645" s="208">
        <f t="shared" si="272"/>
        <v>0</v>
      </c>
      <c r="V645" s="208">
        <f t="shared" si="272"/>
        <v>0</v>
      </c>
      <c r="W645" s="208">
        <f t="shared" si="272"/>
        <v>0</v>
      </c>
      <c r="X645" s="208">
        <f t="shared" si="272"/>
        <v>0</v>
      </c>
      <c r="Y645" s="208">
        <f t="shared" si="272"/>
        <v>0</v>
      </c>
      <c r="Z645" s="208">
        <f t="shared" si="272"/>
        <v>0</v>
      </c>
      <c r="AA645" s="208">
        <f t="shared" si="272"/>
        <v>0</v>
      </c>
      <c r="AB645" s="208">
        <f t="shared" si="272"/>
        <v>0</v>
      </c>
      <c r="AC645" s="208">
        <f t="shared" si="272"/>
        <v>0</v>
      </c>
      <c r="AD645" s="208">
        <f t="shared" si="272"/>
        <v>0</v>
      </c>
      <c r="AE645" s="208">
        <f t="shared" si="272"/>
        <v>0</v>
      </c>
      <c r="AF645" s="208">
        <f t="shared" si="272"/>
        <v>0</v>
      </c>
      <c r="AG645" s="208">
        <f t="shared" si="272"/>
        <v>0</v>
      </c>
      <c r="AH645" s="208">
        <f t="shared" si="272"/>
        <v>0</v>
      </c>
      <c r="AI645" s="208">
        <f t="shared" si="272"/>
        <v>0</v>
      </c>
      <c r="AJ645" s="208">
        <f t="shared" si="272"/>
        <v>0</v>
      </c>
      <c r="AK645" s="208">
        <f t="shared" si="272"/>
        <v>0</v>
      </c>
      <c r="AL645" s="208">
        <f t="shared" si="272"/>
        <v>0</v>
      </c>
      <c r="AM645" s="208">
        <f t="shared" si="272"/>
        <v>0</v>
      </c>
      <c r="AN645" s="208">
        <f t="shared" si="272"/>
        <v>0</v>
      </c>
      <c r="AO645" s="208">
        <f t="shared" si="272"/>
        <v>0</v>
      </c>
      <c r="AP645" s="208">
        <f t="shared" si="272"/>
        <v>0</v>
      </c>
    </row>
    <row r="646" spans="1:42">
      <c r="A646" s="37">
        <f t="shared" si="273"/>
        <v>6</v>
      </c>
      <c r="B646" s="218">
        <f t="shared" si="271"/>
        <v>0</v>
      </c>
      <c r="C646" s="208">
        <f t="shared" si="272"/>
        <v>0</v>
      </c>
      <c r="D646" s="208">
        <f t="shared" si="272"/>
        <v>0</v>
      </c>
      <c r="E646" s="208">
        <f t="shared" si="272"/>
        <v>0</v>
      </c>
      <c r="F646" s="208">
        <f t="shared" si="272"/>
        <v>0</v>
      </c>
      <c r="G646" s="208">
        <f t="shared" si="272"/>
        <v>0</v>
      </c>
      <c r="H646" s="208">
        <f t="shared" si="272"/>
        <v>0</v>
      </c>
      <c r="I646" s="208">
        <f t="shared" si="272"/>
        <v>0</v>
      </c>
      <c r="J646" s="208">
        <f t="shared" si="272"/>
        <v>0</v>
      </c>
      <c r="K646" s="208">
        <f t="shared" si="272"/>
        <v>0</v>
      </c>
      <c r="L646" s="208">
        <f t="shared" si="272"/>
        <v>0</v>
      </c>
      <c r="M646" s="208">
        <f t="shared" si="272"/>
        <v>0</v>
      </c>
      <c r="N646" s="208">
        <f t="shared" si="272"/>
        <v>0</v>
      </c>
      <c r="O646" s="208">
        <f t="shared" si="272"/>
        <v>0</v>
      </c>
      <c r="P646" s="208">
        <f t="shared" si="272"/>
        <v>0</v>
      </c>
      <c r="Q646" s="208">
        <f t="shared" si="272"/>
        <v>0</v>
      </c>
      <c r="R646" s="208">
        <f t="shared" si="272"/>
        <v>0</v>
      </c>
      <c r="S646" s="208">
        <f t="shared" si="272"/>
        <v>0</v>
      </c>
      <c r="T646" s="208">
        <f t="shared" si="272"/>
        <v>0</v>
      </c>
      <c r="U646" s="208">
        <f t="shared" si="272"/>
        <v>0</v>
      </c>
      <c r="V646" s="208">
        <f t="shared" si="272"/>
        <v>0</v>
      </c>
      <c r="W646" s="208">
        <f t="shared" si="272"/>
        <v>0</v>
      </c>
      <c r="X646" s="208">
        <f t="shared" si="272"/>
        <v>0</v>
      </c>
      <c r="Y646" s="208">
        <f t="shared" si="272"/>
        <v>0</v>
      </c>
      <c r="Z646" s="208">
        <f t="shared" si="272"/>
        <v>0</v>
      </c>
      <c r="AA646" s="208">
        <f t="shared" si="272"/>
        <v>0</v>
      </c>
      <c r="AB646" s="208">
        <f t="shared" si="272"/>
        <v>0</v>
      </c>
      <c r="AC646" s="208">
        <f t="shared" si="272"/>
        <v>0</v>
      </c>
      <c r="AD646" s="208">
        <f t="shared" si="272"/>
        <v>0</v>
      </c>
      <c r="AE646" s="208">
        <f t="shared" si="272"/>
        <v>0</v>
      </c>
      <c r="AF646" s="208">
        <f t="shared" si="272"/>
        <v>0</v>
      </c>
      <c r="AG646" s="208">
        <f t="shared" si="272"/>
        <v>0</v>
      </c>
      <c r="AH646" s="208">
        <f t="shared" si="272"/>
        <v>0</v>
      </c>
      <c r="AI646" s="208">
        <f t="shared" si="272"/>
        <v>0</v>
      </c>
      <c r="AJ646" s="208">
        <f t="shared" si="272"/>
        <v>0</v>
      </c>
      <c r="AK646" s="208">
        <f t="shared" si="272"/>
        <v>0</v>
      </c>
      <c r="AL646" s="208">
        <f t="shared" si="272"/>
        <v>0</v>
      </c>
      <c r="AM646" s="208">
        <f t="shared" si="272"/>
        <v>0</v>
      </c>
      <c r="AN646" s="208">
        <f t="shared" si="272"/>
        <v>0</v>
      </c>
      <c r="AO646" s="208">
        <f t="shared" si="272"/>
        <v>0</v>
      </c>
      <c r="AP646" s="208">
        <f t="shared" si="272"/>
        <v>0</v>
      </c>
    </row>
    <row r="647" spans="1:42">
      <c r="A647" s="37">
        <f t="shared" si="273"/>
        <v>7</v>
      </c>
      <c r="B647" s="218">
        <f t="shared" si="271"/>
        <v>0</v>
      </c>
      <c r="C647" s="208">
        <f t="shared" si="272"/>
        <v>0</v>
      </c>
      <c r="D647" s="208">
        <f t="shared" si="272"/>
        <v>0</v>
      </c>
      <c r="E647" s="208">
        <f t="shared" si="272"/>
        <v>0</v>
      </c>
      <c r="F647" s="208">
        <f t="shared" si="272"/>
        <v>0</v>
      </c>
      <c r="G647" s="208">
        <f t="shared" si="272"/>
        <v>0</v>
      </c>
      <c r="H647" s="208">
        <f t="shared" si="272"/>
        <v>0</v>
      </c>
      <c r="I647" s="208">
        <f t="shared" si="272"/>
        <v>0</v>
      </c>
      <c r="J647" s="208">
        <f t="shared" si="272"/>
        <v>0</v>
      </c>
      <c r="K647" s="208">
        <f t="shared" si="272"/>
        <v>0</v>
      </c>
      <c r="L647" s="208">
        <f t="shared" si="272"/>
        <v>0</v>
      </c>
      <c r="M647" s="208">
        <f t="shared" si="272"/>
        <v>0</v>
      </c>
      <c r="N647" s="208">
        <f t="shared" si="272"/>
        <v>0</v>
      </c>
      <c r="O647" s="208">
        <f t="shared" si="272"/>
        <v>0</v>
      </c>
      <c r="P647" s="208">
        <f t="shared" si="272"/>
        <v>0</v>
      </c>
      <c r="Q647" s="208">
        <f t="shared" si="272"/>
        <v>0</v>
      </c>
      <c r="R647" s="208">
        <f t="shared" ref="R647:AP647" si="274">IF(R$2&gt;AnalysisPeriod,0,IF(R$2=MMFrequency*$A647,MMCost*CapacityDC*1000*(1+Inflation)^Q$2,0))</f>
        <v>0</v>
      </c>
      <c r="S647" s="208">
        <f t="shared" si="274"/>
        <v>0</v>
      </c>
      <c r="T647" s="208">
        <f t="shared" si="274"/>
        <v>0</v>
      </c>
      <c r="U647" s="208">
        <f t="shared" si="274"/>
        <v>0</v>
      </c>
      <c r="V647" s="208">
        <f t="shared" si="274"/>
        <v>0</v>
      </c>
      <c r="W647" s="208">
        <f t="shared" si="274"/>
        <v>0</v>
      </c>
      <c r="X647" s="208">
        <f t="shared" si="274"/>
        <v>0</v>
      </c>
      <c r="Y647" s="208">
        <f t="shared" si="274"/>
        <v>0</v>
      </c>
      <c r="Z647" s="208">
        <f t="shared" si="274"/>
        <v>0</v>
      </c>
      <c r="AA647" s="208">
        <f t="shared" si="274"/>
        <v>0</v>
      </c>
      <c r="AB647" s="208">
        <f t="shared" si="274"/>
        <v>0</v>
      </c>
      <c r="AC647" s="208">
        <f t="shared" si="274"/>
        <v>0</v>
      </c>
      <c r="AD647" s="208">
        <f t="shared" si="274"/>
        <v>0</v>
      </c>
      <c r="AE647" s="208">
        <f t="shared" si="274"/>
        <v>0</v>
      </c>
      <c r="AF647" s="208">
        <f t="shared" si="274"/>
        <v>0</v>
      </c>
      <c r="AG647" s="208">
        <f t="shared" si="274"/>
        <v>0</v>
      </c>
      <c r="AH647" s="208">
        <f t="shared" si="274"/>
        <v>0</v>
      </c>
      <c r="AI647" s="208">
        <f t="shared" si="274"/>
        <v>0</v>
      </c>
      <c r="AJ647" s="208">
        <f t="shared" si="274"/>
        <v>0</v>
      </c>
      <c r="AK647" s="208">
        <f t="shared" si="274"/>
        <v>0</v>
      </c>
      <c r="AL647" s="208">
        <f t="shared" si="274"/>
        <v>0</v>
      </c>
      <c r="AM647" s="208">
        <f t="shared" si="274"/>
        <v>0</v>
      </c>
      <c r="AN647" s="208">
        <f t="shared" si="274"/>
        <v>0</v>
      </c>
      <c r="AO647" s="208">
        <f t="shared" si="274"/>
        <v>0</v>
      </c>
      <c r="AP647" s="208">
        <f t="shared" si="274"/>
        <v>0</v>
      </c>
    </row>
    <row r="648" spans="1:42">
      <c r="A648" s="37">
        <f t="shared" si="273"/>
        <v>8</v>
      </c>
      <c r="B648" s="218">
        <f t="shared" si="271"/>
        <v>0</v>
      </c>
      <c r="C648" s="208">
        <f t="shared" ref="C648:AP650" si="275">IF(C$2&gt;AnalysisPeriod,0,IF(C$2=MMFrequency*$A648,MMCost*CapacityDC*1000*(1+Inflation)^B$2,0))</f>
        <v>0</v>
      </c>
      <c r="D648" s="208">
        <f t="shared" si="275"/>
        <v>0</v>
      </c>
      <c r="E648" s="208">
        <f t="shared" si="275"/>
        <v>0</v>
      </c>
      <c r="F648" s="208">
        <f t="shared" si="275"/>
        <v>0</v>
      </c>
      <c r="G648" s="208">
        <f t="shared" si="275"/>
        <v>0</v>
      </c>
      <c r="H648" s="208">
        <f t="shared" si="275"/>
        <v>0</v>
      </c>
      <c r="I648" s="208">
        <f t="shared" si="275"/>
        <v>0</v>
      </c>
      <c r="J648" s="208">
        <f t="shared" si="275"/>
        <v>0</v>
      </c>
      <c r="K648" s="208">
        <f t="shared" si="275"/>
        <v>0</v>
      </c>
      <c r="L648" s="208">
        <f t="shared" si="275"/>
        <v>0</v>
      </c>
      <c r="M648" s="208">
        <f t="shared" si="275"/>
        <v>0</v>
      </c>
      <c r="N648" s="208">
        <f t="shared" si="275"/>
        <v>0</v>
      </c>
      <c r="O648" s="208">
        <f t="shared" si="275"/>
        <v>0</v>
      </c>
      <c r="P648" s="208">
        <f t="shared" si="275"/>
        <v>0</v>
      </c>
      <c r="Q648" s="208">
        <f t="shared" si="275"/>
        <v>0</v>
      </c>
      <c r="R648" s="208">
        <f t="shared" si="275"/>
        <v>0</v>
      </c>
      <c r="S648" s="208">
        <f t="shared" si="275"/>
        <v>0</v>
      </c>
      <c r="T648" s="208">
        <f t="shared" si="275"/>
        <v>0</v>
      </c>
      <c r="U648" s="208">
        <f t="shared" si="275"/>
        <v>0</v>
      </c>
      <c r="V648" s="208">
        <f t="shared" si="275"/>
        <v>0</v>
      </c>
      <c r="W648" s="208">
        <f t="shared" si="275"/>
        <v>0</v>
      </c>
      <c r="X648" s="208">
        <f t="shared" si="275"/>
        <v>0</v>
      </c>
      <c r="Y648" s="208">
        <f t="shared" si="275"/>
        <v>0</v>
      </c>
      <c r="Z648" s="208">
        <f t="shared" si="275"/>
        <v>0</v>
      </c>
      <c r="AA648" s="208">
        <f t="shared" si="275"/>
        <v>0</v>
      </c>
      <c r="AB648" s="208">
        <f t="shared" si="275"/>
        <v>0</v>
      </c>
      <c r="AC648" s="208">
        <f t="shared" si="275"/>
        <v>0</v>
      </c>
      <c r="AD648" s="208">
        <f t="shared" si="275"/>
        <v>0</v>
      </c>
      <c r="AE648" s="208">
        <f t="shared" si="275"/>
        <v>0</v>
      </c>
      <c r="AF648" s="208">
        <f t="shared" si="275"/>
        <v>0</v>
      </c>
      <c r="AG648" s="208">
        <f t="shared" si="275"/>
        <v>0</v>
      </c>
      <c r="AH648" s="208">
        <f t="shared" si="275"/>
        <v>0</v>
      </c>
      <c r="AI648" s="208">
        <f t="shared" si="275"/>
        <v>0</v>
      </c>
      <c r="AJ648" s="208">
        <f t="shared" si="275"/>
        <v>0</v>
      </c>
      <c r="AK648" s="208">
        <f t="shared" si="275"/>
        <v>0</v>
      </c>
      <c r="AL648" s="208">
        <f t="shared" si="275"/>
        <v>0</v>
      </c>
      <c r="AM648" s="208">
        <f t="shared" si="275"/>
        <v>0</v>
      </c>
      <c r="AN648" s="208">
        <f t="shared" si="275"/>
        <v>0</v>
      </c>
      <c r="AO648" s="208">
        <f t="shared" si="275"/>
        <v>0</v>
      </c>
      <c r="AP648" s="208">
        <f t="shared" si="275"/>
        <v>0</v>
      </c>
    </row>
    <row r="649" spans="1:42">
      <c r="A649" s="37">
        <f>A648+1</f>
        <v>9</v>
      </c>
      <c r="B649" s="218">
        <f t="shared" si="271"/>
        <v>0</v>
      </c>
      <c r="C649" s="208">
        <f t="shared" si="275"/>
        <v>0</v>
      </c>
      <c r="D649" s="208">
        <f t="shared" si="275"/>
        <v>0</v>
      </c>
      <c r="E649" s="208">
        <f t="shared" si="275"/>
        <v>0</v>
      </c>
      <c r="F649" s="208">
        <f t="shared" si="275"/>
        <v>0</v>
      </c>
      <c r="G649" s="208">
        <f t="shared" si="275"/>
        <v>0</v>
      </c>
      <c r="H649" s="208">
        <f t="shared" si="275"/>
        <v>0</v>
      </c>
      <c r="I649" s="208">
        <f t="shared" si="275"/>
        <v>0</v>
      </c>
      <c r="J649" s="208">
        <f t="shared" si="275"/>
        <v>0</v>
      </c>
      <c r="K649" s="208">
        <f t="shared" si="275"/>
        <v>0</v>
      </c>
      <c r="L649" s="208">
        <f t="shared" si="275"/>
        <v>0</v>
      </c>
      <c r="M649" s="208">
        <f t="shared" si="275"/>
        <v>0</v>
      </c>
      <c r="N649" s="208">
        <f t="shared" si="275"/>
        <v>0</v>
      </c>
      <c r="O649" s="208">
        <f t="shared" si="275"/>
        <v>0</v>
      </c>
      <c r="P649" s="208">
        <f t="shared" si="275"/>
        <v>0</v>
      </c>
      <c r="Q649" s="208">
        <f t="shared" si="275"/>
        <v>0</v>
      </c>
      <c r="R649" s="208">
        <f t="shared" si="275"/>
        <v>0</v>
      </c>
      <c r="S649" s="208">
        <f t="shared" si="275"/>
        <v>0</v>
      </c>
      <c r="T649" s="208">
        <f t="shared" si="275"/>
        <v>0</v>
      </c>
      <c r="U649" s="208">
        <f t="shared" si="275"/>
        <v>0</v>
      </c>
      <c r="V649" s="208">
        <f t="shared" si="275"/>
        <v>0</v>
      </c>
      <c r="W649" s="208">
        <f t="shared" si="275"/>
        <v>0</v>
      </c>
      <c r="X649" s="208">
        <f t="shared" si="275"/>
        <v>0</v>
      </c>
      <c r="Y649" s="208">
        <f t="shared" si="275"/>
        <v>0</v>
      </c>
      <c r="Z649" s="208">
        <f t="shared" si="275"/>
        <v>0</v>
      </c>
      <c r="AA649" s="208">
        <f t="shared" si="275"/>
        <v>0</v>
      </c>
      <c r="AB649" s="208">
        <f t="shared" si="275"/>
        <v>0</v>
      </c>
      <c r="AC649" s="208">
        <f t="shared" si="275"/>
        <v>0</v>
      </c>
      <c r="AD649" s="208">
        <f t="shared" si="275"/>
        <v>0</v>
      </c>
      <c r="AE649" s="208">
        <f t="shared" si="275"/>
        <v>0</v>
      </c>
      <c r="AF649" s="208">
        <f t="shared" si="275"/>
        <v>0</v>
      </c>
      <c r="AG649" s="208">
        <f t="shared" si="275"/>
        <v>0</v>
      </c>
      <c r="AH649" s="208">
        <f t="shared" si="275"/>
        <v>0</v>
      </c>
      <c r="AI649" s="208">
        <f t="shared" si="275"/>
        <v>0</v>
      </c>
      <c r="AJ649" s="208">
        <f t="shared" si="275"/>
        <v>0</v>
      </c>
      <c r="AK649" s="208">
        <f t="shared" si="275"/>
        <v>0</v>
      </c>
      <c r="AL649" s="208">
        <f t="shared" si="275"/>
        <v>0</v>
      </c>
      <c r="AM649" s="208">
        <f t="shared" si="275"/>
        <v>0</v>
      </c>
      <c r="AN649" s="208">
        <f t="shared" si="275"/>
        <v>0</v>
      </c>
      <c r="AO649" s="208">
        <f t="shared" si="275"/>
        <v>0</v>
      </c>
      <c r="AP649" s="208">
        <f t="shared" si="275"/>
        <v>0</v>
      </c>
    </row>
    <row r="650" spans="1:42">
      <c r="A650" s="37">
        <f t="shared" si="273"/>
        <v>10</v>
      </c>
      <c r="B650" s="218">
        <f t="shared" si="271"/>
        <v>0</v>
      </c>
      <c r="C650" s="209">
        <f t="shared" si="275"/>
        <v>0</v>
      </c>
      <c r="D650" s="209">
        <f t="shared" si="275"/>
        <v>0</v>
      </c>
      <c r="E650" s="209">
        <f t="shared" si="275"/>
        <v>0</v>
      </c>
      <c r="F650" s="209">
        <f t="shared" si="275"/>
        <v>0</v>
      </c>
      <c r="G650" s="209">
        <f t="shared" si="275"/>
        <v>0</v>
      </c>
      <c r="H650" s="209">
        <f t="shared" si="275"/>
        <v>0</v>
      </c>
      <c r="I650" s="209">
        <f t="shared" si="275"/>
        <v>0</v>
      </c>
      <c r="J650" s="209">
        <f t="shared" si="275"/>
        <v>0</v>
      </c>
      <c r="K650" s="209">
        <f t="shared" si="275"/>
        <v>0</v>
      </c>
      <c r="L650" s="209">
        <f t="shared" si="275"/>
        <v>0</v>
      </c>
      <c r="M650" s="209">
        <f t="shared" si="275"/>
        <v>0</v>
      </c>
      <c r="N650" s="209">
        <f t="shared" si="275"/>
        <v>0</v>
      </c>
      <c r="O650" s="209">
        <f t="shared" si="275"/>
        <v>0</v>
      </c>
      <c r="P650" s="209">
        <f t="shared" si="275"/>
        <v>0</v>
      </c>
      <c r="Q650" s="209">
        <f t="shared" si="275"/>
        <v>0</v>
      </c>
      <c r="R650" s="209">
        <f t="shared" si="275"/>
        <v>0</v>
      </c>
      <c r="S650" s="209">
        <f t="shared" si="275"/>
        <v>0</v>
      </c>
      <c r="T650" s="209">
        <f t="shared" si="275"/>
        <v>0</v>
      </c>
      <c r="U650" s="209">
        <f t="shared" si="275"/>
        <v>0</v>
      </c>
      <c r="V650" s="209">
        <f t="shared" si="275"/>
        <v>0</v>
      </c>
      <c r="W650" s="209">
        <f t="shared" si="275"/>
        <v>0</v>
      </c>
      <c r="X650" s="209">
        <f t="shared" si="275"/>
        <v>0</v>
      </c>
      <c r="Y650" s="209">
        <f t="shared" si="275"/>
        <v>0</v>
      </c>
      <c r="Z650" s="209">
        <f t="shared" si="275"/>
        <v>0</v>
      </c>
      <c r="AA650" s="209">
        <f t="shared" si="275"/>
        <v>0</v>
      </c>
      <c r="AB650" s="209">
        <f t="shared" si="275"/>
        <v>0</v>
      </c>
      <c r="AC650" s="209">
        <f t="shared" si="275"/>
        <v>0</v>
      </c>
      <c r="AD650" s="209">
        <f t="shared" si="275"/>
        <v>0</v>
      </c>
      <c r="AE650" s="209">
        <f t="shared" si="275"/>
        <v>0</v>
      </c>
      <c r="AF650" s="209">
        <f t="shared" si="275"/>
        <v>0</v>
      </c>
      <c r="AG650" s="209">
        <f t="shared" si="275"/>
        <v>0</v>
      </c>
      <c r="AH650" s="209">
        <f t="shared" si="275"/>
        <v>0</v>
      </c>
      <c r="AI650" s="209">
        <f t="shared" si="275"/>
        <v>0</v>
      </c>
      <c r="AJ650" s="209">
        <f t="shared" si="275"/>
        <v>0</v>
      </c>
      <c r="AK650" s="209">
        <f t="shared" si="275"/>
        <v>0</v>
      </c>
      <c r="AL650" s="209">
        <f t="shared" si="275"/>
        <v>0</v>
      </c>
      <c r="AM650" s="209">
        <f t="shared" si="275"/>
        <v>0</v>
      </c>
      <c r="AN650" s="209">
        <f t="shared" si="275"/>
        <v>0</v>
      </c>
      <c r="AO650" s="209">
        <f t="shared" si="275"/>
        <v>0</v>
      </c>
      <c r="AP650" s="209">
        <f t="shared" si="275"/>
        <v>0</v>
      </c>
    </row>
    <row r="651" spans="1:42">
      <c r="A651" s="244" t="s">
        <v>53</v>
      </c>
      <c r="B651" s="208"/>
      <c r="C651" s="164">
        <f>SUM(C641:C650)</f>
        <v>0</v>
      </c>
      <c r="D651" s="164">
        <f t="shared" ref="D651:AD651" si="276">SUM(D641:D650)</f>
        <v>0</v>
      </c>
      <c r="E651" s="164">
        <f t="shared" si="276"/>
        <v>0</v>
      </c>
      <c r="F651" s="164">
        <f t="shared" si="276"/>
        <v>0</v>
      </c>
      <c r="G651" s="164">
        <f t="shared" si="276"/>
        <v>0</v>
      </c>
      <c r="H651" s="164">
        <f t="shared" si="276"/>
        <v>0</v>
      </c>
      <c r="I651" s="164">
        <f t="shared" si="276"/>
        <v>0</v>
      </c>
      <c r="J651" s="164">
        <f t="shared" si="276"/>
        <v>0</v>
      </c>
      <c r="K651" s="164">
        <f t="shared" si="276"/>
        <v>0</v>
      </c>
      <c r="L651" s="164">
        <f t="shared" si="276"/>
        <v>0</v>
      </c>
      <c r="M651" s="164">
        <f t="shared" si="276"/>
        <v>0</v>
      </c>
      <c r="N651" s="164">
        <f t="shared" si="276"/>
        <v>2944872.3435013141</v>
      </c>
      <c r="O651" s="164">
        <f t="shared" si="276"/>
        <v>0</v>
      </c>
      <c r="P651" s="164">
        <f t="shared" si="276"/>
        <v>0</v>
      </c>
      <c r="Q651" s="164">
        <f t="shared" si="276"/>
        <v>0</v>
      </c>
      <c r="R651" s="164">
        <f t="shared" si="276"/>
        <v>0</v>
      </c>
      <c r="S651" s="164">
        <f t="shared" si="276"/>
        <v>0</v>
      </c>
      <c r="T651" s="164">
        <f t="shared" si="276"/>
        <v>0</v>
      </c>
      <c r="U651" s="164">
        <f t="shared" si="276"/>
        <v>0</v>
      </c>
      <c r="V651" s="164">
        <f t="shared" si="276"/>
        <v>0</v>
      </c>
      <c r="W651" s="164">
        <f t="shared" si="276"/>
        <v>0</v>
      </c>
      <c r="X651" s="164">
        <f t="shared" si="276"/>
        <v>0</v>
      </c>
      <c r="Y651" s="164">
        <f t="shared" si="276"/>
        <v>0</v>
      </c>
      <c r="Z651" s="164">
        <f t="shared" si="276"/>
        <v>3520942.886524681</v>
      </c>
      <c r="AA651" s="164">
        <f t="shared" si="276"/>
        <v>0</v>
      </c>
      <c r="AB651" s="164">
        <f t="shared" si="276"/>
        <v>0</v>
      </c>
      <c r="AC651" s="164">
        <f t="shared" si="276"/>
        <v>0</v>
      </c>
      <c r="AD651" s="164">
        <f t="shared" si="276"/>
        <v>0</v>
      </c>
      <c r="AE651" s="164">
        <f t="shared" ref="AE651" si="277">SUM(AE641:AE650)</f>
        <v>0</v>
      </c>
      <c r="AF651" s="164">
        <f t="shared" ref="AF651:AP651" si="278">SUM(AF641:AF650)</f>
        <v>0</v>
      </c>
      <c r="AG651" s="164">
        <f t="shared" si="278"/>
        <v>0</v>
      </c>
      <c r="AH651" s="164">
        <f t="shared" si="278"/>
        <v>0</v>
      </c>
      <c r="AI651" s="164">
        <f t="shared" si="278"/>
        <v>0</v>
      </c>
      <c r="AJ651" s="164">
        <f t="shared" si="278"/>
        <v>0</v>
      </c>
      <c r="AK651" s="164">
        <f t="shared" si="278"/>
        <v>0</v>
      </c>
      <c r="AL651" s="164">
        <f t="shared" si="278"/>
        <v>0</v>
      </c>
      <c r="AM651" s="164">
        <f t="shared" si="278"/>
        <v>0</v>
      </c>
      <c r="AN651" s="164">
        <f t="shared" si="278"/>
        <v>0</v>
      </c>
      <c r="AO651" s="164">
        <f t="shared" si="278"/>
        <v>0</v>
      </c>
      <c r="AP651" s="164">
        <f t="shared" si="278"/>
        <v>0</v>
      </c>
    </row>
    <row r="652" spans="1:42">
      <c r="A652" s="37" t="s">
        <v>209</v>
      </c>
      <c r="B652" s="164"/>
      <c r="C652" s="164"/>
      <c r="D652" s="164"/>
      <c r="E652" s="164"/>
      <c r="F652" s="164"/>
      <c r="G652" s="208"/>
      <c r="H652" s="208"/>
      <c r="I652" s="208"/>
      <c r="J652" s="208"/>
      <c r="K652" s="208"/>
      <c r="L652" s="208"/>
      <c r="M652" s="208"/>
      <c r="N652" s="208"/>
      <c r="O652" s="208"/>
      <c r="P652" s="208"/>
      <c r="Q652" s="208"/>
      <c r="R652" s="208"/>
      <c r="S652" s="208"/>
      <c r="T652" s="208"/>
      <c r="U652" s="208"/>
      <c r="V652" s="208"/>
      <c r="W652" s="208"/>
      <c r="X652" s="208"/>
      <c r="Y652" s="208"/>
      <c r="Z652" s="208"/>
      <c r="AA652" s="208"/>
      <c r="AB652" s="208"/>
      <c r="AC652" s="208"/>
      <c r="AD652" s="208"/>
      <c r="AE652" s="208"/>
      <c r="AF652" s="208"/>
      <c r="AG652" s="208"/>
      <c r="AH652" s="208"/>
      <c r="AI652" s="208"/>
      <c r="AJ652" s="208"/>
      <c r="AK652" s="208"/>
      <c r="AL652" s="208"/>
      <c r="AM652" s="208"/>
      <c r="AN652" s="208"/>
      <c r="AO652" s="208"/>
      <c r="AP652" s="208"/>
    </row>
    <row r="653" spans="1:42">
      <c r="A653" s="37">
        <v>1</v>
      </c>
      <c r="B653" s="218">
        <f t="shared" ref="B653:B662" si="279">SUM(C653:AP653)</f>
        <v>2944872.3435013145</v>
      </c>
      <c r="C653" s="164">
        <f t="shared" ref="C653:AP653" si="280">IF(C$2&lt;=MMFrequency*$A$641,$B$641/(MMFrequency),0)</f>
        <v>245406.02862510949</v>
      </c>
      <c r="D653" s="164">
        <f t="shared" si="280"/>
        <v>245406.02862510949</v>
      </c>
      <c r="E653" s="164">
        <f t="shared" si="280"/>
        <v>245406.02862510949</v>
      </c>
      <c r="F653" s="164">
        <f t="shared" si="280"/>
        <v>245406.02862510949</v>
      </c>
      <c r="G653" s="164">
        <f t="shared" si="280"/>
        <v>245406.02862510949</v>
      </c>
      <c r="H653" s="164">
        <f t="shared" si="280"/>
        <v>245406.02862510949</v>
      </c>
      <c r="I653" s="164">
        <f t="shared" si="280"/>
        <v>245406.02862510949</v>
      </c>
      <c r="J653" s="164">
        <f t="shared" si="280"/>
        <v>245406.02862510949</v>
      </c>
      <c r="K653" s="164">
        <f t="shared" si="280"/>
        <v>245406.02862510949</v>
      </c>
      <c r="L653" s="164">
        <f t="shared" si="280"/>
        <v>245406.02862510949</v>
      </c>
      <c r="M653" s="164">
        <f t="shared" si="280"/>
        <v>245406.02862510949</v>
      </c>
      <c r="N653" s="164">
        <f t="shared" si="280"/>
        <v>245406.02862510949</v>
      </c>
      <c r="O653" s="164">
        <f t="shared" si="280"/>
        <v>0</v>
      </c>
      <c r="P653" s="164">
        <f t="shared" si="280"/>
        <v>0</v>
      </c>
      <c r="Q653" s="164">
        <f t="shared" si="280"/>
        <v>0</v>
      </c>
      <c r="R653" s="164">
        <f t="shared" si="280"/>
        <v>0</v>
      </c>
      <c r="S653" s="164">
        <f t="shared" si="280"/>
        <v>0</v>
      </c>
      <c r="T653" s="164">
        <f t="shared" si="280"/>
        <v>0</v>
      </c>
      <c r="U653" s="164">
        <f t="shared" si="280"/>
        <v>0</v>
      </c>
      <c r="V653" s="164">
        <f t="shared" si="280"/>
        <v>0</v>
      </c>
      <c r="W653" s="164">
        <f t="shared" si="280"/>
        <v>0</v>
      </c>
      <c r="X653" s="164">
        <f t="shared" si="280"/>
        <v>0</v>
      </c>
      <c r="Y653" s="164">
        <f t="shared" si="280"/>
        <v>0</v>
      </c>
      <c r="Z653" s="164">
        <f t="shared" si="280"/>
        <v>0</v>
      </c>
      <c r="AA653" s="164">
        <f t="shared" si="280"/>
        <v>0</v>
      </c>
      <c r="AB653" s="164">
        <f t="shared" si="280"/>
        <v>0</v>
      </c>
      <c r="AC653" s="164">
        <f t="shared" si="280"/>
        <v>0</v>
      </c>
      <c r="AD653" s="164">
        <f t="shared" si="280"/>
        <v>0</v>
      </c>
      <c r="AE653" s="164">
        <f t="shared" si="280"/>
        <v>0</v>
      </c>
      <c r="AF653" s="164">
        <f t="shared" si="280"/>
        <v>0</v>
      </c>
      <c r="AG653" s="164">
        <f t="shared" si="280"/>
        <v>0</v>
      </c>
      <c r="AH653" s="164">
        <f t="shared" si="280"/>
        <v>0</v>
      </c>
      <c r="AI653" s="164">
        <f t="shared" si="280"/>
        <v>0</v>
      </c>
      <c r="AJ653" s="164">
        <f t="shared" si="280"/>
        <v>0</v>
      </c>
      <c r="AK653" s="164">
        <f t="shared" si="280"/>
        <v>0</v>
      </c>
      <c r="AL653" s="164">
        <f t="shared" si="280"/>
        <v>0</v>
      </c>
      <c r="AM653" s="164">
        <f t="shared" si="280"/>
        <v>0</v>
      </c>
      <c r="AN653" s="164">
        <f t="shared" si="280"/>
        <v>0</v>
      </c>
      <c r="AO653" s="164">
        <f t="shared" si="280"/>
        <v>0</v>
      </c>
      <c r="AP653" s="164">
        <f t="shared" si="280"/>
        <v>0</v>
      </c>
    </row>
    <row r="654" spans="1:42">
      <c r="A654" s="37">
        <f>A653+1</f>
        <v>2</v>
      </c>
      <c r="B654" s="218">
        <f t="shared" si="279"/>
        <v>3520942.886524681</v>
      </c>
      <c r="C654" s="250">
        <f t="shared" ref="C654:AP660" si="281">IF(AND(C$2&gt;MMFrequency*$A641,C$2&lt;=MMFrequency*$A642),$B642/(MMFrequency),0)</f>
        <v>0</v>
      </c>
      <c r="D654" s="208">
        <f t="shared" si="281"/>
        <v>0</v>
      </c>
      <c r="E654" s="208">
        <f t="shared" si="281"/>
        <v>0</v>
      </c>
      <c r="F654" s="208">
        <f t="shared" si="281"/>
        <v>0</v>
      </c>
      <c r="G654" s="208">
        <f t="shared" si="281"/>
        <v>0</v>
      </c>
      <c r="H654" s="208">
        <f t="shared" si="281"/>
        <v>0</v>
      </c>
      <c r="I654" s="208">
        <f t="shared" si="281"/>
        <v>0</v>
      </c>
      <c r="J654" s="208">
        <f t="shared" si="281"/>
        <v>0</v>
      </c>
      <c r="K654" s="208">
        <f t="shared" si="281"/>
        <v>0</v>
      </c>
      <c r="L654" s="208">
        <f t="shared" si="281"/>
        <v>0</v>
      </c>
      <c r="M654" s="208">
        <f t="shared" si="281"/>
        <v>0</v>
      </c>
      <c r="N654" s="208">
        <f t="shared" si="281"/>
        <v>0</v>
      </c>
      <c r="O654" s="208">
        <f t="shared" si="281"/>
        <v>293411.90721039008</v>
      </c>
      <c r="P654" s="208">
        <f t="shared" si="281"/>
        <v>293411.90721039008</v>
      </c>
      <c r="Q654" s="208">
        <f t="shared" si="281"/>
        <v>293411.90721039008</v>
      </c>
      <c r="R654" s="208">
        <f t="shared" si="281"/>
        <v>293411.90721039008</v>
      </c>
      <c r="S654" s="208">
        <f t="shared" si="281"/>
        <v>293411.90721039008</v>
      </c>
      <c r="T654" s="208">
        <f t="shared" si="281"/>
        <v>293411.90721039008</v>
      </c>
      <c r="U654" s="208">
        <f t="shared" si="281"/>
        <v>293411.90721039008</v>
      </c>
      <c r="V654" s="208">
        <f t="shared" si="281"/>
        <v>293411.90721039008</v>
      </c>
      <c r="W654" s="208">
        <f t="shared" si="281"/>
        <v>293411.90721039008</v>
      </c>
      <c r="X654" s="208">
        <f t="shared" si="281"/>
        <v>293411.90721039008</v>
      </c>
      <c r="Y654" s="208">
        <f t="shared" si="281"/>
        <v>293411.90721039008</v>
      </c>
      <c r="Z654" s="208">
        <f t="shared" si="281"/>
        <v>293411.90721039008</v>
      </c>
      <c r="AA654" s="208">
        <f t="shared" si="281"/>
        <v>0</v>
      </c>
      <c r="AB654" s="208">
        <f t="shared" si="281"/>
        <v>0</v>
      </c>
      <c r="AC654" s="208">
        <f t="shared" si="281"/>
        <v>0</v>
      </c>
      <c r="AD654" s="208">
        <f t="shared" si="281"/>
        <v>0</v>
      </c>
      <c r="AE654" s="208">
        <f t="shared" si="281"/>
        <v>0</v>
      </c>
      <c r="AF654" s="208">
        <f t="shared" si="281"/>
        <v>0</v>
      </c>
      <c r="AG654" s="208">
        <f t="shared" si="281"/>
        <v>0</v>
      </c>
      <c r="AH654" s="208">
        <f t="shared" si="281"/>
        <v>0</v>
      </c>
      <c r="AI654" s="208">
        <f t="shared" si="281"/>
        <v>0</v>
      </c>
      <c r="AJ654" s="208">
        <f t="shared" si="281"/>
        <v>0</v>
      </c>
      <c r="AK654" s="208">
        <f t="shared" si="281"/>
        <v>0</v>
      </c>
      <c r="AL654" s="208">
        <f t="shared" si="281"/>
        <v>0</v>
      </c>
      <c r="AM654" s="208">
        <f t="shared" si="281"/>
        <v>0</v>
      </c>
      <c r="AN654" s="208">
        <f t="shared" si="281"/>
        <v>0</v>
      </c>
      <c r="AO654" s="208">
        <f t="shared" si="281"/>
        <v>0</v>
      </c>
      <c r="AP654" s="208">
        <f t="shared" si="281"/>
        <v>0</v>
      </c>
    </row>
    <row r="655" spans="1:42">
      <c r="A655" s="37">
        <f t="shared" ref="A655:A660" si="282">A654+1</f>
        <v>3</v>
      </c>
      <c r="B655" s="218">
        <f t="shared" si="279"/>
        <v>0</v>
      </c>
      <c r="C655" s="250">
        <f t="shared" si="281"/>
        <v>0</v>
      </c>
      <c r="D655" s="208">
        <f t="shared" si="281"/>
        <v>0</v>
      </c>
      <c r="E655" s="208">
        <f t="shared" si="281"/>
        <v>0</v>
      </c>
      <c r="F655" s="208">
        <f t="shared" si="281"/>
        <v>0</v>
      </c>
      <c r="G655" s="208">
        <f t="shared" si="281"/>
        <v>0</v>
      </c>
      <c r="H655" s="208">
        <f t="shared" si="281"/>
        <v>0</v>
      </c>
      <c r="I655" s="208">
        <f t="shared" si="281"/>
        <v>0</v>
      </c>
      <c r="J655" s="208">
        <f t="shared" si="281"/>
        <v>0</v>
      </c>
      <c r="K655" s="208">
        <f t="shared" si="281"/>
        <v>0</v>
      </c>
      <c r="L655" s="208">
        <f t="shared" si="281"/>
        <v>0</v>
      </c>
      <c r="M655" s="208">
        <f t="shared" si="281"/>
        <v>0</v>
      </c>
      <c r="N655" s="208">
        <f t="shared" si="281"/>
        <v>0</v>
      </c>
      <c r="O655" s="208">
        <f t="shared" si="281"/>
        <v>0</v>
      </c>
      <c r="P655" s="208">
        <f t="shared" si="281"/>
        <v>0</v>
      </c>
      <c r="Q655" s="208">
        <f t="shared" si="281"/>
        <v>0</v>
      </c>
      <c r="R655" s="208">
        <f t="shared" si="281"/>
        <v>0</v>
      </c>
      <c r="S655" s="208">
        <f t="shared" si="281"/>
        <v>0</v>
      </c>
      <c r="T655" s="208">
        <f t="shared" si="281"/>
        <v>0</v>
      </c>
      <c r="U655" s="208">
        <f t="shared" si="281"/>
        <v>0</v>
      </c>
      <c r="V655" s="208">
        <f t="shared" si="281"/>
        <v>0</v>
      </c>
      <c r="W655" s="208">
        <f t="shared" si="281"/>
        <v>0</v>
      </c>
      <c r="X655" s="208">
        <f t="shared" si="281"/>
        <v>0</v>
      </c>
      <c r="Y655" s="208">
        <f t="shared" si="281"/>
        <v>0</v>
      </c>
      <c r="Z655" s="208">
        <f t="shared" si="281"/>
        <v>0</v>
      </c>
      <c r="AA655" s="208">
        <f t="shared" si="281"/>
        <v>0</v>
      </c>
      <c r="AB655" s="208">
        <f t="shared" si="281"/>
        <v>0</v>
      </c>
      <c r="AC655" s="208">
        <f t="shared" si="281"/>
        <v>0</v>
      </c>
      <c r="AD655" s="208">
        <f t="shared" si="281"/>
        <v>0</v>
      </c>
      <c r="AE655" s="208">
        <f t="shared" si="281"/>
        <v>0</v>
      </c>
      <c r="AF655" s="208">
        <f t="shared" si="281"/>
        <v>0</v>
      </c>
      <c r="AG655" s="208">
        <f t="shared" si="281"/>
        <v>0</v>
      </c>
      <c r="AH655" s="208">
        <f t="shared" si="281"/>
        <v>0</v>
      </c>
      <c r="AI655" s="208">
        <f t="shared" si="281"/>
        <v>0</v>
      </c>
      <c r="AJ655" s="208">
        <f t="shared" si="281"/>
        <v>0</v>
      </c>
      <c r="AK655" s="208">
        <f t="shared" si="281"/>
        <v>0</v>
      </c>
      <c r="AL655" s="208">
        <f t="shared" si="281"/>
        <v>0</v>
      </c>
      <c r="AM655" s="208">
        <f t="shared" si="281"/>
        <v>0</v>
      </c>
      <c r="AN655" s="208">
        <f t="shared" si="281"/>
        <v>0</v>
      </c>
      <c r="AO655" s="208">
        <f t="shared" si="281"/>
        <v>0</v>
      </c>
      <c r="AP655" s="208">
        <f t="shared" si="281"/>
        <v>0</v>
      </c>
    </row>
    <row r="656" spans="1:42">
      <c r="A656" s="37">
        <f t="shared" si="282"/>
        <v>4</v>
      </c>
      <c r="B656" s="218">
        <f t="shared" si="279"/>
        <v>0</v>
      </c>
      <c r="C656" s="250">
        <f t="shared" si="281"/>
        <v>0</v>
      </c>
      <c r="D656" s="208">
        <f t="shared" si="281"/>
        <v>0</v>
      </c>
      <c r="E656" s="208">
        <f t="shared" si="281"/>
        <v>0</v>
      </c>
      <c r="F656" s="208">
        <f t="shared" si="281"/>
        <v>0</v>
      </c>
      <c r="G656" s="208">
        <f t="shared" si="281"/>
        <v>0</v>
      </c>
      <c r="H656" s="208">
        <f t="shared" si="281"/>
        <v>0</v>
      </c>
      <c r="I656" s="208">
        <f t="shared" si="281"/>
        <v>0</v>
      </c>
      <c r="J656" s="208">
        <f t="shared" si="281"/>
        <v>0</v>
      </c>
      <c r="K656" s="208">
        <f t="shared" si="281"/>
        <v>0</v>
      </c>
      <c r="L656" s="208">
        <f t="shared" si="281"/>
        <v>0</v>
      </c>
      <c r="M656" s="208">
        <f t="shared" si="281"/>
        <v>0</v>
      </c>
      <c r="N656" s="208">
        <f t="shared" si="281"/>
        <v>0</v>
      </c>
      <c r="O656" s="208">
        <f t="shared" si="281"/>
        <v>0</v>
      </c>
      <c r="P656" s="208">
        <f t="shared" si="281"/>
        <v>0</v>
      </c>
      <c r="Q656" s="208">
        <f t="shared" si="281"/>
        <v>0</v>
      </c>
      <c r="R656" s="208">
        <f t="shared" si="281"/>
        <v>0</v>
      </c>
      <c r="S656" s="208">
        <f t="shared" si="281"/>
        <v>0</v>
      </c>
      <c r="T656" s="208">
        <f t="shared" si="281"/>
        <v>0</v>
      </c>
      <c r="U656" s="208">
        <f t="shared" si="281"/>
        <v>0</v>
      </c>
      <c r="V656" s="208">
        <f t="shared" si="281"/>
        <v>0</v>
      </c>
      <c r="W656" s="208">
        <f t="shared" si="281"/>
        <v>0</v>
      </c>
      <c r="X656" s="208">
        <f t="shared" si="281"/>
        <v>0</v>
      </c>
      <c r="Y656" s="208">
        <f t="shared" si="281"/>
        <v>0</v>
      </c>
      <c r="Z656" s="208">
        <f t="shared" si="281"/>
        <v>0</v>
      </c>
      <c r="AA656" s="208">
        <f t="shared" si="281"/>
        <v>0</v>
      </c>
      <c r="AB656" s="208">
        <f t="shared" si="281"/>
        <v>0</v>
      </c>
      <c r="AC656" s="208">
        <f t="shared" si="281"/>
        <v>0</v>
      </c>
      <c r="AD656" s="208">
        <f t="shared" si="281"/>
        <v>0</v>
      </c>
      <c r="AE656" s="208">
        <f t="shared" si="281"/>
        <v>0</v>
      </c>
      <c r="AF656" s="208">
        <f t="shared" si="281"/>
        <v>0</v>
      </c>
      <c r="AG656" s="208">
        <f t="shared" si="281"/>
        <v>0</v>
      </c>
      <c r="AH656" s="208">
        <f t="shared" si="281"/>
        <v>0</v>
      </c>
      <c r="AI656" s="208">
        <f t="shared" si="281"/>
        <v>0</v>
      </c>
      <c r="AJ656" s="208">
        <f t="shared" si="281"/>
        <v>0</v>
      </c>
      <c r="AK656" s="208">
        <f t="shared" si="281"/>
        <v>0</v>
      </c>
      <c r="AL656" s="208">
        <f t="shared" si="281"/>
        <v>0</v>
      </c>
      <c r="AM656" s="208">
        <f t="shared" si="281"/>
        <v>0</v>
      </c>
      <c r="AN656" s="208">
        <f t="shared" si="281"/>
        <v>0</v>
      </c>
      <c r="AO656" s="208">
        <f t="shared" si="281"/>
        <v>0</v>
      </c>
      <c r="AP656" s="208">
        <f t="shared" si="281"/>
        <v>0</v>
      </c>
    </row>
    <row r="657" spans="1:42">
      <c r="A657" s="37">
        <f t="shared" si="282"/>
        <v>5</v>
      </c>
      <c r="B657" s="218">
        <f t="shared" si="279"/>
        <v>0</v>
      </c>
      <c r="C657" s="250">
        <f t="shared" si="281"/>
        <v>0</v>
      </c>
      <c r="D657" s="208">
        <f t="shared" si="281"/>
        <v>0</v>
      </c>
      <c r="E657" s="208">
        <f t="shared" si="281"/>
        <v>0</v>
      </c>
      <c r="F657" s="208">
        <f t="shared" si="281"/>
        <v>0</v>
      </c>
      <c r="G657" s="208">
        <f t="shared" si="281"/>
        <v>0</v>
      </c>
      <c r="H657" s="208">
        <f t="shared" si="281"/>
        <v>0</v>
      </c>
      <c r="I657" s="208">
        <f t="shared" si="281"/>
        <v>0</v>
      </c>
      <c r="J657" s="208">
        <f t="shared" si="281"/>
        <v>0</v>
      </c>
      <c r="K657" s="208">
        <f t="shared" si="281"/>
        <v>0</v>
      </c>
      <c r="L657" s="208">
        <f t="shared" si="281"/>
        <v>0</v>
      </c>
      <c r="M657" s="208">
        <f t="shared" si="281"/>
        <v>0</v>
      </c>
      <c r="N657" s="208">
        <f t="shared" si="281"/>
        <v>0</v>
      </c>
      <c r="O657" s="208">
        <f t="shared" si="281"/>
        <v>0</v>
      </c>
      <c r="P657" s="208">
        <f t="shared" si="281"/>
        <v>0</v>
      </c>
      <c r="Q657" s="208">
        <f t="shared" si="281"/>
        <v>0</v>
      </c>
      <c r="R657" s="208">
        <f t="shared" si="281"/>
        <v>0</v>
      </c>
      <c r="S657" s="208">
        <f t="shared" si="281"/>
        <v>0</v>
      </c>
      <c r="T657" s="208">
        <f t="shared" si="281"/>
        <v>0</v>
      </c>
      <c r="U657" s="208">
        <f t="shared" si="281"/>
        <v>0</v>
      </c>
      <c r="V657" s="208">
        <f t="shared" si="281"/>
        <v>0</v>
      </c>
      <c r="W657" s="208">
        <f t="shared" si="281"/>
        <v>0</v>
      </c>
      <c r="X657" s="208">
        <f t="shared" si="281"/>
        <v>0</v>
      </c>
      <c r="Y657" s="208">
        <f t="shared" si="281"/>
        <v>0</v>
      </c>
      <c r="Z657" s="208">
        <f t="shared" si="281"/>
        <v>0</v>
      </c>
      <c r="AA657" s="208">
        <f t="shared" si="281"/>
        <v>0</v>
      </c>
      <c r="AB657" s="208">
        <f t="shared" si="281"/>
        <v>0</v>
      </c>
      <c r="AC657" s="208">
        <f t="shared" si="281"/>
        <v>0</v>
      </c>
      <c r="AD657" s="208">
        <f t="shared" si="281"/>
        <v>0</v>
      </c>
      <c r="AE657" s="208">
        <f t="shared" si="281"/>
        <v>0</v>
      </c>
      <c r="AF657" s="208">
        <f t="shared" si="281"/>
        <v>0</v>
      </c>
      <c r="AG657" s="208">
        <f t="shared" si="281"/>
        <v>0</v>
      </c>
      <c r="AH657" s="208">
        <f t="shared" si="281"/>
        <v>0</v>
      </c>
      <c r="AI657" s="208">
        <f t="shared" si="281"/>
        <v>0</v>
      </c>
      <c r="AJ657" s="208">
        <f t="shared" si="281"/>
        <v>0</v>
      </c>
      <c r="AK657" s="208">
        <f t="shared" si="281"/>
        <v>0</v>
      </c>
      <c r="AL657" s="208">
        <f t="shared" si="281"/>
        <v>0</v>
      </c>
      <c r="AM657" s="208">
        <f t="shared" si="281"/>
        <v>0</v>
      </c>
      <c r="AN657" s="208">
        <f t="shared" si="281"/>
        <v>0</v>
      </c>
      <c r="AO657" s="208">
        <f t="shared" si="281"/>
        <v>0</v>
      </c>
      <c r="AP657" s="208">
        <f t="shared" si="281"/>
        <v>0</v>
      </c>
    </row>
    <row r="658" spans="1:42">
      <c r="A658" s="37">
        <f t="shared" si="282"/>
        <v>6</v>
      </c>
      <c r="B658" s="218">
        <f t="shared" si="279"/>
        <v>0</v>
      </c>
      <c r="C658" s="250">
        <f t="shared" si="281"/>
        <v>0</v>
      </c>
      <c r="D658" s="208">
        <f t="shared" si="281"/>
        <v>0</v>
      </c>
      <c r="E658" s="208">
        <f t="shared" si="281"/>
        <v>0</v>
      </c>
      <c r="F658" s="208">
        <f t="shared" si="281"/>
        <v>0</v>
      </c>
      <c r="G658" s="208">
        <f t="shared" si="281"/>
        <v>0</v>
      </c>
      <c r="H658" s="208">
        <f t="shared" si="281"/>
        <v>0</v>
      </c>
      <c r="I658" s="208">
        <f t="shared" si="281"/>
        <v>0</v>
      </c>
      <c r="J658" s="208">
        <f t="shared" si="281"/>
        <v>0</v>
      </c>
      <c r="K658" s="208">
        <f t="shared" si="281"/>
        <v>0</v>
      </c>
      <c r="L658" s="208">
        <f t="shared" si="281"/>
        <v>0</v>
      </c>
      <c r="M658" s="208">
        <f t="shared" si="281"/>
        <v>0</v>
      </c>
      <c r="N658" s="208">
        <f t="shared" si="281"/>
        <v>0</v>
      </c>
      <c r="O658" s="208">
        <f t="shared" si="281"/>
        <v>0</v>
      </c>
      <c r="P658" s="208">
        <f t="shared" si="281"/>
        <v>0</v>
      </c>
      <c r="Q658" s="208">
        <f t="shared" si="281"/>
        <v>0</v>
      </c>
      <c r="R658" s="208">
        <f t="shared" si="281"/>
        <v>0</v>
      </c>
      <c r="S658" s="208">
        <f t="shared" si="281"/>
        <v>0</v>
      </c>
      <c r="T658" s="208">
        <f t="shared" si="281"/>
        <v>0</v>
      </c>
      <c r="U658" s="208">
        <f t="shared" si="281"/>
        <v>0</v>
      </c>
      <c r="V658" s="208">
        <f t="shared" si="281"/>
        <v>0</v>
      </c>
      <c r="W658" s="208">
        <f t="shared" si="281"/>
        <v>0</v>
      </c>
      <c r="X658" s="208">
        <f t="shared" si="281"/>
        <v>0</v>
      </c>
      <c r="Y658" s="208">
        <f t="shared" si="281"/>
        <v>0</v>
      </c>
      <c r="Z658" s="208">
        <f t="shared" si="281"/>
        <v>0</v>
      </c>
      <c r="AA658" s="208">
        <f t="shared" si="281"/>
        <v>0</v>
      </c>
      <c r="AB658" s="208">
        <f t="shared" si="281"/>
        <v>0</v>
      </c>
      <c r="AC658" s="208">
        <f t="shared" si="281"/>
        <v>0</v>
      </c>
      <c r="AD658" s="208">
        <f t="shared" si="281"/>
        <v>0</v>
      </c>
      <c r="AE658" s="208">
        <f t="shared" si="281"/>
        <v>0</v>
      </c>
      <c r="AF658" s="208">
        <f t="shared" si="281"/>
        <v>0</v>
      </c>
      <c r="AG658" s="208">
        <f t="shared" si="281"/>
        <v>0</v>
      </c>
      <c r="AH658" s="208">
        <f t="shared" si="281"/>
        <v>0</v>
      </c>
      <c r="AI658" s="208">
        <f t="shared" si="281"/>
        <v>0</v>
      </c>
      <c r="AJ658" s="208">
        <f t="shared" si="281"/>
        <v>0</v>
      </c>
      <c r="AK658" s="208">
        <f t="shared" si="281"/>
        <v>0</v>
      </c>
      <c r="AL658" s="208">
        <f t="shared" si="281"/>
        <v>0</v>
      </c>
      <c r="AM658" s="208">
        <f t="shared" si="281"/>
        <v>0</v>
      </c>
      <c r="AN658" s="208">
        <f t="shared" si="281"/>
        <v>0</v>
      </c>
      <c r="AO658" s="208">
        <f t="shared" si="281"/>
        <v>0</v>
      </c>
      <c r="AP658" s="208">
        <f t="shared" si="281"/>
        <v>0</v>
      </c>
    </row>
    <row r="659" spans="1:42">
      <c r="A659" s="37">
        <f t="shared" si="282"/>
        <v>7</v>
      </c>
      <c r="B659" s="218">
        <f t="shared" si="279"/>
        <v>0</v>
      </c>
      <c r="C659" s="250">
        <f t="shared" si="281"/>
        <v>0</v>
      </c>
      <c r="D659" s="208">
        <f t="shared" si="281"/>
        <v>0</v>
      </c>
      <c r="E659" s="208">
        <f t="shared" si="281"/>
        <v>0</v>
      </c>
      <c r="F659" s="208">
        <f t="shared" si="281"/>
        <v>0</v>
      </c>
      <c r="G659" s="208">
        <f t="shared" si="281"/>
        <v>0</v>
      </c>
      <c r="H659" s="208">
        <f t="shared" si="281"/>
        <v>0</v>
      </c>
      <c r="I659" s="208">
        <f t="shared" si="281"/>
        <v>0</v>
      </c>
      <c r="J659" s="208">
        <f t="shared" si="281"/>
        <v>0</v>
      </c>
      <c r="K659" s="208">
        <f t="shared" si="281"/>
        <v>0</v>
      </c>
      <c r="L659" s="208">
        <f t="shared" si="281"/>
        <v>0</v>
      </c>
      <c r="M659" s="208">
        <f t="shared" si="281"/>
        <v>0</v>
      </c>
      <c r="N659" s="208">
        <f t="shared" si="281"/>
        <v>0</v>
      </c>
      <c r="O659" s="208">
        <f t="shared" si="281"/>
        <v>0</v>
      </c>
      <c r="P659" s="208">
        <f t="shared" si="281"/>
        <v>0</v>
      </c>
      <c r="Q659" s="208">
        <f t="shared" si="281"/>
        <v>0</v>
      </c>
      <c r="R659" s="208">
        <f t="shared" si="281"/>
        <v>0</v>
      </c>
      <c r="S659" s="208">
        <f t="shared" si="281"/>
        <v>0</v>
      </c>
      <c r="T659" s="208">
        <f t="shared" si="281"/>
        <v>0</v>
      </c>
      <c r="U659" s="208">
        <f t="shared" si="281"/>
        <v>0</v>
      </c>
      <c r="V659" s="208">
        <f t="shared" si="281"/>
        <v>0</v>
      </c>
      <c r="W659" s="208">
        <f t="shared" si="281"/>
        <v>0</v>
      </c>
      <c r="X659" s="208">
        <f t="shared" si="281"/>
        <v>0</v>
      </c>
      <c r="Y659" s="208">
        <f t="shared" si="281"/>
        <v>0</v>
      </c>
      <c r="Z659" s="208">
        <f t="shared" si="281"/>
        <v>0</v>
      </c>
      <c r="AA659" s="208">
        <f t="shared" si="281"/>
        <v>0</v>
      </c>
      <c r="AB659" s="208">
        <f t="shared" si="281"/>
        <v>0</v>
      </c>
      <c r="AC659" s="208">
        <f t="shared" si="281"/>
        <v>0</v>
      </c>
      <c r="AD659" s="208">
        <f t="shared" si="281"/>
        <v>0</v>
      </c>
      <c r="AE659" s="208">
        <f t="shared" si="281"/>
        <v>0</v>
      </c>
      <c r="AF659" s="208">
        <f t="shared" si="281"/>
        <v>0</v>
      </c>
      <c r="AG659" s="208">
        <f t="shared" si="281"/>
        <v>0</v>
      </c>
      <c r="AH659" s="208">
        <f t="shared" si="281"/>
        <v>0</v>
      </c>
      <c r="AI659" s="208">
        <f t="shared" si="281"/>
        <v>0</v>
      </c>
      <c r="AJ659" s="208">
        <f t="shared" si="281"/>
        <v>0</v>
      </c>
      <c r="AK659" s="208">
        <f t="shared" si="281"/>
        <v>0</v>
      </c>
      <c r="AL659" s="208">
        <f t="shared" si="281"/>
        <v>0</v>
      </c>
      <c r="AM659" s="208">
        <f t="shared" si="281"/>
        <v>0</v>
      </c>
      <c r="AN659" s="208">
        <f t="shared" si="281"/>
        <v>0</v>
      </c>
      <c r="AO659" s="208">
        <f t="shared" si="281"/>
        <v>0</v>
      </c>
      <c r="AP659" s="208">
        <f t="shared" si="281"/>
        <v>0</v>
      </c>
    </row>
    <row r="660" spans="1:42">
      <c r="A660" s="37">
        <f t="shared" si="282"/>
        <v>8</v>
      </c>
      <c r="B660" s="218">
        <f t="shared" si="279"/>
        <v>0</v>
      </c>
      <c r="C660" s="250">
        <f t="shared" si="281"/>
        <v>0</v>
      </c>
      <c r="D660" s="208">
        <f t="shared" si="281"/>
        <v>0</v>
      </c>
      <c r="E660" s="208">
        <f t="shared" si="281"/>
        <v>0</v>
      </c>
      <c r="F660" s="208">
        <f t="shared" si="281"/>
        <v>0</v>
      </c>
      <c r="G660" s="208">
        <f t="shared" si="281"/>
        <v>0</v>
      </c>
      <c r="H660" s="208">
        <f t="shared" si="281"/>
        <v>0</v>
      </c>
      <c r="I660" s="208">
        <f t="shared" si="281"/>
        <v>0</v>
      </c>
      <c r="J660" s="208">
        <f t="shared" si="281"/>
        <v>0</v>
      </c>
      <c r="K660" s="208">
        <f t="shared" si="281"/>
        <v>0</v>
      </c>
      <c r="L660" s="208">
        <f t="shared" si="281"/>
        <v>0</v>
      </c>
      <c r="M660" s="208">
        <f t="shared" si="281"/>
        <v>0</v>
      </c>
      <c r="N660" s="208">
        <f t="shared" si="281"/>
        <v>0</v>
      </c>
      <c r="O660" s="208">
        <f t="shared" si="281"/>
        <v>0</v>
      </c>
      <c r="P660" s="208">
        <f t="shared" si="281"/>
        <v>0</v>
      </c>
      <c r="Q660" s="208">
        <f t="shared" si="281"/>
        <v>0</v>
      </c>
      <c r="R660" s="208">
        <f t="shared" ref="R660:AP660" si="283">IF(AND(R$2&gt;MMFrequency*$A647,R$2&lt;=MMFrequency*$A648),$B648/(MMFrequency),0)</f>
        <v>0</v>
      </c>
      <c r="S660" s="208">
        <f t="shared" si="283"/>
        <v>0</v>
      </c>
      <c r="T660" s="208">
        <f t="shared" si="283"/>
        <v>0</v>
      </c>
      <c r="U660" s="208">
        <f t="shared" si="283"/>
        <v>0</v>
      </c>
      <c r="V660" s="208">
        <f t="shared" si="283"/>
        <v>0</v>
      </c>
      <c r="W660" s="208">
        <f t="shared" si="283"/>
        <v>0</v>
      </c>
      <c r="X660" s="208">
        <f t="shared" si="283"/>
        <v>0</v>
      </c>
      <c r="Y660" s="208">
        <f t="shared" si="283"/>
        <v>0</v>
      </c>
      <c r="Z660" s="208">
        <f t="shared" si="283"/>
        <v>0</v>
      </c>
      <c r="AA660" s="208">
        <f t="shared" si="283"/>
        <v>0</v>
      </c>
      <c r="AB660" s="208">
        <f t="shared" si="283"/>
        <v>0</v>
      </c>
      <c r="AC660" s="208">
        <f t="shared" si="283"/>
        <v>0</v>
      </c>
      <c r="AD660" s="208">
        <f t="shared" si="283"/>
        <v>0</v>
      </c>
      <c r="AE660" s="208">
        <f t="shared" si="283"/>
        <v>0</v>
      </c>
      <c r="AF660" s="208">
        <f t="shared" si="283"/>
        <v>0</v>
      </c>
      <c r="AG660" s="208">
        <f t="shared" si="283"/>
        <v>0</v>
      </c>
      <c r="AH660" s="208">
        <f t="shared" si="283"/>
        <v>0</v>
      </c>
      <c r="AI660" s="208">
        <f t="shared" si="283"/>
        <v>0</v>
      </c>
      <c r="AJ660" s="208">
        <f t="shared" si="283"/>
        <v>0</v>
      </c>
      <c r="AK660" s="208">
        <f t="shared" si="283"/>
        <v>0</v>
      </c>
      <c r="AL660" s="208">
        <f t="shared" si="283"/>
        <v>0</v>
      </c>
      <c r="AM660" s="208">
        <f t="shared" si="283"/>
        <v>0</v>
      </c>
      <c r="AN660" s="208">
        <f t="shared" si="283"/>
        <v>0</v>
      </c>
      <c r="AO660" s="208">
        <f t="shared" si="283"/>
        <v>0</v>
      </c>
      <c r="AP660" s="208">
        <f t="shared" si="283"/>
        <v>0</v>
      </c>
    </row>
    <row r="661" spans="1:42">
      <c r="A661" s="37">
        <f>A660+1</f>
        <v>9</v>
      </c>
      <c r="B661" s="218">
        <f t="shared" si="279"/>
        <v>0</v>
      </c>
      <c r="C661" s="250">
        <f t="shared" ref="C661:AP662" si="284">IF(AND(C$2&gt;MMFrequency*$A648,C$2&lt;=MMFrequency*$A649),$B649/(MMFrequency),0)</f>
        <v>0</v>
      </c>
      <c r="D661" s="208">
        <f t="shared" si="284"/>
        <v>0</v>
      </c>
      <c r="E661" s="208">
        <f t="shared" si="284"/>
        <v>0</v>
      </c>
      <c r="F661" s="208">
        <f t="shared" si="284"/>
        <v>0</v>
      </c>
      <c r="G661" s="208">
        <f t="shared" si="284"/>
        <v>0</v>
      </c>
      <c r="H661" s="208">
        <f t="shared" si="284"/>
        <v>0</v>
      </c>
      <c r="I661" s="208">
        <f t="shared" si="284"/>
        <v>0</v>
      </c>
      <c r="J661" s="208">
        <f t="shared" si="284"/>
        <v>0</v>
      </c>
      <c r="K661" s="208">
        <f t="shared" si="284"/>
        <v>0</v>
      </c>
      <c r="L661" s="208">
        <f t="shared" si="284"/>
        <v>0</v>
      </c>
      <c r="M661" s="208">
        <f t="shared" si="284"/>
        <v>0</v>
      </c>
      <c r="N661" s="208">
        <f t="shared" si="284"/>
        <v>0</v>
      </c>
      <c r="O661" s="208">
        <f t="shared" si="284"/>
        <v>0</v>
      </c>
      <c r="P661" s="208">
        <f t="shared" si="284"/>
        <v>0</v>
      </c>
      <c r="Q661" s="208">
        <f t="shared" si="284"/>
        <v>0</v>
      </c>
      <c r="R661" s="208">
        <f t="shared" si="284"/>
        <v>0</v>
      </c>
      <c r="S661" s="208">
        <f t="shared" si="284"/>
        <v>0</v>
      </c>
      <c r="T661" s="208">
        <f t="shared" si="284"/>
        <v>0</v>
      </c>
      <c r="U661" s="208">
        <f t="shared" si="284"/>
        <v>0</v>
      </c>
      <c r="V661" s="208">
        <f t="shared" si="284"/>
        <v>0</v>
      </c>
      <c r="W661" s="208">
        <f t="shared" si="284"/>
        <v>0</v>
      </c>
      <c r="X661" s="208">
        <f t="shared" si="284"/>
        <v>0</v>
      </c>
      <c r="Y661" s="208">
        <f t="shared" si="284"/>
        <v>0</v>
      </c>
      <c r="Z661" s="208">
        <f t="shared" si="284"/>
        <v>0</v>
      </c>
      <c r="AA661" s="208">
        <f t="shared" si="284"/>
        <v>0</v>
      </c>
      <c r="AB661" s="208">
        <f t="shared" si="284"/>
        <v>0</v>
      </c>
      <c r="AC661" s="208">
        <f t="shared" si="284"/>
        <v>0</v>
      </c>
      <c r="AD661" s="208">
        <f t="shared" si="284"/>
        <v>0</v>
      </c>
      <c r="AE661" s="208">
        <f t="shared" si="284"/>
        <v>0</v>
      </c>
      <c r="AF661" s="208">
        <f t="shared" si="284"/>
        <v>0</v>
      </c>
      <c r="AG661" s="208">
        <f t="shared" si="284"/>
        <v>0</v>
      </c>
      <c r="AH661" s="208">
        <f t="shared" si="284"/>
        <v>0</v>
      </c>
      <c r="AI661" s="208">
        <f t="shared" si="284"/>
        <v>0</v>
      </c>
      <c r="AJ661" s="208">
        <f t="shared" si="284"/>
        <v>0</v>
      </c>
      <c r="AK661" s="208">
        <f t="shared" si="284"/>
        <v>0</v>
      </c>
      <c r="AL661" s="208">
        <f t="shared" si="284"/>
        <v>0</v>
      </c>
      <c r="AM661" s="208">
        <f t="shared" si="284"/>
        <v>0</v>
      </c>
      <c r="AN661" s="208">
        <f t="shared" si="284"/>
        <v>0</v>
      </c>
      <c r="AO661" s="208">
        <f t="shared" si="284"/>
        <v>0</v>
      </c>
      <c r="AP661" s="208">
        <f t="shared" si="284"/>
        <v>0</v>
      </c>
    </row>
    <row r="662" spans="1:42">
      <c r="A662" s="37">
        <f t="shared" ref="A662" si="285">A661+1</f>
        <v>10</v>
      </c>
      <c r="B662" s="218">
        <f t="shared" si="279"/>
        <v>0</v>
      </c>
      <c r="C662" s="246">
        <f t="shared" si="284"/>
        <v>0</v>
      </c>
      <c r="D662" s="209">
        <f t="shared" si="284"/>
        <v>0</v>
      </c>
      <c r="E662" s="209">
        <f t="shared" si="284"/>
        <v>0</v>
      </c>
      <c r="F662" s="209">
        <f t="shared" si="284"/>
        <v>0</v>
      </c>
      <c r="G662" s="209">
        <f t="shared" si="284"/>
        <v>0</v>
      </c>
      <c r="H662" s="209">
        <f t="shared" si="284"/>
        <v>0</v>
      </c>
      <c r="I662" s="209">
        <f t="shared" si="284"/>
        <v>0</v>
      </c>
      <c r="J662" s="209">
        <f t="shared" si="284"/>
        <v>0</v>
      </c>
      <c r="K662" s="209">
        <f t="shared" si="284"/>
        <v>0</v>
      </c>
      <c r="L662" s="209">
        <f t="shared" si="284"/>
        <v>0</v>
      </c>
      <c r="M662" s="209">
        <f t="shared" si="284"/>
        <v>0</v>
      </c>
      <c r="N662" s="209">
        <f t="shared" si="284"/>
        <v>0</v>
      </c>
      <c r="O662" s="209">
        <f t="shared" si="284"/>
        <v>0</v>
      </c>
      <c r="P662" s="209">
        <f t="shared" si="284"/>
        <v>0</v>
      </c>
      <c r="Q662" s="209">
        <f t="shared" si="284"/>
        <v>0</v>
      </c>
      <c r="R662" s="209">
        <f t="shared" si="284"/>
        <v>0</v>
      </c>
      <c r="S662" s="209">
        <f t="shared" si="284"/>
        <v>0</v>
      </c>
      <c r="T662" s="209">
        <f t="shared" si="284"/>
        <v>0</v>
      </c>
      <c r="U662" s="209">
        <f t="shared" si="284"/>
        <v>0</v>
      </c>
      <c r="V662" s="209">
        <f t="shared" si="284"/>
        <v>0</v>
      </c>
      <c r="W662" s="209">
        <f t="shared" si="284"/>
        <v>0</v>
      </c>
      <c r="X662" s="209">
        <f t="shared" si="284"/>
        <v>0</v>
      </c>
      <c r="Y662" s="209">
        <f t="shared" si="284"/>
        <v>0</v>
      </c>
      <c r="Z662" s="209">
        <f t="shared" si="284"/>
        <v>0</v>
      </c>
      <c r="AA662" s="209">
        <f t="shared" si="284"/>
        <v>0</v>
      </c>
      <c r="AB662" s="209">
        <f t="shared" si="284"/>
        <v>0</v>
      </c>
      <c r="AC662" s="209">
        <f t="shared" si="284"/>
        <v>0</v>
      </c>
      <c r="AD662" s="209">
        <f t="shared" si="284"/>
        <v>0</v>
      </c>
      <c r="AE662" s="209">
        <f t="shared" si="284"/>
        <v>0</v>
      </c>
      <c r="AF662" s="209">
        <f t="shared" si="284"/>
        <v>0</v>
      </c>
      <c r="AG662" s="209">
        <f t="shared" si="284"/>
        <v>0</v>
      </c>
      <c r="AH662" s="209">
        <f t="shared" si="284"/>
        <v>0</v>
      </c>
      <c r="AI662" s="209">
        <f t="shared" si="284"/>
        <v>0</v>
      </c>
      <c r="AJ662" s="209">
        <f t="shared" si="284"/>
        <v>0</v>
      </c>
      <c r="AK662" s="209">
        <f t="shared" si="284"/>
        <v>0</v>
      </c>
      <c r="AL662" s="209">
        <f t="shared" si="284"/>
        <v>0</v>
      </c>
      <c r="AM662" s="209">
        <f t="shared" si="284"/>
        <v>0</v>
      </c>
      <c r="AN662" s="209">
        <f t="shared" si="284"/>
        <v>0</v>
      </c>
      <c r="AO662" s="209">
        <f t="shared" si="284"/>
        <v>0</v>
      </c>
      <c r="AP662" s="209">
        <f t="shared" si="284"/>
        <v>0</v>
      </c>
    </row>
    <row r="663" spans="1:42">
      <c r="A663" s="244" t="s">
        <v>53</v>
      </c>
      <c r="B663" s="208"/>
      <c r="C663" s="164">
        <f>SUM(C653:C662)</f>
        <v>245406.02862510949</v>
      </c>
      <c r="D663" s="164">
        <f t="shared" ref="D663:AP663" si="286">SUM(D653:D662)</f>
        <v>245406.02862510949</v>
      </c>
      <c r="E663" s="164">
        <f t="shared" si="286"/>
        <v>245406.02862510949</v>
      </c>
      <c r="F663" s="164">
        <f t="shared" si="286"/>
        <v>245406.02862510949</v>
      </c>
      <c r="G663" s="164">
        <f t="shared" si="286"/>
        <v>245406.02862510949</v>
      </c>
      <c r="H663" s="164">
        <f t="shared" si="286"/>
        <v>245406.02862510949</v>
      </c>
      <c r="I663" s="164">
        <f t="shared" si="286"/>
        <v>245406.02862510949</v>
      </c>
      <c r="J663" s="164">
        <f t="shared" si="286"/>
        <v>245406.02862510949</v>
      </c>
      <c r="K663" s="164">
        <f t="shared" si="286"/>
        <v>245406.02862510949</v>
      </c>
      <c r="L663" s="164">
        <f t="shared" si="286"/>
        <v>245406.02862510949</v>
      </c>
      <c r="M663" s="164">
        <f t="shared" si="286"/>
        <v>245406.02862510949</v>
      </c>
      <c r="N663" s="164">
        <f t="shared" si="286"/>
        <v>245406.02862510949</v>
      </c>
      <c r="O663" s="164">
        <f t="shared" si="286"/>
        <v>293411.90721039008</v>
      </c>
      <c r="P663" s="164">
        <f t="shared" si="286"/>
        <v>293411.90721039008</v>
      </c>
      <c r="Q663" s="164">
        <f t="shared" si="286"/>
        <v>293411.90721039008</v>
      </c>
      <c r="R663" s="164">
        <f t="shared" si="286"/>
        <v>293411.90721039008</v>
      </c>
      <c r="S663" s="164">
        <f t="shared" si="286"/>
        <v>293411.90721039008</v>
      </c>
      <c r="T663" s="164">
        <f t="shared" si="286"/>
        <v>293411.90721039008</v>
      </c>
      <c r="U663" s="164">
        <f t="shared" si="286"/>
        <v>293411.90721039008</v>
      </c>
      <c r="V663" s="164">
        <f t="shared" si="286"/>
        <v>293411.90721039008</v>
      </c>
      <c r="W663" s="164">
        <f t="shared" si="286"/>
        <v>293411.90721039008</v>
      </c>
      <c r="X663" s="164">
        <f t="shared" si="286"/>
        <v>293411.90721039008</v>
      </c>
      <c r="Y663" s="164">
        <f t="shared" si="286"/>
        <v>293411.90721039008</v>
      </c>
      <c r="Z663" s="164">
        <f t="shared" si="286"/>
        <v>293411.90721039008</v>
      </c>
      <c r="AA663" s="164">
        <f t="shared" si="286"/>
        <v>0</v>
      </c>
      <c r="AB663" s="164">
        <f t="shared" si="286"/>
        <v>0</v>
      </c>
      <c r="AC663" s="164">
        <f t="shared" si="286"/>
        <v>0</v>
      </c>
      <c r="AD663" s="164">
        <f t="shared" si="286"/>
        <v>0</v>
      </c>
      <c r="AE663" s="164">
        <f t="shared" si="286"/>
        <v>0</v>
      </c>
      <c r="AF663" s="164">
        <f t="shared" si="286"/>
        <v>0</v>
      </c>
      <c r="AG663" s="164">
        <f t="shared" si="286"/>
        <v>0</v>
      </c>
      <c r="AH663" s="164">
        <f t="shared" si="286"/>
        <v>0</v>
      </c>
      <c r="AI663" s="164">
        <f t="shared" si="286"/>
        <v>0</v>
      </c>
      <c r="AJ663" s="164">
        <f t="shared" si="286"/>
        <v>0</v>
      </c>
      <c r="AK663" s="164">
        <f t="shared" si="286"/>
        <v>0</v>
      </c>
      <c r="AL663" s="164">
        <f t="shared" si="286"/>
        <v>0</v>
      </c>
      <c r="AM663" s="164">
        <f t="shared" si="286"/>
        <v>0</v>
      </c>
      <c r="AN663" s="164">
        <f t="shared" si="286"/>
        <v>0</v>
      </c>
      <c r="AO663" s="164">
        <f t="shared" si="286"/>
        <v>0</v>
      </c>
      <c r="AP663" s="164">
        <f t="shared" si="286"/>
        <v>0</v>
      </c>
    </row>
    <row r="664" spans="1:42">
      <c r="B664" s="208"/>
      <c r="C664" s="164"/>
      <c r="D664" s="164"/>
      <c r="E664" s="164"/>
      <c r="F664" s="164"/>
      <c r="G664" s="164"/>
      <c r="H664" s="164"/>
      <c r="I664" s="164"/>
      <c r="J664" s="164"/>
      <c r="K664" s="164"/>
      <c r="L664" s="164"/>
      <c r="M664" s="164"/>
      <c r="N664" s="164"/>
      <c r="O664" s="164"/>
      <c r="P664" s="164"/>
      <c r="Q664" s="164"/>
      <c r="R664" s="164"/>
      <c r="S664" s="164"/>
      <c r="T664" s="164"/>
      <c r="U664" s="164"/>
      <c r="V664" s="164"/>
      <c r="W664" s="164"/>
      <c r="X664" s="164"/>
      <c r="Y664" s="164"/>
      <c r="Z664" s="164"/>
      <c r="AA664" s="164"/>
      <c r="AB664" s="164"/>
      <c r="AC664" s="164"/>
      <c r="AD664" s="164"/>
      <c r="AE664" s="164"/>
      <c r="AF664" s="164"/>
      <c r="AG664" s="164"/>
      <c r="AH664" s="164"/>
      <c r="AI664" s="164"/>
      <c r="AJ664" s="164"/>
      <c r="AK664" s="164"/>
      <c r="AL664" s="164"/>
      <c r="AM664" s="164"/>
      <c r="AN664" s="164"/>
      <c r="AO664" s="164"/>
      <c r="AP664" s="164"/>
    </row>
    <row r="665" spans="1:42">
      <c r="A665" s="204" t="s">
        <v>376</v>
      </c>
      <c r="C665" s="164"/>
      <c r="D665" s="164"/>
      <c r="E665" s="164"/>
      <c r="F665" s="164"/>
      <c r="G665" s="164"/>
      <c r="H665" s="164"/>
      <c r="I665" s="164"/>
      <c r="J665" s="164"/>
      <c r="K665" s="164"/>
      <c r="L665" s="164"/>
      <c r="M665" s="164"/>
      <c r="N665" s="164"/>
      <c r="O665" s="164"/>
      <c r="P665" s="164"/>
      <c r="Q665" s="164"/>
      <c r="R665" s="164"/>
      <c r="S665" s="164"/>
      <c r="T665" s="164"/>
      <c r="U665" s="164"/>
      <c r="V665" s="164"/>
      <c r="W665" s="164"/>
      <c r="X665" s="164"/>
      <c r="Y665" s="164"/>
      <c r="Z665" s="164"/>
      <c r="AA665" s="164"/>
      <c r="AB665" s="164"/>
      <c r="AC665" s="164"/>
      <c r="AD665" s="164"/>
      <c r="AE665" s="164"/>
      <c r="AF665" s="164"/>
      <c r="AG665" s="164"/>
      <c r="AH665" s="164"/>
      <c r="AI665" s="164"/>
      <c r="AJ665" s="164"/>
      <c r="AK665" s="164"/>
      <c r="AL665" s="164"/>
      <c r="AM665" s="164"/>
      <c r="AN665" s="164"/>
      <c r="AO665" s="164"/>
      <c r="AP665" s="164"/>
    </row>
    <row r="666" spans="1:42">
      <c r="A666" s="37" t="s">
        <v>100</v>
      </c>
      <c r="B666" s="164">
        <v>0</v>
      </c>
      <c r="C666" s="164">
        <f>B669</f>
        <v>0</v>
      </c>
      <c r="D666" s="164">
        <f t="shared" ref="D666:AP666" si="287">C669</f>
        <v>410585.24356465257</v>
      </c>
      <c r="E666" s="164">
        <f t="shared" si="287"/>
        <v>821170.48712930514</v>
      </c>
      <c r="F666" s="164">
        <f t="shared" si="287"/>
        <v>1231755.7306939578</v>
      </c>
      <c r="G666" s="164">
        <f t="shared" si="287"/>
        <v>1642340.9742586103</v>
      </c>
      <c r="H666" s="164">
        <f t="shared" si="287"/>
        <v>2052926.2178232628</v>
      </c>
      <c r="I666" s="164">
        <f t="shared" si="287"/>
        <v>2463511.4613879155</v>
      </c>
      <c r="J666" s="164">
        <f t="shared" si="287"/>
        <v>2874096.7049525683</v>
      </c>
      <c r="K666" s="164">
        <f t="shared" si="287"/>
        <v>3284681.948517221</v>
      </c>
      <c r="L666" s="164">
        <f t="shared" si="287"/>
        <v>3695267.1920818738</v>
      </c>
      <c r="M666" s="164">
        <f t="shared" si="287"/>
        <v>4105852.4356465265</v>
      </c>
      <c r="N666" s="164">
        <f t="shared" si="287"/>
        <v>4516437.6792111788</v>
      </c>
      <c r="O666" s="164">
        <f t="shared" si="287"/>
        <v>4927022.9227758311</v>
      </c>
      <c r="P666" s="164">
        <f t="shared" si="287"/>
        <v>5337608.1663404834</v>
      </c>
      <c r="Q666" s="164">
        <f t="shared" si="287"/>
        <v>5748193.4099051356</v>
      </c>
      <c r="R666" s="164">
        <f t="shared" si="287"/>
        <v>0</v>
      </c>
      <c r="S666" s="164">
        <f t="shared" si="287"/>
        <v>513326.83759962226</v>
      </c>
      <c r="T666" s="164">
        <f t="shared" si="287"/>
        <v>1026653.6751992445</v>
      </c>
      <c r="U666" s="164">
        <f t="shared" si="287"/>
        <v>1539980.5127988667</v>
      </c>
      <c r="V666" s="164">
        <f t="shared" si="287"/>
        <v>2053307.350398489</v>
      </c>
      <c r="W666" s="164">
        <f t="shared" si="287"/>
        <v>2566634.1879981114</v>
      </c>
      <c r="X666" s="164">
        <f t="shared" si="287"/>
        <v>3079961.0255977334</v>
      </c>
      <c r="Y666" s="164">
        <f t="shared" si="287"/>
        <v>3593287.8631973555</v>
      </c>
      <c r="Z666" s="164">
        <f t="shared" si="287"/>
        <v>4106614.7007969776</v>
      </c>
      <c r="AA666" s="164">
        <f t="shared" si="287"/>
        <v>4619941.5383965997</v>
      </c>
      <c r="AB666" s="164">
        <f t="shared" si="287"/>
        <v>5133268.3759962218</v>
      </c>
      <c r="AC666" s="164">
        <f t="shared" si="287"/>
        <v>5646595.2135958439</v>
      </c>
      <c r="AD666" s="164">
        <f t="shared" si="287"/>
        <v>6159922.051195466</v>
      </c>
      <c r="AE666" s="164">
        <f t="shared" si="287"/>
        <v>6673248.888795088</v>
      </c>
      <c r="AF666" s="164">
        <f t="shared" si="287"/>
        <v>7186575.7263947101</v>
      </c>
      <c r="AG666" s="164">
        <f t="shared" si="287"/>
        <v>0</v>
      </c>
      <c r="AH666" s="164">
        <f t="shared" si="287"/>
        <v>0</v>
      </c>
      <c r="AI666" s="164">
        <f t="shared" si="287"/>
        <v>0</v>
      </c>
      <c r="AJ666" s="164">
        <f t="shared" si="287"/>
        <v>0</v>
      </c>
      <c r="AK666" s="164">
        <f t="shared" si="287"/>
        <v>0</v>
      </c>
      <c r="AL666" s="164">
        <f t="shared" si="287"/>
        <v>0</v>
      </c>
      <c r="AM666" s="164">
        <f t="shared" si="287"/>
        <v>0</v>
      </c>
      <c r="AN666" s="164">
        <f t="shared" si="287"/>
        <v>0</v>
      </c>
      <c r="AO666" s="164">
        <f t="shared" si="287"/>
        <v>0</v>
      </c>
      <c r="AP666" s="164">
        <f t="shared" si="287"/>
        <v>0</v>
      </c>
    </row>
    <row r="667" spans="1:42">
      <c r="A667" s="37" t="s">
        <v>208</v>
      </c>
      <c r="B667" s="164">
        <v>0</v>
      </c>
      <c r="C667" s="164">
        <f>C695</f>
        <v>410585.24356465257</v>
      </c>
      <c r="D667" s="164">
        <f t="shared" ref="D667:AP667" si="288">D695</f>
        <v>410585.24356465257</v>
      </c>
      <c r="E667" s="164">
        <f t="shared" si="288"/>
        <v>410585.24356465257</v>
      </c>
      <c r="F667" s="164">
        <f t="shared" si="288"/>
        <v>410585.24356465257</v>
      </c>
      <c r="G667" s="164">
        <f t="shared" si="288"/>
        <v>410585.24356465257</v>
      </c>
      <c r="H667" s="164">
        <f t="shared" si="288"/>
        <v>410585.24356465257</v>
      </c>
      <c r="I667" s="164">
        <f t="shared" si="288"/>
        <v>410585.24356465257</v>
      </c>
      <c r="J667" s="164">
        <f t="shared" si="288"/>
        <v>410585.24356465257</v>
      </c>
      <c r="K667" s="164">
        <f t="shared" si="288"/>
        <v>410585.24356465257</v>
      </c>
      <c r="L667" s="164">
        <f t="shared" si="288"/>
        <v>410585.24356465257</v>
      </c>
      <c r="M667" s="164">
        <f t="shared" si="288"/>
        <v>410585.24356465257</v>
      </c>
      <c r="N667" s="164">
        <f t="shared" si="288"/>
        <v>410585.24356465257</v>
      </c>
      <c r="O667" s="164">
        <f t="shared" si="288"/>
        <v>410585.24356465257</v>
      </c>
      <c r="P667" s="164">
        <f t="shared" si="288"/>
        <v>410585.24356465257</v>
      </c>
      <c r="Q667" s="164">
        <f t="shared" si="288"/>
        <v>410585.24356465257</v>
      </c>
      <c r="R667" s="164">
        <f t="shared" si="288"/>
        <v>513326.83759962226</v>
      </c>
      <c r="S667" s="164">
        <f t="shared" si="288"/>
        <v>513326.83759962226</v>
      </c>
      <c r="T667" s="164">
        <f t="shared" si="288"/>
        <v>513326.83759962226</v>
      </c>
      <c r="U667" s="164">
        <f t="shared" si="288"/>
        <v>513326.83759962226</v>
      </c>
      <c r="V667" s="164">
        <f t="shared" si="288"/>
        <v>513326.83759962226</v>
      </c>
      <c r="W667" s="164">
        <f t="shared" si="288"/>
        <v>513326.83759962226</v>
      </c>
      <c r="X667" s="164">
        <f t="shared" si="288"/>
        <v>513326.83759962226</v>
      </c>
      <c r="Y667" s="164">
        <f t="shared" si="288"/>
        <v>513326.83759962226</v>
      </c>
      <c r="Z667" s="164">
        <f t="shared" si="288"/>
        <v>513326.83759962226</v>
      </c>
      <c r="AA667" s="164">
        <f t="shared" si="288"/>
        <v>513326.83759962226</v>
      </c>
      <c r="AB667" s="164">
        <f t="shared" si="288"/>
        <v>513326.83759962226</v>
      </c>
      <c r="AC667" s="164">
        <f t="shared" si="288"/>
        <v>513326.83759962226</v>
      </c>
      <c r="AD667" s="164">
        <f t="shared" si="288"/>
        <v>513326.83759962226</v>
      </c>
      <c r="AE667" s="164">
        <f t="shared" si="288"/>
        <v>513326.83759962226</v>
      </c>
      <c r="AF667" s="164">
        <f t="shared" si="288"/>
        <v>513326.83759962226</v>
      </c>
      <c r="AG667" s="164">
        <f t="shared" si="288"/>
        <v>0</v>
      </c>
      <c r="AH667" s="164">
        <f t="shared" si="288"/>
        <v>0</v>
      </c>
      <c r="AI667" s="164">
        <f t="shared" si="288"/>
        <v>0</v>
      </c>
      <c r="AJ667" s="164">
        <f t="shared" si="288"/>
        <v>0</v>
      </c>
      <c r="AK667" s="164">
        <f t="shared" si="288"/>
        <v>0</v>
      </c>
      <c r="AL667" s="164">
        <f t="shared" si="288"/>
        <v>0</v>
      </c>
      <c r="AM667" s="164">
        <f t="shared" si="288"/>
        <v>0</v>
      </c>
      <c r="AN667" s="164">
        <f t="shared" si="288"/>
        <v>0</v>
      </c>
      <c r="AO667" s="164">
        <f t="shared" si="288"/>
        <v>0</v>
      </c>
      <c r="AP667" s="164">
        <f t="shared" si="288"/>
        <v>0</v>
      </c>
    </row>
    <row r="668" spans="1:42">
      <c r="A668" s="37" t="s">
        <v>107</v>
      </c>
      <c r="B668" s="209">
        <v>0</v>
      </c>
      <c r="C668" s="209">
        <f>-C683</f>
        <v>0</v>
      </c>
      <c r="D668" s="209">
        <f t="shared" ref="D668:AP668" si="289">-D683</f>
        <v>0</v>
      </c>
      <c r="E668" s="209">
        <f t="shared" si="289"/>
        <v>0</v>
      </c>
      <c r="F668" s="209">
        <f t="shared" si="289"/>
        <v>0</v>
      </c>
      <c r="G668" s="209">
        <f t="shared" si="289"/>
        <v>0</v>
      </c>
      <c r="H668" s="209">
        <f t="shared" si="289"/>
        <v>0</v>
      </c>
      <c r="I668" s="209">
        <f t="shared" si="289"/>
        <v>0</v>
      </c>
      <c r="J668" s="209">
        <f t="shared" si="289"/>
        <v>0</v>
      </c>
      <c r="K668" s="209">
        <f t="shared" si="289"/>
        <v>0</v>
      </c>
      <c r="L668" s="209">
        <f t="shared" si="289"/>
        <v>0</v>
      </c>
      <c r="M668" s="209">
        <f t="shared" si="289"/>
        <v>0</v>
      </c>
      <c r="N668" s="209">
        <f t="shared" si="289"/>
        <v>0</v>
      </c>
      <c r="O668" s="209">
        <f t="shared" si="289"/>
        <v>0</v>
      </c>
      <c r="P668" s="209">
        <f t="shared" si="289"/>
        <v>0</v>
      </c>
      <c r="Q668" s="209">
        <f t="shared" si="289"/>
        <v>-6158778.6534697888</v>
      </c>
      <c r="R668" s="209">
        <f t="shared" si="289"/>
        <v>0</v>
      </c>
      <c r="S668" s="209">
        <f t="shared" si="289"/>
        <v>0</v>
      </c>
      <c r="T668" s="209">
        <f t="shared" si="289"/>
        <v>0</v>
      </c>
      <c r="U668" s="209">
        <f t="shared" si="289"/>
        <v>0</v>
      </c>
      <c r="V668" s="209">
        <f t="shared" si="289"/>
        <v>0</v>
      </c>
      <c r="W668" s="209">
        <f t="shared" si="289"/>
        <v>0</v>
      </c>
      <c r="X668" s="209">
        <f t="shared" si="289"/>
        <v>0</v>
      </c>
      <c r="Y668" s="209">
        <f t="shared" si="289"/>
        <v>0</v>
      </c>
      <c r="Z668" s="209">
        <f t="shared" si="289"/>
        <v>0</v>
      </c>
      <c r="AA668" s="209">
        <f t="shared" si="289"/>
        <v>0</v>
      </c>
      <c r="AB668" s="209">
        <f t="shared" si="289"/>
        <v>0</v>
      </c>
      <c r="AC668" s="209">
        <f t="shared" si="289"/>
        <v>0</v>
      </c>
      <c r="AD668" s="209">
        <f t="shared" si="289"/>
        <v>0</v>
      </c>
      <c r="AE668" s="209">
        <f t="shared" si="289"/>
        <v>0</v>
      </c>
      <c r="AF668" s="209">
        <f t="shared" si="289"/>
        <v>-7699902.5639943341</v>
      </c>
      <c r="AG668" s="209">
        <f t="shared" si="289"/>
        <v>0</v>
      </c>
      <c r="AH668" s="209">
        <f t="shared" si="289"/>
        <v>0</v>
      </c>
      <c r="AI668" s="209">
        <f t="shared" si="289"/>
        <v>0</v>
      </c>
      <c r="AJ668" s="209">
        <f t="shared" si="289"/>
        <v>0</v>
      </c>
      <c r="AK668" s="209">
        <f t="shared" si="289"/>
        <v>0</v>
      </c>
      <c r="AL668" s="209">
        <f t="shared" si="289"/>
        <v>0</v>
      </c>
      <c r="AM668" s="209">
        <f t="shared" si="289"/>
        <v>0</v>
      </c>
      <c r="AN668" s="209">
        <f t="shared" si="289"/>
        <v>0</v>
      </c>
      <c r="AO668" s="209">
        <f t="shared" si="289"/>
        <v>0</v>
      </c>
      <c r="AP668" s="209">
        <f t="shared" si="289"/>
        <v>0</v>
      </c>
    </row>
    <row r="669" spans="1:42">
      <c r="A669" s="37" t="s">
        <v>103</v>
      </c>
      <c r="B669" s="164">
        <f>SUM(B666:B668)</f>
        <v>0</v>
      </c>
      <c r="C669" s="164">
        <f>SUM(C666:C668)</f>
        <v>410585.24356465257</v>
      </c>
      <c r="D669" s="164">
        <f t="shared" ref="D669:AP669" si="290">SUM(D666:D668)</f>
        <v>821170.48712930514</v>
      </c>
      <c r="E669" s="164">
        <f t="shared" si="290"/>
        <v>1231755.7306939578</v>
      </c>
      <c r="F669" s="164">
        <f t="shared" si="290"/>
        <v>1642340.9742586103</v>
      </c>
      <c r="G669" s="164">
        <f t="shared" si="290"/>
        <v>2052926.2178232628</v>
      </c>
      <c r="H669" s="164">
        <f t="shared" si="290"/>
        <v>2463511.4613879155</v>
      </c>
      <c r="I669" s="164">
        <f t="shared" si="290"/>
        <v>2874096.7049525683</v>
      </c>
      <c r="J669" s="164">
        <f t="shared" si="290"/>
        <v>3284681.948517221</v>
      </c>
      <c r="K669" s="164">
        <f t="shared" si="290"/>
        <v>3695267.1920818738</v>
      </c>
      <c r="L669" s="164">
        <f t="shared" si="290"/>
        <v>4105852.4356465265</v>
      </c>
      <c r="M669" s="164">
        <f t="shared" si="290"/>
        <v>4516437.6792111788</v>
      </c>
      <c r="N669" s="164">
        <f t="shared" si="290"/>
        <v>4927022.9227758311</v>
      </c>
      <c r="O669" s="164">
        <f t="shared" si="290"/>
        <v>5337608.1663404834</v>
      </c>
      <c r="P669" s="164">
        <f t="shared" si="290"/>
        <v>5748193.4099051356</v>
      </c>
      <c r="Q669" s="164">
        <f t="shared" si="290"/>
        <v>0</v>
      </c>
      <c r="R669" s="164">
        <f t="shared" si="290"/>
        <v>513326.83759962226</v>
      </c>
      <c r="S669" s="164">
        <f t="shared" si="290"/>
        <v>1026653.6751992445</v>
      </c>
      <c r="T669" s="164">
        <f t="shared" si="290"/>
        <v>1539980.5127988667</v>
      </c>
      <c r="U669" s="164">
        <f t="shared" si="290"/>
        <v>2053307.350398489</v>
      </c>
      <c r="V669" s="164">
        <f t="shared" si="290"/>
        <v>2566634.1879981114</v>
      </c>
      <c r="W669" s="164">
        <f t="shared" si="290"/>
        <v>3079961.0255977334</v>
      </c>
      <c r="X669" s="164">
        <f t="shared" si="290"/>
        <v>3593287.8631973555</v>
      </c>
      <c r="Y669" s="164">
        <f t="shared" si="290"/>
        <v>4106614.7007969776</v>
      </c>
      <c r="Z669" s="164">
        <f t="shared" si="290"/>
        <v>4619941.5383965997</v>
      </c>
      <c r="AA669" s="164">
        <f t="shared" si="290"/>
        <v>5133268.3759962218</v>
      </c>
      <c r="AB669" s="164">
        <f t="shared" si="290"/>
        <v>5646595.2135958439</v>
      </c>
      <c r="AC669" s="164">
        <f t="shared" si="290"/>
        <v>6159922.051195466</v>
      </c>
      <c r="AD669" s="164">
        <f t="shared" si="290"/>
        <v>6673248.888795088</v>
      </c>
      <c r="AE669" s="164">
        <f t="shared" si="290"/>
        <v>7186575.7263947101</v>
      </c>
      <c r="AF669" s="164">
        <f t="shared" si="290"/>
        <v>0</v>
      </c>
      <c r="AG669" s="164">
        <f t="shared" si="290"/>
        <v>0</v>
      </c>
      <c r="AH669" s="164">
        <f t="shared" si="290"/>
        <v>0</v>
      </c>
      <c r="AI669" s="164">
        <f t="shared" si="290"/>
        <v>0</v>
      </c>
      <c r="AJ669" s="164">
        <f t="shared" si="290"/>
        <v>0</v>
      </c>
      <c r="AK669" s="164">
        <f t="shared" si="290"/>
        <v>0</v>
      </c>
      <c r="AL669" s="164">
        <f t="shared" si="290"/>
        <v>0</v>
      </c>
      <c r="AM669" s="164">
        <f t="shared" si="290"/>
        <v>0</v>
      </c>
      <c r="AN669" s="164">
        <f t="shared" si="290"/>
        <v>0</v>
      </c>
      <c r="AO669" s="164">
        <f t="shared" si="290"/>
        <v>0</v>
      </c>
      <c r="AP669" s="164">
        <f t="shared" si="290"/>
        <v>0</v>
      </c>
    </row>
    <row r="670" spans="1:42">
      <c r="B670" s="164"/>
      <c r="C670" s="164"/>
      <c r="D670" s="164"/>
      <c r="E670" s="164"/>
      <c r="F670" s="164"/>
      <c r="G670" s="208"/>
      <c r="H670" s="208"/>
      <c r="I670" s="208"/>
      <c r="J670" s="208"/>
      <c r="K670" s="208"/>
      <c r="L670" s="208"/>
      <c r="M670" s="208"/>
      <c r="N670" s="208"/>
      <c r="O670" s="208"/>
      <c r="P670" s="208"/>
      <c r="Q670" s="208"/>
      <c r="R670" s="208"/>
      <c r="S670" s="208"/>
      <c r="T670" s="208"/>
      <c r="U670" s="208"/>
      <c r="V670" s="208"/>
      <c r="W670" s="208"/>
      <c r="X670" s="208"/>
      <c r="Y670" s="208"/>
      <c r="Z670" s="208"/>
      <c r="AA670" s="208"/>
      <c r="AB670" s="208"/>
      <c r="AC670" s="208"/>
      <c r="AD670" s="208"/>
      <c r="AE670" s="208"/>
      <c r="AF670" s="208"/>
      <c r="AG670" s="208"/>
      <c r="AH670" s="208"/>
      <c r="AI670" s="208"/>
      <c r="AJ670" s="208"/>
      <c r="AK670" s="208"/>
      <c r="AL670" s="208"/>
      <c r="AM670" s="208"/>
      <c r="AN670" s="208"/>
      <c r="AO670" s="208"/>
      <c r="AP670" s="208"/>
    </row>
    <row r="671" spans="1:42">
      <c r="A671" s="37" t="s">
        <v>206</v>
      </c>
      <c r="B671" s="164"/>
      <c r="C671" s="164"/>
      <c r="D671" s="164"/>
      <c r="E671" s="164"/>
      <c r="F671" s="164"/>
      <c r="G671" s="208"/>
      <c r="H671" s="208"/>
      <c r="I671" s="208"/>
      <c r="J671" s="208"/>
      <c r="K671" s="208"/>
      <c r="L671" s="208"/>
      <c r="M671" s="208"/>
      <c r="N671" s="208"/>
      <c r="O671" s="208"/>
      <c r="P671" s="208"/>
      <c r="Q671" s="208"/>
      <c r="R671" s="208"/>
      <c r="S671" s="208"/>
      <c r="T671" s="208"/>
      <c r="U671" s="208"/>
      <c r="V671" s="208"/>
      <c r="W671" s="208"/>
      <c r="X671" s="208"/>
      <c r="Y671" s="208"/>
      <c r="Z671" s="208"/>
      <c r="AA671" s="208"/>
      <c r="AB671" s="208"/>
      <c r="AC671" s="208"/>
      <c r="AD671" s="208"/>
      <c r="AE671" s="208"/>
      <c r="AF671" s="208"/>
      <c r="AG671" s="208"/>
      <c r="AH671" s="208"/>
      <c r="AI671" s="208"/>
      <c r="AJ671" s="208"/>
      <c r="AK671" s="208"/>
      <c r="AL671" s="208"/>
      <c r="AM671" s="208"/>
      <c r="AN671" s="208"/>
      <c r="AO671" s="208"/>
      <c r="AP671" s="208"/>
    </row>
    <row r="672" spans="1:42">
      <c r="A672" s="37" t="s">
        <v>207</v>
      </c>
      <c r="B672" s="164"/>
      <c r="C672" s="164"/>
      <c r="D672" s="164"/>
      <c r="E672" s="164"/>
      <c r="F672" s="164"/>
      <c r="G672" s="208"/>
      <c r="H672" s="208"/>
      <c r="I672" s="208"/>
      <c r="J672" s="208"/>
      <c r="K672" s="208"/>
      <c r="L672" s="208"/>
      <c r="M672" s="208"/>
      <c r="N672" s="208"/>
      <c r="O672" s="208"/>
      <c r="P672" s="208"/>
      <c r="Q672" s="208"/>
      <c r="R672" s="208"/>
      <c r="S672" s="208"/>
      <c r="T672" s="208"/>
      <c r="U672" s="208"/>
      <c r="V672" s="208"/>
      <c r="W672" s="208"/>
      <c r="X672" s="208"/>
      <c r="Y672" s="208"/>
      <c r="Z672" s="208"/>
      <c r="AA672" s="208"/>
      <c r="AB672" s="208"/>
      <c r="AC672" s="208"/>
      <c r="AD672" s="208"/>
      <c r="AE672" s="208"/>
      <c r="AF672" s="208"/>
      <c r="AG672" s="208"/>
      <c r="AH672" s="208"/>
      <c r="AI672" s="208"/>
      <c r="AJ672" s="208"/>
      <c r="AK672" s="208"/>
      <c r="AL672" s="208"/>
      <c r="AM672" s="208"/>
      <c r="AN672" s="208"/>
      <c r="AO672" s="208"/>
      <c r="AP672" s="208"/>
    </row>
    <row r="673" spans="1:42">
      <c r="A673" s="37">
        <v>1</v>
      </c>
      <c r="B673" s="218">
        <f t="shared" ref="B673:B682" si="291">SUM(C673:AP673)</f>
        <v>6158778.6534697888</v>
      </c>
      <c r="C673" s="208">
        <f t="shared" ref="C673:AP679" si="292">IF(C$2&gt;AnalysisPeriod,0,IF(C$2=MMFrequency2*$A673,MMCost2*CapacityDC*1000*(1+Inflation)^B$2,0))</f>
        <v>0</v>
      </c>
      <c r="D673" s="208">
        <f t="shared" si="292"/>
        <v>0</v>
      </c>
      <c r="E673" s="208">
        <f t="shared" si="292"/>
        <v>0</v>
      </c>
      <c r="F673" s="208">
        <f t="shared" si="292"/>
        <v>0</v>
      </c>
      <c r="G673" s="208">
        <f t="shared" si="292"/>
        <v>0</v>
      </c>
      <c r="H673" s="208">
        <f t="shared" si="292"/>
        <v>0</v>
      </c>
      <c r="I673" s="208">
        <f t="shared" si="292"/>
        <v>0</v>
      </c>
      <c r="J673" s="208">
        <f t="shared" si="292"/>
        <v>0</v>
      </c>
      <c r="K673" s="208">
        <f t="shared" si="292"/>
        <v>0</v>
      </c>
      <c r="L673" s="208">
        <f t="shared" si="292"/>
        <v>0</v>
      </c>
      <c r="M673" s="208">
        <f t="shared" si="292"/>
        <v>0</v>
      </c>
      <c r="N673" s="208">
        <f t="shared" si="292"/>
        <v>0</v>
      </c>
      <c r="O673" s="208">
        <f t="shared" si="292"/>
        <v>0</v>
      </c>
      <c r="P673" s="208">
        <f t="shared" si="292"/>
        <v>0</v>
      </c>
      <c r="Q673" s="208">
        <f t="shared" si="292"/>
        <v>6158778.6534697888</v>
      </c>
      <c r="R673" s="208">
        <f t="shared" si="292"/>
        <v>0</v>
      </c>
      <c r="S673" s="208">
        <f t="shared" si="292"/>
        <v>0</v>
      </c>
      <c r="T673" s="208">
        <f t="shared" si="292"/>
        <v>0</v>
      </c>
      <c r="U673" s="208">
        <f t="shared" si="292"/>
        <v>0</v>
      </c>
      <c r="V673" s="208">
        <f t="shared" si="292"/>
        <v>0</v>
      </c>
      <c r="W673" s="208">
        <f t="shared" si="292"/>
        <v>0</v>
      </c>
      <c r="X673" s="208">
        <f t="shared" si="292"/>
        <v>0</v>
      </c>
      <c r="Y673" s="208">
        <f t="shared" si="292"/>
        <v>0</v>
      </c>
      <c r="Z673" s="208">
        <f t="shared" si="292"/>
        <v>0</v>
      </c>
      <c r="AA673" s="208">
        <f t="shared" si="292"/>
        <v>0</v>
      </c>
      <c r="AB673" s="208">
        <f t="shared" si="292"/>
        <v>0</v>
      </c>
      <c r="AC673" s="208">
        <f t="shared" si="292"/>
        <v>0</v>
      </c>
      <c r="AD673" s="208">
        <f t="shared" si="292"/>
        <v>0</v>
      </c>
      <c r="AE673" s="208">
        <f t="shared" si="292"/>
        <v>0</v>
      </c>
      <c r="AF673" s="208">
        <f t="shared" si="292"/>
        <v>0</v>
      </c>
      <c r="AG673" s="208">
        <f t="shared" si="292"/>
        <v>0</v>
      </c>
      <c r="AH673" s="208">
        <f t="shared" si="292"/>
        <v>0</v>
      </c>
      <c r="AI673" s="208">
        <f t="shared" si="292"/>
        <v>0</v>
      </c>
      <c r="AJ673" s="208">
        <f t="shared" si="292"/>
        <v>0</v>
      </c>
      <c r="AK673" s="208">
        <f t="shared" si="292"/>
        <v>0</v>
      </c>
      <c r="AL673" s="208">
        <f t="shared" si="292"/>
        <v>0</v>
      </c>
      <c r="AM673" s="208">
        <f t="shared" si="292"/>
        <v>0</v>
      </c>
      <c r="AN673" s="208">
        <f t="shared" si="292"/>
        <v>0</v>
      </c>
      <c r="AO673" s="208">
        <f t="shared" si="292"/>
        <v>0</v>
      </c>
      <c r="AP673" s="208">
        <f t="shared" si="292"/>
        <v>0</v>
      </c>
    </row>
    <row r="674" spans="1:42">
      <c r="A674" s="37">
        <f>A673+1</f>
        <v>2</v>
      </c>
      <c r="B674" s="218">
        <f t="shared" si="291"/>
        <v>7699902.5639943341</v>
      </c>
      <c r="C674" s="208">
        <f t="shared" si="292"/>
        <v>0</v>
      </c>
      <c r="D674" s="208">
        <f t="shared" si="292"/>
        <v>0</v>
      </c>
      <c r="E674" s="208">
        <f t="shared" si="292"/>
        <v>0</v>
      </c>
      <c r="F674" s="208">
        <f t="shared" si="292"/>
        <v>0</v>
      </c>
      <c r="G674" s="208">
        <f t="shared" si="292"/>
        <v>0</v>
      </c>
      <c r="H674" s="208">
        <f t="shared" si="292"/>
        <v>0</v>
      </c>
      <c r="I674" s="208">
        <f t="shared" si="292"/>
        <v>0</v>
      </c>
      <c r="J674" s="208">
        <f t="shared" si="292"/>
        <v>0</v>
      </c>
      <c r="K674" s="208">
        <f t="shared" si="292"/>
        <v>0</v>
      </c>
      <c r="L674" s="208">
        <f t="shared" si="292"/>
        <v>0</v>
      </c>
      <c r="M674" s="208">
        <f t="shared" si="292"/>
        <v>0</v>
      </c>
      <c r="N674" s="208">
        <f t="shared" si="292"/>
        <v>0</v>
      </c>
      <c r="O674" s="208">
        <f t="shared" si="292"/>
        <v>0</v>
      </c>
      <c r="P674" s="208">
        <f t="shared" si="292"/>
        <v>0</v>
      </c>
      <c r="Q674" s="208">
        <f t="shared" si="292"/>
        <v>0</v>
      </c>
      <c r="R674" s="208">
        <f t="shared" si="292"/>
        <v>0</v>
      </c>
      <c r="S674" s="208">
        <f t="shared" si="292"/>
        <v>0</v>
      </c>
      <c r="T674" s="208">
        <f t="shared" si="292"/>
        <v>0</v>
      </c>
      <c r="U674" s="208">
        <f t="shared" si="292"/>
        <v>0</v>
      </c>
      <c r="V674" s="208">
        <f t="shared" si="292"/>
        <v>0</v>
      </c>
      <c r="W674" s="208">
        <f t="shared" si="292"/>
        <v>0</v>
      </c>
      <c r="X674" s="208">
        <f t="shared" si="292"/>
        <v>0</v>
      </c>
      <c r="Y674" s="208">
        <f t="shared" si="292"/>
        <v>0</v>
      </c>
      <c r="Z674" s="208">
        <f t="shared" si="292"/>
        <v>0</v>
      </c>
      <c r="AA674" s="208">
        <f t="shared" si="292"/>
        <v>0</v>
      </c>
      <c r="AB674" s="208">
        <f t="shared" si="292"/>
        <v>0</v>
      </c>
      <c r="AC674" s="208">
        <f t="shared" si="292"/>
        <v>0</v>
      </c>
      <c r="AD674" s="208">
        <f t="shared" si="292"/>
        <v>0</v>
      </c>
      <c r="AE674" s="208">
        <f t="shared" si="292"/>
        <v>0</v>
      </c>
      <c r="AF674" s="208">
        <f t="shared" si="292"/>
        <v>7699902.5639943341</v>
      </c>
      <c r="AG674" s="208">
        <f t="shared" si="292"/>
        <v>0</v>
      </c>
      <c r="AH674" s="208">
        <f t="shared" si="292"/>
        <v>0</v>
      </c>
      <c r="AI674" s="208">
        <f t="shared" si="292"/>
        <v>0</v>
      </c>
      <c r="AJ674" s="208">
        <f t="shared" si="292"/>
        <v>0</v>
      </c>
      <c r="AK674" s="208">
        <f t="shared" si="292"/>
        <v>0</v>
      </c>
      <c r="AL674" s="208">
        <f t="shared" si="292"/>
        <v>0</v>
      </c>
      <c r="AM674" s="208">
        <f t="shared" si="292"/>
        <v>0</v>
      </c>
      <c r="AN674" s="208">
        <f t="shared" si="292"/>
        <v>0</v>
      </c>
      <c r="AO674" s="208">
        <f t="shared" si="292"/>
        <v>0</v>
      </c>
      <c r="AP674" s="208">
        <f t="shared" si="292"/>
        <v>0</v>
      </c>
    </row>
    <row r="675" spans="1:42">
      <c r="A675" s="37">
        <f t="shared" ref="A675:A682" si="293">A674+1</f>
        <v>3</v>
      </c>
      <c r="B675" s="218">
        <f t="shared" si="291"/>
        <v>0</v>
      </c>
      <c r="C675" s="208">
        <f t="shared" si="292"/>
        <v>0</v>
      </c>
      <c r="D675" s="208">
        <f t="shared" si="292"/>
        <v>0</v>
      </c>
      <c r="E675" s="208">
        <f t="shared" si="292"/>
        <v>0</v>
      </c>
      <c r="F675" s="208">
        <f t="shared" si="292"/>
        <v>0</v>
      </c>
      <c r="G675" s="208">
        <f t="shared" si="292"/>
        <v>0</v>
      </c>
      <c r="H675" s="208">
        <f t="shared" si="292"/>
        <v>0</v>
      </c>
      <c r="I675" s="208">
        <f t="shared" si="292"/>
        <v>0</v>
      </c>
      <c r="J675" s="208">
        <f t="shared" si="292"/>
        <v>0</v>
      </c>
      <c r="K675" s="208">
        <f t="shared" si="292"/>
        <v>0</v>
      </c>
      <c r="L675" s="208">
        <f t="shared" si="292"/>
        <v>0</v>
      </c>
      <c r="M675" s="208">
        <f t="shared" si="292"/>
        <v>0</v>
      </c>
      <c r="N675" s="208">
        <f t="shared" si="292"/>
        <v>0</v>
      </c>
      <c r="O675" s="208">
        <f t="shared" si="292"/>
        <v>0</v>
      </c>
      <c r="P675" s="208">
        <f t="shared" si="292"/>
        <v>0</v>
      </c>
      <c r="Q675" s="208">
        <f t="shared" si="292"/>
        <v>0</v>
      </c>
      <c r="R675" s="208">
        <f t="shared" si="292"/>
        <v>0</v>
      </c>
      <c r="S675" s="208">
        <f t="shared" si="292"/>
        <v>0</v>
      </c>
      <c r="T675" s="208">
        <f t="shared" si="292"/>
        <v>0</v>
      </c>
      <c r="U675" s="208">
        <f t="shared" si="292"/>
        <v>0</v>
      </c>
      <c r="V675" s="208">
        <f t="shared" si="292"/>
        <v>0</v>
      </c>
      <c r="W675" s="208">
        <f t="shared" si="292"/>
        <v>0</v>
      </c>
      <c r="X675" s="208">
        <f t="shared" si="292"/>
        <v>0</v>
      </c>
      <c r="Y675" s="208">
        <f t="shared" si="292"/>
        <v>0</v>
      </c>
      <c r="Z675" s="208">
        <f t="shared" si="292"/>
        <v>0</v>
      </c>
      <c r="AA675" s="208">
        <f t="shared" si="292"/>
        <v>0</v>
      </c>
      <c r="AB675" s="208">
        <f t="shared" si="292"/>
        <v>0</v>
      </c>
      <c r="AC675" s="208">
        <f t="shared" si="292"/>
        <v>0</v>
      </c>
      <c r="AD675" s="208">
        <f t="shared" si="292"/>
        <v>0</v>
      </c>
      <c r="AE675" s="208">
        <f t="shared" si="292"/>
        <v>0</v>
      </c>
      <c r="AF675" s="208">
        <f t="shared" si="292"/>
        <v>0</v>
      </c>
      <c r="AG675" s="208">
        <f t="shared" si="292"/>
        <v>0</v>
      </c>
      <c r="AH675" s="208">
        <f t="shared" si="292"/>
        <v>0</v>
      </c>
      <c r="AI675" s="208">
        <f t="shared" si="292"/>
        <v>0</v>
      </c>
      <c r="AJ675" s="208">
        <f t="shared" si="292"/>
        <v>0</v>
      </c>
      <c r="AK675" s="208">
        <f t="shared" si="292"/>
        <v>0</v>
      </c>
      <c r="AL675" s="208">
        <f t="shared" si="292"/>
        <v>0</v>
      </c>
      <c r="AM675" s="208">
        <f t="shared" si="292"/>
        <v>0</v>
      </c>
      <c r="AN675" s="208">
        <f t="shared" si="292"/>
        <v>0</v>
      </c>
      <c r="AO675" s="208">
        <f t="shared" si="292"/>
        <v>0</v>
      </c>
      <c r="AP675" s="208">
        <f t="shared" si="292"/>
        <v>0</v>
      </c>
    </row>
    <row r="676" spans="1:42">
      <c r="A676" s="37">
        <f t="shared" si="293"/>
        <v>4</v>
      </c>
      <c r="B676" s="218">
        <f t="shared" si="291"/>
        <v>0</v>
      </c>
      <c r="C676" s="208">
        <f t="shared" si="292"/>
        <v>0</v>
      </c>
      <c r="D676" s="208">
        <f t="shared" si="292"/>
        <v>0</v>
      </c>
      <c r="E676" s="208">
        <f t="shared" si="292"/>
        <v>0</v>
      </c>
      <c r="F676" s="208">
        <f t="shared" si="292"/>
        <v>0</v>
      </c>
      <c r="G676" s="208">
        <f t="shared" si="292"/>
        <v>0</v>
      </c>
      <c r="H676" s="208">
        <f t="shared" si="292"/>
        <v>0</v>
      </c>
      <c r="I676" s="208">
        <f t="shared" si="292"/>
        <v>0</v>
      </c>
      <c r="J676" s="208">
        <f t="shared" si="292"/>
        <v>0</v>
      </c>
      <c r="K676" s="208">
        <f t="shared" si="292"/>
        <v>0</v>
      </c>
      <c r="L676" s="208">
        <f t="shared" si="292"/>
        <v>0</v>
      </c>
      <c r="M676" s="208">
        <f t="shared" si="292"/>
        <v>0</v>
      </c>
      <c r="N676" s="208">
        <f t="shared" si="292"/>
        <v>0</v>
      </c>
      <c r="O676" s="208">
        <f t="shared" si="292"/>
        <v>0</v>
      </c>
      <c r="P676" s="208">
        <f t="shared" si="292"/>
        <v>0</v>
      </c>
      <c r="Q676" s="208">
        <f t="shared" si="292"/>
        <v>0</v>
      </c>
      <c r="R676" s="208">
        <f t="shared" si="292"/>
        <v>0</v>
      </c>
      <c r="S676" s="208">
        <f t="shared" si="292"/>
        <v>0</v>
      </c>
      <c r="T676" s="208">
        <f t="shared" si="292"/>
        <v>0</v>
      </c>
      <c r="U676" s="208">
        <f t="shared" si="292"/>
        <v>0</v>
      </c>
      <c r="V676" s="208">
        <f t="shared" si="292"/>
        <v>0</v>
      </c>
      <c r="W676" s="208">
        <f t="shared" si="292"/>
        <v>0</v>
      </c>
      <c r="X676" s="208">
        <f t="shared" si="292"/>
        <v>0</v>
      </c>
      <c r="Y676" s="208">
        <f t="shared" si="292"/>
        <v>0</v>
      </c>
      <c r="Z676" s="208">
        <f t="shared" si="292"/>
        <v>0</v>
      </c>
      <c r="AA676" s="208">
        <f t="shared" si="292"/>
        <v>0</v>
      </c>
      <c r="AB676" s="208">
        <f t="shared" si="292"/>
        <v>0</v>
      </c>
      <c r="AC676" s="208">
        <f t="shared" si="292"/>
        <v>0</v>
      </c>
      <c r="AD676" s="208">
        <f t="shared" si="292"/>
        <v>0</v>
      </c>
      <c r="AE676" s="208">
        <f t="shared" si="292"/>
        <v>0</v>
      </c>
      <c r="AF676" s="208">
        <f t="shared" si="292"/>
        <v>0</v>
      </c>
      <c r="AG676" s="208">
        <f t="shared" si="292"/>
        <v>0</v>
      </c>
      <c r="AH676" s="208">
        <f t="shared" si="292"/>
        <v>0</v>
      </c>
      <c r="AI676" s="208">
        <f t="shared" si="292"/>
        <v>0</v>
      </c>
      <c r="AJ676" s="208">
        <f t="shared" si="292"/>
        <v>0</v>
      </c>
      <c r="AK676" s="208">
        <f t="shared" si="292"/>
        <v>0</v>
      </c>
      <c r="AL676" s="208">
        <f t="shared" si="292"/>
        <v>0</v>
      </c>
      <c r="AM676" s="208">
        <f t="shared" si="292"/>
        <v>0</v>
      </c>
      <c r="AN676" s="208">
        <f t="shared" si="292"/>
        <v>0</v>
      </c>
      <c r="AO676" s="208">
        <f t="shared" si="292"/>
        <v>0</v>
      </c>
      <c r="AP676" s="208">
        <f t="shared" si="292"/>
        <v>0</v>
      </c>
    </row>
    <row r="677" spans="1:42">
      <c r="A677" s="37">
        <f t="shared" si="293"/>
        <v>5</v>
      </c>
      <c r="B677" s="218">
        <f t="shared" si="291"/>
        <v>0</v>
      </c>
      <c r="C677" s="208">
        <f t="shared" si="292"/>
        <v>0</v>
      </c>
      <c r="D677" s="208">
        <f t="shared" si="292"/>
        <v>0</v>
      </c>
      <c r="E677" s="208">
        <f t="shared" si="292"/>
        <v>0</v>
      </c>
      <c r="F677" s="208">
        <f t="shared" si="292"/>
        <v>0</v>
      </c>
      <c r="G677" s="208">
        <f t="shared" si="292"/>
        <v>0</v>
      </c>
      <c r="H677" s="208">
        <f t="shared" si="292"/>
        <v>0</v>
      </c>
      <c r="I677" s="208">
        <f t="shared" si="292"/>
        <v>0</v>
      </c>
      <c r="J677" s="208">
        <f t="shared" si="292"/>
        <v>0</v>
      </c>
      <c r="K677" s="208">
        <f t="shared" si="292"/>
        <v>0</v>
      </c>
      <c r="L677" s="208">
        <f t="shared" si="292"/>
        <v>0</v>
      </c>
      <c r="M677" s="208">
        <f t="shared" si="292"/>
        <v>0</v>
      </c>
      <c r="N677" s="208">
        <f t="shared" si="292"/>
        <v>0</v>
      </c>
      <c r="O677" s="208">
        <f t="shared" si="292"/>
        <v>0</v>
      </c>
      <c r="P677" s="208">
        <f t="shared" si="292"/>
        <v>0</v>
      </c>
      <c r="Q677" s="208">
        <f t="shared" si="292"/>
        <v>0</v>
      </c>
      <c r="R677" s="208">
        <f t="shared" si="292"/>
        <v>0</v>
      </c>
      <c r="S677" s="208">
        <f t="shared" si="292"/>
        <v>0</v>
      </c>
      <c r="T677" s="208">
        <f t="shared" si="292"/>
        <v>0</v>
      </c>
      <c r="U677" s="208">
        <f t="shared" si="292"/>
        <v>0</v>
      </c>
      <c r="V677" s="208">
        <f t="shared" si="292"/>
        <v>0</v>
      </c>
      <c r="W677" s="208">
        <f t="shared" si="292"/>
        <v>0</v>
      </c>
      <c r="X677" s="208">
        <f t="shared" si="292"/>
        <v>0</v>
      </c>
      <c r="Y677" s="208">
        <f t="shared" si="292"/>
        <v>0</v>
      </c>
      <c r="Z677" s="208">
        <f t="shared" si="292"/>
        <v>0</v>
      </c>
      <c r="AA677" s="208">
        <f t="shared" si="292"/>
        <v>0</v>
      </c>
      <c r="AB677" s="208">
        <f t="shared" si="292"/>
        <v>0</v>
      </c>
      <c r="AC677" s="208">
        <f t="shared" si="292"/>
        <v>0</v>
      </c>
      <c r="AD677" s="208">
        <f t="shared" si="292"/>
        <v>0</v>
      </c>
      <c r="AE677" s="208">
        <f t="shared" si="292"/>
        <v>0</v>
      </c>
      <c r="AF677" s="208">
        <f t="shared" si="292"/>
        <v>0</v>
      </c>
      <c r="AG677" s="208">
        <f t="shared" si="292"/>
        <v>0</v>
      </c>
      <c r="AH677" s="208">
        <f t="shared" si="292"/>
        <v>0</v>
      </c>
      <c r="AI677" s="208">
        <f t="shared" si="292"/>
        <v>0</v>
      </c>
      <c r="AJ677" s="208">
        <f t="shared" si="292"/>
        <v>0</v>
      </c>
      <c r="AK677" s="208">
        <f t="shared" si="292"/>
        <v>0</v>
      </c>
      <c r="AL677" s="208">
        <f t="shared" si="292"/>
        <v>0</v>
      </c>
      <c r="AM677" s="208">
        <f t="shared" si="292"/>
        <v>0</v>
      </c>
      <c r="AN677" s="208">
        <f t="shared" si="292"/>
        <v>0</v>
      </c>
      <c r="AO677" s="208">
        <f t="shared" si="292"/>
        <v>0</v>
      </c>
      <c r="AP677" s="208">
        <f t="shared" si="292"/>
        <v>0</v>
      </c>
    </row>
    <row r="678" spans="1:42">
      <c r="A678" s="37">
        <f t="shared" si="293"/>
        <v>6</v>
      </c>
      <c r="B678" s="218">
        <f t="shared" si="291"/>
        <v>0</v>
      </c>
      <c r="C678" s="208">
        <f t="shared" si="292"/>
        <v>0</v>
      </c>
      <c r="D678" s="208">
        <f t="shared" si="292"/>
        <v>0</v>
      </c>
      <c r="E678" s="208">
        <f t="shared" si="292"/>
        <v>0</v>
      </c>
      <c r="F678" s="208">
        <f t="shared" si="292"/>
        <v>0</v>
      </c>
      <c r="G678" s="208">
        <f t="shared" si="292"/>
        <v>0</v>
      </c>
      <c r="H678" s="208">
        <f t="shared" si="292"/>
        <v>0</v>
      </c>
      <c r="I678" s="208">
        <f t="shared" si="292"/>
        <v>0</v>
      </c>
      <c r="J678" s="208">
        <f t="shared" si="292"/>
        <v>0</v>
      </c>
      <c r="K678" s="208">
        <f t="shared" si="292"/>
        <v>0</v>
      </c>
      <c r="L678" s="208">
        <f t="shared" si="292"/>
        <v>0</v>
      </c>
      <c r="M678" s="208">
        <f t="shared" si="292"/>
        <v>0</v>
      </c>
      <c r="N678" s="208">
        <f t="shared" si="292"/>
        <v>0</v>
      </c>
      <c r="O678" s="208">
        <f t="shared" si="292"/>
        <v>0</v>
      </c>
      <c r="P678" s="208">
        <f t="shared" si="292"/>
        <v>0</v>
      </c>
      <c r="Q678" s="208">
        <f t="shared" si="292"/>
        <v>0</v>
      </c>
      <c r="R678" s="208">
        <f t="shared" si="292"/>
        <v>0</v>
      </c>
      <c r="S678" s="208">
        <f t="shared" si="292"/>
        <v>0</v>
      </c>
      <c r="T678" s="208">
        <f t="shared" si="292"/>
        <v>0</v>
      </c>
      <c r="U678" s="208">
        <f t="shared" si="292"/>
        <v>0</v>
      </c>
      <c r="V678" s="208">
        <f t="shared" si="292"/>
        <v>0</v>
      </c>
      <c r="W678" s="208">
        <f t="shared" si="292"/>
        <v>0</v>
      </c>
      <c r="X678" s="208">
        <f t="shared" si="292"/>
        <v>0</v>
      </c>
      <c r="Y678" s="208">
        <f t="shared" si="292"/>
        <v>0</v>
      </c>
      <c r="Z678" s="208">
        <f t="shared" si="292"/>
        <v>0</v>
      </c>
      <c r="AA678" s="208">
        <f t="shared" si="292"/>
        <v>0</v>
      </c>
      <c r="AB678" s="208">
        <f t="shared" si="292"/>
        <v>0</v>
      </c>
      <c r="AC678" s="208">
        <f t="shared" si="292"/>
        <v>0</v>
      </c>
      <c r="AD678" s="208">
        <f t="shared" si="292"/>
        <v>0</v>
      </c>
      <c r="AE678" s="208">
        <f t="shared" si="292"/>
        <v>0</v>
      </c>
      <c r="AF678" s="208">
        <f t="shared" si="292"/>
        <v>0</v>
      </c>
      <c r="AG678" s="208">
        <f t="shared" si="292"/>
        <v>0</v>
      </c>
      <c r="AH678" s="208">
        <f t="shared" si="292"/>
        <v>0</v>
      </c>
      <c r="AI678" s="208">
        <f t="shared" si="292"/>
        <v>0</v>
      </c>
      <c r="AJ678" s="208">
        <f t="shared" si="292"/>
        <v>0</v>
      </c>
      <c r="AK678" s="208">
        <f t="shared" si="292"/>
        <v>0</v>
      </c>
      <c r="AL678" s="208">
        <f t="shared" si="292"/>
        <v>0</v>
      </c>
      <c r="AM678" s="208">
        <f t="shared" si="292"/>
        <v>0</v>
      </c>
      <c r="AN678" s="208">
        <f t="shared" si="292"/>
        <v>0</v>
      </c>
      <c r="AO678" s="208">
        <f t="shared" si="292"/>
        <v>0</v>
      </c>
      <c r="AP678" s="208">
        <f t="shared" si="292"/>
        <v>0</v>
      </c>
    </row>
    <row r="679" spans="1:42">
      <c r="A679" s="37">
        <f t="shared" si="293"/>
        <v>7</v>
      </c>
      <c r="B679" s="218">
        <f t="shared" si="291"/>
        <v>0</v>
      </c>
      <c r="C679" s="208">
        <f t="shared" si="292"/>
        <v>0</v>
      </c>
      <c r="D679" s="208">
        <f t="shared" si="292"/>
        <v>0</v>
      </c>
      <c r="E679" s="208">
        <f t="shared" si="292"/>
        <v>0</v>
      </c>
      <c r="F679" s="208">
        <f t="shared" si="292"/>
        <v>0</v>
      </c>
      <c r="G679" s="208">
        <f t="shared" si="292"/>
        <v>0</v>
      </c>
      <c r="H679" s="208">
        <f t="shared" si="292"/>
        <v>0</v>
      </c>
      <c r="I679" s="208">
        <f t="shared" si="292"/>
        <v>0</v>
      </c>
      <c r="J679" s="208">
        <f t="shared" si="292"/>
        <v>0</v>
      </c>
      <c r="K679" s="208">
        <f t="shared" si="292"/>
        <v>0</v>
      </c>
      <c r="L679" s="208">
        <f t="shared" si="292"/>
        <v>0</v>
      </c>
      <c r="M679" s="208">
        <f t="shared" si="292"/>
        <v>0</v>
      </c>
      <c r="N679" s="208">
        <f t="shared" si="292"/>
        <v>0</v>
      </c>
      <c r="O679" s="208">
        <f t="shared" si="292"/>
        <v>0</v>
      </c>
      <c r="P679" s="208">
        <f t="shared" si="292"/>
        <v>0</v>
      </c>
      <c r="Q679" s="208">
        <f t="shared" si="292"/>
        <v>0</v>
      </c>
      <c r="R679" s="208">
        <f t="shared" ref="R679:AP679" si="294">IF(R$2&gt;AnalysisPeriod,0,IF(R$2=MMFrequency2*$A679,MMCost2*CapacityDC*1000*(1+Inflation)^Q$2,0))</f>
        <v>0</v>
      </c>
      <c r="S679" s="208">
        <f t="shared" si="294"/>
        <v>0</v>
      </c>
      <c r="T679" s="208">
        <f t="shared" si="294"/>
        <v>0</v>
      </c>
      <c r="U679" s="208">
        <f t="shared" si="294"/>
        <v>0</v>
      </c>
      <c r="V679" s="208">
        <f t="shared" si="294"/>
        <v>0</v>
      </c>
      <c r="W679" s="208">
        <f t="shared" si="294"/>
        <v>0</v>
      </c>
      <c r="X679" s="208">
        <f t="shared" si="294"/>
        <v>0</v>
      </c>
      <c r="Y679" s="208">
        <f t="shared" si="294"/>
        <v>0</v>
      </c>
      <c r="Z679" s="208">
        <f t="shared" si="294"/>
        <v>0</v>
      </c>
      <c r="AA679" s="208">
        <f t="shared" si="294"/>
        <v>0</v>
      </c>
      <c r="AB679" s="208">
        <f t="shared" si="294"/>
        <v>0</v>
      </c>
      <c r="AC679" s="208">
        <f t="shared" si="294"/>
        <v>0</v>
      </c>
      <c r="AD679" s="208">
        <f t="shared" si="294"/>
        <v>0</v>
      </c>
      <c r="AE679" s="208">
        <f t="shared" si="294"/>
        <v>0</v>
      </c>
      <c r="AF679" s="208">
        <f t="shared" si="294"/>
        <v>0</v>
      </c>
      <c r="AG679" s="208">
        <f t="shared" si="294"/>
        <v>0</v>
      </c>
      <c r="AH679" s="208">
        <f t="shared" si="294"/>
        <v>0</v>
      </c>
      <c r="AI679" s="208">
        <f t="shared" si="294"/>
        <v>0</v>
      </c>
      <c r="AJ679" s="208">
        <f t="shared" si="294"/>
        <v>0</v>
      </c>
      <c r="AK679" s="208">
        <f t="shared" si="294"/>
        <v>0</v>
      </c>
      <c r="AL679" s="208">
        <f t="shared" si="294"/>
        <v>0</v>
      </c>
      <c r="AM679" s="208">
        <f t="shared" si="294"/>
        <v>0</v>
      </c>
      <c r="AN679" s="208">
        <f t="shared" si="294"/>
        <v>0</v>
      </c>
      <c r="AO679" s="208">
        <f t="shared" si="294"/>
        <v>0</v>
      </c>
      <c r="AP679" s="208">
        <f t="shared" si="294"/>
        <v>0</v>
      </c>
    </row>
    <row r="680" spans="1:42">
      <c r="A680" s="37">
        <f t="shared" si="293"/>
        <v>8</v>
      </c>
      <c r="B680" s="218">
        <f t="shared" si="291"/>
        <v>0</v>
      </c>
      <c r="C680" s="208">
        <f t="shared" ref="C680:AP682" si="295">IF(C$2&gt;AnalysisPeriod,0,IF(C$2=MMFrequency2*$A680,MMCost2*CapacityDC*1000*(1+Inflation)^B$2,0))</f>
        <v>0</v>
      </c>
      <c r="D680" s="208">
        <f t="shared" si="295"/>
        <v>0</v>
      </c>
      <c r="E680" s="208">
        <f t="shared" si="295"/>
        <v>0</v>
      </c>
      <c r="F680" s="208">
        <f t="shared" si="295"/>
        <v>0</v>
      </c>
      <c r="G680" s="208">
        <f t="shared" si="295"/>
        <v>0</v>
      </c>
      <c r="H680" s="208">
        <f t="shared" si="295"/>
        <v>0</v>
      </c>
      <c r="I680" s="208">
        <f t="shared" si="295"/>
        <v>0</v>
      </c>
      <c r="J680" s="208">
        <f t="shared" si="295"/>
        <v>0</v>
      </c>
      <c r="K680" s="208">
        <f t="shared" si="295"/>
        <v>0</v>
      </c>
      <c r="L680" s="208">
        <f t="shared" si="295"/>
        <v>0</v>
      </c>
      <c r="M680" s="208">
        <f t="shared" si="295"/>
        <v>0</v>
      </c>
      <c r="N680" s="208">
        <f t="shared" si="295"/>
        <v>0</v>
      </c>
      <c r="O680" s="208">
        <f t="shared" si="295"/>
        <v>0</v>
      </c>
      <c r="P680" s="208">
        <f t="shared" si="295"/>
        <v>0</v>
      </c>
      <c r="Q680" s="208">
        <f t="shared" si="295"/>
        <v>0</v>
      </c>
      <c r="R680" s="208">
        <f t="shared" si="295"/>
        <v>0</v>
      </c>
      <c r="S680" s="208">
        <f t="shared" si="295"/>
        <v>0</v>
      </c>
      <c r="T680" s="208">
        <f t="shared" si="295"/>
        <v>0</v>
      </c>
      <c r="U680" s="208">
        <f t="shared" si="295"/>
        <v>0</v>
      </c>
      <c r="V680" s="208">
        <f t="shared" si="295"/>
        <v>0</v>
      </c>
      <c r="W680" s="208">
        <f t="shared" si="295"/>
        <v>0</v>
      </c>
      <c r="X680" s="208">
        <f t="shared" si="295"/>
        <v>0</v>
      </c>
      <c r="Y680" s="208">
        <f t="shared" si="295"/>
        <v>0</v>
      </c>
      <c r="Z680" s="208">
        <f t="shared" si="295"/>
        <v>0</v>
      </c>
      <c r="AA680" s="208">
        <f t="shared" si="295"/>
        <v>0</v>
      </c>
      <c r="AB680" s="208">
        <f t="shared" si="295"/>
        <v>0</v>
      </c>
      <c r="AC680" s="208">
        <f t="shared" si="295"/>
        <v>0</v>
      </c>
      <c r="AD680" s="208">
        <f t="shared" si="295"/>
        <v>0</v>
      </c>
      <c r="AE680" s="208">
        <f t="shared" si="295"/>
        <v>0</v>
      </c>
      <c r="AF680" s="208">
        <f t="shared" si="295"/>
        <v>0</v>
      </c>
      <c r="AG680" s="208">
        <f t="shared" si="295"/>
        <v>0</v>
      </c>
      <c r="AH680" s="208">
        <f t="shared" si="295"/>
        <v>0</v>
      </c>
      <c r="AI680" s="208">
        <f t="shared" si="295"/>
        <v>0</v>
      </c>
      <c r="AJ680" s="208">
        <f t="shared" si="295"/>
        <v>0</v>
      </c>
      <c r="AK680" s="208">
        <f t="shared" si="295"/>
        <v>0</v>
      </c>
      <c r="AL680" s="208">
        <f t="shared" si="295"/>
        <v>0</v>
      </c>
      <c r="AM680" s="208">
        <f t="shared" si="295"/>
        <v>0</v>
      </c>
      <c r="AN680" s="208">
        <f t="shared" si="295"/>
        <v>0</v>
      </c>
      <c r="AO680" s="208">
        <f t="shared" si="295"/>
        <v>0</v>
      </c>
      <c r="AP680" s="208">
        <f t="shared" si="295"/>
        <v>0</v>
      </c>
    </row>
    <row r="681" spans="1:42">
      <c r="A681" s="37">
        <f>A680+1</f>
        <v>9</v>
      </c>
      <c r="B681" s="218">
        <f t="shared" si="291"/>
        <v>0</v>
      </c>
      <c r="C681" s="208">
        <f t="shared" si="295"/>
        <v>0</v>
      </c>
      <c r="D681" s="208">
        <f t="shared" si="295"/>
        <v>0</v>
      </c>
      <c r="E681" s="208">
        <f t="shared" si="295"/>
        <v>0</v>
      </c>
      <c r="F681" s="208">
        <f t="shared" si="295"/>
        <v>0</v>
      </c>
      <c r="G681" s="208">
        <f t="shared" si="295"/>
        <v>0</v>
      </c>
      <c r="H681" s="208">
        <f t="shared" si="295"/>
        <v>0</v>
      </c>
      <c r="I681" s="208">
        <f t="shared" si="295"/>
        <v>0</v>
      </c>
      <c r="J681" s="208">
        <f t="shared" si="295"/>
        <v>0</v>
      </c>
      <c r="K681" s="208">
        <f t="shared" si="295"/>
        <v>0</v>
      </c>
      <c r="L681" s="208">
        <f t="shared" si="295"/>
        <v>0</v>
      </c>
      <c r="M681" s="208">
        <f t="shared" si="295"/>
        <v>0</v>
      </c>
      <c r="N681" s="208">
        <f t="shared" si="295"/>
        <v>0</v>
      </c>
      <c r="O681" s="208">
        <f t="shared" si="295"/>
        <v>0</v>
      </c>
      <c r="P681" s="208">
        <f t="shared" si="295"/>
        <v>0</v>
      </c>
      <c r="Q681" s="208">
        <f t="shared" si="295"/>
        <v>0</v>
      </c>
      <c r="R681" s="208">
        <f t="shared" si="295"/>
        <v>0</v>
      </c>
      <c r="S681" s="208">
        <f t="shared" si="295"/>
        <v>0</v>
      </c>
      <c r="T681" s="208">
        <f t="shared" si="295"/>
        <v>0</v>
      </c>
      <c r="U681" s="208">
        <f t="shared" si="295"/>
        <v>0</v>
      </c>
      <c r="V681" s="208">
        <f t="shared" si="295"/>
        <v>0</v>
      </c>
      <c r="W681" s="208">
        <f t="shared" si="295"/>
        <v>0</v>
      </c>
      <c r="X681" s="208">
        <f t="shared" si="295"/>
        <v>0</v>
      </c>
      <c r="Y681" s="208">
        <f t="shared" si="295"/>
        <v>0</v>
      </c>
      <c r="Z681" s="208">
        <f t="shared" si="295"/>
        <v>0</v>
      </c>
      <c r="AA681" s="208">
        <f t="shared" si="295"/>
        <v>0</v>
      </c>
      <c r="AB681" s="208">
        <f t="shared" si="295"/>
        <v>0</v>
      </c>
      <c r="AC681" s="208">
        <f t="shared" si="295"/>
        <v>0</v>
      </c>
      <c r="AD681" s="208">
        <f t="shared" si="295"/>
        <v>0</v>
      </c>
      <c r="AE681" s="208">
        <f t="shared" si="295"/>
        <v>0</v>
      </c>
      <c r="AF681" s="208">
        <f t="shared" si="295"/>
        <v>0</v>
      </c>
      <c r="AG681" s="208">
        <f t="shared" si="295"/>
        <v>0</v>
      </c>
      <c r="AH681" s="208">
        <f t="shared" si="295"/>
        <v>0</v>
      </c>
      <c r="AI681" s="208">
        <f t="shared" si="295"/>
        <v>0</v>
      </c>
      <c r="AJ681" s="208">
        <f t="shared" si="295"/>
        <v>0</v>
      </c>
      <c r="AK681" s="208">
        <f t="shared" si="295"/>
        <v>0</v>
      </c>
      <c r="AL681" s="208">
        <f t="shared" si="295"/>
        <v>0</v>
      </c>
      <c r="AM681" s="208">
        <f t="shared" si="295"/>
        <v>0</v>
      </c>
      <c r="AN681" s="208">
        <f t="shared" si="295"/>
        <v>0</v>
      </c>
      <c r="AO681" s="208">
        <f t="shared" si="295"/>
        <v>0</v>
      </c>
      <c r="AP681" s="208">
        <f t="shared" si="295"/>
        <v>0</v>
      </c>
    </row>
    <row r="682" spans="1:42">
      <c r="A682" s="37">
        <f t="shared" si="293"/>
        <v>10</v>
      </c>
      <c r="B682" s="218">
        <f t="shared" si="291"/>
        <v>0</v>
      </c>
      <c r="C682" s="209">
        <f t="shared" si="295"/>
        <v>0</v>
      </c>
      <c r="D682" s="209">
        <f t="shared" si="295"/>
        <v>0</v>
      </c>
      <c r="E682" s="209">
        <f t="shared" si="295"/>
        <v>0</v>
      </c>
      <c r="F682" s="209">
        <f t="shared" si="295"/>
        <v>0</v>
      </c>
      <c r="G682" s="209">
        <f t="shared" si="295"/>
        <v>0</v>
      </c>
      <c r="H682" s="209">
        <f t="shared" si="295"/>
        <v>0</v>
      </c>
      <c r="I682" s="209">
        <f t="shared" si="295"/>
        <v>0</v>
      </c>
      <c r="J682" s="209">
        <f t="shared" si="295"/>
        <v>0</v>
      </c>
      <c r="K682" s="209">
        <f t="shared" si="295"/>
        <v>0</v>
      </c>
      <c r="L682" s="209">
        <f t="shared" si="295"/>
        <v>0</v>
      </c>
      <c r="M682" s="209">
        <f t="shared" si="295"/>
        <v>0</v>
      </c>
      <c r="N682" s="209">
        <f t="shared" si="295"/>
        <v>0</v>
      </c>
      <c r="O682" s="209">
        <f t="shared" si="295"/>
        <v>0</v>
      </c>
      <c r="P682" s="209">
        <f t="shared" si="295"/>
        <v>0</v>
      </c>
      <c r="Q682" s="209">
        <f t="shared" si="295"/>
        <v>0</v>
      </c>
      <c r="R682" s="209">
        <f t="shared" si="295"/>
        <v>0</v>
      </c>
      <c r="S682" s="209">
        <f t="shared" si="295"/>
        <v>0</v>
      </c>
      <c r="T682" s="209">
        <f t="shared" si="295"/>
        <v>0</v>
      </c>
      <c r="U682" s="209">
        <f t="shared" si="295"/>
        <v>0</v>
      </c>
      <c r="V682" s="209">
        <f t="shared" si="295"/>
        <v>0</v>
      </c>
      <c r="W682" s="209">
        <f t="shared" si="295"/>
        <v>0</v>
      </c>
      <c r="X682" s="209">
        <f t="shared" si="295"/>
        <v>0</v>
      </c>
      <c r="Y682" s="209">
        <f t="shared" si="295"/>
        <v>0</v>
      </c>
      <c r="Z682" s="209">
        <f t="shared" si="295"/>
        <v>0</v>
      </c>
      <c r="AA682" s="209">
        <f t="shared" si="295"/>
        <v>0</v>
      </c>
      <c r="AB682" s="209">
        <f t="shared" si="295"/>
        <v>0</v>
      </c>
      <c r="AC682" s="209">
        <f t="shared" si="295"/>
        <v>0</v>
      </c>
      <c r="AD682" s="209">
        <f t="shared" si="295"/>
        <v>0</v>
      </c>
      <c r="AE682" s="209">
        <f t="shared" si="295"/>
        <v>0</v>
      </c>
      <c r="AF682" s="209">
        <f t="shared" si="295"/>
        <v>0</v>
      </c>
      <c r="AG682" s="209">
        <f t="shared" si="295"/>
        <v>0</v>
      </c>
      <c r="AH682" s="209">
        <f t="shared" si="295"/>
        <v>0</v>
      </c>
      <c r="AI682" s="209">
        <f t="shared" si="295"/>
        <v>0</v>
      </c>
      <c r="AJ682" s="209">
        <f t="shared" si="295"/>
        <v>0</v>
      </c>
      <c r="AK682" s="209">
        <f t="shared" si="295"/>
        <v>0</v>
      </c>
      <c r="AL682" s="209">
        <f t="shared" si="295"/>
        <v>0</v>
      </c>
      <c r="AM682" s="209">
        <f t="shared" si="295"/>
        <v>0</v>
      </c>
      <c r="AN682" s="209">
        <f t="shared" si="295"/>
        <v>0</v>
      </c>
      <c r="AO682" s="209">
        <f t="shared" si="295"/>
        <v>0</v>
      </c>
      <c r="AP682" s="209">
        <f t="shared" si="295"/>
        <v>0</v>
      </c>
    </row>
    <row r="683" spans="1:42">
      <c r="A683" s="244" t="s">
        <v>53</v>
      </c>
      <c r="B683" s="208"/>
      <c r="C683" s="164">
        <f>SUM(C673:C682)</f>
        <v>0</v>
      </c>
      <c r="D683" s="164">
        <f t="shared" ref="D683:AP683" si="296">SUM(D673:D682)</f>
        <v>0</v>
      </c>
      <c r="E683" s="164">
        <f t="shared" si="296"/>
        <v>0</v>
      </c>
      <c r="F683" s="164">
        <f t="shared" si="296"/>
        <v>0</v>
      </c>
      <c r="G683" s="164">
        <f t="shared" si="296"/>
        <v>0</v>
      </c>
      <c r="H683" s="164">
        <f t="shared" si="296"/>
        <v>0</v>
      </c>
      <c r="I683" s="164">
        <f t="shared" si="296"/>
        <v>0</v>
      </c>
      <c r="J683" s="164">
        <f t="shared" si="296"/>
        <v>0</v>
      </c>
      <c r="K683" s="164">
        <f t="shared" si="296"/>
        <v>0</v>
      </c>
      <c r="L683" s="164">
        <f t="shared" si="296"/>
        <v>0</v>
      </c>
      <c r="M683" s="164">
        <f t="shared" si="296"/>
        <v>0</v>
      </c>
      <c r="N683" s="164">
        <f t="shared" si="296"/>
        <v>0</v>
      </c>
      <c r="O683" s="164">
        <f t="shared" si="296"/>
        <v>0</v>
      </c>
      <c r="P683" s="164">
        <f t="shared" si="296"/>
        <v>0</v>
      </c>
      <c r="Q683" s="164">
        <f t="shared" si="296"/>
        <v>6158778.6534697888</v>
      </c>
      <c r="R683" s="164">
        <f t="shared" si="296"/>
        <v>0</v>
      </c>
      <c r="S683" s="164">
        <f t="shared" si="296"/>
        <v>0</v>
      </c>
      <c r="T683" s="164">
        <f t="shared" si="296"/>
        <v>0</v>
      </c>
      <c r="U683" s="164">
        <f t="shared" si="296"/>
        <v>0</v>
      </c>
      <c r="V683" s="164">
        <f t="shared" si="296"/>
        <v>0</v>
      </c>
      <c r="W683" s="164">
        <f t="shared" si="296"/>
        <v>0</v>
      </c>
      <c r="X683" s="164">
        <f t="shared" si="296"/>
        <v>0</v>
      </c>
      <c r="Y683" s="164">
        <f t="shared" si="296"/>
        <v>0</v>
      </c>
      <c r="Z683" s="164">
        <f t="shared" si="296"/>
        <v>0</v>
      </c>
      <c r="AA683" s="164">
        <f t="shared" si="296"/>
        <v>0</v>
      </c>
      <c r="AB683" s="164">
        <f t="shared" si="296"/>
        <v>0</v>
      </c>
      <c r="AC683" s="164">
        <f t="shared" si="296"/>
        <v>0</v>
      </c>
      <c r="AD683" s="164">
        <f t="shared" si="296"/>
        <v>0</v>
      </c>
      <c r="AE683" s="164">
        <f t="shared" si="296"/>
        <v>0</v>
      </c>
      <c r="AF683" s="164">
        <f t="shared" si="296"/>
        <v>7699902.5639943341</v>
      </c>
      <c r="AG683" s="164">
        <f t="shared" si="296"/>
        <v>0</v>
      </c>
      <c r="AH683" s="164">
        <f t="shared" si="296"/>
        <v>0</v>
      </c>
      <c r="AI683" s="164">
        <f t="shared" si="296"/>
        <v>0</v>
      </c>
      <c r="AJ683" s="164">
        <f t="shared" si="296"/>
        <v>0</v>
      </c>
      <c r="AK683" s="164">
        <f t="shared" si="296"/>
        <v>0</v>
      </c>
      <c r="AL683" s="164">
        <f t="shared" si="296"/>
        <v>0</v>
      </c>
      <c r="AM683" s="164">
        <f t="shared" si="296"/>
        <v>0</v>
      </c>
      <c r="AN683" s="164">
        <f t="shared" si="296"/>
        <v>0</v>
      </c>
      <c r="AO683" s="164">
        <f t="shared" si="296"/>
        <v>0</v>
      </c>
      <c r="AP683" s="164">
        <f t="shared" si="296"/>
        <v>0</v>
      </c>
    </row>
    <row r="684" spans="1:42">
      <c r="A684" s="37" t="s">
        <v>209</v>
      </c>
      <c r="B684" s="164"/>
      <c r="C684" s="164"/>
      <c r="D684" s="164"/>
      <c r="E684" s="164"/>
      <c r="F684" s="164"/>
      <c r="G684" s="208"/>
      <c r="H684" s="208"/>
      <c r="I684" s="208"/>
      <c r="J684" s="208"/>
      <c r="K684" s="208"/>
      <c r="L684" s="208"/>
      <c r="M684" s="208"/>
      <c r="N684" s="208"/>
      <c r="O684" s="208"/>
      <c r="P684" s="208"/>
      <c r="Q684" s="208"/>
      <c r="R684" s="208"/>
      <c r="S684" s="208"/>
      <c r="T684" s="208"/>
      <c r="U684" s="208"/>
      <c r="V684" s="208"/>
      <c r="W684" s="208"/>
      <c r="X684" s="208"/>
      <c r="Y684" s="208"/>
      <c r="Z684" s="208"/>
      <c r="AA684" s="208"/>
      <c r="AB684" s="208"/>
      <c r="AC684" s="208"/>
      <c r="AD684" s="208"/>
      <c r="AE684" s="208"/>
      <c r="AF684" s="208"/>
      <c r="AG684" s="208"/>
      <c r="AH684" s="208"/>
      <c r="AI684" s="208"/>
      <c r="AJ684" s="208"/>
      <c r="AK684" s="208"/>
      <c r="AL684" s="208"/>
      <c r="AM684" s="208"/>
      <c r="AN684" s="208"/>
      <c r="AO684" s="208"/>
      <c r="AP684" s="208"/>
    </row>
    <row r="685" spans="1:42">
      <c r="A685" s="37">
        <v>1</v>
      </c>
      <c r="B685" s="295">
        <f t="shared" ref="B685:B694" si="297">SUM(C685:AP685)</f>
        <v>6158778.6534697879</v>
      </c>
      <c r="C685" s="208">
        <f t="shared" ref="C685:AP685" si="298">IF(C$2&lt;=MMFrequency2*$A$673,$B$673/(MMFrequency2),0)</f>
        <v>410585.24356465257</v>
      </c>
      <c r="D685" s="208">
        <f t="shared" si="298"/>
        <v>410585.24356465257</v>
      </c>
      <c r="E685" s="208">
        <f t="shared" si="298"/>
        <v>410585.24356465257</v>
      </c>
      <c r="F685" s="208">
        <f t="shared" si="298"/>
        <v>410585.24356465257</v>
      </c>
      <c r="G685" s="208">
        <f t="shared" si="298"/>
        <v>410585.24356465257</v>
      </c>
      <c r="H685" s="208">
        <f t="shared" si="298"/>
        <v>410585.24356465257</v>
      </c>
      <c r="I685" s="208">
        <f t="shared" si="298"/>
        <v>410585.24356465257</v>
      </c>
      <c r="J685" s="208">
        <f t="shared" si="298"/>
        <v>410585.24356465257</v>
      </c>
      <c r="K685" s="208">
        <f t="shared" si="298"/>
        <v>410585.24356465257</v>
      </c>
      <c r="L685" s="208">
        <f t="shared" si="298"/>
        <v>410585.24356465257</v>
      </c>
      <c r="M685" s="208">
        <f t="shared" si="298"/>
        <v>410585.24356465257</v>
      </c>
      <c r="N685" s="208">
        <f t="shared" si="298"/>
        <v>410585.24356465257</v>
      </c>
      <c r="O685" s="208">
        <f t="shared" si="298"/>
        <v>410585.24356465257</v>
      </c>
      <c r="P685" s="208">
        <f t="shared" si="298"/>
        <v>410585.24356465257</v>
      </c>
      <c r="Q685" s="208">
        <f t="shared" si="298"/>
        <v>410585.24356465257</v>
      </c>
      <c r="R685" s="208">
        <f t="shared" si="298"/>
        <v>0</v>
      </c>
      <c r="S685" s="208">
        <f t="shared" si="298"/>
        <v>0</v>
      </c>
      <c r="T685" s="208">
        <f t="shared" si="298"/>
        <v>0</v>
      </c>
      <c r="U685" s="208">
        <f t="shared" si="298"/>
        <v>0</v>
      </c>
      <c r="V685" s="208">
        <f t="shared" si="298"/>
        <v>0</v>
      </c>
      <c r="W685" s="208">
        <f t="shared" si="298"/>
        <v>0</v>
      </c>
      <c r="X685" s="208">
        <f t="shared" si="298"/>
        <v>0</v>
      </c>
      <c r="Y685" s="208">
        <f t="shared" si="298"/>
        <v>0</v>
      </c>
      <c r="Z685" s="208">
        <f t="shared" si="298"/>
        <v>0</v>
      </c>
      <c r="AA685" s="208">
        <f t="shared" si="298"/>
        <v>0</v>
      </c>
      <c r="AB685" s="208">
        <f t="shared" si="298"/>
        <v>0</v>
      </c>
      <c r="AC685" s="208">
        <f t="shared" si="298"/>
        <v>0</v>
      </c>
      <c r="AD685" s="208">
        <f t="shared" si="298"/>
        <v>0</v>
      </c>
      <c r="AE685" s="208">
        <f t="shared" si="298"/>
        <v>0</v>
      </c>
      <c r="AF685" s="208">
        <f t="shared" si="298"/>
        <v>0</v>
      </c>
      <c r="AG685" s="208">
        <f t="shared" si="298"/>
        <v>0</v>
      </c>
      <c r="AH685" s="208">
        <f t="shared" si="298"/>
        <v>0</v>
      </c>
      <c r="AI685" s="208">
        <f t="shared" si="298"/>
        <v>0</v>
      </c>
      <c r="AJ685" s="208">
        <f t="shared" si="298"/>
        <v>0</v>
      </c>
      <c r="AK685" s="208">
        <f t="shared" si="298"/>
        <v>0</v>
      </c>
      <c r="AL685" s="208">
        <f t="shared" si="298"/>
        <v>0</v>
      </c>
      <c r="AM685" s="208">
        <f t="shared" si="298"/>
        <v>0</v>
      </c>
      <c r="AN685" s="208">
        <f t="shared" si="298"/>
        <v>0</v>
      </c>
      <c r="AO685" s="208">
        <f t="shared" si="298"/>
        <v>0</v>
      </c>
      <c r="AP685" s="208">
        <f t="shared" si="298"/>
        <v>0</v>
      </c>
    </row>
    <row r="686" spans="1:42">
      <c r="A686" s="37">
        <f>A685+1</f>
        <v>2</v>
      </c>
      <c r="B686" s="295">
        <f t="shared" si="297"/>
        <v>7699902.5639943322</v>
      </c>
      <c r="C686" s="208">
        <f t="shared" ref="C686:AP692" si="299">IF(AND(C$2&gt;MMFrequency2*$A673,C$2&lt;=MMFrequency2*$A674),$B674/(MMFrequency2),0)</f>
        <v>0</v>
      </c>
      <c r="D686" s="208">
        <f t="shared" si="299"/>
        <v>0</v>
      </c>
      <c r="E686" s="208">
        <f t="shared" si="299"/>
        <v>0</v>
      </c>
      <c r="F686" s="208">
        <f t="shared" si="299"/>
        <v>0</v>
      </c>
      <c r="G686" s="208">
        <f t="shared" si="299"/>
        <v>0</v>
      </c>
      <c r="H686" s="208">
        <f t="shared" si="299"/>
        <v>0</v>
      </c>
      <c r="I686" s="208">
        <f t="shared" si="299"/>
        <v>0</v>
      </c>
      <c r="J686" s="208">
        <f t="shared" si="299"/>
        <v>0</v>
      </c>
      <c r="K686" s="208">
        <f t="shared" si="299"/>
        <v>0</v>
      </c>
      <c r="L686" s="208">
        <f t="shared" si="299"/>
        <v>0</v>
      </c>
      <c r="M686" s="208">
        <f t="shared" si="299"/>
        <v>0</v>
      </c>
      <c r="N686" s="208">
        <f t="shared" si="299"/>
        <v>0</v>
      </c>
      <c r="O686" s="208">
        <f t="shared" si="299"/>
        <v>0</v>
      </c>
      <c r="P686" s="208">
        <f t="shared" si="299"/>
        <v>0</v>
      </c>
      <c r="Q686" s="208">
        <f t="shared" si="299"/>
        <v>0</v>
      </c>
      <c r="R686" s="208">
        <f t="shared" si="299"/>
        <v>513326.83759962226</v>
      </c>
      <c r="S686" s="208">
        <f t="shared" si="299"/>
        <v>513326.83759962226</v>
      </c>
      <c r="T686" s="208">
        <f t="shared" si="299"/>
        <v>513326.83759962226</v>
      </c>
      <c r="U686" s="208">
        <f t="shared" si="299"/>
        <v>513326.83759962226</v>
      </c>
      <c r="V686" s="208">
        <f t="shared" si="299"/>
        <v>513326.83759962226</v>
      </c>
      <c r="W686" s="208">
        <f t="shared" si="299"/>
        <v>513326.83759962226</v>
      </c>
      <c r="X686" s="208">
        <f t="shared" si="299"/>
        <v>513326.83759962226</v>
      </c>
      <c r="Y686" s="208">
        <f t="shared" si="299"/>
        <v>513326.83759962226</v>
      </c>
      <c r="Z686" s="208">
        <f t="shared" si="299"/>
        <v>513326.83759962226</v>
      </c>
      <c r="AA686" s="208">
        <f t="shared" si="299"/>
        <v>513326.83759962226</v>
      </c>
      <c r="AB686" s="208">
        <f t="shared" si="299"/>
        <v>513326.83759962226</v>
      </c>
      <c r="AC686" s="208">
        <f t="shared" si="299"/>
        <v>513326.83759962226</v>
      </c>
      <c r="AD686" s="208">
        <f t="shared" si="299"/>
        <v>513326.83759962226</v>
      </c>
      <c r="AE686" s="208">
        <f t="shared" si="299"/>
        <v>513326.83759962226</v>
      </c>
      <c r="AF686" s="208">
        <f t="shared" si="299"/>
        <v>513326.83759962226</v>
      </c>
      <c r="AG686" s="208">
        <f t="shared" si="299"/>
        <v>0</v>
      </c>
      <c r="AH686" s="208">
        <f t="shared" si="299"/>
        <v>0</v>
      </c>
      <c r="AI686" s="208">
        <f t="shared" si="299"/>
        <v>0</v>
      </c>
      <c r="AJ686" s="208">
        <f t="shared" si="299"/>
        <v>0</v>
      </c>
      <c r="AK686" s="208">
        <f t="shared" si="299"/>
        <v>0</v>
      </c>
      <c r="AL686" s="208">
        <f t="shared" si="299"/>
        <v>0</v>
      </c>
      <c r="AM686" s="208">
        <f t="shared" si="299"/>
        <v>0</v>
      </c>
      <c r="AN686" s="208">
        <f t="shared" si="299"/>
        <v>0</v>
      </c>
      <c r="AO686" s="208">
        <f t="shared" si="299"/>
        <v>0</v>
      </c>
      <c r="AP686" s="208">
        <f t="shared" si="299"/>
        <v>0</v>
      </c>
    </row>
    <row r="687" spans="1:42">
      <c r="A687" s="37">
        <f t="shared" ref="A687:A692" si="300">A686+1</f>
        <v>3</v>
      </c>
      <c r="B687" s="295">
        <f t="shared" si="297"/>
        <v>0</v>
      </c>
      <c r="C687" s="208">
        <f t="shared" si="299"/>
        <v>0</v>
      </c>
      <c r="D687" s="208">
        <f t="shared" si="299"/>
        <v>0</v>
      </c>
      <c r="E687" s="208">
        <f t="shared" si="299"/>
        <v>0</v>
      </c>
      <c r="F687" s="208">
        <f t="shared" si="299"/>
        <v>0</v>
      </c>
      <c r="G687" s="208">
        <f t="shared" si="299"/>
        <v>0</v>
      </c>
      <c r="H687" s="208">
        <f t="shared" si="299"/>
        <v>0</v>
      </c>
      <c r="I687" s="208">
        <f t="shared" si="299"/>
        <v>0</v>
      </c>
      <c r="J687" s="208">
        <f t="shared" si="299"/>
        <v>0</v>
      </c>
      <c r="K687" s="208">
        <f t="shared" si="299"/>
        <v>0</v>
      </c>
      <c r="L687" s="208">
        <f t="shared" si="299"/>
        <v>0</v>
      </c>
      <c r="M687" s="208">
        <f t="shared" si="299"/>
        <v>0</v>
      </c>
      <c r="N687" s="208">
        <f t="shared" si="299"/>
        <v>0</v>
      </c>
      <c r="O687" s="208">
        <f t="shared" si="299"/>
        <v>0</v>
      </c>
      <c r="P687" s="208">
        <f t="shared" si="299"/>
        <v>0</v>
      </c>
      <c r="Q687" s="208">
        <f t="shared" si="299"/>
        <v>0</v>
      </c>
      <c r="R687" s="208">
        <f t="shared" si="299"/>
        <v>0</v>
      </c>
      <c r="S687" s="208">
        <f t="shared" si="299"/>
        <v>0</v>
      </c>
      <c r="T687" s="208">
        <f t="shared" si="299"/>
        <v>0</v>
      </c>
      <c r="U687" s="208">
        <f t="shared" si="299"/>
        <v>0</v>
      </c>
      <c r="V687" s="208">
        <f t="shared" si="299"/>
        <v>0</v>
      </c>
      <c r="W687" s="208">
        <f t="shared" si="299"/>
        <v>0</v>
      </c>
      <c r="X687" s="208">
        <f t="shared" si="299"/>
        <v>0</v>
      </c>
      <c r="Y687" s="208">
        <f t="shared" si="299"/>
        <v>0</v>
      </c>
      <c r="Z687" s="208">
        <f t="shared" si="299"/>
        <v>0</v>
      </c>
      <c r="AA687" s="208">
        <f t="shared" si="299"/>
        <v>0</v>
      </c>
      <c r="AB687" s="208">
        <f t="shared" si="299"/>
        <v>0</v>
      </c>
      <c r="AC687" s="208">
        <f t="shared" si="299"/>
        <v>0</v>
      </c>
      <c r="AD687" s="208">
        <f t="shared" si="299"/>
        <v>0</v>
      </c>
      <c r="AE687" s="208">
        <f t="shared" si="299"/>
        <v>0</v>
      </c>
      <c r="AF687" s="208">
        <f t="shared" si="299"/>
        <v>0</v>
      </c>
      <c r="AG687" s="208">
        <f t="shared" si="299"/>
        <v>0</v>
      </c>
      <c r="AH687" s="208">
        <f t="shared" si="299"/>
        <v>0</v>
      </c>
      <c r="AI687" s="208">
        <f t="shared" si="299"/>
        <v>0</v>
      </c>
      <c r="AJ687" s="208">
        <f t="shared" si="299"/>
        <v>0</v>
      </c>
      <c r="AK687" s="208">
        <f t="shared" si="299"/>
        <v>0</v>
      </c>
      <c r="AL687" s="208">
        <f t="shared" si="299"/>
        <v>0</v>
      </c>
      <c r="AM687" s="208">
        <f t="shared" si="299"/>
        <v>0</v>
      </c>
      <c r="AN687" s="208">
        <f t="shared" si="299"/>
        <v>0</v>
      </c>
      <c r="AO687" s="208">
        <f t="shared" si="299"/>
        <v>0</v>
      </c>
      <c r="AP687" s="208">
        <f t="shared" si="299"/>
        <v>0</v>
      </c>
    </row>
    <row r="688" spans="1:42">
      <c r="A688" s="37">
        <f t="shared" si="300"/>
        <v>4</v>
      </c>
      <c r="B688" s="295">
        <f t="shared" si="297"/>
        <v>0</v>
      </c>
      <c r="C688" s="208">
        <f t="shared" si="299"/>
        <v>0</v>
      </c>
      <c r="D688" s="208">
        <f t="shared" si="299"/>
        <v>0</v>
      </c>
      <c r="E688" s="208">
        <f t="shared" si="299"/>
        <v>0</v>
      </c>
      <c r="F688" s="208">
        <f t="shared" si="299"/>
        <v>0</v>
      </c>
      <c r="G688" s="208">
        <f t="shared" si="299"/>
        <v>0</v>
      </c>
      <c r="H688" s="208">
        <f t="shared" si="299"/>
        <v>0</v>
      </c>
      <c r="I688" s="208">
        <f t="shared" si="299"/>
        <v>0</v>
      </c>
      <c r="J688" s="208">
        <f t="shared" si="299"/>
        <v>0</v>
      </c>
      <c r="K688" s="208">
        <f t="shared" si="299"/>
        <v>0</v>
      </c>
      <c r="L688" s="208">
        <f t="shared" si="299"/>
        <v>0</v>
      </c>
      <c r="M688" s="208">
        <f t="shared" si="299"/>
        <v>0</v>
      </c>
      <c r="N688" s="208">
        <f t="shared" si="299"/>
        <v>0</v>
      </c>
      <c r="O688" s="208">
        <f t="shared" si="299"/>
        <v>0</v>
      </c>
      <c r="P688" s="208">
        <f t="shared" si="299"/>
        <v>0</v>
      </c>
      <c r="Q688" s="208">
        <f t="shared" si="299"/>
        <v>0</v>
      </c>
      <c r="R688" s="208">
        <f t="shared" si="299"/>
        <v>0</v>
      </c>
      <c r="S688" s="208">
        <f t="shared" si="299"/>
        <v>0</v>
      </c>
      <c r="T688" s="208">
        <f t="shared" si="299"/>
        <v>0</v>
      </c>
      <c r="U688" s="208">
        <f t="shared" si="299"/>
        <v>0</v>
      </c>
      <c r="V688" s="208">
        <f t="shared" si="299"/>
        <v>0</v>
      </c>
      <c r="W688" s="208">
        <f t="shared" si="299"/>
        <v>0</v>
      </c>
      <c r="X688" s="208">
        <f t="shared" si="299"/>
        <v>0</v>
      </c>
      <c r="Y688" s="208">
        <f t="shared" si="299"/>
        <v>0</v>
      </c>
      <c r="Z688" s="208">
        <f t="shared" si="299"/>
        <v>0</v>
      </c>
      <c r="AA688" s="208">
        <f t="shared" si="299"/>
        <v>0</v>
      </c>
      <c r="AB688" s="208">
        <f t="shared" si="299"/>
        <v>0</v>
      </c>
      <c r="AC688" s="208">
        <f t="shared" si="299"/>
        <v>0</v>
      </c>
      <c r="AD688" s="208">
        <f t="shared" si="299"/>
        <v>0</v>
      </c>
      <c r="AE688" s="208">
        <f t="shared" si="299"/>
        <v>0</v>
      </c>
      <c r="AF688" s="208">
        <f t="shared" si="299"/>
        <v>0</v>
      </c>
      <c r="AG688" s="208">
        <f t="shared" si="299"/>
        <v>0</v>
      </c>
      <c r="AH688" s="208">
        <f t="shared" si="299"/>
        <v>0</v>
      </c>
      <c r="AI688" s="208">
        <f t="shared" si="299"/>
        <v>0</v>
      </c>
      <c r="AJ688" s="208">
        <f t="shared" si="299"/>
        <v>0</v>
      </c>
      <c r="AK688" s="208">
        <f t="shared" si="299"/>
        <v>0</v>
      </c>
      <c r="AL688" s="208">
        <f t="shared" si="299"/>
        <v>0</v>
      </c>
      <c r="AM688" s="208">
        <f t="shared" si="299"/>
        <v>0</v>
      </c>
      <c r="AN688" s="208">
        <f t="shared" si="299"/>
        <v>0</v>
      </c>
      <c r="AO688" s="208">
        <f t="shared" si="299"/>
        <v>0</v>
      </c>
      <c r="AP688" s="208">
        <f t="shared" si="299"/>
        <v>0</v>
      </c>
    </row>
    <row r="689" spans="1:42">
      <c r="A689" s="37">
        <f t="shared" si="300"/>
        <v>5</v>
      </c>
      <c r="B689" s="295">
        <f t="shared" si="297"/>
        <v>0</v>
      </c>
      <c r="C689" s="208">
        <f t="shared" si="299"/>
        <v>0</v>
      </c>
      <c r="D689" s="208">
        <f t="shared" si="299"/>
        <v>0</v>
      </c>
      <c r="E689" s="208">
        <f t="shared" si="299"/>
        <v>0</v>
      </c>
      <c r="F689" s="208">
        <f t="shared" si="299"/>
        <v>0</v>
      </c>
      <c r="G689" s="208">
        <f t="shared" si="299"/>
        <v>0</v>
      </c>
      <c r="H689" s="208">
        <f t="shared" si="299"/>
        <v>0</v>
      </c>
      <c r="I689" s="208">
        <f t="shared" si="299"/>
        <v>0</v>
      </c>
      <c r="J689" s="208">
        <f t="shared" si="299"/>
        <v>0</v>
      </c>
      <c r="K689" s="208">
        <f t="shared" si="299"/>
        <v>0</v>
      </c>
      <c r="L689" s="208">
        <f t="shared" si="299"/>
        <v>0</v>
      </c>
      <c r="M689" s="208">
        <f t="shared" si="299"/>
        <v>0</v>
      </c>
      <c r="N689" s="208">
        <f t="shared" si="299"/>
        <v>0</v>
      </c>
      <c r="O689" s="208">
        <f t="shared" si="299"/>
        <v>0</v>
      </c>
      <c r="P689" s="208">
        <f t="shared" si="299"/>
        <v>0</v>
      </c>
      <c r="Q689" s="208">
        <f t="shared" si="299"/>
        <v>0</v>
      </c>
      <c r="R689" s="208">
        <f t="shared" si="299"/>
        <v>0</v>
      </c>
      <c r="S689" s="208">
        <f t="shared" si="299"/>
        <v>0</v>
      </c>
      <c r="T689" s="208">
        <f t="shared" si="299"/>
        <v>0</v>
      </c>
      <c r="U689" s="208">
        <f t="shared" si="299"/>
        <v>0</v>
      </c>
      <c r="V689" s="208">
        <f t="shared" si="299"/>
        <v>0</v>
      </c>
      <c r="W689" s="208">
        <f t="shared" si="299"/>
        <v>0</v>
      </c>
      <c r="X689" s="208">
        <f t="shared" si="299"/>
        <v>0</v>
      </c>
      <c r="Y689" s="208">
        <f t="shared" si="299"/>
        <v>0</v>
      </c>
      <c r="Z689" s="208">
        <f t="shared" si="299"/>
        <v>0</v>
      </c>
      <c r="AA689" s="208">
        <f t="shared" si="299"/>
        <v>0</v>
      </c>
      <c r="AB689" s="208">
        <f t="shared" si="299"/>
        <v>0</v>
      </c>
      <c r="AC689" s="208">
        <f t="shared" si="299"/>
        <v>0</v>
      </c>
      <c r="AD689" s="208">
        <f t="shared" si="299"/>
        <v>0</v>
      </c>
      <c r="AE689" s="208">
        <f t="shared" si="299"/>
        <v>0</v>
      </c>
      <c r="AF689" s="208">
        <f t="shared" si="299"/>
        <v>0</v>
      </c>
      <c r="AG689" s="208">
        <f t="shared" si="299"/>
        <v>0</v>
      </c>
      <c r="AH689" s="208">
        <f t="shared" si="299"/>
        <v>0</v>
      </c>
      <c r="AI689" s="208">
        <f t="shared" si="299"/>
        <v>0</v>
      </c>
      <c r="AJ689" s="208">
        <f t="shared" si="299"/>
        <v>0</v>
      </c>
      <c r="AK689" s="208">
        <f t="shared" si="299"/>
        <v>0</v>
      </c>
      <c r="AL689" s="208">
        <f t="shared" si="299"/>
        <v>0</v>
      </c>
      <c r="AM689" s="208">
        <f t="shared" si="299"/>
        <v>0</v>
      </c>
      <c r="AN689" s="208">
        <f t="shared" si="299"/>
        <v>0</v>
      </c>
      <c r="AO689" s="208">
        <f t="shared" si="299"/>
        <v>0</v>
      </c>
      <c r="AP689" s="208">
        <f t="shared" si="299"/>
        <v>0</v>
      </c>
    </row>
    <row r="690" spans="1:42">
      <c r="A690" s="37">
        <f t="shared" si="300"/>
        <v>6</v>
      </c>
      <c r="B690" s="295">
        <f t="shared" si="297"/>
        <v>0</v>
      </c>
      <c r="C690" s="208">
        <f t="shared" si="299"/>
        <v>0</v>
      </c>
      <c r="D690" s="208">
        <f t="shared" si="299"/>
        <v>0</v>
      </c>
      <c r="E690" s="208">
        <f t="shared" si="299"/>
        <v>0</v>
      </c>
      <c r="F690" s="208">
        <f t="shared" si="299"/>
        <v>0</v>
      </c>
      <c r="G690" s="208">
        <f t="shared" si="299"/>
        <v>0</v>
      </c>
      <c r="H690" s="208">
        <f t="shared" si="299"/>
        <v>0</v>
      </c>
      <c r="I690" s="208">
        <f t="shared" si="299"/>
        <v>0</v>
      </c>
      <c r="J690" s="208">
        <f t="shared" si="299"/>
        <v>0</v>
      </c>
      <c r="K690" s="208">
        <f t="shared" si="299"/>
        <v>0</v>
      </c>
      <c r="L690" s="208">
        <f t="shared" si="299"/>
        <v>0</v>
      </c>
      <c r="M690" s="208">
        <f t="shared" si="299"/>
        <v>0</v>
      </c>
      <c r="N690" s="208">
        <f t="shared" si="299"/>
        <v>0</v>
      </c>
      <c r="O690" s="208">
        <f t="shared" si="299"/>
        <v>0</v>
      </c>
      <c r="P690" s="208">
        <f t="shared" si="299"/>
        <v>0</v>
      </c>
      <c r="Q690" s="208">
        <f t="shared" si="299"/>
        <v>0</v>
      </c>
      <c r="R690" s="208">
        <f t="shared" si="299"/>
        <v>0</v>
      </c>
      <c r="S690" s="208">
        <f t="shared" si="299"/>
        <v>0</v>
      </c>
      <c r="T690" s="208">
        <f t="shared" si="299"/>
        <v>0</v>
      </c>
      <c r="U690" s="208">
        <f t="shared" si="299"/>
        <v>0</v>
      </c>
      <c r="V690" s="208">
        <f t="shared" si="299"/>
        <v>0</v>
      </c>
      <c r="W690" s="208">
        <f t="shared" si="299"/>
        <v>0</v>
      </c>
      <c r="X690" s="208">
        <f t="shared" si="299"/>
        <v>0</v>
      </c>
      <c r="Y690" s="208">
        <f t="shared" si="299"/>
        <v>0</v>
      </c>
      <c r="Z690" s="208">
        <f t="shared" si="299"/>
        <v>0</v>
      </c>
      <c r="AA690" s="208">
        <f t="shared" si="299"/>
        <v>0</v>
      </c>
      <c r="AB690" s="208">
        <f t="shared" si="299"/>
        <v>0</v>
      </c>
      <c r="AC690" s="208">
        <f t="shared" si="299"/>
        <v>0</v>
      </c>
      <c r="AD690" s="208">
        <f t="shared" si="299"/>
        <v>0</v>
      </c>
      <c r="AE690" s="208">
        <f t="shared" si="299"/>
        <v>0</v>
      </c>
      <c r="AF690" s="208">
        <f t="shared" si="299"/>
        <v>0</v>
      </c>
      <c r="AG690" s="208">
        <f t="shared" si="299"/>
        <v>0</v>
      </c>
      <c r="AH690" s="208">
        <f t="shared" si="299"/>
        <v>0</v>
      </c>
      <c r="AI690" s="208">
        <f t="shared" si="299"/>
        <v>0</v>
      </c>
      <c r="AJ690" s="208">
        <f t="shared" si="299"/>
        <v>0</v>
      </c>
      <c r="AK690" s="208">
        <f t="shared" si="299"/>
        <v>0</v>
      </c>
      <c r="AL690" s="208">
        <f t="shared" si="299"/>
        <v>0</v>
      </c>
      <c r="AM690" s="208">
        <f t="shared" si="299"/>
        <v>0</v>
      </c>
      <c r="AN690" s="208">
        <f t="shared" si="299"/>
        <v>0</v>
      </c>
      <c r="AO690" s="208">
        <f t="shared" si="299"/>
        <v>0</v>
      </c>
      <c r="AP690" s="208">
        <f t="shared" si="299"/>
        <v>0</v>
      </c>
    </row>
    <row r="691" spans="1:42">
      <c r="A691" s="37">
        <f t="shared" si="300"/>
        <v>7</v>
      </c>
      <c r="B691" s="295">
        <f t="shared" si="297"/>
        <v>0</v>
      </c>
      <c r="C691" s="208">
        <f t="shared" si="299"/>
        <v>0</v>
      </c>
      <c r="D691" s="208">
        <f t="shared" si="299"/>
        <v>0</v>
      </c>
      <c r="E691" s="208">
        <f t="shared" si="299"/>
        <v>0</v>
      </c>
      <c r="F691" s="208">
        <f t="shared" si="299"/>
        <v>0</v>
      </c>
      <c r="G691" s="208">
        <f t="shared" si="299"/>
        <v>0</v>
      </c>
      <c r="H691" s="208">
        <f t="shared" si="299"/>
        <v>0</v>
      </c>
      <c r="I691" s="208">
        <f t="shared" si="299"/>
        <v>0</v>
      </c>
      <c r="J691" s="208">
        <f t="shared" si="299"/>
        <v>0</v>
      </c>
      <c r="K691" s="208">
        <f t="shared" si="299"/>
        <v>0</v>
      </c>
      <c r="L691" s="208">
        <f t="shared" si="299"/>
        <v>0</v>
      </c>
      <c r="M691" s="208">
        <f t="shared" si="299"/>
        <v>0</v>
      </c>
      <c r="N691" s="208">
        <f t="shared" si="299"/>
        <v>0</v>
      </c>
      <c r="O691" s="208">
        <f t="shared" si="299"/>
        <v>0</v>
      </c>
      <c r="P691" s="208">
        <f t="shared" si="299"/>
        <v>0</v>
      </c>
      <c r="Q691" s="208">
        <f t="shared" si="299"/>
        <v>0</v>
      </c>
      <c r="R691" s="208">
        <f t="shared" si="299"/>
        <v>0</v>
      </c>
      <c r="S691" s="208">
        <f t="shared" si="299"/>
        <v>0</v>
      </c>
      <c r="T691" s="208">
        <f t="shared" si="299"/>
        <v>0</v>
      </c>
      <c r="U691" s="208">
        <f t="shared" si="299"/>
        <v>0</v>
      </c>
      <c r="V691" s="208">
        <f t="shared" si="299"/>
        <v>0</v>
      </c>
      <c r="W691" s="208">
        <f t="shared" si="299"/>
        <v>0</v>
      </c>
      <c r="X691" s="208">
        <f t="shared" si="299"/>
        <v>0</v>
      </c>
      <c r="Y691" s="208">
        <f t="shared" si="299"/>
        <v>0</v>
      </c>
      <c r="Z691" s="208">
        <f t="shared" si="299"/>
        <v>0</v>
      </c>
      <c r="AA691" s="208">
        <f t="shared" si="299"/>
        <v>0</v>
      </c>
      <c r="AB691" s="208">
        <f t="shared" si="299"/>
        <v>0</v>
      </c>
      <c r="AC691" s="208">
        <f t="shared" si="299"/>
        <v>0</v>
      </c>
      <c r="AD691" s="208">
        <f t="shared" si="299"/>
        <v>0</v>
      </c>
      <c r="AE691" s="208">
        <f t="shared" si="299"/>
        <v>0</v>
      </c>
      <c r="AF691" s="208">
        <f t="shared" si="299"/>
        <v>0</v>
      </c>
      <c r="AG691" s="208">
        <f t="shared" si="299"/>
        <v>0</v>
      </c>
      <c r="AH691" s="208">
        <f t="shared" si="299"/>
        <v>0</v>
      </c>
      <c r="AI691" s="208">
        <f t="shared" si="299"/>
        <v>0</v>
      </c>
      <c r="AJ691" s="208">
        <f t="shared" si="299"/>
        <v>0</v>
      </c>
      <c r="AK691" s="208">
        <f t="shared" si="299"/>
        <v>0</v>
      </c>
      <c r="AL691" s="208">
        <f t="shared" si="299"/>
        <v>0</v>
      </c>
      <c r="AM691" s="208">
        <f t="shared" si="299"/>
        <v>0</v>
      </c>
      <c r="AN691" s="208">
        <f t="shared" si="299"/>
        <v>0</v>
      </c>
      <c r="AO691" s="208">
        <f t="shared" si="299"/>
        <v>0</v>
      </c>
      <c r="AP691" s="208">
        <f t="shared" si="299"/>
        <v>0</v>
      </c>
    </row>
    <row r="692" spans="1:42">
      <c r="A692" s="37">
        <f t="shared" si="300"/>
        <v>8</v>
      </c>
      <c r="B692" s="295">
        <f t="shared" si="297"/>
        <v>0</v>
      </c>
      <c r="C692" s="208">
        <f t="shared" si="299"/>
        <v>0</v>
      </c>
      <c r="D692" s="208">
        <f t="shared" si="299"/>
        <v>0</v>
      </c>
      <c r="E692" s="208">
        <f t="shared" si="299"/>
        <v>0</v>
      </c>
      <c r="F692" s="208">
        <f t="shared" si="299"/>
        <v>0</v>
      </c>
      <c r="G692" s="208">
        <f t="shared" si="299"/>
        <v>0</v>
      </c>
      <c r="H692" s="208">
        <f t="shared" si="299"/>
        <v>0</v>
      </c>
      <c r="I692" s="208">
        <f t="shared" si="299"/>
        <v>0</v>
      </c>
      <c r="J692" s="208">
        <f t="shared" si="299"/>
        <v>0</v>
      </c>
      <c r="K692" s="208">
        <f t="shared" si="299"/>
        <v>0</v>
      </c>
      <c r="L692" s="208">
        <f t="shared" si="299"/>
        <v>0</v>
      </c>
      <c r="M692" s="208">
        <f t="shared" si="299"/>
        <v>0</v>
      </c>
      <c r="N692" s="208">
        <f t="shared" si="299"/>
        <v>0</v>
      </c>
      <c r="O692" s="208">
        <f t="shared" si="299"/>
        <v>0</v>
      </c>
      <c r="P692" s="208">
        <f t="shared" si="299"/>
        <v>0</v>
      </c>
      <c r="Q692" s="208">
        <f t="shared" si="299"/>
        <v>0</v>
      </c>
      <c r="R692" s="208">
        <f t="shared" ref="R692:AP692" si="301">IF(AND(R$2&gt;MMFrequency2*$A679,R$2&lt;=MMFrequency2*$A680),$B680/(MMFrequency2),0)</f>
        <v>0</v>
      </c>
      <c r="S692" s="208">
        <f t="shared" si="301"/>
        <v>0</v>
      </c>
      <c r="T692" s="208">
        <f t="shared" si="301"/>
        <v>0</v>
      </c>
      <c r="U692" s="208">
        <f t="shared" si="301"/>
        <v>0</v>
      </c>
      <c r="V692" s="208">
        <f t="shared" si="301"/>
        <v>0</v>
      </c>
      <c r="W692" s="208">
        <f t="shared" si="301"/>
        <v>0</v>
      </c>
      <c r="X692" s="208">
        <f t="shared" si="301"/>
        <v>0</v>
      </c>
      <c r="Y692" s="208">
        <f t="shared" si="301"/>
        <v>0</v>
      </c>
      <c r="Z692" s="208">
        <f t="shared" si="301"/>
        <v>0</v>
      </c>
      <c r="AA692" s="208">
        <f t="shared" si="301"/>
        <v>0</v>
      </c>
      <c r="AB692" s="208">
        <f t="shared" si="301"/>
        <v>0</v>
      </c>
      <c r="AC692" s="208">
        <f t="shared" si="301"/>
        <v>0</v>
      </c>
      <c r="AD692" s="208">
        <f t="shared" si="301"/>
        <v>0</v>
      </c>
      <c r="AE692" s="208">
        <f t="shared" si="301"/>
        <v>0</v>
      </c>
      <c r="AF692" s="208">
        <f t="shared" si="301"/>
        <v>0</v>
      </c>
      <c r="AG692" s="208">
        <f t="shared" si="301"/>
        <v>0</v>
      </c>
      <c r="AH692" s="208">
        <f t="shared" si="301"/>
        <v>0</v>
      </c>
      <c r="AI692" s="208">
        <f t="shared" si="301"/>
        <v>0</v>
      </c>
      <c r="AJ692" s="208">
        <f t="shared" si="301"/>
        <v>0</v>
      </c>
      <c r="AK692" s="208">
        <f t="shared" si="301"/>
        <v>0</v>
      </c>
      <c r="AL692" s="208">
        <f t="shared" si="301"/>
        <v>0</v>
      </c>
      <c r="AM692" s="208">
        <f t="shared" si="301"/>
        <v>0</v>
      </c>
      <c r="AN692" s="208">
        <f t="shared" si="301"/>
        <v>0</v>
      </c>
      <c r="AO692" s="208">
        <f t="shared" si="301"/>
        <v>0</v>
      </c>
      <c r="AP692" s="208">
        <f t="shared" si="301"/>
        <v>0</v>
      </c>
    </row>
    <row r="693" spans="1:42">
      <c r="A693" s="37">
        <f>A692+1</f>
        <v>9</v>
      </c>
      <c r="B693" s="295">
        <f t="shared" si="297"/>
        <v>0</v>
      </c>
      <c r="C693" s="208">
        <f t="shared" ref="C693:AP694" si="302">IF(AND(C$2&gt;MMFrequency2*$A680,C$2&lt;=MMFrequency2*$A681),$B681/(MMFrequency2),0)</f>
        <v>0</v>
      </c>
      <c r="D693" s="208">
        <f t="shared" si="302"/>
        <v>0</v>
      </c>
      <c r="E693" s="208">
        <f t="shared" si="302"/>
        <v>0</v>
      </c>
      <c r="F693" s="208">
        <f t="shared" si="302"/>
        <v>0</v>
      </c>
      <c r="G693" s="208">
        <f t="shared" si="302"/>
        <v>0</v>
      </c>
      <c r="H693" s="208">
        <f t="shared" si="302"/>
        <v>0</v>
      </c>
      <c r="I693" s="208">
        <f t="shared" si="302"/>
        <v>0</v>
      </c>
      <c r="J693" s="208">
        <f t="shared" si="302"/>
        <v>0</v>
      </c>
      <c r="K693" s="208">
        <f t="shared" si="302"/>
        <v>0</v>
      </c>
      <c r="L693" s="208">
        <f t="shared" si="302"/>
        <v>0</v>
      </c>
      <c r="M693" s="208">
        <f t="shared" si="302"/>
        <v>0</v>
      </c>
      <c r="N693" s="208">
        <f t="shared" si="302"/>
        <v>0</v>
      </c>
      <c r="O693" s="208">
        <f t="shared" si="302"/>
        <v>0</v>
      </c>
      <c r="P693" s="208">
        <f t="shared" si="302"/>
        <v>0</v>
      </c>
      <c r="Q693" s="208">
        <f t="shared" si="302"/>
        <v>0</v>
      </c>
      <c r="R693" s="208">
        <f t="shared" si="302"/>
        <v>0</v>
      </c>
      <c r="S693" s="208">
        <f t="shared" si="302"/>
        <v>0</v>
      </c>
      <c r="T693" s="208">
        <f t="shared" si="302"/>
        <v>0</v>
      </c>
      <c r="U693" s="208">
        <f t="shared" si="302"/>
        <v>0</v>
      </c>
      <c r="V693" s="208">
        <f t="shared" si="302"/>
        <v>0</v>
      </c>
      <c r="W693" s="208">
        <f t="shared" si="302"/>
        <v>0</v>
      </c>
      <c r="X693" s="208">
        <f t="shared" si="302"/>
        <v>0</v>
      </c>
      <c r="Y693" s="208">
        <f t="shared" si="302"/>
        <v>0</v>
      </c>
      <c r="Z693" s="208">
        <f t="shared" si="302"/>
        <v>0</v>
      </c>
      <c r="AA693" s="208">
        <f t="shared" si="302"/>
        <v>0</v>
      </c>
      <c r="AB693" s="208">
        <f t="shared" si="302"/>
        <v>0</v>
      </c>
      <c r="AC693" s="208">
        <f t="shared" si="302"/>
        <v>0</v>
      </c>
      <c r="AD693" s="208">
        <f t="shared" si="302"/>
        <v>0</v>
      </c>
      <c r="AE693" s="208">
        <f t="shared" si="302"/>
        <v>0</v>
      </c>
      <c r="AF693" s="208">
        <f t="shared" si="302"/>
        <v>0</v>
      </c>
      <c r="AG693" s="208">
        <f t="shared" si="302"/>
        <v>0</v>
      </c>
      <c r="AH693" s="208">
        <f t="shared" si="302"/>
        <v>0</v>
      </c>
      <c r="AI693" s="208">
        <f t="shared" si="302"/>
        <v>0</v>
      </c>
      <c r="AJ693" s="208">
        <f t="shared" si="302"/>
        <v>0</v>
      </c>
      <c r="AK693" s="208">
        <f t="shared" si="302"/>
        <v>0</v>
      </c>
      <c r="AL693" s="208">
        <f t="shared" si="302"/>
        <v>0</v>
      </c>
      <c r="AM693" s="208">
        <f t="shared" si="302"/>
        <v>0</v>
      </c>
      <c r="AN693" s="208">
        <f t="shared" si="302"/>
        <v>0</v>
      </c>
      <c r="AO693" s="208">
        <f t="shared" si="302"/>
        <v>0</v>
      </c>
      <c r="AP693" s="208">
        <f t="shared" si="302"/>
        <v>0</v>
      </c>
    </row>
    <row r="694" spans="1:42">
      <c r="A694" s="37">
        <f t="shared" ref="A694" si="303">A693+1</f>
        <v>10</v>
      </c>
      <c r="B694" s="295">
        <f t="shared" si="297"/>
        <v>0</v>
      </c>
      <c r="C694" s="209">
        <f t="shared" si="302"/>
        <v>0</v>
      </c>
      <c r="D694" s="209">
        <f t="shared" si="302"/>
        <v>0</v>
      </c>
      <c r="E694" s="209">
        <f t="shared" si="302"/>
        <v>0</v>
      </c>
      <c r="F694" s="209">
        <f t="shared" si="302"/>
        <v>0</v>
      </c>
      <c r="G694" s="209">
        <f t="shared" si="302"/>
        <v>0</v>
      </c>
      <c r="H694" s="209">
        <f t="shared" si="302"/>
        <v>0</v>
      </c>
      <c r="I694" s="209">
        <f t="shared" si="302"/>
        <v>0</v>
      </c>
      <c r="J694" s="209">
        <f t="shared" si="302"/>
        <v>0</v>
      </c>
      <c r="K694" s="209">
        <f t="shared" si="302"/>
        <v>0</v>
      </c>
      <c r="L694" s="209">
        <f t="shared" si="302"/>
        <v>0</v>
      </c>
      <c r="M694" s="209">
        <f t="shared" si="302"/>
        <v>0</v>
      </c>
      <c r="N694" s="209">
        <f t="shared" si="302"/>
        <v>0</v>
      </c>
      <c r="O694" s="209">
        <f t="shared" si="302"/>
        <v>0</v>
      </c>
      <c r="P694" s="209">
        <f t="shared" si="302"/>
        <v>0</v>
      </c>
      <c r="Q694" s="209">
        <f t="shared" si="302"/>
        <v>0</v>
      </c>
      <c r="R694" s="209">
        <f t="shared" si="302"/>
        <v>0</v>
      </c>
      <c r="S694" s="209">
        <f t="shared" si="302"/>
        <v>0</v>
      </c>
      <c r="T694" s="209">
        <f t="shared" si="302"/>
        <v>0</v>
      </c>
      <c r="U694" s="209">
        <f t="shared" si="302"/>
        <v>0</v>
      </c>
      <c r="V694" s="209">
        <f t="shared" si="302"/>
        <v>0</v>
      </c>
      <c r="W694" s="209">
        <f t="shared" si="302"/>
        <v>0</v>
      </c>
      <c r="X694" s="209">
        <f t="shared" si="302"/>
        <v>0</v>
      </c>
      <c r="Y694" s="209">
        <f t="shared" si="302"/>
        <v>0</v>
      </c>
      <c r="Z694" s="209">
        <f t="shared" si="302"/>
        <v>0</v>
      </c>
      <c r="AA694" s="209">
        <f t="shared" si="302"/>
        <v>0</v>
      </c>
      <c r="AB694" s="209">
        <f t="shared" si="302"/>
        <v>0</v>
      </c>
      <c r="AC694" s="209">
        <f t="shared" si="302"/>
        <v>0</v>
      </c>
      <c r="AD694" s="209">
        <f t="shared" si="302"/>
        <v>0</v>
      </c>
      <c r="AE694" s="209">
        <f t="shared" si="302"/>
        <v>0</v>
      </c>
      <c r="AF694" s="209">
        <f t="shared" si="302"/>
        <v>0</v>
      </c>
      <c r="AG694" s="209">
        <f t="shared" si="302"/>
        <v>0</v>
      </c>
      <c r="AH694" s="209">
        <f t="shared" si="302"/>
        <v>0</v>
      </c>
      <c r="AI694" s="209">
        <f t="shared" si="302"/>
        <v>0</v>
      </c>
      <c r="AJ694" s="209">
        <f t="shared" si="302"/>
        <v>0</v>
      </c>
      <c r="AK694" s="209">
        <f t="shared" si="302"/>
        <v>0</v>
      </c>
      <c r="AL694" s="209">
        <f t="shared" si="302"/>
        <v>0</v>
      </c>
      <c r="AM694" s="209">
        <f t="shared" si="302"/>
        <v>0</v>
      </c>
      <c r="AN694" s="209">
        <f t="shared" si="302"/>
        <v>0</v>
      </c>
      <c r="AO694" s="209">
        <f t="shared" si="302"/>
        <v>0</v>
      </c>
      <c r="AP694" s="209">
        <f t="shared" si="302"/>
        <v>0</v>
      </c>
    </row>
    <row r="695" spans="1:42">
      <c r="A695" s="244" t="s">
        <v>53</v>
      </c>
      <c r="B695" s="208"/>
      <c r="C695" s="164">
        <f>SUM(C685:C694)</f>
        <v>410585.24356465257</v>
      </c>
      <c r="D695" s="164">
        <f t="shared" ref="D695:AP695" si="304">SUM(D685:D694)</f>
        <v>410585.24356465257</v>
      </c>
      <c r="E695" s="164">
        <f t="shared" si="304"/>
        <v>410585.24356465257</v>
      </c>
      <c r="F695" s="164">
        <f t="shared" si="304"/>
        <v>410585.24356465257</v>
      </c>
      <c r="G695" s="164">
        <f t="shared" si="304"/>
        <v>410585.24356465257</v>
      </c>
      <c r="H695" s="164">
        <f t="shared" si="304"/>
        <v>410585.24356465257</v>
      </c>
      <c r="I695" s="164">
        <f t="shared" si="304"/>
        <v>410585.24356465257</v>
      </c>
      <c r="J695" s="164">
        <f t="shared" si="304"/>
        <v>410585.24356465257</v>
      </c>
      <c r="K695" s="164">
        <f t="shared" si="304"/>
        <v>410585.24356465257</v>
      </c>
      <c r="L695" s="164">
        <f t="shared" si="304"/>
        <v>410585.24356465257</v>
      </c>
      <c r="M695" s="164">
        <f t="shared" si="304"/>
        <v>410585.24356465257</v>
      </c>
      <c r="N695" s="164">
        <f t="shared" si="304"/>
        <v>410585.24356465257</v>
      </c>
      <c r="O695" s="164">
        <f t="shared" si="304"/>
        <v>410585.24356465257</v>
      </c>
      <c r="P695" s="164">
        <f t="shared" si="304"/>
        <v>410585.24356465257</v>
      </c>
      <c r="Q695" s="164">
        <f t="shared" si="304"/>
        <v>410585.24356465257</v>
      </c>
      <c r="R695" s="164">
        <f t="shared" si="304"/>
        <v>513326.83759962226</v>
      </c>
      <c r="S695" s="164">
        <f t="shared" si="304"/>
        <v>513326.83759962226</v>
      </c>
      <c r="T695" s="164">
        <f t="shared" si="304"/>
        <v>513326.83759962226</v>
      </c>
      <c r="U695" s="164">
        <f t="shared" si="304"/>
        <v>513326.83759962226</v>
      </c>
      <c r="V695" s="164">
        <f t="shared" si="304"/>
        <v>513326.83759962226</v>
      </c>
      <c r="W695" s="164">
        <f t="shared" si="304"/>
        <v>513326.83759962226</v>
      </c>
      <c r="X695" s="164">
        <f t="shared" si="304"/>
        <v>513326.83759962226</v>
      </c>
      <c r="Y695" s="164">
        <f t="shared" si="304"/>
        <v>513326.83759962226</v>
      </c>
      <c r="Z695" s="164">
        <f t="shared" si="304"/>
        <v>513326.83759962226</v>
      </c>
      <c r="AA695" s="164">
        <f t="shared" si="304"/>
        <v>513326.83759962226</v>
      </c>
      <c r="AB695" s="164">
        <f t="shared" si="304"/>
        <v>513326.83759962226</v>
      </c>
      <c r="AC695" s="164">
        <f t="shared" si="304"/>
        <v>513326.83759962226</v>
      </c>
      <c r="AD695" s="164">
        <f t="shared" si="304"/>
        <v>513326.83759962226</v>
      </c>
      <c r="AE695" s="164">
        <f t="shared" si="304"/>
        <v>513326.83759962226</v>
      </c>
      <c r="AF695" s="164">
        <f t="shared" si="304"/>
        <v>513326.83759962226</v>
      </c>
      <c r="AG695" s="164">
        <f t="shared" si="304"/>
        <v>0</v>
      </c>
      <c r="AH695" s="164">
        <f t="shared" si="304"/>
        <v>0</v>
      </c>
      <c r="AI695" s="164">
        <f t="shared" si="304"/>
        <v>0</v>
      </c>
      <c r="AJ695" s="164">
        <f t="shared" si="304"/>
        <v>0</v>
      </c>
      <c r="AK695" s="164">
        <f t="shared" si="304"/>
        <v>0</v>
      </c>
      <c r="AL695" s="164">
        <f t="shared" si="304"/>
        <v>0</v>
      </c>
      <c r="AM695" s="164">
        <f t="shared" si="304"/>
        <v>0</v>
      </c>
      <c r="AN695" s="164">
        <f t="shared" si="304"/>
        <v>0</v>
      </c>
      <c r="AO695" s="164">
        <f t="shared" si="304"/>
        <v>0</v>
      </c>
      <c r="AP695" s="164">
        <f t="shared" si="304"/>
        <v>0</v>
      </c>
    </row>
    <row r="696" spans="1:42">
      <c r="B696" s="208"/>
      <c r="C696" s="164"/>
      <c r="D696" s="164"/>
      <c r="E696" s="164"/>
      <c r="F696" s="164"/>
      <c r="G696" s="164"/>
      <c r="H696" s="164"/>
      <c r="I696" s="164"/>
      <c r="J696" s="164"/>
      <c r="K696" s="164"/>
      <c r="L696" s="164"/>
      <c r="M696" s="164"/>
      <c r="N696" s="164"/>
      <c r="O696" s="164"/>
      <c r="P696" s="164"/>
      <c r="Q696" s="164"/>
      <c r="R696" s="164"/>
      <c r="S696" s="164"/>
      <c r="T696" s="164"/>
      <c r="U696" s="164"/>
      <c r="V696" s="164"/>
      <c r="W696" s="164"/>
      <c r="X696" s="164"/>
      <c r="Y696" s="164"/>
      <c r="Z696" s="164"/>
      <c r="AA696" s="164"/>
      <c r="AB696" s="164"/>
      <c r="AC696" s="164"/>
      <c r="AD696" s="164"/>
      <c r="AE696" s="164"/>
      <c r="AF696" s="164"/>
      <c r="AG696" s="164"/>
      <c r="AH696" s="164"/>
      <c r="AI696" s="164"/>
      <c r="AJ696" s="164"/>
      <c r="AK696" s="164"/>
      <c r="AL696" s="164"/>
      <c r="AM696" s="164"/>
      <c r="AN696" s="164"/>
      <c r="AO696" s="164"/>
      <c r="AP696" s="164"/>
    </row>
    <row r="697" spans="1:42">
      <c r="A697" s="204" t="s">
        <v>379</v>
      </c>
      <c r="C697" s="164"/>
      <c r="D697" s="164"/>
      <c r="E697" s="164"/>
      <c r="F697" s="164"/>
      <c r="G697" s="164"/>
      <c r="H697" s="164"/>
      <c r="I697" s="164"/>
      <c r="J697" s="164"/>
      <c r="K697" s="164"/>
      <c r="L697" s="164"/>
      <c r="M697" s="164"/>
      <c r="N697" s="164"/>
      <c r="O697" s="164"/>
      <c r="P697" s="164"/>
      <c r="Q697" s="164"/>
      <c r="R697" s="164"/>
      <c r="S697" s="164"/>
      <c r="T697" s="164"/>
      <c r="U697" s="164"/>
      <c r="V697" s="164"/>
      <c r="W697" s="164"/>
      <c r="X697" s="164"/>
      <c r="Y697" s="164"/>
      <c r="Z697" s="164"/>
      <c r="AA697" s="164"/>
      <c r="AB697" s="164"/>
      <c r="AC697" s="164"/>
      <c r="AD697" s="164"/>
      <c r="AE697" s="164"/>
      <c r="AF697" s="164"/>
      <c r="AG697" s="164"/>
      <c r="AH697" s="164"/>
      <c r="AI697" s="164"/>
      <c r="AJ697" s="164"/>
      <c r="AK697" s="164"/>
      <c r="AL697" s="164"/>
      <c r="AM697" s="164"/>
      <c r="AN697" s="164"/>
      <c r="AO697" s="164"/>
      <c r="AP697" s="164"/>
    </row>
    <row r="698" spans="1:42">
      <c r="A698" s="37" t="s">
        <v>100</v>
      </c>
      <c r="B698" s="164">
        <v>0</v>
      </c>
      <c r="C698" s="164">
        <f>B701</f>
        <v>0</v>
      </c>
      <c r="D698" s="164">
        <f t="shared" ref="D698:AP698" si="305">C701</f>
        <v>34340.833333333321</v>
      </c>
      <c r="E698" s="164">
        <f t="shared" si="305"/>
        <v>68681.666666666642</v>
      </c>
      <c r="F698" s="164">
        <f t="shared" si="305"/>
        <v>0</v>
      </c>
      <c r="G698" s="164">
        <f t="shared" si="305"/>
        <v>35909.466796145811</v>
      </c>
      <c r="H698" s="164">
        <f t="shared" si="305"/>
        <v>71818.933592291622</v>
      </c>
      <c r="I698" s="164">
        <f t="shared" si="305"/>
        <v>0</v>
      </c>
      <c r="J698" s="164">
        <f t="shared" si="305"/>
        <v>37549.752886510192</v>
      </c>
      <c r="K698" s="164">
        <f t="shared" si="305"/>
        <v>75099.505773020384</v>
      </c>
      <c r="L698" s="164">
        <f t="shared" si="305"/>
        <v>0</v>
      </c>
      <c r="M698" s="164">
        <f t="shared" si="305"/>
        <v>39264.96458001752</v>
      </c>
      <c r="N698" s="164">
        <f t="shared" si="305"/>
        <v>78529.929160035041</v>
      </c>
      <c r="O698" s="164">
        <f t="shared" si="305"/>
        <v>0</v>
      </c>
      <c r="P698" s="164">
        <f t="shared" si="305"/>
        <v>41058.524356465256</v>
      </c>
      <c r="Q698" s="164">
        <f t="shared" si="305"/>
        <v>82117.048712930511</v>
      </c>
      <c r="R698" s="164">
        <f t="shared" si="305"/>
        <v>0</v>
      </c>
      <c r="S698" s="164">
        <f t="shared" si="305"/>
        <v>42934.011028966495</v>
      </c>
      <c r="T698" s="164">
        <f t="shared" si="305"/>
        <v>85868.022057932991</v>
      </c>
      <c r="U698" s="164">
        <f t="shared" si="305"/>
        <v>0</v>
      </c>
      <c r="V698" s="164">
        <f t="shared" si="305"/>
        <v>44895.166885001738</v>
      </c>
      <c r="W698" s="164">
        <f t="shared" si="305"/>
        <v>89790.333770003475</v>
      </c>
      <c r="X698" s="164">
        <f t="shared" si="305"/>
        <v>0</v>
      </c>
      <c r="Y698" s="164">
        <f t="shared" si="305"/>
        <v>46945.90515366241</v>
      </c>
      <c r="Z698" s="164">
        <f t="shared" si="305"/>
        <v>93891.81030732482</v>
      </c>
      <c r="AA698" s="164">
        <f t="shared" si="305"/>
        <v>0</v>
      </c>
      <c r="AB698" s="164">
        <f t="shared" si="305"/>
        <v>49090.317813985828</v>
      </c>
      <c r="AC698" s="164">
        <f t="shared" si="305"/>
        <v>98180.635627971657</v>
      </c>
      <c r="AD698" s="164">
        <f t="shared" si="305"/>
        <v>0</v>
      </c>
      <c r="AE698" s="164">
        <f t="shared" si="305"/>
        <v>51332.68375996223</v>
      </c>
      <c r="AF698" s="164">
        <f t="shared" si="305"/>
        <v>102665.36751992446</v>
      </c>
      <c r="AG698" s="164">
        <f t="shared" si="305"/>
        <v>0</v>
      </c>
      <c r="AH698" s="164">
        <f t="shared" si="305"/>
        <v>0</v>
      </c>
      <c r="AI698" s="164">
        <f t="shared" si="305"/>
        <v>0</v>
      </c>
      <c r="AJ698" s="164">
        <f t="shared" si="305"/>
        <v>0</v>
      </c>
      <c r="AK698" s="164">
        <f t="shared" si="305"/>
        <v>0</v>
      </c>
      <c r="AL698" s="164">
        <f t="shared" si="305"/>
        <v>0</v>
      </c>
      <c r="AM698" s="164">
        <f t="shared" si="305"/>
        <v>0</v>
      </c>
      <c r="AN698" s="164">
        <f t="shared" si="305"/>
        <v>0</v>
      </c>
      <c r="AO698" s="164">
        <f t="shared" si="305"/>
        <v>0</v>
      </c>
      <c r="AP698" s="164">
        <f t="shared" si="305"/>
        <v>0</v>
      </c>
    </row>
    <row r="699" spans="1:42">
      <c r="A699" s="37" t="s">
        <v>208</v>
      </c>
      <c r="B699" s="164">
        <v>0</v>
      </c>
      <c r="C699" s="164">
        <f>C727</f>
        <v>34340.833333333321</v>
      </c>
      <c r="D699" s="164">
        <f t="shared" ref="D699:AP699" si="306">D727</f>
        <v>34340.833333333321</v>
      </c>
      <c r="E699" s="164">
        <f t="shared" si="306"/>
        <v>34340.833333333321</v>
      </c>
      <c r="F699" s="164">
        <f t="shared" si="306"/>
        <v>35909.466796145811</v>
      </c>
      <c r="G699" s="164">
        <f t="shared" si="306"/>
        <v>35909.466796145811</v>
      </c>
      <c r="H699" s="164">
        <f t="shared" si="306"/>
        <v>35909.466796145811</v>
      </c>
      <c r="I699" s="164">
        <f t="shared" si="306"/>
        <v>37549.752886510192</v>
      </c>
      <c r="J699" s="164">
        <f t="shared" si="306"/>
        <v>37549.752886510192</v>
      </c>
      <c r="K699" s="164">
        <f t="shared" si="306"/>
        <v>37549.752886510192</v>
      </c>
      <c r="L699" s="164">
        <f t="shared" si="306"/>
        <v>39264.96458001752</v>
      </c>
      <c r="M699" s="164">
        <f t="shared" si="306"/>
        <v>39264.96458001752</v>
      </c>
      <c r="N699" s="164">
        <f t="shared" si="306"/>
        <v>39264.96458001752</v>
      </c>
      <c r="O699" s="164">
        <f t="shared" si="306"/>
        <v>41058.524356465256</v>
      </c>
      <c r="P699" s="164">
        <f t="shared" si="306"/>
        <v>41058.524356465256</v>
      </c>
      <c r="Q699" s="164">
        <f t="shared" si="306"/>
        <v>41058.524356465256</v>
      </c>
      <c r="R699" s="164">
        <f t="shared" si="306"/>
        <v>42934.011028966495</v>
      </c>
      <c r="S699" s="164">
        <f t="shared" si="306"/>
        <v>42934.011028966495</v>
      </c>
      <c r="T699" s="164">
        <f t="shared" si="306"/>
        <v>42934.011028966495</v>
      </c>
      <c r="U699" s="164">
        <f t="shared" si="306"/>
        <v>44895.166885001738</v>
      </c>
      <c r="V699" s="164">
        <f t="shared" si="306"/>
        <v>44895.166885001738</v>
      </c>
      <c r="W699" s="164">
        <f t="shared" si="306"/>
        <v>44895.166885001738</v>
      </c>
      <c r="X699" s="164">
        <f t="shared" si="306"/>
        <v>46945.90515366241</v>
      </c>
      <c r="Y699" s="164">
        <f t="shared" si="306"/>
        <v>46945.90515366241</v>
      </c>
      <c r="Z699" s="164">
        <f t="shared" si="306"/>
        <v>46945.90515366241</v>
      </c>
      <c r="AA699" s="164">
        <f t="shared" si="306"/>
        <v>49090.317813985828</v>
      </c>
      <c r="AB699" s="164">
        <f t="shared" si="306"/>
        <v>49090.317813985828</v>
      </c>
      <c r="AC699" s="164">
        <f t="shared" si="306"/>
        <v>49090.317813985828</v>
      </c>
      <c r="AD699" s="164">
        <f t="shared" si="306"/>
        <v>51332.68375996223</v>
      </c>
      <c r="AE699" s="164">
        <f t="shared" si="306"/>
        <v>51332.68375996223</v>
      </c>
      <c r="AF699" s="164">
        <f t="shared" si="306"/>
        <v>51332.68375996223</v>
      </c>
      <c r="AG699" s="164">
        <f t="shared" si="306"/>
        <v>0</v>
      </c>
      <c r="AH699" s="164">
        <f t="shared" si="306"/>
        <v>0</v>
      </c>
      <c r="AI699" s="164">
        <f t="shared" si="306"/>
        <v>0</v>
      </c>
      <c r="AJ699" s="164">
        <f t="shared" si="306"/>
        <v>0</v>
      </c>
      <c r="AK699" s="164">
        <f t="shared" si="306"/>
        <v>0</v>
      </c>
      <c r="AL699" s="164">
        <f t="shared" si="306"/>
        <v>0</v>
      </c>
      <c r="AM699" s="164">
        <f t="shared" si="306"/>
        <v>0</v>
      </c>
      <c r="AN699" s="164">
        <f t="shared" si="306"/>
        <v>0</v>
      </c>
      <c r="AO699" s="164">
        <f t="shared" si="306"/>
        <v>0</v>
      </c>
      <c r="AP699" s="164">
        <f t="shared" si="306"/>
        <v>0</v>
      </c>
    </row>
    <row r="700" spans="1:42">
      <c r="A700" s="37" t="s">
        <v>107</v>
      </c>
      <c r="B700" s="209">
        <v>0</v>
      </c>
      <c r="C700" s="209">
        <f>-C715</f>
        <v>0</v>
      </c>
      <c r="D700" s="209">
        <f t="shared" ref="D700:AP700" si="307">-D715</f>
        <v>0</v>
      </c>
      <c r="E700" s="209">
        <f t="shared" si="307"/>
        <v>-103022.49999999997</v>
      </c>
      <c r="F700" s="209">
        <f t="shared" si="307"/>
        <v>0</v>
      </c>
      <c r="G700" s="209">
        <f t="shared" si="307"/>
        <v>0</v>
      </c>
      <c r="H700" s="209">
        <f t="shared" si="307"/>
        <v>-107728.40038843743</v>
      </c>
      <c r="I700" s="209">
        <f t="shared" si="307"/>
        <v>0</v>
      </c>
      <c r="J700" s="209">
        <f t="shared" si="307"/>
        <v>0</v>
      </c>
      <c r="K700" s="209">
        <f t="shared" si="307"/>
        <v>-112649.25865953058</v>
      </c>
      <c r="L700" s="209">
        <f t="shared" si="307"/>
        <v>0</v>
      </c>
      <c r="M700" s="209">
        <f t="shared" si="307"/>
        <v>0</v>
      </c>
      <c r="N700" s="209">
        <f t="shared" si="307"/>
        <v>-117794.89374005256</v>
      </c>
      <c r="O700" s="209">
        <f t="shared" si="307"/>
        <v>0</v>
      </c>
      <c r="P700" s="209">
        <f t="shared" si="307"/>
        <v>0</v>
      </c>
      <c r="Q700" s="209">
        <f t="shared" si="307"/>
        <v>-123175.57306939577</v>
      </c>
      <c r="R700" s="209">
        <f t="shared" si="307"/>
        <v>0</v>
      </c>
      <c r="S700" s="209">
        <f t="shared" si="307"/>
        <v>0</v>
      </c>
      <c r="T700" s="209">
        <f t="shared" si="307"/>
        <v>-128802.03308689948</v>
      </c>
      <c r="U700" s="209">
        <f t="shared" si="307"/>
        <v>0</v>
      </c>
      <c r="V700" s="209">
        <f t="shared" si="307"/>
        <v>0</v>
      </c>
      <c r="W700" s="209">
        <f t="shared" si="307"/>
        <v>-134685.50065500522</v>
      </c>
      <c r="X700" s="209">
        <f t="shared" si="307"/>
        <v>0</v>
      </c>
      <c r="Y700" s="209">
        <f t="shared" si="307"/>
        <v>0</v>
      </c>
      <c r="Z700" s="209">
        <f t="shared" si="307"/>
        <v>-140837.71546098724</v>
      </c>
      <c r="AA700" s="209">
        <f t="shared" si="307"/>
        <v>0</v>
      </c>
      <c r="AB700" s="209">
        <f t="shared" si="307"/>
        <v>0</v>
      </c>
      <c r="AC700" s="209">
        <f t="shared" si="307"/>
        <v>-147270.95344195748</v>
      </c>
      <c r="AD700" s="209">
        <f t="shared" si="307"/>
        <v>0</v>
      </c>
      <c r="AE700" s="209">
        <f t="shared" si="307"/>
        <v>0</v>
      </c>
      <c r="AF700" s="209">
        <f t="shared" si="307"/>
        <v>-153998.05127988668</v>
      </c>
      <c r="AG700" s="209">
        <f t="shared" si="307"/>
        <v>0</v>
      </c>
      <c r="AH700" s="209">
        <f t="shared" si="307"/>
        <v>0</v>
      </c>
      <c r="AI700" s="209">
        <f t="shared" si="307"/>
        <v>0</v>
      </c>
      <c r="AJ700" s="209">
        <f t="shared" si="307"/>
        <v>0</v>
      </c>
      <c r="AK700" s="209">
        <f t="shared" si="307"/>
        <v>0</v>
      </c>
      <c r="AL700" s="209">
        <f t="shared" si="307"/>
        <v>0</v>
      </c>
      <c r="AM700" s="209">
        <f t="shared" si="307"/>
        <v>0</v>
      </c>
      <c r="AN700" s="209">
        <f t="shared" si="307"/>
        <v>0</v>
      </c>
      <c r="AO700" s="209">
        <f t="shared" si="307"/>
        <v>0</v>
      </c>
      <c r="AP700" s="209">
        <f t="shared" si="307"/>
        <v>0</v>
      </c>
    </row>
    <row r="701" spans="1:42">
      <c r="A701" s="37" t="s">
        <v>103</v>
      </c>
      <c r="B701" s="164">
        <f>SUM(B698:B700)</f>
        <v>0</v>
      </c>
      <c r="C701" s="164">
        <f>SUM(C698:C700)</f>
        <v>34340.833333333321</v>
      </c>
      <c r="D701" s="164">
        <f t="shared" ref="D701:AP701" si="308">SUM(D698:D700)</f>
        <v>68681.666666666642</v>
      </c>
      <c r="E701" s="164">
        <f t="shared" si="308"/>
        <v>0</v>
      </c>
      <c r="F701" s="164">
        <f t="shared" si="308"/>
        <v>35909.466796145811</v>
      </c>
      <c r="G701" s="164">
        <f t="shared" si="308"/>
        <v>71818.933592291622</v>
      </c>
      <c r="H701" s="164">
        <f t="shared" si="308"/>
        <v>0</v>
      </c>
      <c r="I701" s="164">
        <f t="shared" si="308"/>
        <v>37549.752886510192</v>
      </c>
      <c r="J701" s="164">
        <f t="shared" si="308"/>
        <v>75099.505773020384</v>
      </c>
      <c r="K701" s="164">
        <f t="shared" si="308"/>
        <v>0</v>
      </c>
      <c r="L701" s="164">
        <f t="shared" si="308"/>
        <v>39264.96458001752</v>
      </c>
      <c r="M701" s="164">
        <f t="shared" si="308"/>
        <v>78529.929160035041</v>
      </c>
      <c r="N701" s="164">
        <f t="shared" si="308"/>
        <v>0</v>
      </c>
      <c r="O701" s="164">
        <f t="shared" si="308"/>
        <v>41058.524356465256</v>
      </c>
      <c r="P701" s="164">
        <f t="shared" si="308"/>
        <v>82117.048712930511</v>
      </c>
      <c r="Q701" s="164">
        <f t="shared" si="308"/>
        <v>0</v>
      </c>
      <c r="R701" s="164">
        <f t="shared" si="308"/>
        <v>42934.011028966495</v>
      </c>
      <c r="S701" s="164">
        <f t="shared" si="308"/>
        <v>85868.022057932991</v>
      </c>
      <c r="T701" s="164">
        <f t="shared" si="308"/>
        <v>0</v>
      </c>
      <c r="U701" s="164">
        <f t="shared" si="308"/>
        <v>44895.166885001738</v>
      </c>
      <c r="V701" s="164">
        <f t="shared" si="308"/>
        <v>89790.333770003475</v>
      </c>
      <c r="W701" s="164">
        <f t="shared" si="308"/>
        <v>0</v>
      </c>
      <c r="X701" s="164">
        <f t="shared" si="308"/>
        <v>46945.90515366241</v>
      </c>
      <c r="Y701" s="164">
        <f t="shared" si="308"/>
        <v>93891.81030732482</v>
      </c>
      <c r="Z701" s="164">
        <f t="shared" si="308"/>
        <v>0</v>
      </c>
      <c r="AA701" s="164">
        <f t="shared" si="308"/>
        <v>49090.317813985828</v>
      </c>
      <c r="AB701" s="164">
        <f t="shared" si="308"/>
        <v>98180.635627971657</v>
      </c>
      <c r="AC701" s="164">
        <f t="shared" si="308"/>
        <v>0</v>
      </c>
      <c r="AD701" s="164">
        <f t="shared" si="308"/>
        <v>51332.68375996223</v>
      </c>
      <c r="AE701" s="164">
        <f t="shared" si="308"/>
        <v>102665.36751992446</v>
      </c>
      <c r="AF701" s="164">
        <f t="shared" si="308"/>
        <v>0</v>
      </c>
      <c r="AG701" s="164">
        <f t="shared" si="308"/>
        <v>0</v>
      </c>
      <c r="AH701" s="164">
        <f t="shared" si="308"/>
        <v>0</v>
      </c>
      <c r="AI701" s="164">
        <f t="shared" si="308"/>
        <v>0</v>
      </c>
      <c r="AJ701" s="164">
        <f t="shared" si="308"/>
        <v>0</v>
      </c>
      <c r="AK701" s="164">
        <f t="shared" si="308"/>
        <v>0</v>
      </c>
      <c r="AL701" s="164">
        <f t="shared" si="308"/>
        <v>0</v>
      </c>
      <c r="AM701" s="164">
        <f t="shared" si="308"/>
        <v>0</v>
      </c>
      <c r="AN701" s="164">
        <f t="shared" si="308"/>
        <v>0</v>
      </c>
      <c r="AO701" s="164">
        <f t="shared" si="308"/>
        <v>0</v>
      </c>
      <c r="AP701" s="164">
        <f t="shared" si="308"/>
        <v>0</v>
      </c>
    </row>
    <row r="702" spans="1:42">
      <c r="B702" s="164"/>
      <c r="C702" s="164"/>
      <c r="D702" s="164"/>
      <c r="E702" s="164"/>
      <c r="F702" s="164"/>
      <c r="G702" s="208"/>
      <c r="H702" s="208"/>
      <c r="I702" s="208"/>
      <c r="J702" s="208"/>
      <c r="K702" s="208"/>
      <c r="L702" s="208"/>
      <c r="M702" s="208"/>
      <c r="N702" s="208"/>
      <c r="O702" s="208"/>
      <c r="P702" s="208"/>
      <c r="Q702" s="208"/>
      <c r="R702" s="208"/>
      <c r="S702" s="208"/>
      <c r="T702" s="208"/>
      <c r="U702" s="208"/>
      <c r="V702" s="208"/>
      <c r="W702" s="208"/>
      <c r="X702" s="208"/>
      <c r="Y702" s="208"/>
      <c r="Z702" s="208"/>
      <c r="AA702" s="208"/>
      <c r="AB702" s="208"/>
      <c r="AC702" s="208"/>
      <c r="AD702" s="208"/>
      <c r="AE702" s="208"/>
      <c r="AF702" s="208"/>
      <c r="AG702" s="208"/>
      <c r="AH702" s="208"/>
      <c r="AI702" s="208"/>
      <c r="AJ702" s="208"/>
      <c r="AK702" s="208"/>
      <c r="AL702" s="208"/>
      <c r="AM702" s="208"/>
      <c r="AN702" s="208"/>
      <c r="AO702" s="208"/>
      <c r="AP702" s="208"/>
    </row>
    <row r="703" spans="1:42">
      <c r="A703" s="37" t="s">
        <v>206</v>
      </c>
      <c r="B703" s="164"/>
      <c r="C703" s="164"/>
      <c r="D703" s="164"/>
      <c r="E703" s="164"/>
      <c r="F703" s="164"/>
      <c r="G703" s="208"/>
      <c r="H703" s="208"/>
      <c r="I703" s="208"/>
      <c r="J703" s="208"/>
      <c r="K703" s="208"/>
      <c r="L703" s="208"/>
      <c r="M703" s="208"/>
      <c r="N703" s="208"/>
      <c r="O703" s="208"/>
      <c r="P703" s="208"/>
      <c r="Q703" s="208"/>
      <c r="R703" s="208"/>
      <c r="S703" s="208"/>
      <c r="T703" s="208"/>
      <c r="U703" s="208"/>
      <c r="V703" s="208"/>
      <c r="W703" s="208"/>
      <c r="X703" s="208"/>
      <c r="Y703" s="208"/>
      <c r="Z703" s="208"/>
      <c r="AA703" s="208"/>
      <c r="AB703" s="208"/>
      <c r="AC703" s="208"/>
      <c r="AD703" s="208"/>
      <c r="AE703" s="208"/>
      <c r="AF703" s="208"/>
      <c r="AG703" s="208"/>
      <c r="AH703" s="208"/>
      <c r="AI703" s="208"/>
      <c r="AJ703" s="208"/>
      <c r="AK703" s="208"/>
      <c r="AL703" s="208"/>
      <c r="AM703" s="208"/>
      <c r="AN703" s="208"/>
      <c r="AO703" s="208"/>
      <c r="AP703" s="208"/>
    </row>
    <row r="704" spans="1:42">
      <c r="A704" s="37" t="s">
        <v>207</v>
      </c>
      <c r="B704" s="164"/>
      <c r="C704" s="164"/>
      <c r="D704" s="164"/>
      <c r="E704" s="164"/>
      <c r="F704" s="164"/>
      <c r="G704" s="208"/>
      <c r="H704" s="208"/>
      <c r="I704" s="208"/>
      <c r="J704" s="208"/>
      <c r="K704" s="208"/>
      <c r="L704" s="208"/>
      <c r="M704" s="208"/>
      <c r="N704" s="208"/>
      <c r="O704" s="208"/>
      <c r="P704" s="208"/>
      <c r="Q704" s="208"/>
      <c r="R704" s="208"/>
      <c r="S704" s="208"/>
      <c r="T704" s="208"/>
      <c r="U704" s="208"/>
      <c r="V704" s="208"/>
      <c r="W704" s="208"/>
      <c r="X704" s="208"/>
      <c r="Y704" s="208"/>
      <c r="Z704" s="208"/>
      <c r="AA704" s="208"/>
      <c r="AB704" s="208"/>
      <c r="AC704" s="208"/>
      <c r="AD704" s="208"/>
      <c r="AE704" s="208"/>
      <c r="AF704" s="208"/>
      <c r="AG704" s="208"/>
      <c r="AH704" s="208"/>
      <c r="AI704" s="208"/>
      <c r="AJ704" s="208"/>
      <c r="AK704" s="208"/>
      <c r="AL704" s="208"/>
      <c r="AM704" s="208"/>
      <c r="AN704" s="208"/>
      <c r="AO704" s="208"/>
      <c r="AP704" s="208"/>
    </row>
    <row r="705" spans="1:42">
      <c r="A705" s="37">
        <v>1</v>
      </c>
      <c r="B705" s="295">
        <f t="shared" ref="B705:B714" si="309">SUM(C705:AP705)</f>
        <v>103022.49999999997</v>
      </c>
      <c r="C705" s="208">
        <f t="shared" ref="C705:AP711" si="310">IF(C$2&gt;AnalysisPeriod,0,IF(C$2=MMFrequency3*$A705,MMCost3*CapacityDC*1000*(1+Inflation)^B$2,0))</f>
        <v>0</v>
      </c>
      <c r="D705" s="208">
        <f t="shared" si="310"/>
        <v>0</v>
      </c>
      <c r="E705" s="208">
        <f t="shared" si="310"/>
        <v>103022.49999999997</v>
      </c>
      <c r="F705" s="208">
        <f t="shared" si="310"/>
        <v>0</v>
      </c>
      <c r="G705" s="208">
        <f t="shared" si="310"/>
        <v>0</v>
      </c>
      <c r="H705" s="208">
        <f t="shared" si="310"/>
        <v>0</v>
      </c>
      <c r="I705" s="208">
        <f t="shared" si="310"/>
        <v>0</v>
      </c>
      <c r="J705" s="208">
        <f t="shared" si="310"/>
        <v>0</v>
      </c>
      <c r="K705" s="208">
        <f t="shared" si="310"/>
        <v>0</v>
      </c>
      <c r="L705" s="208">
        <f t="shared" si="310"/>
        <v>0</v>
      </c>
      <c r="M705" s="208">
        <f t="shared" si="310"/>
        <v>0</v>
      </c>
      <c r="N705" s="208">
        <f t="shared" si="310"/>
        <v>0</v>
      </c>
      <c r="O705" s="208">
        <f t="shared" si="310"/>
        <v>0</v>
      </c>
      <c r="P705" s="208">
        <f t="shared" si="310"/>
        <v>0</v>
      </c>
      <c r="Q705" s="208">
        <f t="shared" si="310"/>
        <v>0</v>
      </c>
      <c r="R705" s="208">
        <f t="shared" si="310"/>
        <v>0</v>
      </c>
      <c r="S705" s="208">
        <f t="shared" si="310"/>
        <v>0</v>
      </c>
      <c r="T705" s="208">
        <f t="shared" si="310"/>
        <v>0</v>
      </c>
      <c r="U705" s="208">
        <f t="shared" si="310"/>
        <v>0</v>
      </c>
      <c r="V705" s="208">
        <f t="shared" si="310"/>
        <v>0</v>
      </c>
      <c r="W705" s="208">
        <f t="shared" si="310"/>
        <v>0</v>
      </c>
      <c r="X705" s="208">
        <f t="shared" si="310"/>
        <v>0</v>
      </c>
      <c r="Y705" s="208">
        <f t="shared" si="310"/>
        <v>0</v>
      </c>
      <c r="Z705" s="208">
        <f t="shared" si="310"/>
        <v>0</v>
      </c>
      <c r="AA705" s="208">
        <f t="shared" si="310"/>
        <v>0</v>
      </c>
      <c r="AB705" s="208">
        <f t="shared" si="310"/>
        <v>0</v>
      </c>
      <c r="AC705" s="208">
        <f t="shared" si="310"/>
        <v>0</v>
      </c>
      <c r="AD705" s="208">
        <f t="shared" si="310"/>
        <v>0</v>
      </c>
      <c r="AE705" s="208">
        <f t="shared" si="310"/>
        <v>0</v>
      </c>
      <c r="AF705" s="208">
        <f t="shared" si="310"/>
        <v>0</v>
      </c>
      <c r="AG705" s="208">
        <f t="shared" si="310"/>
        <v>0</v>
      </c>
      <c r="AH705" s="208">
        <f t="shared" si="310"/>
        <v>0</v>
      </c>
      <c r="AI705" s="208">
        <f t="shared" si="310"/>
        <v>0</v>
      </c>
      <c r="AJ705" s="208">
        <f t="shared" si="310"/>
        <v>0</v>
      </c>
      <c r="AK705" s="208">
        <f t="shared" si="310"/>
        <v>0</v>
      </c>
      <c r="AL705" s="208">
        <f t="shared" si="310"/>
        <v>0</v>
      </c>
      <c r="AM705" s="208">
        <f t="shared" si="310"/>
        <v>0</v>
      </c>
      <c r="AN705" s="208">
        <f t="shared" si="310"/>
        <v>0</v>
      </c>
      <c r="AO705" s="208">
        <f t="shared" si="310"/>
        <v>0</v>
      </c>
      <c r="AP705" s="208">
        <f t="shared" si="310"/>
        <v>0</v>
      </c>
    </row>
    <row r="706" spans="1:42">
      <c r="A706" s="37">
        <f>A705+1</f>
        <v>2</v>
      </c>
      <c r="B706" s="295">
        <f t="shared" si="309"/>
        <v>107728.40038843743</v>
      </c>
      <c r="C706" s="208">
        <f t="shared" si="310"/>
        <v>0</v>
      </c>
      <c r="D706" s="208">
        <f t="shared" si="310"/>
        <v>0</v>
      </c>
      <c r="E706" s="208">
        <f t="shared" si="310"/>
        <v>0</v>
      </c>
      <c r="F706" s="208">
        <f t="shared" si="310"/>
        <v>0</v>
      </c>
      <c r="G706" s="208">
        <f t="shared" si="310"/>
        <v>0</v>
      </c>
      <c r="H706" s="208">
        <f t="shared" si="310"/>
        <v>107728.40038843743</v>
      </c>
      <c r="I706" s="208">
        <f t="shared" si="310"/>
        <v>0</v>
      </c>
      <c r="J706" s="208">
        <f t="shared" si="310"/>
        <v>0</v>
      </c>
      <c r="K706" s="208">
        <f t="shared" si="310"/>
        <v>0</v>
      </c>
      <c r="L706" s="208">
        <f t="shared" si="310"/>
        <v>0</v>
      </c>
      <c r="M706" s="208">
        <f t="shared" si="310"/>
        <v>0</v>
      </c>
      <c r="N706" s="208">
        <f t="shared" si="310"/>
        <v>0</v>
      </c>
      <c r="O706" s="208">
        <f t="shared" si="310"/>
        <v>0</v>
      </c>
      <c r="P706" s="208">
        <f t="shared" si="310"/>
        <v>0</v>
      </c>
      <c r="Q706" s="208">
        <f t="shared" si="310"/>
        <v>0</v>
      </c>
      <c r="R706" s="208">
        <f t="shared" si="310"/>
        <v>0</v>
      </c>
      <c r="S706" s="208">
        <f t="shared" si="310"/>
        <v>0</v>
      </c>
      <c r="T706" s="208">
        <f t="shared" si="310"/>
        <v>0</v>
      </c>
      <c r="U706" s="208">
        <f t="shared" si="310"/>
        <v>0</v>
      </c>
      <c r="V706" s="208">
        <f t="shared" si="310"/>
        <v>0</v>
      </c>
      <c r="W706" s="208">
        <f t="shared" si="310"/>
        <v>0</v>
      </c>
      <c r="X706" s="208">
        <f t="shared" si="310"/>
        <v>0</v>
      </c>
      <c r="Y706" s="208">
        <f t="shared" si="310"/>
        <v>0</v>
      </c>
      <c r="Z706" s="208">
        <f t="shared" si="310"/>
        <v>0</v>
      </c>
      <c r="AA706" s="208">
        <f t="shared" si="310"/>
        <v>0</v>
      </c>
      <c r="AB706" s="208">
        <f t="shared" si="310"/>
        <v>0</v>
      </c>
      <c r="AC706" s="208">
        <f t="shared" si="310"/>
        <v>0</v>
      </c>
      <c r="AD706" s="208">
        <f t="shared" si="310"/>
        <v>0</v>
      </c>
      <c r="AE706" s="208">
        <f t="shared" si="310"/>
        <v>0</v>
      </c>
      <c r="AF706" s="208">
        <f t="shared" si="310"/>
        <v>0</v>
      </c>
      <c r="AG706" s="208">
        <f t="shared" si="310"/>
        <v>0</v>
      </c>
      <c r="AH706" s="208">
        <f t="shared" si="310"/>
        <v>0</v>
      </c>
      <c r="AI706" s="208">
        <f t="shared" si="310"/>
        <v>0</v>
      </c>
      <c r="AJ706" s="208">
        <f t="shared" si="310"/>
        <v>0</v>
      </c>
      <c r="AK706" s="208">
        <f t="shared" si="310"/>
        <v>0</v>
      </c>
      <c r="AL706" s="208">
        <f t="shared" si="310"/>
        <v>0</v>
      </c>
      <c r="AM706" s="208">
        <f t="shared" si="310"/>
        <v>0</v>
      </c>
      <c r="AN706" s="208">
        <f t="shared" si="310"/>
        <v>0</v>
      </c>
      <c r="AO706" s="208">
        <f t="shared" si="310"/>
        <v>0</v>
      </c>
      <c r="AP706" s="208">
        <f t="shared" si="310"/>
        <v>0</v>
      </c>
    </row>
    <row r="707" spans="1:42">
      <c r="A707" s="37">
        <f t="shared" ref="A707:A714" si="311">A706+1</f>
        <v>3</v>
      </c>
      <c r="B707" s="295">
        <f t="shared" si="309"/>
        <v>112649.25865953058</v>
      </c>
      <c r="C707" s="208">
        <f t="shared" si="310"/>
        <v>0</v>
      </c>
      <c r="D707" s="208">
        <f t="shared" si="310"/>
        <v>0</v>
      </c>
      <c r="E707" s="208">
        <f t="shared" si="310"/>
        <v>0</v>
      </c>
      <c r="F707" s="208">
        <f t="shared" si="310"/>
        <v>0</v>
      </c>
      <c r="G707" s="208">
        <f t="shared" si="310"/>
        <v>0</v>
      </c>
      <c r="H707" s="208">
        <f t="shared" si="310"/>
        <v>0</v>
      </c>
      <c r="I707" s="208">
        <f t="shared" si="310"/>
        <v>0</v>
      </c>
      <c r="J707" s="208">
        <f t="shared" si="310"/>
        <v>0</v>
      </c>
      <c r="K707" s="208">
        <f t="shared" si="310"/>
        <v>112649.25865953058</v>
      </c>
      <c r="L707" s="208">
        <f t="shared" si="310"/>
        <v>0</v>
      </c>
      <c r="M707" s="208">
        <f t="shared" si="310"/>
        <v>0</v>
      </c>
      <c r="N707" s="208">
        <f t="shared" si="310"/>
        <v>0</v>
      </c>
      <c r="O707" s="208">
        <f t="shared" si="310"/>
        <v>0</v>
      </c>
      <c r="P707" s="208">
        <f t="shared" si="310"/>
        <v>0</v>
      </c>
      <c r="Q707" s="208">
        <f t="shared" si="310"/>
        <v>0</v>
      </c>
      <c r="R707" s="208">
        <f t="shared" si="310"/>
        <v>0</v>
      </c>
      <c r="S707" s="208">
        <f t="shared" si="310"/>
        <v>0</v>
      </c>
      <c r="T707" s="208">
        <f t="shared" si="310"/>
        <v>0</v>
      </c>
      <c r="U707" s="208">
        <f t="shared" si="310"/>
        <v>0</v>
      </c>
      <c r="V707" s="208">
        <f t="shared" si="310"/>
        <v>0</v>
      </c>
      <c r="W707" s="208">
        <f t="shared" si="310"/>
        <v>0</v>
      </c>
      <c r="X707" s="208">
        <f t="shared" si="310"/>
        <v>0</v>
      </c>
      <c r="Y707" s="208">
        <f t="shared" si="310"/>
        <v>0</v>
      </c>
      <c r="Z707" s="208">
        <f t="shared" si="310"/>
        <v>0</v>
      </c>
      <c r="AA707" s="208">
        <f t="shared" si="310"/>
        <v>0</v>
      </c>
      <c r="AB707" s="208">
        <f t="shared" si="310"/>
        <v>0</v>
      </c>
      <c r="AC707" s="208">
        <f t="shared" si="310"/>
        <v>0</v>
      </c>
      <c r="AD707" s="208">
        <f t="shared" si="310"/>
        <v>0</v>
      </c>
      <c r="AE707" s="208">
        <f t="shared" si="310"/>
        <v>0</v>
      </c>
      <c r="AF707" s="208">
        <f t="shared" si="310"/>
        <v>0</v>
      </c>
      <c r="AG707" s="208">
        <f t="shared" si="310"/>
        <v>0</v>
      </c>
      <c r="AH707" s="208">
        <f t="shared" si="310"/>
        <v>0</v>
      </c>
      <c r="AI707" s="208">
        <f t="shared" si="310"/>
        <v>0</v>
      </c>
      <c r="AJ707" s="208">
        <f t="shared" si="310"/>
        <v>0</v>
      </c>
      <c r="AK707" s="208">
        <f t="shared" si="310"/>
        <v>0</v>
      </c>
      <c r="AL707" s="208">
        <f t="shared" si="310"/>
        <v>0</v>
      </c>
      <c r="AM707" s="208">
        <f t="shared" si="310"/>
        <v>0</v>
      </c>
      <c r="AN707" s="208">
        <f t="shared" si="310"/>
        <v>0</v>
      </c>
      <c r="AO707" s="208">
        <f t="shared" si="310"/>
        <v>0</v>
      </c>
      <c r="AP707" s="208">
        <f t="shared" si="310"/>
        <v>0</v>
      </c>
    </row>
    <row r="708" spans="1:42">
      <c r="A708" s="37">
        <f t="shared" si="311"/>
        <v>4</v>
      </c>
      <c r="B708" s="295">
        <f t="shared" si="309"/>
        <v>117794.89374005256</v>
      </c>
      <c r="C708" s="208">
        <f t="shared" si="310"/>
        <v>0</v>
      </c>
      <c r="D708" s="208">
        <f t="shared" si="310"/>
        <v>0</v>
      </c>
      <c r="E708" s="208">
        <f t="shared" si="310"/>
        <v>0</v>
      </c>
      <c r="F708" s="208">
        <f t="shared" si="310"/>
        <v>0</v>
      </c>
      <c r="G708" s="208">
        <f t="shared" si="310"/>
        <v>0</v>
      </c>
      <c r="H708" s="208">
        <f t="shared" si="310"/>
        <v>0</v>
      </c>
      <c r="I708" s="208">
        <f t="shared" si="310"/>
        <v>0</v>
      </c>
      <c r="J708" s="208">
        <f t="shared" si="310"/>
        <v>0</v>
      </c>
      <c r="K708" s="208">
        <f t="shared" si="310"/>
        <v>0</v>
      </c>
      <c r="L708" s="208">
        <f t="shared" si="310"/>
        <v>0</v>
      </c>
      <c r="M708" s="208">
        <f t="shared" si="310"/>
        <v>0</v>
      </c>
      <c r="N708" s="208">
        <f t="shared" si="310"/>
        <v>117794.89374005256</v>
      </c>
      <c r="O708" s="208">
        <f t="shared" si="310"/>
        <v>0</v>
      </c>
      <c r="P708" s="208">
        <f t="shared" si="310"/>
        <v>0</v>
      </c>
      <c r="Q708" s="208">
        <f t="shared" si="310"/>
        <v>0</v>
      </c>
      <c r="R708" s="208">
        <f t="shared" si="310"/>
        <v>0</v>
      </c>
      <c r="S708" s="208">
        <f t="shared" si="310"/>
        <v>0</v>
      </c>
      <c r="T708" s="208">
        <f t="shared" si="310"/>
        <v>0</v>
      </c>
      <c r="U708" s="208">
        <f t="shared" si="310"/>
        <v>0</v>
      </c>
      <c r="V708" s="208">
        <f t="shared" si="310"/>
        <v>0</v>
      </c>
      <c r="W708" s="208">
        <f t="shared" si="310"/>
        <v>0</v>
      </c>
      <c r="X708" s="208">
        <f t="shared" si="310"/>
        <v>0</v>
      </c>
      <c r="Y708" s="208">
        <f t="shared" si="310"/>
        <v>0</v>
      </c>
      <c r="Z708" s="208">
        <f t="shared" si="310"/>
        <v>0</v>
      </c>
      <c r="AA708" s="208">
        <f t="shared" si="310"/>
        <v>0</v>
      </c>
      <c r="AB708" s="208">
        <f t="shared" si="310"/>
        <v>0</v>
      </c>
      <c r="AC708" s="208">
        <f t="shared" si="310"/>
        <v>0</v>
      </c>
      <c r="AD708" s="208">
        <f t="shared" si="310"/>
        <v>0</v>
      </c>
      <c r="AE708" s="208">
        <f t="shared" si="310"/>
        <v>0</v>
      </c>
      <c r="AF708" s="208">
        <f t="shared" si="310"/>
        <v>0</v>
      </c>
      <c r="AG708" s="208">
        <f t="shared" si="310"/>
        <v>0</v>
      </c>
      <c r="AH708" s="208">
        <f t="shared" si="310"/>
        <v>0</v>
      </c>
      <c r="AI708" s="208">
        <f t="shared" si="310"/>
        <v>0</v>
      </c>
      <c r="AJ708" s="208">
        <f t="shared" si="310"/>
        <v>0</v>
      </c>
      <c r="AK708" s="208">
        <f t="shared" si="310"/>
        <v>0</v>
      </c>
      <c r="AL708" s="208">
        <f t="shared" si="310"/>
        <v>0</v>
      </c>
      <c r="AM708" s="208">
        <f t="shared" si="310"/>
        <v>0</v>
      </c>
      <c r="AN708" s="208">
        <f t="shared" si="310"/>
        <v>0</v>
      </c>
      <c r="AO708" s="208">
        <f t="shared" si="310"/>
        <v>0</v>
      </c>
      <c r="AP708" s="208">
        <f t="shared" si="310"/>
        <v>0</v>
      </c>
    </row>
    <row r="709" spans="1:42">
      <c r="A709" s="37">
        <f t="shared" si="311"/>
        <v>5</v>
      </c>
      <c r="B709" s="295">
        <f t="shared" si="309"/>
        <v>123175.57306939577</v>
      </c>
      <c r="C709" s="208">
        <f t="shared" si="310"/>
        <v>0</v>
      </c>
      <c r="D709" s="208">
        <f t="shared" si="310"/>
        <v>0</v>
      </c>
      <c r="E709" s="208">
        <f t="shared" si="310"/>
        <v>0</v>
      </c>
      <c r="F709" s="208">
        <f t="shared" si="310"/>
        <v>0</v>
      </c>
      <c r="G709" s="208">
        <f t="shared" si="310"/>
        <v>0</v>
      </c>
      <c r="H709" s="208">
        <f t="shared" si="310"/>
        <v>0</v>
      </c>
      <c r="I709" s="208">
        <f t="shared" si="310"/>
        <v>0</v>
      </c>
      <c r="J709" s="208">
        <f t="shared" si="310"/>
        <v>0</v>
      </c>
      <c r="K709" s="208">
        <f t="shared" si="310"/>
        <v>0</v>
      </c>
      <c r="L709" s="208">
        <f t="shared" si="310"/>
        <v>0</v>
      </c>
      <c r="M709" s="208">
        <f t="shared" si="310"/>
        <v>0</v>
      </c>
      <c r="N709" s="208">
        <f t="shared" si="310"/>
        <v>0</v>
      </c>
      <c r="O709" s="208">
        <f t="shared" si="310"/>
        <v>0</v>
      </c>
      <c r="P709" s="208">
        <f t="shared" si="310"/>
        <v>0</v>
      </c>
      <c r="Q709" s="208">
        <f t="shared" si="310"/>
        <v>123175.57306939577</v>
      </c>
      <c r="R709" s="208">
        <f t="shared" si="310"/>
        <v>0</v>
      </c>
      <c r="S709" s="208">
        <f t="shared" si="310"/>
        <v>0</v>
      </c>
      <c r="T709" s="208">
        <f t="shared" si="310"/>
        <v>0</v>
      </c>
      <c r="U709" s="208">
        <f t="shared" si="310"/>
        <v>0</v>
      </c>
      <c r="V709" s="208">
        <f t="shared" si="310"/>
        <v>0</v>
      </c>
      <c r="W709" s="208">
        <f t="shared" si="310"/>
        <v>0</v>
      </c>
      <c r="X709" s="208">
        <f t="shared" si="310"/>
        <v>0</v>
      </c>
      <c r="Y709" s="208">
        <f t="shared" si="310"/>
        <v>0</v>
      </c>
      <c r="Z709" s="208">
        <f t="shared" si="310"/>
        <v>0</v>
      </c>
      <c r="AA709" s="208">
        <f t="shared" si="310"/>
        <v>0</v>
      </c>
      <c r="AB709" s="208">
        <f t="shared" si="310"/>
        <v>0</v>
      </c>
      <c r="AC709" s="208">
        <f t="shared" si="310"/>
        <v>0</v>
      </c>
      <c r="AD709" s="208">
        <f t="shared" si="310"/>
        <v>0</v>
      </c>
      <c r="AE709" s="208">
        <f t="shared" si="310"/>
        <v>0</v>
      </c>
      <c r="AF709" s="208">
        <f t="shared" si="310"/>
        <v>0</v>
      </c>
      <c r="AG709" s="208">
        <f t="shared" si="310"/>
        <v>0</v>
      </c>
      <c r="AH709" s="208">
        <f t="shared" si="310"/>
        <v>0</v>
      </c>
      <c r="AI709" s="208">
        <f t="shared" si="310"/>
        <v>0</v>
      </c>
      <c r="AJ709" s="208">
        <f t="shared" si="310"/>
        <v>0</v>
      </c>
      <c r="AK709" s="208">
        <f t="shared" si="310"/>
        <v>0</v>
      </c>
      <c r="AL709" s="208">
        <f t="shared" si="310"/>
        <v>0</v>
      </c>
      <c r="AM709" s="208">
        <f t="shared" si="310"/>
        <v>0</v>
      </c>
      <c r="AN709" s="208">
        <f t="shared" si="310"/>
        <v>0</v>
      </c>
      <c r="AO709" s="208">
        <f t="shared" si="310"/>
        <v>0</v>
      </c>
      <c r="AP709" s="208">
        <f t="shared" si="310"/>
        <v>0</v>
      </c>
    </row>
    <row r="710" spans="1:42">
      <c r="A710" s="37">
        <f t="shared" si="311"/>
        <v>6</v>
      </c>
      <c r="B710" s="295">
        <f t="shared" si="309"/>
        <v>128802.03308689948</v>
      </c>
      <c r="C710" s="208">
        <f t="shared" si="310"/>
        <v>0</v>
      </c>
      <c r="D710" s="208">
        <f t="shared" si="310"/>
        <v>0</v>
      </c>
      <c r="E710" s="208">
        <f t="shared" si="310"/>
        <v>0</v>
      </c>
      <c r="F710" s="208">
        <f t="shared" si="310"/>
        <v>0</v>
      </c>
      <c r="G710" s="208">
        <f t="shared" si="310"/>
        <v>0</v>
      </c>
      <c r="H710" s="208">
        <f t="shared" si="310"/>
        <v>0</v>
      </c>
      <c r="I710" s="208">
        <f t="shared" si="310"/>
        <v>0</v>
      </c>
      <c r="J710" s="208">
        <f t="shared" si="310"/>
        <v>0</v>
      </c>
      <c r="K710" s="208">
        <f t="shared" si="310"/>
        <v>0</v>
      </c>
      <c r="L710" s="208">
        <f t="shared" si="310"/>
        <v>0</v>
      </c>
      <c r="M710" s="208">
        <f t="shared" si="310"/>
        <v>0</v>
      </c>
      <c r="N710" s="208">
        <f t="shared" si="310"/>
        <v>0</v>
      </c>
      <c r="O710" s="208">
        <f t="shared" si="310"/>
        <v>0</v>
      </c>
      <c r="P710" s="208">
        <f t="shared" si="310"/>
        <v>0</v>
      </c>
      <c r="Q710" s="208">
        <f t="shared" si="310"/>
        <v>0</v>
      </c>
      <c r="R710" s="208">
        <f t="shared" si="310"/>
        <v>0</v>
      </c>
      <c r="S710" s="208">
        <f t="shared" si="310"/>
        <v>0</v>
      </c>
      <c r="T710" s="208">
        <f t="shared" si="310"/>
        <v>128802.03308689948</v>
      </c>
      <c r="U710" s="208">
        <f t="shared" si="310"/>
        <v>0</v>
      </c>
      <c r="V710" s="208">
        <f t="shared" si="310"/>
        <v>0</v>
      </c>
      <c r="W710" s="208">
        <f t="shared" si="310"/>
        <v>0</v>
      </c>
      <c r="X710" s="208">
        <f t="shared" si="310"/>
        <v>0</v>
      </c>
      <c r="Y710" s="208">
        <f t="shared" si="310"/>
        <v>0</v>
      </c>
      <c r="Z710" s="208">
        <f t="shared" si="310"/>
        <v>0</v>
      </c>
      <c r="AA710" s="208">
        <f t="shared" si="310"/>
        <v>0</v>
      </c>
      <c r="AB710" s="208">
        <f t="shared" si="310"/>
        <v>0</v>
      </c>
      <c r="AC710" s="208">
        <f t="shared" si="310"/>
        <v>0</v>
      </c>
      <c r="AD710" s="208">
        <f t="shared" si="310"/>
        <v>0</v>
      </c>
      <c r="AE710" s="208">
        <f t="shared" si="310"/>
        <v>0</v>
      </c>
      <c r="AF710" s="208">
        <f t="shared" si="310"/>
        <v>0</v>
      </c>
      <c r="AG710" s="208">
        <f t="shared" si="310"/>
        <v>0</v>
      </c>
      <c r="AH710" s="208">
        <f t="shared" si="310"/>
        <v>0</v>
      </c>
      <c r="AI710" s="208">
        <f t="shared" si="310"/>
        <v>0</v>
      </c>
      <c r="AJ710" s="208">
        <f t="shared" si="310"/>
        <v>0</v>
      </c>
      <c r="AK710" s="208">
        <f t="shared" si="310"/>
        <v>0</v>
      </c>
      <c r="AL710" s="208">
        <f t="shared" si="310"/>
        <v>0</v>
      </c>
      <c r="AM710" s="208">
        <f t="shared" si="310"/>
        <v>0</v>
      </c>
      <c r="AN710" s="208">
        <f t="shared" si="310"/>
        <v>0</v>
      </c>
      <c r="AO710" s="208">
        <f t="shared" si="310"/>
        <v>0</v>
      </c>
      <c r="AP710" s="208">
        <f t="shared" si="310"/>
        <v>0</v>
      </c>
    </row>
    <row r="711" spans="1:42">
      <c r="A711" s="37">
        <f t="shared" si="311"/>
        <v>7</v>
      </c>
      <c r="B711" s="295">
        <f t="shared" si="309"/>
        <v>134685.50065500522</v>
      </c>
      <c r="C711" s="208">
        <f t="shared" si="310"/>
        <v>0</v>
      </c>
      <c r="D711" s="208">
        <f t="shared" si="310"/>
        <v>0</v>
      </c>
      <c r="E711" s="208">
        <f t="shared" si="310"/>
        <v>0</v>
      </c>
      <c r="F711" s="208">
        <f t="shared" si="310"/>
        <v>0</v>
      </c>
      <c r="G711" s="208">
        <f t="shared" si="310"/>
        <v>0</v>
      </c>
      <c r="H711" s="208">
        <f t="shared" si="310"/>
        <v>0</v>
      </c>
      <c r="I711" s="208">
        <f t="shared" si="310"/>
        <v>0</v>
      </c>
      <c r="J711" s="208">
        <f t="shared" si="310"/>
        <v>0</v>
      </c>
      <c r="K711" s="208">
        <f t="shared" si="310"/>
        <v>0</v>
      </c>
      <c r="L711" s="208">
        <f t="shared" si="310"/>
        <v>0</v>
      </c>
      <c r="M711" s="208">
        <f t="shared" si="310"/>
        <v>0</v>
      </c>
      <c r="N711" s="208">
        <f t="shared" si="310"/>
        <v>0</v>
      </c>
      <c r="O711" s="208">
        <f t="shared" si="310"/>
        <v>0</v>
      </c>
      <c r="P711" s="208">
        <f t="shared" si="310"/>
        <v>0</v>
      </c>
      <c r="Q711" s="208">
        <f t="shared" si="310"/>
        <v>0</v>
      </c>
      <c r="R711" s="208">
        <f t="shared" ref="R711:AP711" si="312">IF(R$2&gt;AnalysisPeriod,0,IF(R$2=MMFrequency3*$A711,MMCost3*CapacityDC*1000*(1+Inflation)^Q$2,0))</f>
        <v>0</v>
      </c>
      <c r="S711" s="208">
        <f t="shared" si="312"/>
        <v>0</v>
      </c>
      <c r="T711" s="208">
        <f t="shared" si="312"/>
        <v>0</v>
      </c>
      <c r="U711" s="208">
        <f t="shared" si="312"/>
        <v>0</v>
      </c>
      <c r="V711" s="208">
        <f t="shared" si="312"/>
        <v>0</v>
      </c>
      <c r="W711" s="208">
        <f t="shared" si="312"/>
        <v>134685.50065500522</v>
      </c>
      <c r="X711" s="208">
        <f t="shared" si="312"/>
        <v>0</v>
      </c>
      <c r="Y711" s="208">
        <f t="shared" si="312"/>
        <v>0</v>
      </c>
      <c r="Z711" s="208">
        <f t="shared" si="312"/>
        <v>0</v>
      </c>
      <c r="AA711" s="208">
        <f t="shared" si="312"/>
        <v>0</v>
      </c>
      <c r="AB711" s="208">
        <f t="shared" si="312"/>
        <v>0</v>
      </c>
      <c r="AC711" s="208">
        <f t="shared" si="312"/>
        <v>0</v>
      </c>
      <c r="AD711" s="208">
        <f t="shared" si="312"/>
        <v>0</v>
      </c>
      <c r="AE711" s="208">
        <f t="shared" si="312"/>
        <v>0</v>
      </c>
      <c r="AF711" s="208">
        <f t="shared" si="312"/>
        <v>0</v>
      </c>
      <c r="AG711" s="208">
        <f t="shared" si="312"/>
        <v>0</v>
      </c>
      <c r="AH711" s="208">
        <f t="shared" si="312"/>
        <v>0</v>
      </c>
      <c r="AI711" s="208">
        <f t="shared" si="312"/>
        <v>0</v>
      </c>
      <c r="AJ711" s="208">
        <f t="shared" si="312"/>
        <v>0</v>
      </c>
      <c r="AK711" s="208">
        <f t="shared" si="312"/>
        <v>0</v>
      </c>
      <c r="AL711" s="208">
        <f t="shared" si="312"/>
        <v>0</v>
      </c>
      <c r="AM711" s="208">
        <f t="shared" si="312"/>
        <v>0</v>
      </c>
      <c r="AN711" s="208">
        <f t="shared" si="312"/>
        <v>0</v>
      </c>
      <c r="AO711" s="208">
        <f t="shared" si="312"/>
        <v>0</v>
      </c>
      <c r="AP711" s="208">
        <f t="shared" si="312"/>
        <v>0</v>
      </c>
    </row>
    <row r="712" spans="1:42">
      <c r="A712" s="37">
        <f t="shared" si="311"/>
        <v>8</v>
      </c>
      <c r="B712" s="295">
        <f t="shared" si="309"/>
        <v>140837.71546098724</v>
      </c>
      <c r="C712" s="208">
        <f t="shared" ref="C712:AP714" si="313">IF(C$2&gt;AnalysisPeriod,0,IF(C$2=MMFrequency3*$A712,MMCost3*CapacityDC*1000*(1+Inflation)^B$2,0))</f>
        <v>0</v>
      </c>
      <c r="D712" s="208">
        <f t="shared" si="313"/>
        <v>0</v>
      </c>
      <c r="E712" s="208">
        <f t="shared" si="313"/>
        <v>0</v>
      </c>
      <c r="F712" s="208">
        <f t="shared" si="313"/>
        <v>0</v>
      </c>
      <c r="G712" s="208">
        <f t="shared" si="313"/>
        <v>0</v>
      </c>
      <c r="H712" s="208">
        <f t="shared" si="313"/>
        <v>0</v>
      </c>
      <c r="I712" s="208">
        <f t="shared" si="313"/>
        <v>0</v>
      </c>
      <c r="J712" s="208">
        <f t="shared" si="313"/>
        <v>0</v>
      </c>
      <c r="K712" s="208">
        <f t="shared" si="313"/>
        <v>0</v>
      </c>
      <c r="L712" s="208">
        <f t="shared" si="313"/>
        <v>0</v>
      </c>
      <c r="M712" s="208">
        <f t="shared" si="313"/>
        <v>0</v>
      </c>
      <c r="N712" s="208">
        <f t="shared" si="313"/>
        <v>0</v>
      </c>
      <c r="O712" s="208">
        <f t="shared" si="313"/>
        <v>0</v>
      </c>
      <c r="P712" s="208">
        <f t="shared" si="313"/>
        <v>0</v>
      </c>
      <c r="Q712" s="208">
        <f t="shared" si="313"/>
        <v>0</v>
      </c>
      <c r="R712" s="208">
        <f t="shared" si="313"/>
        <v>0</v>
      </c>
      <c r="S712" s="208">
        <f t="shared" si="313"/>
        <v>0</v>
      </c>
      <c r="T712" s="208">
        <f t="shared" si="313"/>
        <v>0</v>
      </c>
      <c r="U712" s="208">
        <f t="shared" si="313"/>
        <v>0</v>
      </c>
      <c r="V712" s="208">
        <f t="shared" si="313"/>
        <v>0</v>
      </c>
      <c r="W712" s="208">
        <f t="shared" si="313"/>
        <v>0</v>
      </c>
      <c r="X712" s="208">
        <f t="shared" si="313"/>
        <v>0</v>
      </c>
      <c r="Y712" s="208">
        <f t="shared" si="313"/>
        <v>0</v>
      </c>
      <c r="Z712" s="208">
        <f t="shared" si="313"/>
        <v>140837.71546098724</v>
      </c>
      <c r="AA712" s="208">
        <f t="shared" si="313"/>
        <v>0</v>
      </c>
      <c r="AB712" s="208">
        <f t="shared" si="313"/>
        <v>0</v>
      </c>
      <c r="AC712" s="208">
        <f t="shared" si="313"/>
        <v>0</v>
      </c>
      <c r="AD712" s="208">
        <f t="shared" si="313"/>
        <v>0</v>
      </c>
      <c r="AE712" s="208">
        <f t="shared" si="313"/>
        <v>0</v>
      </c>
      <c r="AF712" s="208">
        <f t="shared" si="313"/>
        <v>0</v>
      </c>
      <c r="AG712" s="208">
        <f t="shared" si="313"/>
        <v>0</v>
      </c>
      <c r="AH712" s="208">
        <f t="shared" si="313"/>
        <v>0</v>
      </c>
      <c r="AI712" s="208">
        <f t="shared" si="313"/>
        <v>0</v>
      </c>
      <c r="AJ712" s="208">
        <f t="shared" si="313"/>
        <v>0</v>
      </c>
      <c r="AK712" s="208">
        <f t="shared" si="313"/>
        <v>0</v>
      </c>
      <c r="AL712" s="208">
        <f t="shared" si="313"/>
        <v>0</v>
      </c>
      <c r="AM712" s="208">
        <f t="shared" si="313"/>
        <v>0</v>
      </c>
      <c r="AN712" s="208">
        <f t="shared" si="313"/>
        <v>0</v>
      </c>
      <c r="AO712" s="208">
        <f t="shared" si="313"/>
        <v>0</v>
      </c>
      <c r="AP712" s="208">
        <f t="shared" si="313"/>
        <v>0</v>
      </c>
    </row>
    <row r="713" spans="1:42">
      <c r="A713" s="37">
        <f>A712+1</f>
        <v>9</v>
      </c>
      <c r="B713" s="295">
        <f t="shared" si="309"/>
        <v>147270.95344195748</v>
      </c>
      <c r="C713" s="208">
        <f t="shared" si="313"/>
        <v>0</v>
      </c>
      <c r="D713" s="208">
        <f t="shared" si="313"/>
        <v>0</v>
      </c>
      <c r="E713" s="208">
        <f t="shared" si="313"/>
        <v>0</v>
      </c>
      <c r="F713" s="208">
        <f t="shared" si="313"/>
        <v>0</v>
      </c>
      <c r="G713" s="208">
        <f t="shared" si="313"/>
        <v>0</v>
      </c>
      <c r="H713" s="208">
        <f t="shared" si="313"/>
        <v>0</v>
      </c>
      <c r="I713" s="208">
        <f t="shared" si="313"/>
        <v>0</v>
      </c>
      <c r="J713" s="208">
        <f t="shared" si="313"/>
        <v>0</v>
      </c>
      <c r="K713" s="208">
        <f t="shared" si="313"/>
        <v>0</v>
      </c>
      <c r="L713" s="208">
        <f t="shared" si="313"/>
        <v>0</v>
      </c>
      <c r="M713" s="208">
        <f t="shared" si="313"/>
        <v>0</v>
      </c>
      <c r="N713" s="208">
        <f t="shared" si="313"/>
        <v>0</v>
      </c>
      <c r="O713" s="208">
        <f t="shared" si="313"/>
        <v>0</v>
      </c>
      <c r="P713" s="208">
        <f t="shared" si="313"/>
        <v>0</v>
      </c>
      <c r="Q713" s="208">
        <f t="shared" si="313"/>
        <v>0</v>
      </c>
      <c r="R713" s="208">
        <f t="shared" si="313"/>
        <v>0</v>
      </c>
      <c r="S713" s="208">
        <f t="shared" si="313"/>
        <v>0</v>
      </c>
      <c r="T713" s="208">
        <f t="shared" si="313"/>
        <v>0</v>
      </c>
      <c r="U713" s="208">
        <f t="shared" si="313"/>
        <v>0</v>
      </c>
      <c r="V713" s="208">
        <f t="shared" si="313"/>
        <v>0</v>
      </c>
      <c r="W713" s="208">
        <f t="shared" si="313"/>
        <v>0</v>
      </c>
      <c r="X713" s="208">
        <f t="shared" si="313"/>
        <v>0</v>
      </c>
      <c r="Y713" s="208">
        <f t="shared" si="313"/>
        <v>0</v>
      </c>
      <c r="Z713" s="208">
        <f t="shared" si="313"/>
        <v>0</v>
      </c>
      <c r="AA713" s="208">
        <f t="shared" si="313"/>
        <v>0</v>
      </c>
      <c r="AB713" s="208">
        <f t="shared" si="313"/>
        <v>0</v>
      </c>
      <c r="AC713" s="208">
        <f t="shared" si="313"/>
        <v>147270.95344195748</v>
      </c>
      <c r="AD713" s="208">
        <f t="shared" si="313"/>
        <v>0</v>
      </c>
      <c r="AE713" s="208">
        <f t="shared" si="313"/>
        <v>0</v>
      </c>
      <c r="AF713" s="208">
        <f t="shared" si="313"/>
        <v>0</v>
      </c>
      <c r="AG713" s="208">
        <f t="shared" si="313"/>
        <v>0</v>
      </c>
      <c r="AH713" s="208">
        <f t="shared" si="313"/>
        <v>0</v>
      </c>
      <c r="AI713" s="208">
        <f t="shared" si="313"/>
        <v>0</v>
      </c>
      <c r="AJ713" s="208">
        <f t="shared" si="313"/>
        <v>0</v>
      </c>
      <c r="AK713" s="208">
        <f t="shared" si="313"/>
        <v>0</v>
      </c>
      <c r="AL713" s="208">
        <f t="shared" si="313"/>
        <v>0</v>
      </c>
      <c r="AM713" s="208">
        <f t="shared" si="313"/>
        <v>0</v>
      </c>
      <c r="AN713" s="208">
        <f t="shared" si="313"/>
        <v>0</v>
      </c>
      <c r="AO713" s="208">
        <f t="shared" si="313"/>
        <v>0</v>
      </c>
      <c r="AP713" s="208">
        <f t="shared" si="313"/>
        <v>0</v>
      </c>
    </row>
    <row r="714" spans="1:42">
      <c r="A714" s="37">
        <f t="shared" si="311"/>
        <v>10</v>
      </c>
      <c r="B714" s="295">
        <f t="shared" si="309"/>
        <v>153998.05127988668</v>
      </c>
      <c r="C714" s="209">
        <f t="shared" si="313"/>
        <v>0</v>
      </c>
      <c r="D714" s="209">
        <f t="shared" si="313"/>
        <v>0</v>
      </c>
      <c r="E714" s="209">
        <f t="shared" si="313"/>
        <v>0</v>
      </c>
      <c r="F714" s="209">
        <f t="shared" si="313"/>
        <v>0</v>
      </c>
      <c r="G714" s="209">
        <f t="shared" si="313"/>
        <v>0</v>
      </c>
      <c r="H714" s="209">
        <f t="shared" si="313"/>
        <v>0</v>
      </c>
      <c r="I714" s="209">
        <f t="shared" si="313"/>
        <v>0</v>
      </c>
      <c r="J714" s="209">
        <f t="shared" si="313"/>
        <v>0</v>
      </c>
      <c r="K714" s="209">
        <f t="shared" si="313"/>
        <v>0</v>
      </c>
      <c r="L714" s="209">
        <f t="shared" si="313"/>
        <v>0</v>
      </c>
      <c r="M714" s="209">
        <f t="shared" si="313"/>
        <v>0</v>
      </c>
      <c r="N714" s="209">
        <f t="shared" si="313"/>
        <v>0</v>
      </c>
      <c r="O714" s="209">
        <f t="shared" si="313"/>
        <v>0</v>
      </c>
      <c r="P714" s="209">
        <f t="shared" si="313"/>
        <v>0</v>
      </c>
      <c r="Q714" s="209">
        <f t="shared" si="313"/>
        <v>0</v>
      </c>
      <c r="R714" s="209">
        <f t="shared" si="313"/>
        <v>0</v>
      </c>
      <c r="S714" s="209">
        <f t="shared" si="313"/>
        <v>0</v>
      </c>
      <c r="T714" s="209">
        <f t="shared" si="313"/>
        <v>0</v>
      </c>
      <c r="U714" s="209">
        <f t="shared" si="313"/>
        <v>0</v>
      </c>
      <c r="V714" s="209">
        <f t="shared" si="313"/>
        <v>0</v>
      </c>
      <c r="W714" s="209">
        <f t="shared" si="313"/>
        <v>0</v>
      </c>
      <c r="X714" s="209">
        <f t="shared" si="313"/>
        <v>0</v>
      </c>
      <c r="Y714" s="209">
        <f t="shared" si="313"/>
        <v>0</v>
      </c>
      <c r="Z714" s="209">
        <f t="shared" si="313"/>
        <v>0</v>
      </c>
      <c r="AA714" s="209">
        <f t="shared" si="313"/>
        <v>0</v>
      </c>
      <c r="AB714" s="209">
        <f t="shared" si="313"/>
        <v>0</v>
      </c>
      <c r="AC714" s="209">
        <f t="shared" si="313"/>
        <v>0</v>
      </c>
      <c r="AD714" s="209">
        <f t="shared" si="313"/>
        <v>0</v>
      </c>
      <c r="AE714" s="209">
        <f t="shared" si="313"/>
        <v>0</v>
      </c>
      <c r="AF714" s="209">
        <f t="shared" si="313"/>
        <v>153998.05127988668</v>
      </c>
      <c r="AG714" s="209">
        <f t="shared" si="313"/>
        <v>0</v>
      </c>
      <c r="AH714" s="209">
        <f t="shared" si="313"/>
        <v>0</v>
      </c>
      <c r="AI714" s="209">
        <f t="shared" si="313"/>
        <v>0</v>
      </c>
      <c r="AJ714" s="209">
        <f t="shared" si="313"/>
        <v>0</v>
      </c>
      <c r="AK714" s="209">
        <f t="shared" si="313"/>
        <v>0</v>
      </c>
      <c r="AL714" s="209">
        <f t="shared" si="313"/>
        <v>0</v>
      </c>
      <c r="AM714" s="209">
        <f t="shared" si="313"/>
        <v>0</v>
      </c>
      <c r="AN714" s="209">
        <f t="shared" si="313"/>
        <v>0</v>
      </c>
      <c r="AO714" s="209">
        <f t="shared" si="313"/>
        <v>0</v>
      </c>
      <c r="AP714" s="209">
        <f t="shared" si="313"/>
        <v>0</v>
      </c>
    </row>
    <row r="715" spans="1:42">
      <c r="A715" s="244" t="s">
        <v>53</v>
      </c>
      <c r="B715" s="208"/>
      <c r="C715" s="164">
        <f>SUM(C705:C714)</f>
        <v>0</v>
      </c>
      <c r="D715" s="164">
        <f t="shared" ref="D715:AP715" si="314">SUM(D705:D714)</f>
        <v>0</v>
      </c>
      <c r="E715" s="164">
        <f t="shared" si="314"/>
        <v>103022.49999999997</v>
      </c>
      <c r="F715" s="164">
        <f t="shared" si="314"/>
        <v>0</v>
      </c>
      <c r="G715" s="164">
        <f t="shared" si="314"/>
        <v>0</v>
      </c>
      <c r="H715" s="164">
        <f t="shared" si="314"/>
        <v>107728.40038843743</v>
      </c>
      <c r="I715" s="164">
        <f t="shared" si="314"/>
        <v>0</v>
      </c>
      <c r="J715" s="164">
        <f t="shared" si="314"/>
        <v>0</v>
      </c>
      <c r="K715" s="164">
        <f t="shared" si="314"/>
        <v>112649.25865953058</v>
      </c>
      <c r="L715" s="164">
        <f t="shared" si="314"/>
        <v>0</v>
      </c>
      <c r="M715" s="164">
        <f t="shared" si="314"/>
        <v>0</v>
      </c>
      <c r="N715" s="164">
        <f t="shared" si="314"/>
        <v>117794.89374005256</v>
      </c>
      <c r="O715" s="164">
        <f t="shared" si="314"/>
        <v>0</v>
      </c>
      <c r="P715" s="164">
        <f t="shared" si="314"/>
        <v>0</v>
      </c>
      <c r="Q715" s="164">
        <f t="shared" si="314"/>
        <v>123175.57306939577</v>
      </c>
      <c r="R715" s="164">
        <f t="shared" si="314"/>
        <v>0</v>
      </c>
      <c r="S715" s="164">
        <f t="shared" si="314"/>
        <v>0</v>
      </c>
      <c r="T715" s="164">
        <f t="shared" si="314"/>
        <v>128802.03308689948</v>
      </c>
      <c r="U715" s="164">
        <f t="shared" si="314"/>
        <v>0</v>
      </c>
      <c r="V715" s="164">
        <f t="shared" si="314"/>
        <v>0</v>
      </c>
      <c r="W715" s="164">
        <f t="shared" si="314"/>
        <v>134685.50065500522</v>
      </c>
      <c r="X715" s="164">
        <f t="shared" si="314"/>
        <v>0</v>
      </c>
      <c r="Y715" s="164">
        <f t="shared" si="314"/>
        <v>0</v>
      </c>
      <c r="Z715" s="164">
        <f t="shared" si="314"/>
        <v>140837.71546098724</v>
      </c>
      <c r="AA715" s="164">
        <f t="shared" si="314"/>
        <v>0</v>
      </c>
      <c r="AB715" s="164">
        <f t="shared" si="314"/>
        <v>0</v>
      </c>
      <c r="AC715" s="164">
        <f t="shared" si="314"/>
        <v>147270.95344195748</v>
      </c>
      <c r="AD715" s="164">
        <f t="shared" si="314"/>
        <v>0</v>
      </c>
      <c r="AE715" s="164">
        <f t="shared" si="314"/>
        <v>0</v>
      </c>
      <c r="AF715" s="164">
        <f t="shared" si="314"/>
        <v>153998.05127988668</v>
      </c>
      <c r="AG715" s="164">
        <f t="shared" si="314"/>
        <v>0</v>
      </c>
      <c r="AH715" s="164">
        <f t="shared" si="314"/>
        <v>0</v>
      </c>
      <c r="AI715" s="164">
        <f t="shared" si="314"/>
        <v>0</v>
      </c>
      <c r="AJ715" s="164">
        <f t="shared" si="314"/>
        <v>0</v>
      </c>
      <c r="AK715" s="164">
        <f t="shared" si="314"/>
        <v>0</v>
      </c>
      <c r="AL715" s="164">
        <f t="shared" si="314"/>
        <v>0</v>
      </c>
      <c r="AM715" s="164">
        <f t="shared" si="314"/>
        <v>0</v>
      </c>
      <c r="AN715" s="164">
        <f t="shared" si="314"/>
        <v>0</v>
      </c>
      <c r="AO715" s="164">
        <f t="shared" si="314"/>
        <v>0</v>
      </c>
      <c r="AP715" s="164">
        <f t="shared" si="314"/>
        <v>0</v>
      </c>
    </row>
    <row r="716" spans="1:42">
      <c r="A716" s="37" t="s">
        <v>209</v>
      </c>
      <c r="B716" s="164"/>
      <c r="C716" s="164"/>
      <c r="D716" s="164"/>
      <c r="E716" s="164"/>
      <c r="F716" s="164"/>
      <c r="G716" s="208"/>
      <c r="H716" s="208"/>
      <c r="I716" s="208"/>
      <c r="J716" s="208"/>
      <c r="K716" s="208"/>
      <c r="L716" s="208"/>
      <c r="M716" s="208"/>
      <c r="N716" s="208"/>
      <c r="O716" s="208"/>
      <c r="P716" s="208"/>
      <c r="Q716" s="208"/>
      <c r="R716" s="208"/>
      <c r="S716" s="208"/>
      <c r="T716" s="208"/>
      <c r="U716" s="208"/>
      <c r="V716" s="208"/>
      <c r="W716" s="208"/>
      <c r="X716" s="208"/>
      <c r="Y716" s="208"/>
      <c r="Z716" s="208"/>
      <c r="AA716" s="208"/>
      <c r="AB716" s="208"/>
      <c r="AC716" s="208"/>
      <c r="AD716" s="208"/>
      <c r="AE716" s="208"/>
      <c r="AF716" s="208"/>
      <c r="AG716" s="208"/>
      <c r="AH716" s="208"/>
      <c r="AI716" s="208"/>
      <c r="AJ716" s="208"/>
      <c r="AK716" s="208"/>
      <c r="AL716" s="208"/>
      <c r="AM716" s="208"/>
      <c r="AN716" s="208"/>
      <c r="AO716" s="208"/>
      <c r="AP716" s="208"/>
    </row>
    <row r="717" spans="1:42">
      <c r="A717" s="37">
        <v>1</v>
      </c>
      <c r="B717" s="295">
        <f t="shared" ref="B717:B726" si="315">SUM(C717:AP717)</f>
        <v>103022.49999999997</v>
      </c>
      <c r="C717" s="208">
        <f t="shared" ref="C717:AP717" si="316">IF(C$2&lt;=MMFrequency3*$A$705,$B$705/(MMFrequency3),0)</f>
        <v>34340.833333333321</v>
      </c>
      <c r="D717" s="208">
        <f t="shared" si="316"/>
        <v>34340.833333333321</v>
      </c>
      <c r="E717" s="208">
        <f t="shared" si="316"/>
        <v>34340.833333333321</v>
      </c>
      <c r="F717" s="208">
        <f t="shared" si="316"/>
        <v>0</v>
      </c>
      <c r="G717" s="208">
        <f t="shared" si="316"/>
        <v>0</v>
      </c>
      <c r="H717" s="208">
        <f t="shared" si="316"/>
        <v>0</v>
      </c>
      <c r="I717" s="208">
        <f t="shared" si="316"/>
        <v>0</v>
      </c>
      <c r="J717" s="208">
        <f t="shared" si="316"/>
        <v>0</v>
      </c>
      <c r="K717" s="208">
        <f t="shared" si="316"/>
        <v>0</v>
      </c>
      <c r="L717" s="208">
        <f t="shared" si="316"/>
        <v>0</v>
      </c>
      <c r="M717" s="208">
        <f t="shared" si="316"/>
        <v>0</v>
      </c>
      <c r="N717" s="208">
        <f t="shared" si="316"/>
        <v>0</v>
      </c>
      <c r="O717" s="208">
        <f t="shared" si="316"/>
        <v>0</v>
      </c>
      <c r="P717" s="208">
        <f t="shared" si="316"/>
        <v>0</v>
      </c>
      <c r="Q717" s="208">
        <f t="shared" si="316"/>
        <v>0</v>
      </c>
      <c r="R717" s="208">
        <f t="shared" si="316"/>
        <v>0</v>
      </c>
      <c r="S717" s="208">
        <f t="shared" si="316"/>
        <v>0</v>
      </c>
      <c r="T717" s="208">
        <f t="shared" si="316"/>
        <v>0</v>
      </c>
      <c r="U717" s="208">
        <f t="shared" si="316"/>
        <v>0</v>
      </c>
      <c r="V717" s="208">
        <f t="shared" si="316"/>
        <v>0</v>
      </c>
      <c r="W717" s="208">
        <f t="shared" si="316"/>
        <v>0</v>
      </c>
      <c r="X717" s="208">
        <f t="shared" si="316"/>
        <v>0</v>
      </c>
      <c r="Y717" s="208">
        <f t="shared" si="316"/>
        <v>0</v>
      </c>
      <c r="Z717" s="208">
        <f t="shared" si="316"/>
        <v>0</v>
      </c>
      <c r="AA717" s="208">
        <f t="shared" si="316"/>
        <v>0</v>
      </c>
      <c r="AB717" s="208">
        <f t="shared" si="316"/>
        <v>0</v>
      </c>
      <c r="AC717" s="208">
        <f t="shared" si="316"/>
        <v>0</v>
      </c>
      <c r="AD717" s="208">
        <f t="shared" si="316"/>
        <v>0</v>
      </c>
      <c r="AE717" s="208">
        <f t="shared" si="316"/>
        <v>0</v>
      </c>
      <c r="AF717" s="208">
        <f t="shared" si="316"/>
        <v>0</v>
      </c>
      <c r="AG717" s="208">
        <f t="shared" si="316"/>
        <v>0</v>
      </c>
      <c r="AH717" s="208">
        <f t="shared" si="316"/>
        <v>0</v>
      </c>
      <c r="AI717" s="208">
        <f t="shared" si="316"/>
        <v>0</v>
      </c>
      <c r="AJ717" s="208">
        <f t="shared" si="316"/>
        <v>0</v>
      </c>
      <c r="AK717" s="208">
        <f t="shared" si="316"/>
        <v>0</v>
      </c>
      <c r="AL717" s="208">
        <f t="shared" si="316"/>
        <v>0</v>
      </c>
      <c r="AM717" s="208">
        <f t="shared" si="316"/>
        <v>0</v>
      </c>
      <c r="AN717" s="208">
        <f t="shared" si="316"/>
        <v>0</v>
      </c>
      <c r="AO717" s="208">
        <f t="shared" si="316"/>
        <v>0</v>
      </c>
      <c r="AP717" s="208">
        <f t="shared" si="316"/>
        <v>0</v>
      </c>
    </row>
    <row r="718" spans="1:42">
      <c r="A718" s="37">
        <f>A717+1</f>
        <v>2</v>
      </c>
      <c r="B718" s="295">
        <f t="shared" si="315"/>
        <v>107728.40038843744</v>
      </c>
      <c r="C718" s="208">
        <f t="shared" ref="C718:AP724" si="317">IF(AND(C$2&gt;MMFrequency3*$A705,C$2&lt;=MMFrequency3*$A706),$B706/(MMFrequency3),0)</f>
        <v>0</v>
      </c>
      <c r="D718" s="208">
        <f t="shared" si="317"/>
        <v>0</v>
      </c>
      <c r="E718" s="208">
        <f t="shared" si="317"/>
        <v>0</v>
      </c>
      <c r="F718" s="208">
        <f t="shared" si="317"/>
        <v>35909.466796145811</v>
      </c>
      <c r="G718" s="208">
        <f t="shared" si="317"/>
        <v>35909.466796145811</v>
      </c>
      <c r="H718" s="208">
        <f t="shared" si="317"/>
        <v>35909.466796145811</v>
      </c>
      <c r="I718" s="208">
        <f t="shared" si="317"/>
        <v>0</v>
      </c>
      <c r="J718" s="208">
        <f t="shared" si="317"/>
        <v>0</v>
      </c>
      <c r="K718" s="208">
        <f t="shared" si="317"/>
        <v>0</v>
      </c>
      <c r="L718" s="208">
        <f t="shared" si="317"/>
        <v>0</v>
      </c>
      <c r="M718" s="208">
        <f t="shared" si="317"/>
        <v>0</v>
      </c>
      <c r="N718" s="208">
        <f t="shared" si="317"/>
        <v>0</v>
      </c>
      <c r="O718" s="208">
        <f t="shared" si="317"/>
        <v>0</v>
      </c>
      <c r="P718" s="208">
        <f t="shared" si="317"/>
        <v>0</v>
      </c>
      <c r="Q718" s="208">
        <f t="shared" si="317"/>
        <v>0</v>
      </c>
      <c r="R718" s="208">
        <f t="shared" si="317"/>
        <v>0</v>
      </c>
      <c r="S718" s="208">
        <f t="shared" si="317"/>
        <v>0</v>
      </c>
      <c r="T718" s="208">
        <f t="shared" si="317"/>
        <v>0</v>
      </c>
      <c r="U718" s="208">
        <f t="shared" si="317"/>
        <v>0</v>
      </c>
      <c r="V718" s="208">
        <f t="shared" si="317"/>
        <v>0</v>
      </c>
      <c r="W718" s="208">
        <f t="shared" si="317"/>
        <v>0</v>
      </c>
      <c r="X718" s="208">
        <f t="shared" si="317"/>
        <v>0</v>
      </c>
      <c r="Y718" s="208">
        <f t="shared" si="317"/>
        <v>0</v>
      </c>
      <c r="Z718" s="208">
        <f t="shared" si="317"/>
        <v>0</v>
      </c>
      <c r="AA718" s="208">
        <f t="shared" si="317"/>
        <v>0</v>
      </c>
      <c r="AB718" s="208">
        <f t="shared" si="317"/>
        <v>0</v>
      </c>
      <c r="AC718" s="208">
        <f t="shared" si="317"/>
        <v>0</v>
      </c>
      <c r="AD718" s="208">
        <f t="shared" si="317"/>
        <v>0</v>
      </c>
      <c r="AE718" s="208">
        <f t="shared" si="317"/>
        <v>0</v>
      </c>
      <c r="AF718" s="208">
        <f t="shared" si="317"/>
        <v>0</v>
      </c>
      <c r="AG718" s="208">
        <f t="shared" si="317"/>
        <v>0</v>
      </c>
      <c r="AH718" s="208">
        <f t="shared" si="317"/>
        <v>0</v>
      </c>
      <c r="AI718" s="208">
        <f t="shared" si="317"/>
        <v>0</v>
      </c>
      <c r="AJ718" s="208">
        <f t="shared" si="317"/>
        <v>0</v>
      </c>
      <c r="AK718" s="208">
        <f t="shared" si="317"/>
        <v>0</v>
      </c>
      <c r="AL718" s="208">
        <f t="shared" si="317"/>
        <v>0</v>
      </c>
      <c r="AM718" s="208">
        <f t="shared" si="317"/>
        <v>0</v>
      </c>
      <c r="AN718" s="208">
        <f t="shared" si="317"/>
        <v>0</v>
      </c>
      <c r="AO718" s="208">
        <f t="shared" si="317"/>
        <v>0</v>
      </c>
      <c r="AP718" s="208">
        <f t="shared" si="317"/>
        <v>0</v>
      </c>
    </row>
    <row r="719" spans="1:42">
      <c r="A719" s="37">
        <f t="shared" ref="A719:A724" si="318">A718+1</f>
        <v>3</v>
      </c>
      <c r="B719" s="295">
        <f t="shared" si="315"/>
        <v>112649.25865953058</v>
      </c>
      <c r="C719" s="208">
        <f t="shared" si="317"/>
        <v>0</v>
      </c>
      <c r="D719" s="208">
        <f t="shared" si="317"/>
        <v>0</v>
      </c>
      <c r="E719" s="208">
        <f t="shared" si="317"/>
        <v>0</v>
      </c>
      <c r="F719" s="208">
        <f t="shared" si="317"/>
        <v>0</v>
      </c>
      <c r="G719" s="208">
        <f t="shared" si="317"/>
        <v>0</v>
      </c>
      <c r="H719" s="208">
        <f t="shared" si="317"/>
        <v>0</v>
      </c>
      <c r="I719" s="208">
        <f t="shared" si="317"/>
        <v>37549.752886510192</v>
      </c>
      <c r="J719" s="208">
        <f t="shared" si="317"/>
        <v>37549.752886510192</v>
      </c>
      <c r="K719" s="208">
        <f t="shared" si="317"/>
        <v>37549.752886510192</v>
      </c>
      <c r="L719" s="208">
        <f t="shared" si="317"/>
        <v>0</v>
      </c>
      <c r="M719" s="208">
        <f t="shared" si="317"/>
        <v>0</v>
      </c>
      <c r="N719" s="208">
        <f t="shared" si="317"/>
        <v>0</v>
      </c>
      <c r="O719" s="208">
        <f t="shared" si="317"/>
        <v>0</v>
      </c>
      <c r="P719" s="208">
        <f t="shared" si="317"/>
        <v>0</v>
      </c>
      <c r="Q719" s="208">
        <f t="shared" si="317"/>
        <v>0</v>
      </c>
      <c r="R719" s="208">
        <f t="shared" si="317"/>
        <v>0</v>
      </c>
      <c r="S719" s="208">
        <f t="shared" si="317"/>
        <v>0</v>
      </c>
      <c r="T719" s="208">
        <f t="shared" si="317"/>
        <v>0</v>
      </c>
      <c r="U719" s="208">
        <f t="shared" si="317"/>
        <v>0</v>
      </c>
      <c r="V719" s="208">
        <f t="shared" si="317"/>
        <v>0</v>
      </c>
      <c r="W719" s="208">
        <f t="shared" si="317"/>
        <v>0</v>
      </c>
      <c r="X719" s="208">
        <f t="shared" si="317"/>
        <v>0</v>
      </c>
      <c r="Y719" s="208">
        <f t="shared" si="317"/>
        <v>0</v>
      </c>
      <c r="Z719" s="208">
        <f t="shared" si="317"/>
        <v>0</v>
      </c>
      <c r="AA719" s="208">
        <f t="shared" si="317"/>
        <v>0</v>
      </c>
      <c r="AB719" s="208">
        <f t="shared" si="317"/>
        <v>0</v>
      </c>
      <c r="AC719" s="208">
        <f t="shared" si="317"/>
        <v>0</v>
      </c>
      <c r="AD719" s="208">
        <f t="shared" si="317"/>
        <v>0</v>
      </c>
      <c r="AE719" s="208">
        <f t="shared" si="317"/>
        <v>0</v>
      </c>
      <c r="AF719" s="208">
        <f t="shared" si="317"/>
        <v>0</v>
      </c>
      <c r="AG719" s="208">
        <f t="shared" si="317"/>
        <v>0</v>
      </c>
      <c r="AH719" s="208">
        <f t="shared" si="317"/>
        <v>0</v>
      </c>
      <c r="AI719" s="208">
        <f t="shared" si="317"/>
        <v>0</v>
      </c>
      <c r="AJ719" s="208">
        <f t="shared" si="317"/>
        <v>0</v>
      </c>
      <c r="AK719" s="208">
        <f t="shared" si="317"/>
        <v>0</v>
      </c>
      <c r="AL719" s="208">
        <f t="shared" si="317"/>
        <v>0</v>
      </c>
      <c r="AM719" s="208">
        <f t="shared" si="317"/>
        <v>0</v>
      </c>
      <c r="AN719" s="208">
        <f t="shared" si="317"/>
        <v>0</v>
      </c>
      <c r="AO719" s="208">
        <f t="shared" si="317"/>
        <v>0</v>
      </c>
      <c r="AP719" s="208">
        <f t="shared" si="317"/>
        <v>0</v>
      </c>
    </row>
    <row r="720" spans="1:42">
      <c r="A720" s="37">
        <f t="shared" si="318"/>
        <v>4</v>
      </c>
      <c r="B720" s="295">
        <f t="shared" si="315"/>
        <v>117794.89374005256</v>
      </c>
      <c r="C720" s="208">
        <f t="shared" si="317"/>
        <v>0</v>
      </c>
      <c r="D720" s="208">
        <f t="shared" si="317"/>
        <v>0</v>
      </c>
      <c r="E720" s="208">
        <f t="shared" si="317"/>
        <v>0</v>
      </c>
      <c r="F720" s="208">
        <f t="shared" si="317"/>
        <v>0</v>
      </c>
      <c r="G720" s="208">
        <f t="shared" si="317"/>
        <v>0</v>
      </c>
      <c r="H720" s="208">
        <f t="shared" si="317"/>
        <v>0</v>
      </c>
      <c r="I720" s="208">
        <f t="shared" si="317"/>
        <v>0</v>
      </c>
      <c r="J720" s="208">
        <f t="shared" si="317"/>
        <v>0</v>
      </c>
      <c r="K720" s="208">
        <f t="shared" si="317"/>
        <v>0</v>
      </c>
      <c r="L720" s="208">
        <f t="shared" si="317"/>
        <v>39264.96458001752</v>
      </c>
      <c r="M720" s="208">
        <f t="shared" si="317"/>
        <v>39264.96458001752</v>
      </c>
      <c r="N720" s="208">
        <f t="shared" si="317"/>
        <v>39264.96458001752</v>
      </c>
      <c r="O720" s="208">
        <f t="shared" si="317"/>
        <v>0</v>
      </c>
      <c r="P720" s="208">
        <f t="shared" si="317"/>
        <v>0</v>
      </c>
      <c r="Q720" s="208">
        <f t="shared" si="317"/>
        <v>0</v>
      </c>
      <c r="R720" s="208">
        <f t="shared" si="317"/>
        <v>0</v>
      </c>
      <c r="S720" s="208">
        <f t="shared" si="317"/>
        <v>0</v>
      </c>
      <c r="T720" s="208">
        <f t="shared" si="317"/>
        <v>0</v>
      </c>
      <c r="U720" s="208">
        <f t="shared" si="317"/>
        <v>0</v>
      </c>
      <c r="V720" s="208">
        <f t="shared" si="317"/>
        <v>0</v>
      </c>
      <c r="W720" s="208">
        <f t="shared" si="317"/>
        <v>0</v>
      </c>
      <c r="X720" s="208">
        <f t="shared" si="317"/>
        <v>0</v>
      </c>
      <c r="Y720" s="208">
        <f t="shared" si="317"/>
        <v>0</v>
      </c>
      <c r="Z720" s="208">
        <f t="shared" si="317"/>
        <v>0</v>
      </c>
      <c r="AA720" s="208">
        <f t="shared" si="317"/>
        <v>0</v>
      </c>
      <c r="AB720" s="208">
        <f t="shared" si="317"/>
        <v>0</v>
      </c>
      <c r="AC720" s="208">
        <f t="shared" si="317"/>
        <v>0</v>
      </c>
      <c r="AD720" s="208">
        <f t="shared" si="317"/>
        <v>0</v>
      </c>
      <c r="AE720" s="208">
        <f t="shared" si="317"/>
        <v>0</v>
      </c>
      <c r="AF720" s="208">
        <f t="shared" si="317"/>
        <v>0</v>
      </c>
      <c r="AG720" s="208">
        <f t="shared" si="317"/>
        <v>0</v>
      </c>
      <c r="AH720" s="208">
        <f t="shared" si="317"/>
        <v>0</v>
      </c>
      <c r="AI720" s="208">
        <f t="shared" si="317"/>
        <v>0</v>
      </c>
      <c r="AJ720" s="208">
        <f t="shared" si="317"/>
        <v>0</v>
      </c>
      <c r="AK720" s="208">
        <f t="shared" si="317"/>
        <v>0</v>
      </c>
      <c r="AL720" s="208">
        <f t="shared" si="317"/>
        <v>0</v>
      </c>
      <c r="AM720" s="208">
        <f t="shared" si="317"/>
        <v>0</v>
      </c>
      <c r="AN720" s="208">
        <f t="shared" si="317"/>
        <v>0</v>
      </c>
      <c r="AO720" s="208">
        <f t="shared" si="317"/>
        <v>0</v>
      </c>
      <c r="AP720" s="208">
        <f t="shared" si="317"/>
        <v>0</v>
      </c>
    </row>
    <row r="721" spans="1:42">
      <c r="A721" s="37">
        <f t="shared" si="318"/>
        <v>5</v>
      </c>
      <c r="B721" s="295">
        <f t="shared" si="315"/>
        <v>123175.57306939576</v>
      </c>
      <c r="C721" s="208">
        <f t="shared" si="317"/>
        <v>0</v>
      </c>
      <c r="D721" s="208">
        <f t="shared" si="317"/>
        <v>0</v>
      </c>
      <c r="E721" s="208">
        <f t="shared" si="317"/>
        <v>0</v>
      </c>
      <c r="F721" s="208">
        <f t="shared" si="317"/>
        <v>0</v>
      </c>
      <c r="G721" s="208">
        <f t="shared" si="317"/>
        <v>0</v>
      </c>
      <c r="H721" s="208">
        <f t="shared" si="317"/>
        <v>0</v>
      </c>
      <c r="I721" s="208">
        <f t="shared" si="317"/>
        <v>0</v>
      </c>
      <c r="J721" s="208">
        <f t="shared" si="317"/>
        <v>0</v>
      </c>
      <c r="K721" s="208">
        <f t="shared" si="317"/>
        <v>0</v>
      </c>
      <c r="L721" s="208">
        <f t="shared" si="317"/>
        <v>0</v>
      </c>
      <c r="M721" s="208">
        <f t="shared" si="317"/>
        <v>0</v>
      </c>
      <c r="N721" s="208">
        <f t="shared" si="317"/>
        <v>0</v>
      </c>
      <c r="O721" s="208">
        <f t="shared" si="317"/>
        <v>41058.524356465256</v>
      </c>
      <c r="P721" s="208">
        <f t="shared" si="317"/>
        <v>41058.524356465256</v>
      </c>
      <c r="Q721" s="208">
        <f t="shared" si="317"/>
        <v>41058.524356465256</v>
      </c>
      <c r="R721" s="208">
        <f t="shared" si="317"/>
        <v>0</v>
      </c>
      <c r="S721" s="208">
        <f t="shared" si="317"/>
        <v>0</v>
      </c>
      <c r="T721" s="208">
        <f t="shared" si="317"/>
        <v>0</v>
      </c>
      <c r="U721" s="208">
        <f t="shared" si="317"/>
        <v>0</v>
      </c>
      <c r="V721" s="208">
        <f t="shared" si="317"/>
        <v>0</v>
      </c>
      <c r="W721" s="208">
        <f t="shared" si="317"/>
        <v>0</v>
      </c>
      <c r="X721" s="208">
        <f t="shared" si="317"/>
        <v>0</v>
      </c>
      <c r="Y721" s="208">
        <f t="shared" si="317"/>
        <v>0</v>
      </c>
      <c r="Z721" s="208">
        <f t="shared" si="317"/>
        <v>0</v>
      </c>
      <c r="AA721" s="208">
        <f t="shared" si="317"/>
        <v>0</v>
      </c>
      <c r="AB721" s="208">
        <f t="shared" si="317"/>
        <v>0</v>
      </c>
      <c r="AC721" s="208">
        <f t="shared" si="317"/>
        <v>0</v>
      </c>
      <c r="AD721" s="208">
        <f t="shared" si="317"/>
        <v>0</v>
      </c>
      <c r="AE721" s="208">
        <f t="shared" si="317"/>
        <v>0</v>
      </c>
      <c r="AF721" s="208">
        <f t="shared" si="317"/>
        <v>0</v>
      </c>
      <c r="AG721" s="208">
        <f t="shared" si="317"/>
        <v>0</v>
      </c>
      <c r="AH721" s="208">
        <f t="shared" si="317"/>
        <v>0</v>
      </c>
      <c r="AI721" s="208">
        <f t="shared" si="317"/>
        <v>0</v>
      </c>
      <c r="AJ721" s="208">
        <f t="shared" si="317"/>
        <v>0</v>
      </c>
      <c r="AK721" s="208">
        <f t="shared" si="317"/>
        <v>0</v>
      </c>
      <c r="AL721" s="208">
        <f t="shared" si="317"/>
        <v>0</v>
      </c>
      <c r="AM721" s="208">
        <f t="shared" si="317"/>
        <v>0</v>
      </c>
      <c r="AN721" s="208">
        <f t="shared" si="317"/>
        <v>0</v>
      </c>
      <c r="AO721" s="208">
        <f t="shared" si="317"/>
        <v>0</v>
      </c>
      <c r="AP721" s="208">
        <f t="shared" si="317"/>
        <v>0</v>
      </c>
    </row>
    <row r="722" spans="1:42">
      <c r="A722" s="37">
        <f t="shared" si="318"/>
        <v>6</v>
      </c>
      <c r="B722" s="295">
        <f t="shared" si="315"/>
        <v>128802.03308689949</v>
      </c>
      <c r="C722" s="208">
        <f t="shared" si="317"/>
        <v>0</v>
      </c>
      <c r="D722" s="208">
        <f t="shared" si="317"/>
        <v>0</v>
      </c>
      <c r="E722" s="208">
        <f t="shared" si="317"/>
        <v>0</v>
      </c>
      <c r="F722" s="208">
        <f t="shared" si="317"/>
        <v>0</v>
      </c>
      <c r="G722" s="208">
        <f t="shared" si="317"/>
        <v>0</v>
      </c>
      <c r="H722" s="208">
        <f t="shared" si="317"/>
        <v>0</v>
      </c>
      <c r="I722" s="208">
        <f t="shared" si="317"/>
        <v>0</v>
      </c>
      <c r="J722" s="208">
        <f t="shared" si="317"/>
        <v>0</v>
      </c>
      <c r="K722" s="208">
        <f t="shared" si="317"/>
        <v>0</v>
      </c>
      <c r="L722" s="208">
        <f t="shared" si="317"/>
        <v>0</v>
      </c>
      <c r="M722" s="208">
        <f t="shared" si="317"/>
        <v>0</v>
      </c>
      <c r="N722" s="208">
        <f t="shared" si="317"/>
        <v>0</v>
      </c>
      <c r="O722" s="208">
        <f t="shared" si="317"/>
        <v>0</v>
      </c>
      <c r="P722" s="208">
        <f t="shared" si="317"/>
        <v>0</v>
      </c>
      <c r="Q722" s="208">
        <f t="shared" si="317"/>
        <v>0</v>
      </c>
      <c r="R722" s="208">
        <f t="shared" si="317"/>
        <v>42934.011028966495</v>
      </c>
      <c r="S722" s="208">
        <f t="shared" si="317"/>
        <v>42934.011028966495</v>
      </c>
      <c r="T722" s="208">
        <f t="shared" si="317"/>
        <v>42934.011028966495</v>
      </c>
      <c r="U722" s="208">
        <f t="shared" si="317"/>
        <v>0</v>
      </c>
      <c r="V722" s="208">
        <f t="shared" si="317"/>
        <v>0</v>
      </c>
      <c r="W722" s="208">
        <f t="shared" si="317"/>
        <v>0</v>
      </c>
      <c r="X722" s="208">
        <f t="shared" si="317"/>
        <v>0</v>
      </c>
      <c r="Y722" s="208">
        <f t="shared" si="317"/>
        <v>0</v>
      </c>
      <c r="Z722" s="208">
        <f t="shared" si="317"/>
        <v>0</v>
      </c>
      <c r="AA722" s="208">
        <f t="shared" si="317"/>
        <v>0</v>
      </c>
      <c r="AB722" s="208">
        <f t="shared" si="317"/>
        <v>0</v>
      </c>
      <c r="AC722" s="208">
        <f t="shared" si="317"/>
        <v>0</v>
      </c>
      <c r="AD722" s="208">
        <f t="shared" si="317"/>
        <v>0</v>
      </c>
      <c r="AE722" s="208">
        <f t="shared" si="317"/>
        <v>0</v>
      </c>
      <c r="AF722" s="208">
        <f t="shared" si="317"/>
        <v>0</v>
      </c>
      <c r="AG722" s="208">
        <f t="shared" si="317"/>
        <v>0</v>
      </c>
      <c r="AH722" s="208">
        <f t="shared" si="317"/>
        <v>0</v>
      </c>
      <c r="AI722" s="208">
        <f t="shared" si="317"/>
        <v>0</v>
      </c>
      <c r="AJ722" s="208">
        <f t="shared" si="317"/>
        <v>0</v>
      </c>
      <c r="AK722" s="208">
        <f t="shared" si="317"/>
        <v>0</v>
      </c>
      <c r="AL722" s="208">
        <f t="shared" si="317"/>
        <v>0</v>
      </c>
      <c r="AM722" s="208">
        <f t="shared" si="317"/>
        <v>0</v>
      </c>
      <c r="AN722" s="208">
        <f t="shared" si="317"/>
        <v>0</v>
      </c>
      <c r="AO722" s="208">
        <f t="shared" si="317"/>
        <v>0</v>
      </c>
      <c r="AP722" s="208">
        <f t="shared" si="317"/>
        <v>0</v>
      </c>
    </row>
    <row r="723" spans="1:42">
      <c r="A723" s="37">
        <f t="shared" si="318"/>
        <v>7</v>
      </c>
      <c r="B723" s="295">
        <f t="shared" si="315"/>
        <v>134685.50065500522</v>
      </c>
      <c r="C723" s="208">
        <f t="shared" si="317"/>
        <v>0</v>
      </c>
      <c r="D723" s="208">
        <f t="shared" si="317"/>
        <v>0</v>
      </c>
      <c r="E723" s="208">
        <f t="shared" si="317"/>
        <v>0</v>
      </c>
      <c r="F723" s="208">
        <f t="shared" si="317"/>
        <v>0</v>
      </c>
      <c r="G723" s="208">
        <f t="shared" si="317"/>
        <v>0</v>
      </c>
      <c r="H723" s="208">
        <f t="shared" si="317"/>
        <v>0</v>
      </c>
      <c r="I723" s="208">
        <f t="shared" si="317"/>
        <v>0</v>
      </c>
      <c r="J723" s="208">
        <f t="shared" si="317"/>
        <v>0</v>
      </c>
      <c r="K723" s="208">
        <f t="shared" si="317"/>
        <v>0</v>
      </c>
      <c r="L723" s="208">
        <f t="shared" si="317"/>
        <v>0</v>
      </c>
      <c r="M723" s="208">
        <f t="shared" si="317"/>
        <v>0</v>
      </c>
      <c r="N723" s="208">
        <f t="shared" si="317"/>
        <v>0</v>
      </c>
      <c r="O723" s="208">
        <f t="shared" si="317"/>
        <v>0</v>
      </c>
      <c r="P723" s="208">
        <f t="shared" si="317"/>
        <v>0</v>
      </c>
      <c r="Q723" s="208">
        <f t="shared" si="317"/>
        <v>0</v>
      </c>
      <c r="R723" s="208">
        <f t="shared" si="317"/>
        <v>0</v>
      </c>
      <c r="S723" s="208">
        <f t="shared" si="317"/>
        <v>0</v>
      </c>
      <c r="T723" s="208">
        <f t="shared" si="317"/>
        <v>0</v>
      </c>
      <c r="U723" s="208">
        <f t="shared" si="317"/>
        <v>44895.166885001738</v>
      </c>
      <c r="V723" s="208">
        <f t="shared" si="317"/>
        <v>44895.166885001738</v>
      </c>
      <c r="W723" s="208">
        <f t="shared" si="317"/>
        <v>44895.166885001738</v>
      </c>
      <c r="X723" s="208">
        <f t="shared" si="317"/>
        <v>0</v>
      </c>
      <c r="Y723" s="208">
        <f t="shared" si="317"/>
        <v>0</v>
      </c>
      <c r="Z723" s="208">
        <f t="shared" si="317"/>
        <v>0</v>
      </c>
      <c r="AA723" s="208">
        <f t="shared" si="317"/>
        <v>0</v>
      </c>
      <c r="AB723" s="208">
        <f t="shared" si="317"/>
        <v>0</v>
      </c>
      <c r="AC723" s="208">
        <f t="shared" si="317"/>
        <v>0</v>
      </c>
      <c r="AD723" s="208">
        <f t="shared" si="317"/>
        <v>0</v>
      </c>
      <c r="AE723" s="208">
        <f t="shared" si="317"/>
        <v>0</v>
      </c>
      <c r="AF723" s="208">
        <f t="shared" si="317"/>
        <v>0</v>
      </c>
      <c r="AG723" s="208">
        <f t="shared" si="317"/>
        <v>0</v>
      </c>
      <c r="AH723" s="208">
        <f t="shared" si="317"/>
        <v>0</v>
      </c>
      <c r="AI723" s="208">
        <f t="shared" si="317"/>
        <v>0</v>
      </c>
      <c r="AJ723" s="208">
        <f t="shared" si="317"/>
        <v>0</v>
      </c>
      <c r="AK723" s="208">
        <f t="shared" si="317"/>
        <v>0</v>
      </c>
      <c r="AL723" s="208">
        <f t="shared" si="317"/>
        <v>0</v>
      </c>
      <c r="AM723" s="208">
        <f t="shared" si="317"/>
        <v>0</v>
      </c>
      <c r="AN723" s="208">
        <f t="shared" si="317"/>
        <v>0</v>
      </c>
      <c r="AO723" s="208">
        <f t="shared" si="317"/>
        <v>0</v>
      </c>
      <c r="AP723" s="208">
        <f t="shared" si="317"/>
        <v>0</v>
      </c>
    </row>
    <row r="724" spans="1:42">
      <c r="A724" s="37">
        <f t="shared" si="318"/>
        <v>8</v>
      </c>
      <c r="B724" s="295">
        <f t="shared" si="315"/>
        <v>140837.71546098724</v>
      </c>
      <c r="C724" s="208">
        <f t="shared" si="317"/>
        <v>0</v>
      </c>
      <c r="D724" s="208">
        <f t="shared" si="317"/>
        <v>0</v>
      </c>
      <c r="E724" s="208">
        <f t="shared" si="317"/>
        <v>0</v>
      </c>
      <c r="F724" s="208">
        <f t="shared" si="317"/>
        <v>0</v>
      </c>
      <c r="G724" s="208">
        <f t="shared" si="317"/>
        <v>0</v>
      </c>
      <c r="H724" s="208">
        <f t="shared" si="317"/>
        <v>0</v>
      </c>
      <c r="I724" s="208">
        <f t="shared" si="317"/>
        <v>0</v>
      </c>
      <c r="J724" s="208">
        <f t="shared" si="317"/>
        <v>0</v>
      </c>
      <c r="K724" s="208">
        <f t="shared" si="317"/>
        <v>0</v>
      </c>
      <c r="L724" s="208">
        <f t="shared" si="317"/>
        <v>0</v>
      </c>
      <c r="M724" s="208">
        <f t="shared" si="317"/>
        <v>0</v>
      </c>
      <c r="N724" s="208">
        <f t="shared" si="317"/>
        <v>0</v>
      </c>
      <c r="O724" s="208">
        <f t="shared" si="317"/>
        <v>0</v>
      </c>
      <c r="P724" s="208">
        <f t="shared" si="317"/>
        <v>0</v>
      </c>
      <c r="Q724" s="208">
        <f t="shared" si="317"/>
        <v>0</v>
      </c>
      <c r="R724" s="208">
        <f t="shared" ref="R724:AP724" si="319">IF(AND(R$2&gt;MMFrequency3*$A711,R$2&lt;=MMFrequency3*$A712),$B712/(MMFrequency3),0)</f>
        <v>0</v>
      </c>
      <c r="S724" s="208">
        <f t="shared" si="319"/>
        <v>0</v>
      </c>
      <c r="T724" s="208">
        <f t="shared" si="319"/>
        <v>0</v>
      </c>
      <c r="U724" s="208">
        <f t="shared" si="319"/>
        <v>0</v>
      </c>
      <c r="V724" s="208">
        <f t="shared" si="319"/>
        <v>0</v>
      </c>
      <c r="W724" s="208">
        <f t="shared" si="319"/>
        <v>0</v>
      </c>
      <c r="X724" s="208">
        <f t="shared" si="319"/>
        <v>46945.90515366241</v>
      </c>
      <c r="Y724" s="208">
        <f t="shared" si="319"/>
        <v>46945.90515366241</v>
      </c>
      <c r="Z724" s="208">
        <f t="shared" si="319"/>
        <v>46945.90515366241</v>
      </c>
      <c r="AA724" s="208">
        <f t="shared" si="319"/>
        <v>0</v>
      </c>
      <c r="AB724" s="208">
        <f t="shared" si="319"/>
        <v>0</v>
      </c>
      <c r="AC724" s="208">
        <f t="shared" si="319"/>
        <v>0</v>
      </c>
      <c r="AD724" s="208">
        <f t="shared" si="319"/>
        <v>0</v>
      </c>
      <c r="AE724" s="208">
        <f t="shared" si="319"/>
        <v>0</v>
      </c>
      <c r="AF724" s="208">
        <f t="shared" si="319"/>
        <v>0</v>
      </c>
      <c r="AG724" s="208">
        <f t="shared" si="319"/>
        <v>0</v>
      </c>
      <c r="AH724" s="208">
        <f t="shared" si="319"/>
        <v>0</v>
      </c>
      <c r="AI724" s="208">
        <f t="shared" si="319"/>
        <v>0</v>
      </c>
      <c r="AJ724" s="208">
        <f t="shared" si="319"/>
        <v>0</v>
      </c>
      <c r="AK724" s="208">
        <f t="shared" si="319"/>
        <v>0</v>
      </c>
      <c r="AL724" s="208">
        <f t="shared" si="319"/>
        <v>0</v>
      </c>
      <c r="AM724" s="208">
        <f t="shared" si="319"/>
        <v>0</v>
      </c>
      <c r="AN724" s="208">
        <f t="shared" si="319"/>
        <v>0</v>
      </c>
      <c r="AO724" s="208">
        <f t="shared" si="319"/>
        <v>0</v>
      </c>
      <c r="AP724" s="208">
        <f t="shared" si="319"/>
        <v>0</v>
      </c>
    </row>
    <row r="725" spans="1:42">
      <c r="A725" s="37">
        <f>A724+1</f>
        <v>9</v>
      </c>
      <c r="B725" s="295">
        <f t="shared" si="315"/>
        <v>147270.95344195748</v>
      </c>
      <c r="C725" s="208">
        <f t="shared" ref="C725:AP726" si="320">IF(AND(C$2&gt;MMFrequency3*$A712,C$2&lt;=MMFrequency3*$A713),$B713/(MMFrequency3),0)</f>
        <v>0</v>
      </c>
      <c r="D725" s="208">
        <f t="shared" si="320"/>
        <v>0</v>
      </c>
      <c r="E725" s="208">
        <f t="shared" si="320"/>
        <v>0</v>
      </c>
      <c r="F725" s="208">
        <f t="shared" si="320"/>
        <v>0</v>
      </c>
      <c r="G725" s="208">
        <f t="shared" si="320"/>
        <v>0</v>
      </c>
      <c r="H725" s="208">
        <f t="shared" si="320"/>
        <v>0</v>
      </c>
      <c r="I725" s="208">
        <f t="shared" si="320"/>
        <v>0</v>
      </c>
      <c r="J725" s="208">
        <f t="shared" si="320"/>
        <v>0</v>
      </c>
      <c r="K725" s="208">
        <f t="shared" si="320"/>
        <v>0</v>
      </c>
      <c r="L725" s="208">
        <f t="shared" si="320"/>
        <v>0</v>
      </c>
      <c r="M725" s="208">
        <f t="shared" si="320"/>
        <v>0</v>
      </c>
      <c r="N725" s="208">
        <f t="shared" si="320"/>
        <v>0</v>
      </c>
      <c r="O725" s="208">
        <f t="shared" si="320"/>
        <v>0</v>
      </c>
      <c r="P725" s="208">
        <f t="shared" si="320"/>
        <v>0</v>
      </c>
      <c r="Q725" s="208">
        <f t="shared" si="320"/>
        <v>0</v>
      </c>
      <c r="R725" s="208">
        <f t="shared" si="320"/>
        <v>0</v>
      </c>
      <c r="S725" s="208">
        <f t="shared" si="320"/>
        <v>0</v>
      </c>
      <c r="T725" s="208">
        <f t="shared" si="320"/>
        <v>0</v>
      </c>
      <c r="U725" s="208">
        <f t="shared" si="320"/>
        <v>0</v>
      </c>
      <c r="V725" s="208">
        <f t="shared" si="320"/>
        <v>0</v>
      </c>
      <c r="W725" s="208">
        <f t="shared" si="320"/>
        <v>0</v>
      </c>
      <c r="X725" s="208">
        <f t="shared" si="320"/>
        <v>0</v>
      </c>
      <c r="Y725" s="208">
        <f t="shared" si="320"/>
        <v>0</v>
      </c>
      <c r="Z725" s="208">
        <f t="shared" si="320"/>
        <v>0</v>
      </c>
      <c r="AA725" s="208">
        <f t="shared" si="320"/>
        <v>49090.317813985828</v>
      </c>
      <c r="AB725" s="208">
        <f t="shared" si="320"/>
        <v>49090.317813985828</v>
      </c>
      <c r="AC725" s="208">
        <f t="shared" si="320"/>
        <v>49090.317813985828</v>
      </c>
      <c r="AD725" s="208">
        <f t="shared" si="320"/>
        <v>0</v>
      </c>
      <c r="AE725" s="208">
        <f t="shared" si="320"/>
        <v>0</v>
      </c>
      <c r="AF725" s="208">
        <f t="shared" si="320"/>
        <v>0</v>
      </c>
      <c r="AG725" s="208">
        <f t="shared" si="320"/>
        <v>0</v>
      </c>
      <c r="AH725" s="208">
        <f t="shared" si="320"/>
        <v>0</v>
      </c>
      <c r="AI725" s="208">
        <f t="shared" si="320"/>
        <v>0</v>
      </c>
      <c r="AJ725" s="208">
        <f t="shared" si="320"/>
        <v>0</v>
      </c>
      <c r="AK725" s="208">
        <f t="shared" si="320"/>
        <v>0</v>
      </c>
      <c r="AL725" s="208">
        <f t="shared" si="320"/>
        <v>0</v>
      </c>
      <c r="AM725" s="208">
        <f t="shared" si="320"/>
        <v>0</v>
      </c>
      <c r="AN725" s="208">
        <f t="shared" si="320"/>
        <v>0</v>
      </c>
      <c r="AO725" s="208">
        <f t="shared" si="320"/>
        <v>0</v>
      </c>
      <c r="AP725" s="208">
        <f t="shared" si="320"/>
        <v>0</v>
      </c>
    </row>
    <row r="726" spans="1:42">
      <c r="A726" s="37">
        <f t="shared" ref="A726" si="321">A725+1</f>
        <v>10</v>
      </c>
      <c r="B726" s="295">
        <f t="shared" si="315"/>
        <v>153998.05127988668</v>
      </c>
      <c r="C726" s="209">
        <f t="shared" si="320"/>
        <v>0</v>
      </c>
      <c r="D726" s="209">
        <f t="shared" si="320"/>
        <v>0</v>
      </c>
      <c r="E726" s="209">
        <f t="shared" si="320"/>
        <v>0</v>
      </c>
      <c r="F726" s="209">
        <f t="shared" si="320"/>
        <v>0</v>
      </c>
      <c r="G726" s="209">
        <f t="shared" si="320"/>
        <v>0</v>
      </c>
      <c r="H726" s="209">
        <f t="shared" si="320"/>
        <v>0</v>
      </c>
      <c r="I726" s="209">
        <f t="shared" si="320"/>
        <v>0</v>
      </c>
      <c r="J726" s="209">
        <f t="shared" si="320"/>
        <v>0</v>
      </c>
      <c r="K726" s="209">
        <f t="shared" si="320"/>
        <v>0</v>
      </c>
      <c r="L726" s="209">
        <f t="shared" si="320"/>
        <v>0</v>
      </c>
      <c r="M726" s="209">
        <f t="shared" si="320"/>
        <v>0</v>
      </c>
      <c r="N726" s="209">
        <f t="shared" si="320"/>
        <v>0</v>
      </c>
      <c r="O726" s="209">
        <f t="shared" si="320"/>
        <v>0</v>
      </c>
      <c r="P726" s="209">
        <f t="shared" si="320"/>
        <v>0</v>
      </c>
      <c r="Q726" s="209">
        <f t="shared" si="320"/>
        <v>0</v>
      </c>
      <c r="R726" s="209">
        <f t="shared" si="320"/>
        <v>0</v>
      </c>
      <c r="S726" s="209">
        <f t="shared" si="320"/>
        <v>0</v>
      </c>
      <c r="T726" s="209">
        <f t="shared" si="320"/>
        <v>0</v>
      </c>
      <c r="U726" s="209">
        <f t="shared" si="320"/>
        <v>0</v>
      </c>
      <c r="V726" s="209">
        <f t="shared" si="320"/>
        <v>0</v>
      </c>
      <c r="W726" s="209">
        <f t="shared" si="320"/>
        <v>0</v>
      </c>
      <c r="X726" s="209">
        <f t="shared" si="320"/>
        <v>0</v>
      </c>
      <c r="Y726" s="209">
        <f t="shared" si="320"/>
        <v>0</v>
      </c>
      <c r="Z726" s="209">
        <f t="shared" si="320"/>
        <v>0</v>
      </c>
      <c r="AA726" s="209">
        <f t="shared" si="320"/>
        <v>0</v>
      </c>
      <c r="AB726" s="209">
        <f t="shared" si="320"/>
        <v>0</v>
      </c>
      <c r="AC726" s="209">
        <f t="shared" si="320"/>
        <v>0</v>
      </c>
      <c r="AD726" s="209">
        <f t="shared" si="320"/>
        <v>51332.68375996223</v>
      </c>
      <c r="AE726" s="209">
        <f t="shared" si="320"/>
        <v>51332.68375996223</v>
      </c>
      <c r="AF726" s="209">
        <f t="shared" si="320"/>
        <v>51332.68375996223</v>
      </c>
      <c r="AG726" s="209">
        <f t="shared" si="320"/>
        <v>0</v>
      </c>
      <c r="AH726" s="209">
        <f t="shared" si="320"/>
        <v>0</v>
      </c>
      <c r="AI726" s="209">
        <f t="shared" si="320"/>
        <v>0</v>
      </c>
      <c r="AJ726" s="209">
        <f t="shared" si="320"/>
        <v>0</v>
      </c>
      <c r="AK726" s="209">
        <f t="shared" si="320"/>
        <v>0</v>
      </c>
      <c r="AL726" s="209">
        <f t="shared" si="320"/>
        <v>0</v>
      </c>
      <c r="AM726" s="209">
        <f t="shared" si="320"/>
        <v>0</v>
      </c>
      <c r="AN726" s="209">
        <f t="shared" si="320"/>
        <v>0</v>
      </c>
      <c r="AO726" s="209">
        <f t="shared" si="320"/>
        <v>0</v>
      </c>
      <c r="AP726" s="209">
        <f t="shared" si="320"/>
        <v>0</v>
      </c>
    </row>
    <row r="727" spans="1:42">
      <c r="A727" s="244" t="s">
        <v>53</v>
      </c>
      <c r="B727" s="208"/>
      <c r="C727" s="164">
        <f>SUM(C717:C726)</f>
        <v>34340.833333333321</v>
      </c>
      <c r="D727" s="164">
        <f t="shared" ref="D727:AP727" si="322">SUM(D717:D726)</f>
        <v>34340.833333333321</v>
      </c>
      <c r="E727" s="164">
        <f t="shared" si="322"/>
        <v>34340.833333333321</v>
      </c>
      <c r="F727" s="164">
        <f t="shared" si="322"/>
        <v>35909.466796145811</v>
      </c>
      <c r="G727" s="164">
        <f t="shared" si="322"/>
        <v>35909.466796145811</v>
      </c>
      <c r="H727" s="164">
        <f t="shared" si="322"/>
        <v>35909.466796145811</v>
      </c>
      <c r="I727" s="164">
        <f t="shared" si="322"/>
        <v>37549.752886510192</v>
      </c>
      <c r="J727" s="164">
        <f t="shared" si="322"/>
        <v>37549.752886510192</v>
      </c>
      <c r="K727" s="164">
        <f t="shared" si="322"/>
        <v>37549.752886510192</v>
      </c>
      <c r="L727" s="164">
        <f t="shared" si="322"/>
        <v>39264.96458001752</v>
      </c>
      <c r="M727" s="164">
        <f t="shared" si="322"/>
        <v>39264.96458001752</v>
      </c>
      <c r="N727" s="164">
        <f t="shared" si="322"/>
        <v>39264.96458001752</v>
      </c>
      <c r="O727" s="164">
        <f t="shared" si="322"/>
        <v>41058.524356465256</v>
      </c>
      <c r="P727" s="164">
        <f t="shared" si="322"/>
        <v>41058.524356465256</v>
      </c>
      <c r="Q727" s="164">
        <f t="shared" si="322"/>
        <v>41058.524356465256</v>
      </c>
      <c r="R727" s="164">
        <f t="shared" si="322"/>
        <v>42934.011028966495</v>
      </c>
      <c r="S727" s="164">
        <f t="shared" si="322"/>
        <v>42934.011028966495</v>
      </c>
      <c r="T727" s="164">
        <f t="shared" si="322"/>
        <v>42934.011028966495</v>
      </c>
      <c r="U727" s="164">
        <f t="shared" si="322"/>
        <v>44895.166885001738</v>
      </c>
      <c r="V727" s="164">
        <f t="shared" si="322"/>
        <v>44895.166885001738</v>
      </c>
      <c r="W727" s="164">
        <f t="shared" si="322"/>
        <v>44895.166885001738</v>
      </c>
      <c r="X727" s="164">
        <f t="shared" si="322"/>
        <v>46945.90515366241</v>
      </c>
      <c r="Y727" s="164">
        <f t="shared" si="322"/>
        <v>46945.90515366241</v>
      </c>
      <c r="Z727" s="164">
        <f t="shared" si="322"/>
        <v>46945.90515366241</v>
      </c>
      <c r="AA727" s="164">
        <f t="shared" si="322"/>
        <v>49090.317813985828</v>
      </c>
      <c r="AB727" s="164">
        <f t="shared" si="322"/>
        <v>49090.317813985828</v>
      </c>
      <c r="AC727" s="164">
        <f t="shared" si="322"/>
        <v>49090.317813985828</v>
      </c>
      <c r="AD727" s="164">
        <f t="shared" si="322"/>
        <v>51332.68375996223</v>
      </c>
      <c r="AE727" s="164">
        <f t="shared" si="322"/>
        <v>51332.68375996223</v>
      </c>
      <c r="AF727" s="164">
        <f t="shared" si="322"/>
        <v>51332.68375996223</v>
      </c>
      <c r="AG727" s="164">
        <f t="shared" si="322"/>
        <v>0</v>
      </c>
      <c r="AH727" s="164">
        <f t="shared" si="322"/>
        <v>0</v>
      </c>
      <c r="AI727" s="164">
        <f t="shared" si="322"/>
        <v>0</v>
      </c>
      <c r="AJ727" s="164">
        <f t="shared" si="322"/>
        <v>0</v>
      </c>
      <c r="AK727" s="164">
        <f t="shared" si="322"/>
        <v>0</v>
      </c>
      <c r="AL727" s="164">
        <f t="shared" si="322"/>
        <v>0</v>
      </c>
      <c r="AM727" s="164">
        <f t="shared" si="322"/>
        <v>0</v>
      </c>
      <c r="AN727" s="164">
        <f t="shared" si="322"/>
        <v>0</v>
      </c>
      <c r="AO727" s="164">
        <f t="shared" si="322"/>
        <v>0</v>
      </c>
      <c r="AP727" s="164">
        <f t="shared" si="322"/>
        <v>0</v>
      </c>
    </row>
    <row r="728" spans="1:42">
      <c r="B728" s="208"/>
      <c r="C728" s="164"/>
      <c r="D728" s="164"/>
      <c r="E728" s="164"/>
      <c r="F728" s="164"/>
      <c r="G728" s="164"/>
      <c r="H728" s="164"/>
      <c r="I728" s="164"/>
      <c r="J728" s="164"/>
      <c r="K728" s="164"/>
      <c r="L728" s="164"/>
      <c r="M728" s="164"/>
      <c r="N728" s="164"/>
      <c r="O728" s="164"/>
      <c r="P728" s="164"/>
      <c r="Q728" s="164"/>
      <c r="R728" s="164"/>
      <c r="S728" s="164"/>
      <c r="T728" s="164"/>
      <c r="U728" s="164"/>
      <c r="V728" s="164"/>
      <c r="W728" s="164"/>
      <c r="X728" s="164"/>
      <c r="Y728" s="164"/>
      <c r="Z728" s="164"/>
      <c r="AA728" s="164"/>
      <c r="AB728" s="164"/>
      <c r="AC728" s="164"/>
      <c r="AD728" s="164"/>
      <c r="AE728" s="164"/>
      <c r="AF728" s="164"/>
      <c r="AG728" s="164"/>
      <c r="AH728" s="164"/>
      <c r="AI728" s="164"/>
      <c r="AJ728" s="164"/>
      <c r="AK728" s="164"/>
      <c r="AL728" s="164"/>
      <c r="AM728" s="164"/>
      <c r="AN728" s="164"/>
      <c r="AO728" s="164"/>
      <c r="AP728" s="164"/>
    </row>
    <row r="729" spans="1:42">
      <c r="A729" s="37" t="s">
        <v>210</v>
      </c>
      <c r="B729" s="208"/>
      <c r="C729" s="164"/>
      <c r="D729" s="164"/>
      <c r="E729" s="164"/>
      <c r="F729" s="164"/>
      <c r="G729" s="164"/>
      <c r="H729" s="164"/>
      <c r="I729" s="164"/>
      <c r="J729" s="164"/>
      <c r="K729" s="164"/>
      <c r="L729" s="164"/>
      <c r="M729" s="164"/>
      <c r="N729" s="164"/>
      <c r="O729" s="164"/>
      <c r="P729" s="164"/>
      <c r="Q729" s="164"/>
      <c r="R729" s="164"/>
      <c r="S729" s="164"/>
      <c r="T729" s="164"/>
      <c r="U729" s="164"/>
      <c r="V729" s="164"/>
      <c r="W729" s="164"/>
      <c r="X729" s="164"/>
      <c r="Y729" s="164"/>
      <c r="Z729" s="164"/>
      <c r="AA729" s="164"/>
      <c r="AB729" s="164"/>
      <c r="AC729" s="164"/>
      <c r="AD729" s="164"/>
      <c r="AE729" s="164"/>
      <c r="AF729" s="164"/>
      <c r="AG729" s="164"/>
      <c r="AH729" s="164"/>
      <c r="AI729" s="164"/>
      <c r="AJ729" s="164"/>
      <c r="AK729" s="164"/>
      <c r="AL729" s="164"/>
      <c r="AM729" s="164"/>
      <c r="AN729" s="164"/>
      <c r="AO729" s="164"/>
      <c r="AP729" s="164"/>
    </row>
    <row r="730" spans="1:42">
      <c r="A730" s="206" t="s">
        <v>211</v>
      </c>
      <c r="B730" s="164">
        <f>B625+B631+B637+B669+B701</f>
        <v>1003637.021198127</v>
      </c>
      <c r="C730" s="164">
        <f t="shared" ref="C730:AP730" si="323">C625+C631+C637+C669+C701</f>
        <v>1702457.263515787</v>
      </c>
      <c r="D730" s="164">
        <f t="shared" si="323"/>
        <v>2401254.1613761792</v>
      </c>
      <c r="E730" s="164">
        <f t="shared" si="323"/>
        <v>2996481.3667630153</v>
      </c>
      <c r="F730" s="164">
        <f t="shared" si="323"/>
        <v>3696797.2757086018</v>
      </c>
      <c r="G730" s="164">
        <f t="shared" si="323"/>
        <v>4397086.8604755159</v>
      </c>
      <c r="H730" s="164">
        <f t="shared" si="323"/>
        <v>4989073.9182948843</v>
      </c>
      <c r="I730" s="164">
        <f t="shared" si="323"/>
        <v>5690947.9953205362</v>
      </c>
      <c r="J730" s="164">
        <f t="shared" si="323"/>
        <v>6392792.5533082867</v>
      </c>
      <c r="K730" s="164">
        <f t="shared" si="323"/>
        <v>6981385.4811204392</v>
      </c>
      <c r="L730" s="164">
        <f t="shared" si="323"/>
        <v>7684882.8409109293</v>
      </c>
      <c r="M730" s="164">
        <f t="shared" si="323"/>
        <v>8388347.2571260007</v>
      </c>
      <c r="N730" s="164">
        <f t="shared" si="323"/>
        <v>6012510.4845316503</v>
      </c>
      <c r="O730" s="164">
        <f t="shared" si="323"/>
        <v>6765704.838505392</v>
      </c>
      <c r="P730" s="164">
        <f t="shared" si="323"/>
        <v>7518862.5791659961</v>
      </c>
      <c r="Q730" s="164">
        <f t="shared" si="323"/>
        <v>1955155.8391711758</v>
      </c>
      <c r="R730" s="164">
        <f t="shared" si="323"/>
        <v>2812853.5624940093</v>
      </c>
      <c r="S730" s="164">
        <f t="shared" si="323"/>
        <v>3670510.7409956092</v>
      </c>
      <c r="T730" s="164">
        <f t="shared" si="323"/>
        <v>4398670.2512726933</v>
      </c>
      <c r="U730" s="164">
        <f t="shared" si="323"/>
        <v>5258203.3491693968</v>
      </c>
      <c r="V730" s="164">
        <f t="shared" si="323"/>
        <v>5153719.7794512352</v>
      </c>
      <c r="W730" s="164">
        <f t="shared" si="323"/>
        <v>5870668.1904912442</v>
      </c>
      <c r="X730" s="164">
        <f t="shared" si="323"/>
        <v>6724352.8404549183</v>
      </c>
      <c r="Y730" s="164">
        <f t="shared" si="323"/>
        <v>7578037.4904185934</v>
      </c>
      <c r="Z730" s="164">
        <f t="shared" si="323"/>
        <v>4769941.5383965997</v>
      </c>
      <c r="AA730" s="164">
        <f t="shared" si="323"/>
        <v>5332358.6938102078</v>
      </c>
      <c r="AB730" s="164">
        <f t="shared" si="323"/>
        <v>5894775.8492238158</v>
      </c>
      <c r="AC730" s="164">
        <f t="shared" si="323"/>
        <v>6309922.051195466</v>
      </c>
      <c r="AD730" s="164">
        <f t="shared" si="323"/>
        <v>6874581.5725550503</v>
      </c>
      <c r="AE730" s="164">
        <f t="shared" si="323"/>
        <v>7439241.0939146345</v>
      </c>
      <c r="AF730" s="164">
        <f t="shared" si="323"/>
        <v>0</v>
      </c>
      <c r="AG730" s="164">
        <f t="shared" si="323"/>
        <v>0</v>
      </c>
      <c r="AH730" s="164">
        <f t="shared" si="323"/>
        <v>0</v>
      </c>
      <c r="AI730" s="164">
        <f t="shared" si="323"/>
        <v>0</v>
      </c>
      <c r="AJ730" s="164">
        <f t="shared" si="323"/>
        <v>0</v>
      </c>
      <c r="AK730" s="164">
        <f t="shared" si="323"/>
        <v>0</v>
      </c>
      <c r="AL730" s="164">
        <f t="shared" si="323"/>
        <v>0</v>
      </c>
      <c r="AM730" s="164">
        <f t="shared" si="323"/>
        <v>0</v>
      </c>
      <c r="AN730" s="164">
        <f t="shared" si="323"/>
        <v>0</v>
      </c>
      <c r="AO730" s="164">
        <f t="shared" si="323"/>
        <v>0</v>
      </c>
      <c r="AP730" s="164">
        <f t="shared" si="323"/>
        <v>0</v>
      </c>
    </row>
    <row r="731" spans="1:42">
      <c r="A731" s="206" t="s">
        <v>210</v>
      </c>
      <c r="B731" s="208"/>
      <c r="C731" s="164">
        <f t="shared" ref="C731:AP731" si="324">IF(C$2&lt;=AnalysisPeriod,B730*InterestOnReserves,0)</f>
        <v>17563.647870967223</v>
      </c>
      <c r="D731" s="164">
        <f t="shared" si="324"/>
        <v>29793.002111526275</v>
      </c>
      <c r="E731" s="164">
        <f t="shared" si="324"/>
        <v>42021.947824083138</v>
      </c>
      <c r="F731" s="164">
        <f t="shared" si="324"/>
        <v>52438.423918352775</v>
      </c>
      <c r="G731" s="164">
        <f t="shared" si="324"/>
        <v>64693.952324900536</v>
      </c>
      <c r="H731" s="164">
        <f t="shared" si="324"/>
        <v>76949.020058321534</v>
      </c>
      <c r="I731" s="164">
        <f t="shared" si="324"/>
        <v>87308.793570160487</v>
      </c>
      <c r="J731" s="164">
        <f t="shared" si="324"/>
        <v>99591.589918109399</v>
      </c>
      <c r="K731" s="164">
        <f t="shared" si="324"/>
        <v>111873.86968289503</v>
      </c>
      <c r="L731" s="164">
        <f t="shared" si="324"/>
        <v>122174.2459196077</v>
      </c>
      <c r="M731" s="164">
        <f t="shared" si="324"/>
        <v>134485.44971594127</v>
      </c>
      <c r="N731" s="164">
        <f t="shared" si="324"/>
        <v>146796.07699970502</v>
      </c>
      <c r="O731" s="164">
        <f t="shared" si="324"/>
        <v>105218.93347930389</v>
      </c>
      <c r="P731" s="164">
        <f t="shared" si="324"/>
        <v>118399.83467384437</v>
      </c>
      <c r="Q731" s="164">
        <f t="shared" si="324"/>
        <v>131580.09513540493</v>
      </c>
      <c r="R731" s="164">
        <f t="shared" si="324"/>
        <v>34215.227185495583</v>
      </c>
      <c r="S731" s="164">
        <f t="shared" si="324"/>
        <v>49224.937343645164</v>
      </c>
      <c r="T731" s="164">
        <f t="shared" si="324"/>
        <v>64233.937967423168</v>
      </c>
      <c r="U731" s="164">
        <f t="shared" si="324"/>
        <v>76976.729397272138</v>
      </c>
      <c r="V731" s="164">
        <f t="shared" si="324"/>
        <v>92018.558610464446</v>
      </c>
      <c r="W731" s="164">
        <f t="shared" si="324"/>
        <v>90190.096140396621</v>
      </c>
      <c r="X731" s="164">
        <f t="shared" si="324"/>
        <v>102736.69333359678</v>
      </c>
      <c r="Y731" s="164">
        <f t="shared" si="324"/>
        <v>117676.17470796108</v>
      </c>
      <c r="Z731" s="164">
        <f t="shared" si="324"/>
        <v>132615.65608232541</v>
      </c>
      <c r="AA731" s="164">
        <f t="shared" si="324"/>
        <v>83473.976921940499</v>
      </c>
      <c r="AB731" s="164">
        <f t="shared" si="324"/>
        <v>93316.277141678642</v>
      </c>
      <c r="AC731" s="164">
        <f t="shared" si="324"/>
        <v>103158.57736141678</v>
      </c>
      <c r="AD731" s="164">
        <f t="shared" si="324"/>
        <v>110423.63589592067</v>
      </c>
      <c r="AE731" s="164">
        <f t="shared" si="324"/>
        <v>120305.1775197134</v>
      </c>
      <c r="AF731" s="164">
        <f t="shared" si="324"/>
        <v>130186.71914350611</v>
      </c>
      <c r="AG731" s="164">
        <f t="shared" si="324"/>
        <v>0</v>
      </c>
      <c r="AH731" s="164">
        <f t="shared" si="324"/>
        <v>0</v>
      </c>
      <c r="AI731" s="164">
        <f t="shared" si="324"/>
        <v>0</v>
      </c>
      <c r="AJ731" s="164">
        <f t="shared" si="324"/>
        <v>0</v>
      </c>
      <c r="AK731" s="164">
        <f t="shared" si="324"/>
        <v>0</v>
      </c>
      <c r="AL731" s="164">
        <f t="shared" si="324"/>
        <v>0</v>
      </c>
      <c r="AM731" s="164">
        <f t="shared" si="324"/>
        <v>0</v>
      </c>
      <c r="AN731" s="164">
        <f t="shared" si="324"/>
        <v>0</v>
      </c>
      <c r="AO731" s="164">
        <f t="shared" si="324"/>
        <v>0</v>
      </c>
      <c r="AP731" s="164">
        <f t="shared" si="324"/>
        <v>0</v>
      </c>
    </row>
  </sheetData>
  <conditionalFormatting sqref="B504 B539">
    <cfRule type="containsText" dxfId="0" priority="1" operator="containsText" text="Check">
      <formula>NOT(ISERROR(SEARCH("Check",B504)))</formula>
    </cfRule>
  </conditionalFormatting>
  <pageMargins left="0.5" right="0.5" top="0.5" bottom="0.75" header="0.3" footer="0.3"/>
  <pageSetup scale="75" pageOrder="overThenDown" orientation="landscape" horizontalDpi="0" verticalDpi="0" r:id="rId1"/>
  <headerFooter>
    <oddFooter>&amp;L&amp;F&amp;RPage &amp;P of &amp;N</oddFooter>
  </headerFooter>
  <legacyDrawing r:id="rId2"/>
</worksheet>
</file>

<file path=xl/worksheets/sheet7.xml><?xml version="1.0" encoding="utf-8"?>
<worksheet xmlns="http://schemas.openxmlformats.org/spreadsheetml/2006/main" xmlns:r="http://schemas.openxmlformats.org/officeDocument/2006/relationships">
  <sheetPr codeName="Sheet4"/>
  <dimension ref="A1:G44"/>
  <sheetViews>
    <sheetView topLeftCell="A10" zoomScaleNormal="100" workbookViewId="0">
      <selection activeCell="G3" sqref="G3"/>
    </sheetView>
  </sheetViews>
  <sheetFormatPr defaultRowHeight="15"/>
  <cols>
    <col min="2" max="7" width="15.42578125" customWidth="1"/>
  </cols>
  <sheetData>
    <row r="1" spans="1:7" s="5" customFormat="1" ht="12.75">
      <c r="A1" s="1" t="s">
        <v>151</v>
      </c>
      <c r="B1" s="2"/>
      <c r="C1" s="3"/>
      <c r="D1" s="2"/>
      <c r="E1" s="2"/>
      <c r="F1" s="2"/>
      <c r="G1" s="4"/>
    </row>
    <row r="2" spans="1:7" s="5" customFormat="1" ht="12.75">
      <c r="A2" s="6"/>
      <c r="B2" s="7" t="s">
        <v>142</v>
      </c>
      <c r="C2" s="7" t="s">
        <v>143</v>
      </c>
      <c r="D2" s="7" t="s">
        <v>144</v>
      </c>
      <c r="E2" s="7" t="s">
        <v>145</v>
      </c>
      <c r="F2" s="7" t="s">
        <v>146</v>
      </c>
      <c r="G2" s="7" t="s">
        <v>147</v>
      </c>
    </row>
    <row r="3" spans="1:7" s="5" customFormat="1" ht="12.75">
      <c r="A3" s="8">
        <v>1</v>
      </c>
      <c r="B3" s="9">
        <v>0.2</v>
      </c>
      <c r="C3" s="10">
        <v>0.05</v>
      </c>
      <c r="D3" s="9">
        <v>0.1</v>
      </c>
      <c r="E3" s="9">
        <v>3.3300000000000003E-2</v>
      </c>
      <c r="F3" s="9">
        <v>2.5000000000000001E-2</v>
      </c>
      <c r="G3" s="9">
        <f>2.56410256410256%*0.5</f>
        <v>1.2820512820512799E-2</v>
      </c>
    </row>
    <row r="4" spans="1:7" s="5" customFormat="1" ht="12.75">
      <c r="A4" s="11">
        <v>2</v>
      </c>
      <c r="B4" s="12">
        <v>0.32</v>
      </c>
      <c r="C4" s="13">
        <v>9.5000000000000001E-2</v>
      </c>
      <c r="D4" s="12">
        <v>0.2</v>
      </c>
      <c r="E4" s="12">
        <v>6.6699999999999995E-2</v>
      </c>
      <c r="F4" s="12">
        <v>0.05</v>
      </c>
      <c r="G4" s="12">
        <v>2.564102564102564E-2</v>
      </c>
    </row>
    <row r="5" spans="1:7" s="5" customFormat="1" ht="12.75">
      <c r="A5" s="11">
        <v>3</v>
      </c>
      <c r="B5" s="12">
        <v>0.192</v>
      </c>
      <c r="C5" s="12">
        <v>8.5500000000000007E-2</v>
      </c>
      <c r="D5" s="12">
        <v>0.2</v>
      </c>
      <c r="E5" s="12">
        <v>6.6699999999999995E-2</v>
      </c>
      <c r="F5" s="12">
        <v>0.05</v>
      </c>
      <c r="G5" s="12">
        <v>2.564102564102564E-2</v>
      </c>
    </row>
    <row r="6" spans="1:7" s="5" customFormat="1" ht="12.75">
      <c r="A6" s="11">
        <v>4</v>
      </c>
      <c r="B6" s="12">
        <v>0.1152</v>
      </c>
      <c r="C6" s="12">
        <v>7.6999999999999999E-2</v>
      </c>
      <c r="D6" s="12">
        <v>0.2</v>
      </c>
      <c r="E6" s="12">
        <v>6.6699999999999995E-2</v>
      </c>
      <c r="F6" s="12">
        <v>0.05</v>
      </c>
      <c r="G6" s="12">
        <v>2.564102564102564E-2</v>
      </c>
    </row>
    <row r="7" spans="1:7" s="5" customFormat="1" ht="12.75">
      <c r="A7" s="11">
        <v>5</v>
      </c>
      <c r="B7" s="12">
        <v>0.1152</v>
      </c>
      <c r="C7" s="12">
        <v>6.93E-2</v>
      </c>
      <c r="D7" s="12">
        <v>0.2</v>
      </c>
      <c r="E7" s="12">
        <v>6.6699999999999995E-2</v>
      </c>
      <c r="F7" s="12">
        <v>0.05</v>
      </c>
      <c r="G7" s="12">
        <v>2.564102564102564E-2</v>
      </c>
    </row>
    <row r="8" spans="1:7" s="5" customFormat="1" ht="12.75">
      <c r="A8" s="11">
        <v>6</v>
      </c>
      <c r="B8" s="12">
        <v>5.7599999999999998E-2</v>
      </c>
      <c r="C8" s="12">
        <v>6.2300000000000001E-2</v>
      </c>
      <c r="D8" s="12">
        <v>0.1</v>
      </c>
      <c r="E8" s="12">
        <v>6.6699999999999995E-2</v>
      </c>
      <c r="F8" s="12">
        <v>0.05</v>
      </c>
      <c r="G8" s="12">
        <v>2.564102564102564E-2</v>
      </c>
    </row>
    <row r="9" spans="1:7" s="5" customFormat="1" ht="12.75">
      <c r="A9" s="11">
        <v>7</v>
      </c>
      <c r="B9" s="14">
        <v>0</v>
      </c>
      <c r="C9" s="12">
        <v>5.8999999999999997E-2</v>
      </c>
      <c r="D9" s="12">
        <v>0</v>
      </c>
      <c r="E9" s="12">
        <v>6.6699999999999995E-2</v>
      </c>
      <c r="F9" s="12">
        <v>0.05</v>
      </c>
      <c r="G9" s="12">
        <v>2.564102564102564E-2</v>
      </c>
    </row>
    <row r="10" spans="1:7" s="5" customFormat="1" ht="12.75">
      <c r="A10" s="11">
        <v>8</v>
      </c>
      <c r="B10" s="12">
        <v>0</v>
      </c>
      <c r="C10" s="12">
        <v>5.8999999999999997E-2</v>
      </c>
      <c r="D10" s="12">
        <v>0</v>
      </c>
      <c r="E10" s="12">
        <v>6.6600000000000006E-2</v>
      </c>
      <c r="F10" s="12">
        <v>0.05</v>
      </c>
      <c r="G10" s="12">
        <v>2.564102564102564E-2</v>
      </c>
    </row>
    <row r="11" spans="1:7" s="5" customFormat="1" ht="12.75">
      <c r="A11" s="11">
        <v>9</v>
      </c>
      <c r="B11" s="12">
        <v>0</v>
      </c>
      <c r="C11" s="12">
        <v>5.91E-2</v>
      </c>
      <c r="D11" s="12">
        <v>0</v>
      </c>
      <c r="E11" s="12">
        <v>6.6699999999999995E-2</v>
      </c>
      <c r="F11" s="12">
        <v>0.05</v>
      </c>
      <c r="G11" s="12">
        <v>2.564102564102564E-2</v>
      </c>
    </row>
    <row r="12" spans="1:7" s="5" customFormat="1" ht="12.75">
      <c r="A12" s="11">
        <v>10</v>
      </c>
      <c r="B12" s="12">
        <v>0</v>
      </c>
      <c r="C12" s="12">
        <v>5.8999999999999997E-2</v>
      </c>
      <c r="D12" s="12">
        <v>0</v>
      </c>
      <c r="E12" s="12">
        <v>6.6600000000000006E-2</v>
      </c>
      <c r="F12" s="12">
        <v>0.05</v>
      </c>
      <c r="G12" s="12">
        <v>2.564102564102564E-2</v>
      </c>
    </row>
    <row r="13" spans="1:7" s="5" customFormat="1" ht="12.75">
      <c r="A13" s="11">
        <v>11</v>
      </c>
      <c r="B13" s="12">
        <v>0</v>
      </c>
      <c r="C13" s="12">
        <v>5.91E-2</v>
      </c>
      <c r="D13" s="12">
        <v>0</v>
      </c>
      <c r="E13" s="12">
        <v>6.6699999999999995E-2</v>
      </c>
      <c r="F13" s="12">
        <v>0.05</v>
      </c>
      <c r="G13" s="12">
        <v>2.564102564102564E-2</v>
      </c>
    </row>
    <row r="14" spans="1:7" s="5" customFormat="1" ht="12.75">
      <c r="A14" s="11">
        <v>12</v>
      </c>
      <c r="B14" s="12">
        <v>0</v>
      </c>
      <c r="C14" s="12">
        <v>5.8999999999999997E-2</v>
      </c>
      <c r="D14" s="12">
        <v>0</v>
      </c>
      <c r="E14" s="12">
        <v>6.6600000000000006E-2</v>
      </c>
      <c r="F14" s="12">
        <v>0.05</v>
      </c>
      <c r="G14" s="12">
        <v>2.564102564102564E-2</v>
      </c>
    </row>
    <row r="15" spans="1:7" s="5" customFormat="1" ht="12.75">
      <c r="A15" s="11">
        <v>13</v>
      </c>
      <c r="B15" s="12">
        <v>0</v>
      </c>
      <c r="C15" s="12">
        <v>5.91E-2</v>
      </c>
      <c r="D15" s="12">
        <v>0</v>
      </c>
      <c r="E15" s="12">
        <v>6.6699999999999995E-2</v>
      </c>
      <c r="F15" s="12">
        <v>0.05</v>
      </c>
      <c r="G15" s="12">
        <v>2.564102564102564E-2</v>
      </c>
    </row>
    <row r="16" spans="1:7" s="5" customFormat="1" ht="12.75">
      <c r="A16" s="11">
        <v>14</v>
      </c>
      <c r="B16" s="12">
        <v>0</v>
      </c>
      <c r="C16" s="12">
        <v>5.8999999999999997E-2</v>
      </c>
      <c r="D16" s="12">
        <v>0</v>
      </c>
      <c r="E16" s="12">
        <v>6.6600000000000006E-2</v>
      </c>
      <c r="F16" s="12">
        <v>0.05</v>
      </c>
      <c r="G16" s="12">
        <v>2.564102564102564E-2</v>
      </c>
    </row>
    <row r="17" spans="1:7" s="5" customFormat="1" ht="12.75">
      <c r="A17" s="11">
        <v>15</v>
      </c>
      <c r="B17" s="12">
        <v>0</v>
      </c>
      <c r="C17" s="12">
        <v>5.91E-2</v>
      </c>
      <c r="D17" s="12">
        <v>0</v>
      </c>
      <c r="E17" s="12">
        <v>6.6699999999999995E-2</v>
      </c>
      <c r="F17" s="12">
        <v>0.05</v>
      </c>
      <c r="G17" s="12">
        <v>2.564102564102564E-2</v>
      </c>
    </row>
    <row r="18" spans="1:7" s="5" customFormat="1" ht="12.75">
      <c r="A18" s="11">
        <v>16</v>
      </c>
      <c r="B18" s="12">
        <v>0</v>
      </c>
      <c r="C18" s="12">
        <v>2.9499999999999998E-2</v>
      </c>
      <c r="D18" s="12">
        <v>0</v>
      </c>
      <c r="E18" s="12">
        <v>3.3300000000000003E-2</v>
      </c>
      <c r="F18" s="12">
        <v>0.05</v>
      </c>
      <c r="G18" s="12">
        <v>2.564102564102564E-2</v>
      </c>
    </row>
    <row r="19" spans="1:7" s="5" customFormat="1" ht="12.75">
      <c r="A19" s="11">
        <v>17</v>
      </c>
      <c r="B19" s="12">
        <v>0</v>
      </c>
      <c r="C19" s="12">
        <v>0</v>
      </c>
      <c r="D19" s="12">
        <v>0</v>
      </c>
      <c r="E19" s="12">
        <v>0</v>
      </c>
      <c r="F19" s="12">
        <v>0.05</v>
      </c>
      <c r="G19" s="12">
        <v>2.564102564102564E-2</v>
      </c>
    </row>
    <row r="20" spans="1:7" s="5" customFormat="1" ht="12.75">
      <c r="A20" s="11">
        <v>18</v>
      </c>
      <c r="B20" s="12">
        <v>0</v>
      </c>
      <c r="C20" s="12">
        <v>0</v>
      </c>
      <c r="D20" s="12">
        <v>0</v>
      </c>
      <c r="E20" s="12">
        <v>0</v>
      </c>
      <c r="F20" s="12">
        <v>0.05</v>
      </c>
      <c r="G20" s="12">
        <v>2.564102564102564E-2</v>
      </c>
    </row>
    <row r="21" spans="1:7" s="5" customFormat="1" ht="12.75">
      <c r="A21" s="11">
        <v>19</v>
      </c>
      <c r="B21" s="12">
        <v>0</v>
      </c>
      <c r="C21" s="12">
        <v>0</v>
      </c>
      <c r="D21" s="12">
        <v>0</v>
      </c>
      <c r="E21" s="12">
        <v>0</v>
      </c>
      <c r="F21" s="12">
        <v>0.05</v>
      </c>
      <c r="G21" s="12">
        <v>2.564102564102564E-2</v>
      </c>
    </row>
    <row r="22" spans="1:7" s="5" customFormat="1" ht="12.75">
      <c r="A22" s="11">
        <v>20</v>
      </c>
      <c r="B22" s="12">
        <v>0</v>
      </c>
      <c r="C22" s="12">
        <v>0</v>
      </c>
      <c r="D22" s="12">
        <v>0</v>
      </c>
      <c r="E22" s="12">
        <v>0</v>
      </c>
      <c r="F22" s="12">
        <v>0.05</v>
      </c>
      <c r="G22" s="12">
        <v>2.564102564102564E-2</v>
      </c>
    </row>
    <row r="23" spans="1:7" s="5" customFormat="1" ht="12.75">
      <c r="A23" s="11">
        <v>21</v>
      </c>
      <c r="B23" s="12">
        <v>0</v>
      </c>
      <c r="C23" s="12">
        <v>0</v>
      </c>
      <c r="D23" s="12">
        <v>0</v>
      </c>
      <c r="E23" s="12">
        <v>0</v>
      </c>
      <c r="F23" s="12">
        <v>2.5000000000000001E-2</v>
      </c>
      <c r="G23" s="12">
        <v>2.564102564102564E-2</v>
      </c>
    </row>
    <row r="24" spans="1:7" s="5" customFormat="1" ht="12.75" customHeight="1">
      <c r="A24" s="11">
        <v>22</v>
      </c>
      <c r="B24" s="12">
        <v>0</v>
      </c>
      <c r="C24" s="12">
        <v>0</v>
      </c>
      <c r="D24" s="12">
        <v>0</v>
      </c>
      <c r="E24" s="12">
        <v>0</v>
      </c>
      <c r="F24" s="12">
        <v>0</v>
      </c>
      <c r="G24" s="12">
        <v>2.564102564102564E-2</v>
      </c>
    </row>
    <row r="25" spans="1:7" s="5" customFormat="1" ht="12.75" customHeight="1">
      <c r="A25" s="11">
        <v>23</v>
      </c>
      <c r="B25" s="12">
        <v>0</v>
      </c>
      <c r="C25" s="12">
        <v>0</v>
      </c>
      <c r="D25" s="12">
        <v>0</v>
      </c>
      <c r="E25" s="12">
        <v>0</v>
      </c>
      <c r="F25" s="12">
        <v>0</v>
      </c>
      <c r="G25" s="12">
        <v>2.564102564102564E-2</v>
      </c>
    </row>
    <row r="26" spans="1:7" s="5" customFormat="1" ht="12.75" customHeight="1">
      <c r="A26" s="11">
        <v>24</v>
      </c>
      <c r="B26" s="12">
        <v>0</v>
      </c>
      <c r="C26" s="12">
        <v>0</v>
      </c>
      <c r="D26" s="12">
        <v>0</v>
      </c>
      <c r="E26" s="12">
        <v>0</v>
      </c>
      <c r="F26" s="12">
        <v>0</v>
      </c>
      <c r="G26" s="12">
        <v>2.564102564102564E-2</v>
      </c>
    </row>
    <row r="27" spans="1:7" s="5" customFormat="1" ht="12.75" customHeight="1">
      <c r="A27" s="11">
        <v>25</v>
      </c>
      <c r="B27" s="12">
        <v>0</v>
      </c>
      <c r="C27" s="12">
        <v>0</v>
      </c>
      <c r="D27" s="12">
        <v>0</v>
      </c>
      <c r="E27" s="12">
        <v>0</v>
      </c>
      <c r="F27" s="12">
        <v>0</v>
      </c>
      <c r="G27" s="12">
        <v>2.564102564102564E-2</v>
      </c>
    </row>
    <row r="28" spans="1:7" s="5" customFormat="1" ht="12.75" customHeight="1">
      <c r="A28" s="11">
        <v>26</v>
      </c>
      <c r="B28" s="12">
        <v>0</v>
      </c>
      <c r="C28" s="12">
        <v>0</v>
      </c>
      <c r="D28" s="12">
        <v>0</v>
      </c>
      <c r="E28" s="12">
        <v>0</v>
      </c>
      <c r="F28" s="12">
        <v>0</v>
      </c>
      <c r="G28" s="12">
        <v>2.564102564102564E-2</v>
      </c>
    </row>
    <row r="29" spans="1:7" s="5" customFormat="1" ht="12.75" customHeight="1">
      <c r="A29" s="11">
        <v>27</v>
      </c>
      <c r="B29" s="12">
        <v>0</v>
      </c>
      <c r="C29" s="12">
        <v>0</v>
      </c>
      <c r="D29" s="12">
        <v>0</v>
      </c>
      <c r="E29" s="12">
        <v>0</v>
      </c>
      <c r="F29" s="12">
        <v>0</v>
      </c>
      <c r="G29" s="12">
        <v>2.564102564102564E-2</v>
      </c>
    </row>
    <row r="30" spans="1:7" ht="12.75" customHeight="1">
      <c r="A30" s="11">
        <v>28</v>
      </c>
      <c r="B30" s="12">
        <v>0</v>
      </c>
      <c r="C30" s="12">
        <v>0</v>
      </c>
      <c r="D30" s="12">
        <v>0</v>
      </c>
      <c r="E30" s="12">
        <v>0</v>
      </c>
      <c r="F30" s="12">
        <v>0</v>
      </c>
      <c r="G30" s="12">
        <v>2.564102564102564E-2</v>
      </c>
    </row>
    <row r="31" spans="1:7" ht="12.75" customHeight="1">
      <c r="A31" s="11">
        <v>29</v>
      </c>
      <c r="B31" s="12">
        <v>0</v>
      </c>
      <c r="C31" s="12">
        <v>0</v>
      </c>
      <c r="D31" s="12">
        <v>0</v>
      </c>
      <c r="E31" s="12">
        <v>0</v>
      </c>
      <c r="F31" s="12">
        <v>0</v>
      </c>
      <c r="G31" s="12">
        <v>2.564102564102564E-2</v>
      </c>
    </row>
    <row r="32" spans="1:7" ht="12.75" customHeight="1">
      <c r="A32" s="11">
        <v>30</v>
      </c>
      <c r="B32" s="12">
        <v>0</v>
      </c>
      <c r="C32" s="12">
        <v>0</v>
      </c>
      <c r="D32" s="12">
        <v>0</v>
      </c>
      <c r="E32" s="12">
        <v>0</v>
      </c>
      <c r="F32" s="12">
        <v>0</v>
      </c>
      <c r="G32" s="12">
        <v>2.564102564102564E-2</v>
      </c>
    </row>
    <row r="33" spans="1:7" ht="12.75" customHeight="1">
      <c r="A33" s="11">
        <v>31</v>
      </c>
      <c r="B33" s="12">
        <v>0</v>
      </c>
      <c r="C33" s="12">
        <v>0</v>
      </c>
      <c r="D33" s="12">
        <v>0</v>
      </c>
      <c r="E33" s="12">
        <v>0</v>
      </c>
      <c r="F33" s="12">
        <v>0</v>
      </c>
      <c r="G33" s="12">
        <v>2.564102564102564E-2</v>
      </c>
    </row>
    <row r="34" spans="1:7" ht="12.75" customHeight="1">
      <c r="A34" s="11">
        <v>32</v>
      </c>
      <c r="B34" s="12">
        <v>0</v>
      </c>
      <c r="C34" s="12">
        <v>0</v>
      </c>
      <c r="D34" s="12">
        <v>0</v>
      </c>
      <c r="E34" s="12">
        <v>0</v>
      </c>
      <c r="F34" s="12">
        <v>0</v>
      </c>
      <c r="G34" s="12">
        <v>2.564102564102564E-2</v>
      </c>
    </row>
    <row r="35" spans="1:7" ht="12.75" customHeight="1">
      <c r="A35" s="11">
        <v>33</v>
      </c>
      <c r="B35" s="12">
        <v>0</v>
      </c>
      <c r="C35" s="12">
        <v>0</v>
      </c>
      <c r="D35" s="12">
        <v>0</v>
      </c>
      <c r="E35" s="12">
        <v>0</v>
      </c>
      <c r="F35" s="12">
        <v>0</v>
      </c>
      <c r="G35" s="12">
        <v>2.564102564102564E-2</v>
      </c>
    </row>
    <row r="36" spans="1:7" ht="12.75" customHeight="1">
      <c r="A36" s="11">
        <v>34</v>
      </c>
      <c r="B36" s="12">
        <v>0</v>
      </c>
      <c r="C36" s="12">
        <v>0</v>
      </c>
      <c r="D36" s="12">
        <v>0</v>
      </c>
      <c r="E36" s="12">
        <v>0</v>
      </c>
      <c r="F36" s="12">
        <v>0</v>
      </c>
      <c r="G36" s="12">
        <v>2.564102564102564E-2</v>
      </c>
    </row>
    <row r="37" spans="1:7" ht="12.75" customHeight="1">
      <c r="A37" s="11">
        <v>35</v>
      </c>
      <c r="B37" s="12">
        <v>0</v>
      </c>
      <c r="C37" s="12">
        <v>0</v>
      </c>
      <c r="D37" s="12">
        <v>0</v>
      </c>
      <c r="E37" s="12">
        <v>0</v>
      </c>
      <c r="F37" s="12">
        <v>0</v>
      </c>
      <c r="G37" s="12">
        <v>2.564102564102564E-2</v>
      </c>
    </row>
    <row r="38" spans="1:7" ht="12.75" customHeight="1">
      <c r="A38" s="11">
        <v>36</v>
      </c>
      <c r="B38" s="12">
        <v>0</v>
      </c>
      <c r="C38" s="12">
        <v>0</v>
      </c>
      <c r="D38" s="12">
        <v>0</v>
      </c>
      <c r="E38" s="12">
        <v>0</v>
      </c>
      <c r="F38" s="12">
        <v>0</v>
      </c>
      <c r="G38" s="12">
        <v>2.564102564102564E-2</v>
      </c>
    </row>
    <row r="39" spans="1:7" ht="12.75" customHeight="1">
      <c r="A39" s="11">
        <v>37</v>
      </c>
      <c r="B39" s="12">
        <v>0</v>
      </c>
      <c r="C39" s="12">
        <v>0</v>
      </c>
      <c r="D39" s="12">
        <v>0</v>
      </c>
      <c r="E39" s="12">
        <v>0</v>
      </c>
      <c r="F39" s="12">
        <v>0</v>
      </c>
      <c r="G39" s="12">
        <v>2.564102564102564E-2</v>
      </c>
    </row>
    <row r="40" spans="1:7" ht="12.75" customHeight="1">
      <c r="A40" s="11">
        <v>38</v>
      </c>
      <c r="B40" s="12">
        <v>0</v>
      </c>
      <c r="C40" s="12">
        <v>0</v>
      </c>
      <c r="D40" s="12">
        <v>0</v>
      </c>
      <c r="E40" s="12">
        <v>0</v>
      </c>
      <c r="F40" s="12">
        <v>0</v>
      </c>
      <c r="G40" s="12">
        <v>2.564102564102564E-2</v>
      </c>
    </row>
    <row r="41" spans="1:7" ht="12.75" customHeight="1">
      <c r="A41" s="11">
        <v>39</v>
      </c>
      <c r="B41" s="12">
        <v>0</v>
      </c>
      <c r="C41" s="12">
        <v>0</v>
      </c>
      <c r="D41" s="12">
        <v>0</v>
      </c>
      <c r="E41" s="12">
        <v>0</v>
      </c>
      <c r="F41" s="12">
        <v>0</v>
      </c>
      <c r="G41" s="12">
        <v>2.564102564102564E-2</v>
      </c>
    </row>
    <row r="42" spans="1:7" ht="12.75" customHeight="1">
      <c r="A42" s="15">
        <v>40</v>
      </c>
      <c r="B42" s="16">
        <v>0</v>
      </c>
      <c r="C42" s="16">
        <v>0</v>
      </c>
      <c r="D42" s="16">
        <v>0</v>
      </c>
      <c r="E42" s="16">
        <v>0</v>
      </c>
      <c r="F42" s="16">
        <v>0</v>
      </c>
      <c r="G42" s="16">
        <f t="shared" ref="G42" si="0">2.56410256410256%*0.5</f>
        <v>1.2820512820512799E-2</v>
      </c>
    </row>
    <row r="43" spans="1:7">
      <c r="A43" t="s">
        <v>451</v>
      </c>
    </row>
    <row r="44" spans="1:7">
      <c r="A44" t="s">
        <v>452</v>
      </c>
    </row>
  </sheetData>
  <pageMargins left="0.5" right="0.5" top="0.5" bottom="0.75" header="0.3" footer="0.3"/>
  <pageSetup scale="93" orientation="portrait" horizontalDpi="0" verticalDpi="0" r:id="rId1"/>
  <headerFooter>
    <oddFooter>&amp;L&amp;F&amp;RPage &amp;P of &amp;N</oddFooter>
  </headerFooter>
  <legacyDrawing r:id="rId2"/>
</worksheet>
</file>

<file path=xl/worksheets/sheet8.xml><?xml version="1.0" encoding="utf-8"?>
<worksheet xmlns="http://schemas.openxmlformats.org/spreadsheetml/2006/main" xmlns:r="http://schemas.openxmlformats.org/officeDocument/2006/relationships">
  <sheetPr codeName="Sheet5">
    <pageSetUpPr fitToPage="1"/>
  </sheetPr>
  <dimension ref="A1:C18"/>
  <sheetViews>
    <sheetView zoomScaleNormal="100" workbookViewId="0"/>
  </sheetViews>
  <sheetFormatPr defaultRowHeight="15"/>
  <cols>
    <col min="1" max="1" width="2.85546875" style="31" customWidth="1"/>
    <col min="2" max="2" width="28.28515625" style="296" customWidth="1"/>
    <col min="3" max="3" width="109.7109375" style="31" customWidth="1"/>
    <col min="4" max="16384" width="9.140625" style="31"/>
  </cols>
  <sheetData>
    <row r="1" spans="1:3" ht="15.75">
      <c r="A1" s="30" t="s">
        <v>399</v>
      </c>
    </row>
    <row r="2" spans="1:3">
      <c r="A2" s="32">
        <v>1</v>
      </c>
      <c r="B2" s="33" t="s">
        <v>139</v>
      </c>
      <c r="C2" s="33" t="s">
        <v>304</v>
      </c>
    </row>
    <row r="3" spans="1:3">
      <c r="A3" s="32">
        <f>A2+1</f>
        <v>2</v>
      </c>
      <c r="B3" s="33" t="s">
        <v>309</v>
      </c>
      <c r="C3" s="33" t="s">
        <v>306</v>
      </c>
    </row>
    <row r="4" spans="1:3" ht="30">
      <c r="A4" s="32">
        <f t="shared" ref="A4:A18" si="0">A3+1</f>
        <v>3</v>
      </c>
      <c r="B4" s="33" t="s">
        <v>310</v>
      </c>
      <c r="C4" s="33" t="s">
        <v>355</v>
      </c>
    </row>
    <row r="5" spans="1:3" ht="45">
      <c r="A5" s="32">
        <f t="shared" si="0"/>
        <v>4</v>
      </c>
      <c r="B5" s="33" t="s">
        <v>317</v>
      </c>
      <c r="C5" s="304" t="s">
        <v>396</v>
      </c>
    </row>
    <row r="6" spans="1:3">
      <c r="A6" s="32">
        <f t="shared" si="0"/>
        <v>5</v>
      </c>
      <c r="B6" s="33" t="s">
        <v>318</v>
      </c>
      <c r="C6" s="304" t="s">
        <v>397</v>
      </c>
    </row>
    <row r="7" spans="1:3" ht="45">
      <c r="A7" s="32">
        <f t="shared" si="0"/>
        <v>6</v>
      </c>
      <c r="B7" s="33" t="s">
        <v>22</v>
      </c>
      <c r="C7" s="33" t="s">
        <v>356</v>
      </c>
    </row>
    <row r="8" spans="1:3" ht="60">
      <c r="A8" s="32">
        <f t="shared" si="0"/>
        <v>7</v>
      </c>
      <c r="B8" s="292" t="s">
        <v>378</v>
      </c>
      <c r="C8" s="304" t="s">
        <v>393</v>
      </c>
    </row>
    <row r="9" spans="1:3" ht="30">
      <c r="A9" s="32">
        <f t="shared" si="0"/>
        <v>8</v>
      </c>
      <c r="B9" s="33" t="s">
        <v>328</v>
      </c>
      <c r="C9" s="33" t="s">
        <v>359</v>
      </c>
    </row>
    <row r="10" spans="1:3">
      <c r="A10" s="32">
        <f t="shared" si="0"/>
        <v>9</v>
      </c>
      <c r="B10" s="33" t="s">
        <v>357</v>
      </c>
      <c r="C10" s="33" t="s">
        <v>329</v>
      </c>
    </row>
    <row r="11" spans="1:3" ht="30">
      <c r="A11" s="32">
        <f t="shared" si="0"/>
        <v>10</v>
      </c>
      <c r="B11" s="33" t="s">
        <v>332</v>
      </c>
      <c r="C11" s="33" t="s">
        <v>358</v>
      </c>
    </row>
    <row r="12" spans="1:3" ht="30">
      <c r="A12" s="32">
        <f t="shared" si="0"/>
        <v>11</v>
      </c>
      <c r="B12" s="33" t="s">
        <v>339</v>
      </c>
      <c r="C12" s="33" t="s">
        <v>340</v>
      </c>
    </row>
    <row r="13" spans="1:3">
      <c r="A13" s="32">
        <f t="shared" si="0"/>
        <v>12</v>
      </c>
      <c r="B13" s="33" t="s">
        <v>353</v>
      </c>
      <c r="C13" s="33" t="s">
        <v>354</v>
      </c>
    </row>
    <row r="14" spans="1:3">
      <c r="A14" s="32">
        <f t="shared" si="0"/>
        <v>13</v>
      </c>
      <c r="B14" s="290" t="s">
        <v>365</v>
      </c>
      <c r="C14" s="292" t="s">
        <v>394</v>
      </c>
    </row>
    <row r="15" spans="1:3">
      <c r="A15" s="32">
        <f t="shared" si="0"/>
        <v>14</v>
      </c>
      <c r="B15" s="292" t="s">
        <v>86</v>
      </c>
      <c r="C15" s="292" t="s">
        <v>395</v>
      </c>
    </row>
    <row r="16" spans="1:3" ht="30">
      <c r="A16" s="32">
        <f t="shared" si="0"/>
        <v>15</v>
      </c>
      <c r="B16" s="292" t="s">
        <v>367</v>
      </c>
      <c r="C16" s="292" t="s">
        <v>368</v>
      </c>
    </row>
    <row r="17" spans="1:3" ht="45">
      <c r="A17" s="32">
        <f t="shared" si="0"/>
        <v>16</v>
      </c>
      <c r="B17" s="292" t="s">
        <v>333</v>
      </c>
      <c r="C17" s="292" t="s">
        <v>370</v>
      </c>
    </row>
    <row r="18" spans="1:3" ht="45">
      <c r="A18" s="32">
        <f t="shared" si="0"/>
        <v>17</v>
      </c>
      <c r="B18" s="292" t="s">
        <v>378</v>
      </c>
      <c r="C18" s="292" t="s">
        <v>392</v>
      </c>
    </row>
  </sheetData>
  <pageMargins left="0.45" right="0.45" top="0.5" bottom="0.75" header="0.3" footer="0.3"/>
  <pageSetup scale="91" orientation="landscape" horizontalDpi="0" verticalDpi="0" r:id="rId1"/>
  <headerFooter>
    <oddFooter>&amp;L&amp;F&amp;RPage &amp;P of &amp;N</oddFooter>
  </headerFooter>
</worksheet>
</file>

<file path=xl/worksheets/sheet9.xml><?xml version="1.0" encoding="utf-8"?>
<worksheet xmlns="http://schemas.openxmlformats.org/spreadsheetml/2006/main" xmlns:r="http://schemas.openxmlformats.org/officeDocument/2006/relationships">
  <sheetPr codeName="Sheet6">
    <pageSetUpPr fitToPage="1"/>
  </sheetPr>
  <dimension ref="A1:C29"/>
  <sheetViews>
    <sheetView zoomScaleNormal="100" workbookViewId="0">
      <selection activeCell="C2" sqref="C2"/>
    </sheetView>
  </sheetViews>
  <sheetFormatPr defaultRowHeight="15"/>
  <cols>
    <col min="1" max="1" width="2.85546875" style="31" customWidth="1"/>
    <col min="2" max="2" width="28.28515625" style="296" customWidth="1"/>
    <col min="3" max="3" width="109.7109375" style="31" customWidth="1"/>
    <col min="4" max="16384" width="9.140625" style="31"/>
  </cols>
  <sheetData>
    <row r="1" spans="1:3" ht="15.75">
      <c r="A1" s="30" t="s">
        <v>398</v>
      </c>
    </row>
    <row r="2" spans="1:3" ht="75">
      <c r="A2" s="32">
        <v>1</v>
      </c>
      <c r="B2" s="304" t="s">
        <v>400</v>
      </c>
      <c r="C2" s="304" t="s">
        <v>404</v>
      </c>
    </row>
    <row r="3" spans="1:3" ht="30">
      <c r="A3" s="32">
        <f>A2+1</f>
        <v>2</v>
      </c>
      <c r="B3" s="304" t="s">
        <v>136</v>
      </c>
      <c r="C3" s="304" t="s">
        <v>408</v>
      </c>
    </row>
    <row r="4" spans="1:3">
      <c r="A4" s="32">
        <f t="shared" ref="A4:A5" si="0">A3+1</f>
        <v>3</v>
      </c>
      <c r="B4" s="304" t="s">
        <v>405</v>
      </c>
      <c r="C4" s="304" t="s">
        <v>406</v>
      </c>
    </row>
    <row r="5" spans="1:3" ht="30">
      <c r="A5" s="32">
        <f t="shared" si="0"/>
        <v>4</v>
      </c>
      <c r="B5" s="304" t="s">
        <v>420</v>
      </c>
      <c r="C5" s="304" t="s">
        <v>468</v>
      </c>
    </row>
    <row r="6" spans="1:3" ht="45">
      <c r="A6" s="32">
        <v>5</v>
      </c>
      <c r="B6" s="304" t="s">
        <v>499</v>
      </c>
      <c r="C6" s="304" t="s">
        <v>424</v>
      </c>
    </row>
    <row r="7" spans="1:3" ht="30">
      <c r="A7" s="32">
        <v>6</v>
      </c>
      <c r="B7" s="304" t="s">
        <v>425</v>
      </c>
      <c r="C7" s="304" t="s">
        <v>503</v>
      </c>
    </row>
    <row r="8" spans="1:3" ht="45">
      <c r="A8" s="32"/>
      <c r="B8" s="304"/>
      <c r="C8" s="304" t="s">
        <v>469</v>
      </c>
    </row>
    <row r="9" spans="1:3">
      <c r="A9" s="32"/>
      <c r="B9" s="304"/>
      <c r="C9" s="304" t="s">
        <v>490</v>
      </c>
    </row>
    <row r="10" spans="1:3">
      <c r="A10" s="32"/>
      <c r="B10" s="304"/>
      <c r="C10" s="304" t="s">
        <v>491</v>
      </c>
    </row>
    <row r="11" spans="1:3">
      <c r="A11" s="32"/>
      <c r="B11" s="304"/>
      <c r="C11" s="304" t="s">
        <v>492</v>
      </c>
    </row>
    <row r="12" spans="1:3">
      <c r="A12" s="32"/>
      <c r="B12" s="304"/>
      <c r="C12" s="304" t="s">
        <v>493</v>
      </c>
    </row>
    <row r="13" spans="1:3">
      <c r="A13" s="32"/>
      <c r="B13" s="33"/>
      <c r="C13" s="304" t="s">
        <v>426</v>
      </c>
    </row>
    <row r="14" spans="1:3" ht="30">
      <c r="A14" s="32"/>
      <c r="B14" s="292"/>
      <c r="C14" s="292" t="s">
        <v>430</v>
      </c>
    </row>
    <row r="15" spans="1:3">
      <c r="A15" s="32"/>
      <c r="B15" s="33"/>
      <c r="C15" s="292" t="s">
        <v>504</v>
      </c>
    </row>
    <row r="16" spans="1:3" s="346" customFormat="1" ht="45">
      <c r="A16" s="345"/>
      <c r="B16" s="290"/>
      <c r="C16" s="292" t="s">
        <v>505</v>
      </c>
    </row>
    <row r="17" spans="1:3" s="346" customFormat="1" ht="30">
      <c r="A17" s="345"/>
      <c r="B17" s="290"/>
      <c r="C17" s="292" t="s">
        <v>500</v>
      </c>
    </row>
    <row r="18" spans="1:3" s="346" customFormat="1">
      <c r="A18" s="345"/>
      <c r="B18" s="290"/>
      <c r="C18" s="292" t="s">
        <v>501</v>
      </c>
    </row>
    <row r="19" spans="1:3" s="346" customFormat="1" ht="30">
      <c r="A19" s="345">
        <v>7</v>
      </c>
      <c r="B19" s="292" t="s">
        <v>26</v>
      </c>
      <c r="C19" s="292" t="s">
        <v>502</v>
      </c>
    </row>
    <row r="20" spans="1:3">
      <c r="A20" s="32">
        <v>8</v>
      </c>
      <c r="B20" s="304" t="s">
        <v>475</v>
      </c>
      <c r="C20" s="304" t="s">
        <v>476</v>
      </c>
    </row>
    <row r="22" spans="1:3">
      <c r="C22" s="346"/>
    </row>
    <row r="23" spans="1:3">
      <c r="C23" s="346"/>
    </row>
    <row r="24" spans="1:3">
      <c r="C24" s="19"/>
    </row>
    <row r="25" spans="1:3">
      <c r="C25" s="346"/>
    </row>
    <row r="26" spans="1:3">
      <c r="C26" s="19"/>
    </row>
    <row r="27" spans="1:3">
      <c r="C27"/>
    </row>
    <row r="28" spans="1:3">
      <c r="C28"/>
    </row>
    <row r="29" spans="1:3">
      <c r="C29"/>
    </row>
  </sheetData>
  <pageMargins left="0.45" right="0.45" top="0.5" bottom="0.75" header="0.3" footer="0.3"/>
  <pageSetup scale="91" orientation="landscape" horizontalDpi="0" verticalDpi="0" r:id="rId1"/>
  <headerFooter>
    <oddFooter>&amp;L&amp;F&amp;RPage &amp;P of &amp;N</oddFooter>
  </headerFooter>
</worksheet>
</file>

<file path=xl/worksheets/sheet10.xml><?xml version="1.0" encoding="utf-8"?>
<worksheet xmlns="http://schemas.openxmlformats.org/spreadsheetml/2006/main" xmlns:r="http://schemas.openxmlformats.org/officeDocument/2006/relationships">
  <sheetPr codeName="Sheet3">
    <pageSetUpPr fitToPage="1"/>
  </sheetPr>
  <dimension ref="A1:B39"/>
  <sheetViews>
    <sheetView zoomScaleNormal="100" workbookViewId="0"/>
  </sheetViews>
  <sheetFormatPr defaultRowHeight="15"/>
  <cols>
    <col min="1" max="1" width="3.7109375" customWidth="1"/>
    <col min="2" max="2" width="141.28515625" customWidth="1"/>
  </cols>
  <sheetData>
    <row r="1" spans="1:2" ht="18.75">
      <c r="A1" s="18" t="s">
        <v>303</v>
      </c>
    </row>
    <row r="2" spans="1:2" ht="18.75">
      <c r="A2" s="18" t="s">
        <v>122</v>
      </c>
    </row>
    <row r="3" spans="1:2" s="17" customFormat="1">
      <c r="A3" s="20">
        <v>1</v>
      </c>
      <c r="B3" s="21" t="s">
        <v>81</v>
      </c>
    </row>
    <row r="4" spans="1:2">
      <c r="A4" s="22" t="s">
        <v>283</v>
      </c>
      <c r="B4" s="23" t="s">
        <v>266</v>
      </c>
    </row>
    <row r="5" spans="1:2">
      <c r="A5" s="24" t="s">
        <v>284</v>
      </c>
      <c r="B5" s="25" t="s">
        <v>138</v>
      </c>
    </row>
    <row r="6" spans="1:2">
      <c r="A6" s="20">
        <v>2</v>
      </c>
      <c r="B6" s="21" t="s">
        <v>86</v>
      </c>
    </row>
    <row r="7" spans="1:2">
      <c r="A7" s="24" t="s">
        <v>283</v>
      </c>
      <c r="B7" s="26" t="s">
        <v>277</v>
      </c>
    </row>
    <row r="8" spans="1:2" s="17" customFormat="1">
      <c r="A8" s="20">
        <v>3</v>
      </c>
      <c r="B8" s="21" t="s">
        <v>265</v>
      </c>
    </row>
    <row r="9" spans="1:2">
      <c r="A9" s="22" t="s">
        <v>283</v>
      </c>
      <c r="B9" s="27" t="s">
        <v>161</v>
      </c>
    </row>
    <row r="10" spans="1:2">
      <c r="A10" s="22" t="s">
        <v>284</v>
      </c>
      <c r="B10" s="27" t="s">
        <v>123</v>
      </c>
    </row>
    <row r="11" spans="1:2">
      <c r="A11" s="22" t="s">
        <v>285</v>
      </c>
      <c r="B11" s="27" t="s">
        <v>124</v>
      </c>
    </row>
    <row r="12" spans="1:2" ht="30">
      <c r="A12" s="24" t="s">
        <v>286</v>
      </c>
      <c r="B12" s="25" t="s">
        <v>299</v>
      </c>
    </row>
    <row r="13" spans="1:2" s="17" customFormat="1">
      <c r="A13" s="20">
        <v>4</v>
      </c>
      <c r="B13" s="28" t="s">
        <v>268</v>
      </c>
    </row>
    <row r="14" spans="1:2">
      <c r="A14" s="22" t="s">
        <v>283</v>
      </c>
      <c r="B14" s="27" t="s">
        <v>125</v>
      </c>
    </row>
    <row r="15" spans="1:2">
      <c r="A15" s="24" t="s">
        <v>284</v>
      </c>
      <c r="B15" s="25" t="s">
        <v>270</v>
      </c>
    </row>
    <row r="16" spans="1:2" s="17" customFormat="1">
      <c r="A16" s="20">
        <v>5</v>
      </c>
      <c r="B16" s="21" t="s">
        <v>267</v>
      </c>
    </row>
    <row r="17" spans="1:2">
      <c r="A17" s="24" t="s">
        <v>283</v>
      </c>
      <c r="B17" s="25" t="s">
        <v>135</v>
      </c>
    </row>
    <row r="18" spans="1:2" s="17" customFormat="1">
      <c r="A18" s="20">
        <v>6</v>
      </c>
      <c r="B18" s="21" t="s">
        <v>2</v>
      </c>
    </row>
    <row r="19" spans="1:2">
      <c r="A19" s="22" t="s">
        <v>283</v>
      </c>
      <c r="B19" s="27" t="s">
        <v>269</v>
      </c>
    </row>
    <row r="20" spans="1:2" ht="30">
      <c r="A20" s="24" t="s">
        <v>284</v>
      </c>
      <c r="B20" s="25" t="s">
        <v>300</v>
      </c>
    </row>
    <row r="21" spans="1:2" s="17" customFormat="1">
      <c r="A21" s="20">
        <v>7</v>
      </c>
      <c r="B21" s="28" t="s">
        <v>139</v>
      </c>
    </row>
    <row r="22" spans="1:2" ht="30">
      <c r="A22" s="22" t="s">
        <v>283</v>
      </c>
      <c r="B22" s="27" t="s">
        <v>278</v>
      </c>
    </row>
    <row r="23" spans="1:2" s="19" customFormat="1" ht="30">
      <c r="A23" s="22" t="s">
        <v>284</v>
      </c>
      <c r="B23" s="29" t="s">
        <v>272</v>
      </c>
    </row>
    <row r="24" spans="1:2">
      <c r="A24" s="24" t="s">
        <v>285</v>
      </c>
      <c r="B24" s="25" t="s">
        <v>168</v>
      </c>
    </row>
    <row r="25" spans="1:2" s="17" customFormat="1">
      <c r="A25" s="20">
        <v>8</v>
      </c>
      <c r="B25" s="28" t="s">
        <v>271</v>
      </c>
    </row>
    <row r="26" spans="1:2">
      <c r="A26" s="24" t="s">
        <v>283</v>
      </c>
      <c r="B26" s="25" t="s">
        <v>279</v>
      </c>
    </row>
    <row r="27" spans="1:2" s="17" customFormat="1">
      <c r="A27" s="20">
        <v>9</v>
      </c>
      <c r="B27" s="28" t="s">
        <v>232</v>
      </c>
    </row>
    <row r="28" spans="1:2">
      <c r="A28" s="24" t="s">
        <v>283</v>
      </c>
      <c r="B28" s="25" t="s">
        <v>181</v>
      </c>
    </row>
    <row r="29" spans="1:2" s="17" customFormat="1">
      <c r="A29" s="20">
        <v>10</v>
      </c>
      <c r="B29" s="28" t="s">
        <v>231</v>
      </c>
    </row>
    <row r="30" spans="1:2">
      <c r="A30" s="22" t="s">
        <v>283</v>
      </c>
      <c r="B30" s="23" t="s">
        <v>274</v>
      </c>
    </row>
    <row r="31" spans="1:2">
      <c r="A31" s="24" t="s">
        <v>284</v>
      </c>
      <c r="B31" s="25" t="s">
        <v>273</v>
      </c>
    </row>
    <row r="32" spans="1:2" s="17" customFormat="1">
      <c r="A32" s="20">
        <v>11</v>
      </c>
      <c r="B32" s="21" t="s">
        <v>275</v>
      </c>
    </row>
    <row r="33" spans="1:2">
      <c r="A33" s="22" t="s">
        <v>283</v>
      </c>
      <c r="B33" s="27" t="s">
        <v>280</v>
      </c>
    </row>
    <row r="34" spans="1:2">
      <c r="A34" s="22" t="s">
        <v>284</v>
      </c>
      <c r="B34" s="27" t="s">
        <v>276</v>
      </c>
    </row>
    <row r="35" spans="1:2">
      <c r="A35" s="24" t="s">
        <v>285</v>
      </c>
      <c r="B35" s="25" t="s">
        <v>205</v>
      </c>
    </row>
    <row r="36" spans="1:2">
      <c r="A36" s="20">
        <v>12</v>
      </c>
      <c r="B36" s="21" t="s">
        <v>152</v>
      </c>
    </row>
    <row r="37" spans="1:2">
      <c r="A37" s="24" t="s">
        <v>283</v>
      </c>
      <c r="B37" s="25" t="s">
        <v>291</v>
      </c>
    </row>
    <row r="38" spans="1:2">
      <c r="A38" s="20">
        <v>13</v>
      </c>
      <c r="B38" s="21" t="s">
        <v>297</v>
      </c>
    </row>
    <row r="39" spans="1:2" ht="30">
      <c r="A39" s="24" t="s">
        <v>283</v>
      </c>
      <c r="B39" s="25" t="s">
        <v>298</v>
      </c>
    </row>
  </sheetData>
  <pageMargins left="0.5" right="0.5" top="0.5" bottom="0.75" header="0.3" footer="0.3"/>
  <pageSetup scale="80" orientation="landscape" horizontalDpi="0" verticalDpi="0" r:id="rId1"/>
  <headerFooter>
    <oddFooter>&amp;L&amp;F&amp;RPage &amp;P of &amp;N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220</vt:i4>
      </vt:variant>
    </vt:vector>
  </HeadingPairs>
  <TitlesOfParts>
    <vt:vector size="230" baseType="lpstr">
      <vt:lpstr>Inputs &amp; Results</vt:lpstr>
      <vt:lpstr>All Equity Partnership Flip</vt:lpstr>
      <vt:lpstr>NPV</vt:lpstr>
      <vt:lpstr>Leveraged Partnership Flip</vt:lpstr>
      <vt:lpstr>Sale Leaseback</vt:lpstr>
      <vt:lpstr>Single Owner</vt:lpstr>
      <vt:lpstr>Depreciation Schedules</vt:lpstr>
      <vt:lpstr>Changes to v1</vt:lpstr>
      <vt:lpstr>Changes to v2</vt:lpstr>
      <vt:lpstr>Notes</vt:lpstr>
      <vt:lpstr>AEPFFlipTarget</vt:lpstr>
      <vt:lpstr>AEPFFlipTargetYear</vt:lpstr>
      <vt:lpstr>AEPFInstalledCostTotal</vt:lpstr>
      <vt:lpstr>AEPFPPAPrice</vt:lpstr>
      <vt:lpstr>AEPFPPAPriceEsc</vt:lpstr>
      <vt:lpstr>AEPFTEInvestment</vt:lpstr>
      <vt:lpstr>AEPFTEPostFlipCash</vt:lpstr>
      <vt:lpstr>AEPFTEPostFlipTax</vt:lpstr>
      <vt:lpstr>AEPFTEPreFlipCash</vt:lpstr>
      <vt:lpstr>AEPFTEPreFlipTax</vt:lpstr>
      <vt:lpstr>AnalysisPeriod</vt:lpstr>
      <vt:lpstr>BOP</vt:lpstr>
      <vt:lpstr>CapacityAC</vt:lpstr>
      <vt:lpstr>CapacityConversion</vt:lpstr>
      <vt:lpstr>CapacityDC</vt:lpstr>
      <vt:lpstr>CapitalRecoveryDuration</vt:lpstr>
      <vt:lpstr>CapitalRecoveryMethod</vt:lpstr>
      <vt:lpstr>CBIFed</vt:lpstr>
      <vt:lpstr>CBIFedFedDeprec</vt:lpstr>
      <vt:lpstr>CBIFedFedITC</vt:lpstr>
      <vt:lpstr>CBIFedFedTax</vt:lpstr>
      <vt:lpstr>CBIFedStateDeprec</vt:lpstr>
      <vt:lpstr>CBIFedStateITC</vt:lpstr>
      <vt:lpstr>CBIFedStateTax</vt:lpstr>
      <vt:lpstr>CBIOther</vt:lpstr>
      <vt:lpstr>CBIOtherFedDeprec</vt:lpstr>
      <vt:lpstr>CBIOtherFedITC</vt:lpstr>
      <vt:lpstr>CBIOtherFedTax</vt:lpstr>
      <vt:lpstr>CBIOtherStateDeprec</vt:lpstr>
      <vt:lpstr>CBIOtherStateITC</vt:lpstr>
      <vt:lpstr>CBIOtherStateTax</vt:lpstr>
      <vt:lpstr>CBIState</vt:lpstr>
      <vt:lpstr>CBIStateFedDeprec</vt:lpstr>
      <vt:lpstr>CBIStateFedITC</vt:lpstr>
      <vt:lpstr>CBIStateFedTax</vt:lpstr>
      <vt:lpstr>CBIStateStateDeprec</vt:lpstr>
      <vt:lpstr>CBIStateStateITC</vt:lpstr>
      <vt:lpstr>CBIStateStateTax</vt:lpstr>
      <vt:lpstr>CBIUtility</vt:lpstr>
      <vt:lpstr>CBIUtilityFedDeprec</vt:lpstr>
      <vt:lpstr>CBIUtilityFedITC</vt:lpstr>
      <vt:lpstr>CBIUtilityFedTax</vt:lpstr>
      <vt:lpstr>CBIUtilityStateDeprec</vt:lpstr>
      <vt:lpstr>CBIUtilityStateITC</vt:lpstr>
      <vt:lpstr>CBIUtilityStateTax</vt:lpstr>
      <vt:lpstr>ContingencyCost</vt:lpstr>
      <vt:lpstr>DevCost</vt:lpstr>
      <vt:lpstr>DiscountRate</vt:lpstr>
      <vt:lpstr>FedBonusDeprec</vt:lpstr>
      <vt:lpstr>FedPTCAmount</vt:lpstr>
      <vt:lpstr>FedPTCTerm</vt:lpstr>
      <vt:lpstr>FedTax</vt:lpstr>
      <vt:lpstr>GenerationEquipment</vt:lpstr>
      <vt:lpstr>IBIFedFixed</vt:lpstr>
      <vt:lpstr>IBIFedFixedFedDeprec</vt:lpstr>
      <vt:lpstr>IBIFedFixedFedITC</vt:lpstr>
      <vt:lpstr>IBIFedFixedFedTax</vt:lpstr>
      <vt:lpstr>IBIFedFixedStateDeprec</vt:lpstr>
      <vt:lpstr>IBIFedFixedStateITC</vt:lpstr>
      <vt:lpstr>IBIFedFixedStateTax</vt:lpstr>
      <vt:lpstr>IBIFedPercent</vt:lpstr>
      <vt:lpstr>IBIFedPercentFedDeprec</vt:lpstr>
      <vt:lpstr>IBIFedPercentFedITC</vt:lpstr>
      <vt:lpstr>IBIFedPercentFedTax</vt:lpstr>
      <vt:lpstr>IBIFedPercentStateDeprec</vt:lpstr>
      <vt:lpstr>IBIFedPercentStateITC</vt:lpstr>
      <vt:lpstr>IBIFedPercentStateTax</vt:lpstr>
      <vt:lpstr>IBIOtherFixed</vt:lpstr>
      <vt:lpstr>IBIOtherFixedFedDeprec</vt:lpstr>
      <vt:lpstr>IBIOtherFixedFedITC</vt:lpstr>
      <vt:lpstr>IBIOtherFixedFedTax</vt:lpstr>
      <vt:lpstr>IBIOtherFixedStateDeprec</vt:lpstr>
      <vt:lpstr>IBIOtherFixedStateITC</vt:lpstr>
      <vt:lpstr>IBIOtherFixedStateTax</vt:lpstr>
      <vt:lpstr>IBIOtherPercent</vt:lpstr>
      <vt:lpstr>IBIOtherPercentFedDeprec</vt:lpstr>
      <vt:lpstr>IBIOtherPercentFedITC</vt:lpstr>
      <vt:lpstr>IBIOtherPercentFedTax</vt:lpstr>
      <vt:lpstr>IBIOtherPercentStateDeprec</vt:lpstr>
      <vt:lpstr>IBIOtherPercentStateITC</vt:lpstr>
      <vt:lpstr>IBIOtherPercentStateTax</vt:lpstr>
      <vt:lpstr>IBIStateFixed</vt:lpstr>
      <vt:lpstr>IBIStateFixedFedDeprec</vt:lpstr>
      <vt:lpstr>IBIStateFixedFedITC</vt:lpstr>
      <vt:lpstr>IBIStateFixedFedTax</vt:lpstr>
      <vt:lpstr>IBIStateFixedStateDeprec</vt:lpstr>
      <vt:lpstr>IBIStateFixedStateITC</vt:lpstr>
      <vt:lpstr>IBIStateFixedStateTax</vt:lpstr>
      <vt:lpstr>IBIStatePercent</vt:lpstr>
      <vt:lpstr>IBIStatePercentFedDeprec</vt:lpstr>
      <vt:lpstr>IBIStatePercentFedITC</vt:lpstr>
      <vt:lpstr>IBIStatePercentFedTax</vt:lpstr>
      <vt:lpstr>IBIStatePercentStateDeprec</vt:lpstr>
      <vt:lpstr>IBIStatePercentStateITC</vt:lpstr>
      <vt:lpstr>IBIStatePercentStateTax</vt:lpstr>
      <vt:lpstr>IBIUtilityFixed</vt:lpstr>
      <vt:lpstr>IBIUtilityFixedFedDeprec</vt:lpstr>
      <vt:lpstr>IBIUtilityFixedFedITC</vt:lpstr>
      <vt:lpstr>IBIUtilityFixedFedTax</vt:lpstr>
      <vt:lpstr>IBIUtilityFixedStateDeprec</vt:lpstr>
      <vt:lpstr>IBIUtilityFixedStateITC</vt:lpstr>
      <vt:lpstr>IBIUtilityFixedStateTax</vt:lpstr>
      <vt:lpstr>IBIUtilityPercent</vt:lpstr>
      <vt:lpstr>IBIUtilityPercentFedDeprec</vt:lpstr>
      <vt:lpstr>IBIUtilityPercentFedITC</vt:lpstr>
      <vt:lpstr>IBIUtilityPercentFedTax</vt:lpstr>
      <vt:lpstr>IBIUtilityPercentStateDeprec</vt:lpstr>
      <vt:lpstr>IBIUtilityPercentStateITC</vt:lpstr>
      <vt:lpstr>IBIUtilityPercentStateTax</vt:lpstr>
      <vt:lpstr>Inflation</vt:lpstr>
      <vt:lpstr>InterestOnReserves</vt:lpstr>
      <vt:lpstr>ITCFedFixed</vt:lpstr>
      <vt:lpstr>ITCFedFixedFedDeprec</vt:lpstr>
      <vt:lpstr>ITCFedFixedStateDeprec</vt:lpstr>
      <vt:lpstr>ITCFedMax</vt:lpstr>
      <vt:lpstr>ITCFedPercent</vt:lpstr>
      <vt:lpstr>ITCFedPercentFedDeprec</vt:lpstr>
      <vt:lpstr>ITCFedPercentStateDeprec</vt:lpstr>
      <vt:lpstr>ITCStateFixed</vt:lpstr>
      <vt:lpstr>ITCStateFixedFedDeprec</vt:lpstr>
      <vt:lpstr>ITCStateFixedStateDeprec</vt:lpstr>
      <vt:lpstr>ITCStateMax</vt:lpstr>
      <vt:lpstr>ITCStatePercent</vt:lpstr>
      <vt:lpstr>ITCStatePercentFedDeprec</vt:lpstr>
      <vt:lpstr>ITCStatePercentStateDeprec</vt:lpstr>
      <vt:lpstr>LandImprovements</vt:lpstr>
      <vt:lpstr>LeaseReserveMonths</vt:lpstr>
      <vt:lpstr>LeveragedFlipPPAPrice</vt:lpstr>
      <vt:lpstr>LeveragedFlipPPAPriceEsc</vt:lpstr>
      <vt:lpstr>LPFDebtAmount</vt:lpstr>
      <vt:lpstr>LPFDebtRate</vt:lpstr>
      <vt:lpstr>LPFDebtTerm</vt:lpstr>
      <vt:lpstr>LPFDSCR</vt:lpstr>
      <vt:lpstr>LPFDSRASize</vt:lpstr>
      <vt:lpstr>LPFFlipTarget</vt:lpstr>
      <vt:lpstr>LPFFlipTargetYear</vt:lpstr>
      <vt:lpstr>LPFInstalledCostTotal</vt:lpstr>
      <vt:lpstr>LPFTEInvestment</vt:lpstr>
      <vt:lpstr>LPFTEPostFlipCash</vt:lpstr>
      <vt:lpstr>LPFTEPostFlipTax</vt:lpstr>
      <vt:lpstr>LPFTEPreFlipCash</vt:lpstr>
      <vt:lpstr>LPFTEPreFlipTax</vt:lpstr>
      <vt:lpstr>MMCost</vt:lpstr>
      <vt:lpstr>MMCost2</vt:lpstr>
      <vt:lpstr>MMCost3</vt:lpstr>
      <vt:lpstr>MMFedTaxTreatment</vt:lpstr>
      <vt:lpstr>MMFrequency</vt:lpstr>
      <vt:lpstr>MMFrequency2</vt:lpstr>
      <vt:lpstr>MMFrequency3</vt:lpstr>
      <vt:lpstr>MMStateTaxTreatment</vt:lpstr>
      <vt:lpstr>NetworkUpgrades</vt:lpstr>
      <vt:lpstr>OMCapacity</vt:lpstr>
      <vt:lpstr>OMCapacityRealEsc</vt:lpstr>
      <vt:lpstr>OMFixedAnnual</vt:lpstr>
      <vt:lpstr>OMFixedAnnualRealEsc</vt:lpstr>
      <vt:lpstr>OMVariable</vt:lpstr>
      <vt:lpstr>OMVariableRealEsc</vt:lpstr>
      <vt:lpstr>Other</vt:lpstr>
      <vt:lpstr>PBIFed</vt:lpstr>
      <vt:lpstr>PBIFedDebtSwitch</vt:lpstr>
      <vt:lpstr>PBIFedEsc</vt:lpstr>
      <vt:lpstr>PBIFedFedTax</vt:lpstr>
      <vt:lpstr>PBIFedStateTax</vt:lpstr>
      <vt:lpstr>PBIFedTerm</vt:lpstr>
      <vt:lpstr>PBIOther</vt:lpstr>
      <vt:lpstr>PBIOtherDebtSwitch</vt:lpstr>
      <vt:lpstr>PBIOtherEsc</vt:lpstr>
      <vt:lpstr>PBIOtherFedTax</vt:lpstr>
      <vt:lpstr>PBIOtherStateTax</vt:lpstr>
      <vt:lpstr>PBIOtherTerm</vt:lpstr>
      <vt:lpstr>PBIState</vt:lpstr>
      <vt:lpstr>PBIStateDebtSwitch</vt:lpstr>
      <vt:lpstr>PBIStateEsc</vt:lpstr>
      <vt:lpstr>PBIStateFedTax</vt:lpstr>
      <vt:lpstr>PBIStateStateTax</vt:lpstr>
      <vt:lpstr>PBIStateTerm</vt:lpstr>
      <vt:lpstr>PBIUtility</vt:lpstr>
      <vt:lpstr>PBIUtilityDebtSwitch</vt:lpstr>
      <vt:lpstr>PBIUtilityEsc</vt:lpstr>
      <vt:lpstr>PBIUtilityFedTax</vt:lpstr>
      <vt:lpstr>PBIUtilityStateTax</vt:lpstr>
      <vt:lpstr>PBIUtilityTerm</vt:lpstr>
      <vt:lpstr>PreFinancingInstalledCostTotal</vt:lpstr>
      <vt:lpstr>'Changes to v1'!Print_Area</vt:lpstr>
      <vt:lpstr>'Changes to v2'!Print_Area</vt:lpstr>
      <vt:lpstr>'Inputs &amp; Results'!Print_Area</vt:lpstr>
      <vt:lpstr>Notes!Print_Area</vt:lpstr>
      <vt:lpstr>'All Equity Partnership Flip'!Print_Titles</vt:lpstr>
      <vt:lpstr>'Leveraged Partnership Flip'!Print_Titles</vt:lpstr>
      <vt:lpstr>'Sale Leaseback'!Print_Titles</vt:lpstr>
      <vt:lpstr>'Single Owner'!Print_Titles</vt:lpstr>
      <vt:lpstr>PropertyTaxRate</vt:lpstr>
      <vt:lpstr>SalesTaxQualification</vt:lpstr>
      <vt:lpstr>SalesTaxRate</vt:lpstr>
      <vt:lpstr>SalesTaxTotal</vt:lpstr>
      <vt:lpstr>SalvageValue</vt:lpstr>
      <vt:lpstr>SLDevMargin</vt:lpstr>
      <vt:lpstr>SLDevMarginEsc</vt:lpstr>
      <vt:lpstr>SLInstalledCostTotal</vt:lpstr>
      <vt:lpstr>SLPPAPrice</vt:lpstr>
      <vt:lpstr>SLPPAPriceEsc</vt:lpstr>
      <vt:lpstr>SLReturnTarget</vt:lpstr>
      <vt:lpstr>SLReturnTargetYear</vt:lpstr>
      <vt:lpstr>SLTEInvestment</vt:lpstr>
      <vt:lpstr>SODebtAmount</vt:lpstr>
      <vt:lpstr>SODebtRate</vt:lpstr>
      <vt:lpstr>SODebtTerm</vt:lpstr>
      <vt:lpstr>SODSCR</vt:lpstr>
      <vt:lpstr>SODSRASize</vt:lpstr>
      <vt:lpstr>SOInstalledCostTotal</vt:lpstr>
      <vt:lpstr>SOPPAPrice</vt:lpstr>
      <vt:lpstr>SOPPAPriceEsc</vt:lpstr>
      <vt:lpstr>SOReturnTarget</vt:lpstr>
      <vt:lpstr>SOReturnTargetYear</vt:lpstr>
      <vt:lpstr>StateBonusDeprec</vt:lpstr>
      <vt:lpstr>StatePTCAmount</vt:lpstr>
      <vt:lpstr>StatePTCTerm</vt:lpstr>
      <vt:lpstr>StateTax</vt:lpstr>
      <vt:lpstr>TotalHardCosts</vt:lpstr>
      <vt:lpstr>TotalSoftCosts</vt:lpstr>
    </vt:vector>
  </TitlesOfParts>
  <Company>Hewlett-Packard</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Karcher</dc:creator>
  <cp:lastModifiedBy>Steve</cp:lastModifiedBy>
  <cp:lastPrinted>2010-11-29T02:37:31Z</cp:lastPrinted>
  <dcterms:created xsi:type="dcterms:W3CDTF">2010-08-30T18:22:05Z</dcterms:created>
  <dcterms:modified xsi:type="dcterms:W3CDTF">2011-01-06T11:59:17Z</dcterms:modified>
</cp:coreProperties>
</file>